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K:\VSJ Work\July 25\Axis\Dump\"/>
    </mc:Choice>
  </mc:AlternateContent>
  <xr:revisionPtr revIDLastSave="0" documentId="13_ncr:1_{A5B656BB-2CC5-4451-A00B-AC5305F0F7BC}" xr6:coauthVersionLast="47" xr6:coauthVersionMax="47" xr10:uidLastSave="{00000000-0000-0000-0000-000000000000}"/>
  <bookViews>
    <workbookView xWindow="-108" yWindow="-108" windowWidth="23256" windowHeight="12456" tabRatio="806" xr2:uid="{00000000-000D-0000-FFFF-FFFF00000000}"/>
  </bookViews>
  <sheets>
    <sheet name="Sheet1" sheetId="1" r:id="rId1"/>
    <sheet name="Construction A % " sheetId="16" r:id="rId2"/>
    <sheet name="Construction B %" sheetId="14" r:id="rId3"/>
    <sheet name="Construction % C" sheetId="15" r:id="rId4"/>
    <sheet name="Note" sheetId="17" r:id="rId5"/>
    <sheet name="Valuation" sheetId="18" r:id="rId6"/>
    <sheet name="Wing A" sheetId="11" r:id="rId7"/>
    <sheet name="Wing B" sheetId="12" r:id="rId8"/>
    <sheet name="Wing C" sheetId="13" r:id="rId9"/>
  </sheets>
  <definedNames>
    <definedName name="_xlnm.Print_Area" localSheetId="0">Sheet1!$A$1:$J$486</definedName>
  </definedNames>
  <calcPr calcId="191029"/>
</workbook>
</file>

<file path=xl/calcChain.xml><?xml version="1.0" encoding="utf-8"?>
<calcChain xmlns="http://schemas.openxmlformats.org/spreadsheetml/2006/main">
  <c r="C66" i="1" l="1"/>
  <c r="L129" i="1" l="1"/>
  <c r="F197" i="1"/>
  <c r="F196" i="1"/>
  <c r="F195" i="1"/>
  <c r="F193" i="1"/>
  <c r="F192" i="1"/>
  <c r="F191" i="1"/>
  <c r="F190" i="1"/>
  <c r="F194" i="1"/>
  <c r="F179" i="1"/>
  <c r="F178" i="1"/>
  <c r="F177" i="1"/>
  <c r="F172" i="1"/>
  <c r="F176" i="1"/>
  <c r="F175" i="1"/>
  <c r="F174" i="1"/>
  <c r="F173" i="1"/>
  <c r="F188" i="1"/>
  <c r="F187" i="1"/>
  <c r="F186" i="1"/>
  <c r="F185" i="1"/>
  <c r="F184" i="1"/>
  <c r="F183" i="1"/>
  <c r="F182" i="1"/>
  <c r="F181" i="1"/>
  <c r="K181" i="1"/>
  <c r="O170" i="1"/>
  <c r="F170" i="1" s="1"/>
  <c r="O169" i="1"/>
  <c r="F169" i="1" s="1"/>
  <c r="O168" i="1"/>
  <c r="F168" i="1" s="1"/>
  <c r="O167" i="1"/>
  <c r="F167" i="1" s="1"/>
  <c r="O166" i="1"/>
  <c r="F166" i="1" s="1"/>
  <c r="O165" i="1"/>
  <c r="F165" i="1" s="1"/>
  <c r="O164" i="1"/>
  <c r="F164" i="1" s="1"/>
  <c r="O163" i="1"/>
  <c r="F163" i="1" s="1"/>
  <c r="M170" i="1"/>
  <c r="D170" i="1" s="1"/>
  <c r="M169" i="1"/>
  <c r="D169" i="1" s="1"/>
  <c r="M168" i="1"/>
  <c r="D168" i="1" s="1"/>
  <c r="M167" i="1"/>
  <c r="D167" i="1" s="1"/>
  <c r="M166" i="1"/>
  <c r="D166" i="1" s="1"/>
  <c r="M165" i="1"/>
  <c r="D165" i="1" s="1"/>
  <c r="M164" i="1"/>
  <c r="D164" i="1" s="1"/>
  <c r="M163" i="1"/>
  <c r="D163" i="1" s="1"/>
  <c r="D194" i="1" l="1"/>
  <c r="D191" i="1"/>
  <c r="D203" i="1"/>
  <c r="D200" i="1"/>
  <c r="D197" i="1"/>
  <c r="D196" i="1"/>
  <c r="D195" i="1"/>
  <c r="D193" i="1"/>
  <c r="D192" i="1"/>
  <c r="D190" i="1"/>
  <c r="D184" i="1"/>
  <c r="D183" i="1"/>
  <c r="D188" i="1"/>
  <c r="D187" i="1"/>
  <c r="D186" i="1"/>
  <c r="D185" i="1"/>
  <c r="D182" i="1"/>
  <c r="D181" i="1"/>
  <c r="D179" i="1"/>
  <c r="D178" i="1"/>
  <c r="D177" i="1"/>
  <c r="K177" i="1"/>
  <c r="D176" i="1"/>
  <c r="D173" i="1"/>
  <c r="D172" i="1"/>
  <c r="D175" i="1"/>
  <c r="D174" i="1"/>
  <c r="K172" i="1"/>
  <c r="L180" i="1" l="1"/>
  <c r="M180" i="1"/>
  <c r="M181" i="1"/>
  <c r="M182" i="1"/>
  <c r="M183" i="1"/>
  <c r="M184" i="1"/>
  <c r="O197" i="1"/>
  <c r="M197" i="1"/>
  <c r="L197" i="1"/>
  <c r="O193" i="1"/>
  <c r="M193" i="1"/>
  <c r="O192" i="1"/>
  <c r="M192" i="1"/>
  <c r="O188" i="1"/>
  <c r="M188" i="1"/>
  <c r="L188" i="1"/>
  <c r="O179" i="1"/>
  <c r="M179" i="1"/>
  <c r="L179" i="1"/>
  <c r="M161" i="1"/>
  <c r="K161" i="1"/>
  <c r="M160" i="1"/>
  <c r="K160" i="1"/>
  <c r="M159" i="1"/>
  <c r="K159" i="1"/>
  <c r="M158" i="1"/>
  <c r="K158" i="1"/>
  <c r="M157" i="1"/>
  <c r="K157" i="1"/>
  <c r="M156" i="1"/>
  <c r="K156" i="1"/>
  <c r="M155" i="1"/>
  <c r="K155" i="1"/>
  <c r="M154" i="1"/>
  <c r="K154" i="1"/>
  <c r="D328" i="1"/>
  <c r="D312" i="1"/>
  <c r="D296" i="1"/>
  <c r="D280" i="1"/>
  <c r="F6" i="1" l="1"/>
  <c r="O280" i="1"/>
  <c r="D329" i="1" l="1"/>
  <c r="D327" i="1"/>
  <c r="D326" i="1"/>
  <c r="D325" i="1"/>
  <c r="D324" i="1"/>
  <c r="D323" i="1"/>
  <c r="D322" i="1"/>
  <c r="D321" i="1"/>
  <c r="D320" i="1"/>
  <c r="D319" i="1"/>
  <c r="D318" i="1"/>
  <c r="D317" i="1"/>
  <c r="D316" i="1"/>
  <c r="I315" i="1"/>
  <c r="D315" i="1"/>
  <c r="D148" i="1"/>
  <c r="G148" i="1" s="1"/>
  <c r="D147" i="1"/>
  <c r="G147" i="1" s="1"/>
  <c r="D146" i="1"/>
  <c r="G146" i="1" s="1"/>
  <c r="D145" i="1"/>
  <c r="G145" i="1" s="1"/>
  <c r="D144" i="1"/>
  <c r="G144" i="1" s="1"/>
  <c r="D143" i="1"/>
  <c r="G143" i="1" s="1"/>
  <c r="D142" i="1"/>
  <c r="G142" i="1" s="1"/>
  <c r="D141" i="1"/>
  <c r="G141" i="1" s="1"/>
  <c r="D140" i="1"/>
  <c r="G140" i="1" s="1"/>
  <c r="D139" i="1"/>
  <c r="G139" i="1" s="1"/>
  <c r="D138" i="1"/>
  <c r="G138" i="1" s="1"/>
  <c r="D137" i="1"/>
  <c r="G137" i="1" s="1"/>
  <c r="D136" i="1"/>
  <c r="G136" i="1" s="1"/>
  <c r="D135" i="1"/>
  <c r="G135" i="1" s="1"/>
  <c r="D313" i="1"/>
  <c r="D311" i="1"/>
  <c r="D310" i="1"/>
  <c r="D309" i="1"/>
  <c r="D308" i="1"/>
  <c r="D307" i="1"/>
  <c r="D306" i="1"/>
  <c r="D304" i="1"/>
  <c r="D303" i="1"/>
  <c r="D302" i="1"/>
  <c r="D301" i="1"/>
  <c r="D300" i="1"/>
  <c r="D299" i="1"/>
  <c r="D297" i="1"/>
  <c r="D295" i="1"/>
  <c r="D294" i="1"/>
  <c r="D293" i="1"/>
  <c r="D292" i="1"/>
  <c r="D291" i="1"/>
  <c r="D290" i="1"/>
  <c r="D289" i="1"/>
  <c r="D288" i="1"/>
  <c r="D287" i="1"/>
  <c r="D286" i="1"/>
  <c r="D285" i="1"/>
  <c r="D284" i="1"/>
  <c r="D283" i="1"/>
  <c r="F278" i="1"/>
  <c r="F277" i="1"/>
  <c r="F276" i="1"/>
  <c r="F275" i="1"/>
  <c r="F274" i="1"/>
  <c r="D281" i="1"/>
  <c r="O281" i="1" s="1"/>
  <c r="D279" i="1"/>
  <c r="O279" i="1" s="1"/>
  <c r="D278" i="1"/>
  <c r="O278" i="1" s="1"/>
  <c r="D277" i="1"/>
  <c r="O277" i="1" s="1"/>
  <c r="D276" i="1"/>
  <c r="O276" i="1" s="1"/>
  <c r="D275" i="1"/>
  <c r="O275" i="1" s="1"/>
  <c r="D274" i="1"/>
  <c r="O274" i="1" s="1"/>
  <c r="D273" i="1"/>
  <c r="O273" i="1" s="1"/>
  <c r="D272" i="1"/>
  <c r="O272" i="1" s="1"/>
  <c r="D271" i="1"/>
  <c r="O271" i="1" s="1"/>
  <c r="D270" i="1"/>
  <c r="O270" i="1" s="1"/>
  <c r="D269" i="1"/>
  <c r="O269" i="1" s="1"/>
  <c r="D268" i="1"/>
  <c r="O268" i="1" s="1"/>
  <c r="D267" i="1"/>
  <c r="I299" i="1"/>
  <c r="I283" i="1"/>
  <c r="L280" i="1"/>
  <c r="L267" i="1"/>
  <c r="L275" i="1"/>
  <c r="L274" i="1"/>
  <c r="K270" i="1"/>
  <c r="L270" i="1"/>
  <c r="L269" i="1"/>
  <c r="K269" i="1"/>
  <c r="I267" i="1"/>
  <c r="K148" i="1"/>
  <c r="K135" i="1"/>
  <c r="I135" i="1"/>
  <c r="O267" i="1" l="1"/>
  <c r="D123" i="1"/>
  <c r="G115" i="1"/>
  <c r="G116" i="1" s="1"/>
  <c r="C123" i="1"/>
  <c r="D115" i="1"/>
  <c r="D116" i="1" s="1"/>
  <c r="C115" i="1"/>
  <c r="C116" i="1" s="1"/>
  <c r="F206" i="1"/>
  <c r="F205" i="1"/>
  <c r="F204" i="1"/>
  <c r="F203" i="1"/>
  <c r="F202" i="1"/>
  <c r="F201" i="1"/>
  <c r="F200" i="1"/>
  <c r="G200" i="1" s="1"/>
  <c r="F199" i="1"/>
  <c r="D206" i="1"/>
  <c r="D205" i="1"/>
  <c r="D204" i="1"/>
  <c r="D202" i="1"/>
  <c r="D201" i="1"/>
  <c r="D199" i="1"/>
  <c r="T200" i="1"/>
  <c r="Q200" i="1"/>
  <c r="T199" i="1"/>
  <c r="S199" i="1"/>
  <c r="Q199" i="1"/>
  <c r="I199" i="1"/>
  <c r="C89" i="1"/>
  <c r="L100" i="1"/>
  <c r="L99" i="1"/>
  <c r="L98" i="1"/>
  <c r="L97" i="1"/>
  <c r="C84" i="1"/>
  <c r="C69" i="1"/>
  <c r="C64" i="1"/>
  <c r="H44" i="1"/>
  <c r="H45" i="1" s="1"/>
  <c r="C44" i="1"/>
  <c r="F36" i="1"/>
  <c r="I90" i="1"/>
  <c r="G199" i="1" l="1"/>
  <c r="C127" i="1"/>
  <c r="C128" i="1" s="1"/>
  <c r="D127" i="1"/>
  <c r="D128" i="1" s="1"/>
  <c r="G123" i="1"/>
  <c r="D95" i="1"/>
  <c r="L93" i="1"/>
  <c r="D101" i="1"/>
  <c r="D97" i="1"/>
  <c r="D102" i="1"/>
  <c r="D100" i="1"/>
  <c r="D98" i="1"/>
  <c r="D96" i="1"/>
  <c r="L94" i="1"/>
  <c r="C93" i="1" s="1"/>
  <c r="D93" i="1" s="1"/>
  <c r="L92" i="1"/>
  <c r="L95" i="1"/>
  <c r="L96" i="1" s="1"/>
  <c r="D99" i="1"/>
  <c r="C71" i="1"/>
  <c r="L101" i="1" l="1"/>
  <c r="F2" i="1"/>
  <c r="L102" i="1" l="1"/>
  <c r="C94" i="1" s="1"/>
  <c r="H93" i="1" s="1"/>
  <c r="C86" i="1"/>
  <c r="D263" i="1"/>
  <c r="G263" i="1" s="1"/>
  <c r="D262" i="1"/>
  <c r="G262" i="1" s="1"/>
  <c r="D258" i="1"/>
  <c r="G258" i="1" s="1"/>
  <c r="D257" i="1"/>
  <c r="G257" i="1" s="1"/>
  <c r="D264" i="1"/>
  <c r="G264" i="1" s="1"/>
  <c r="D261" i="1"/>
  <c r="D259" i="1"/>
  <c r="D256" i="1"/>
  <c r="D254" i="1"/>
  <c r="G254" i="1" s="1"/>
  <c r="D253" i="1"/>
  <c r="M236" i="1"/>
  <c r="M233" i="1"/>
  <c r="I253" i="1"/>
  <c r="I261" i="1"/>
  <c r="I256" i="1"/>
  <c r="F93" i="1" l="1"/>
  <c r="K89" i="1" s="1"/>
  <c r="C91" i="1" s="1"/>
  <c r="D94" i="1"/>
  <c r="C122" i="1"/>
  <c r="G253" i="1"/>
  <c r="D122" i="1"/>
  <c r="G259" i="1"/>
  <c r="G256" i="1"/>
  <c r="G261" i="1"/>
  <c r="I70" i="1"/>
  <c r="I85" i="1"/>
  <c r="G122" i="1" l="1"/>
  <c r="K84" i="1"/>
  <c r="K69" i="1" l="1"/>
  <c r="K64" i="1"/>
  <c r="F9" i="18" l="1"/>
  <c r="G9" i="18" s="1"/>
  <c r="F10" i="18"/>
  <c r="G10" i="18"/>
  <c r="E8" i="18"/>
  <c r="F8" i="18" s="1"/>
  <c r="G8" i="18" s="1"/>
  <c r="E7" i="18"/>
  <c r="F7" i="18" s="1"/>
  <c r="G7" i="18" s="1"/>
  <c r="E6" i="18"/>
  <c r="E5" i="18"/>
  <c r="G11" i="18"/>
  <c r="G6" i="18"/>
  <c r="G5" i="18"/>
  <c r="K20" i="16"/>
  <c r="L20" i="16" s="1"/>
  <c r="B16" i="16"/>
  <c r="E10" i="16" s="1"/>
  <c r="B14" i="16"/>
  <c r="N6" i="16" s="1"/>
  <c r="G18" i="16" s="1"/>
  <c r="B12" i="16"/>
  <c r="E8" i="16" s="1"/>
  <c r="B10" i="16"/>
  <c r="E7" i="16"/>
  <c r="B8" i="16"/>
  <c r="K6" i="16" s="1"/>
  <c r="G15" i="16" s="1"/>
  <c r="L6" i="16"/>
  <c r="G16" i="16" s="1"/>
  <c r="I6" i="16"/>
  <c r="I7" i="16" s="1"/>
  <c r="H13" i="16" s="1"/>
  <c r="B6" i="16"/>
  <c r="J6" i="16" s="1"/>
  <c r="G14" i="16" s="1"/>
  <c r="J7" i="16"/>
  <c r="H14" i="16"/>
  <c r="E4" i="16"/>
  <c r="K20" i="15"/>
  <c r="L20" i="15" s="1"/>
  <c r="B16" i="15"/>
  <c r="O6" i="15" s="1"/>
  <c r="G19" i="15" s="1"/>
  <c r="B14" i="15"/>
  <c r="N6" i="15" s="1"/>
  <c r="G18" i="15" s="1"/>
  <c r="B12" i="15"/>
  <c r="E8" i="15" s="1"/>
  <c r="F80" i="1" s="1"/>
  <c r="M6" i="15"/>
  <c r="G17" i="15" s="1"/>
  <c r="E10" i="15"/>
  <c r="F82" i="1" s="1"/>
  <c r="B10" i="15"/>
  <c r="L7" i="15"/>
  <c r="H16" i="15" s="1"/>
  <c r="B8" i="15"/>
  <c r="K6" i="15" s="1"/>
  <c r="G15" i="15" s="1"/>
  <c r="O7" i="15"/>
  <c r="H19" i="15" s="1"/>
  <c r="I6" i="15"/>
  <c r="G13" i="15" s="1"/>
  <c r="I7" i="15"/>
  <c r="H13" i="15" s="1"/>
  <c r="B6" i="15"/>
  <c r="J7" i="15" s="1"/>
  <c r="H14" i="15" s="1"/>
  <c r="E4" i="15"/>
  <c r="F76" i="1" s="1"/>
  <c r="L222" i="1"/>
  <c r="L212" i="1"/>
  <c r="L206" i="1"/>
  <c r="L191" i="1"/>
  <c r="L152" i="1"/>
  <c r="L119" i="1"/>
  <c r="E344" i="1"/>
  <c r="K20" i="14"/>
  <c r="L20" i="14" s="1"/>
  <c r="M189" i="1"/>
  <c r="M230" i="1"/>
  <c r="D250" i="1" s="1"/>
  <c r="F250" i="1"/>
  <c r="M229" i="1"/>
  <c r="D249" i="1" s="1"/>
  <c r="F249" i="1"/>
  <c r="M228" i="1"/>
  <c r="D248" i="1" s="1"/>
  <c r="F248" i="1"/>
  <c r="M227" i="1"/>
  <c r="D247" i="1" s="1"/>
  <c r="I247" i="1"/>
  <c r="F247" i="1"/>
  <c r="M206" i="1"/>
  <c r="D226" i="1" s="1"/>
  <c r="M207" i="1"/>
  <c r="D227" i="1" s="1"/>
  <c r="M208" i="1"/>
  <c r="D228" i="1" s="1"/>
  <c r="M209" i="1"/>
  <c r="D229" i="1" s="1"/>
  <c r="M210" i="1"/>
  <c r="D230" i="1" s="1"/>
  <c r="M131" i="1"/>
  <c r="M150" i="1"/>
  <c r="M122" i="1"/>
  <c r="M121" i="1"/>
  <c r="M128" i="1"/>
  <c r="M120" i="1"/>
  <c r="M119" i="1"/>
  <c r="M130" i="1"/>
  <c r="O119" i="1"/>
  <c r="M224" i="1"/>
  <c r="D244" i="1" s="1"/>
  <c r="M225" i="1"/>
  <c r="D245" i="1" s="1"/>
  <c r="M223" i="1"/>
  <c r="D243" i="1" s="1"/>
  <c r="M222" i="1"/>
  <c r="D242" i="1" s="1"/>
  <c r="I242" i="1"/>
  <c r="F245" i="1"/>
  <c r="F244" i="1"/>
  <c r="F243" i="1"/>
  <c r="F242" i="1"/>
  <c r="M219" i="1"/>
  <c r="D239" i="1" s="1"/>
  <c r="D240" i="1"/>
  <c r="F240" i="1"/>
  <c r="F239" i="1"/>
  <c r="O216" i="1"/>
  <c r="F236" i="1" s="1"/>
  <c r="O215" i="1"/>
  <c r="F235" i="1" s="1"/>
  <c r="O214" i="1"/>
  <c r="F234" i="1" s="1"/>
  <c r="O213" i="1"/>
  <c r="F233" i="1" s="1"/>
  <c r="O212" i="1"/>
  <c r="F232" i="1" s="1"/>
  <c r="M216" i="1"/>
  <c r="D236" i="1" s="1"/>
  <c r="M215" i="1"/>
  <c r="D235" i="1" s="1"/>
  <c r="M214" i="1"/>
  <c r="D234" i="1" s="1"/>
  <c r="M213" i="1"/>
  <c r="D233" i="1" s="1"/>
  <c r="M212" i="1"/>
  <c r="D232" i="1" s="1"/>
  <c r="I232" i="1"/>
  <c r="F227" i="1"/>
  <c r="F228" i="1"/>
  <c r="F229" i="1"/>
  <c r="O210" i="1"/>
  <c r="F230" i="1" s="1"/>
  <c r="O206" i="1"/>
  <c r="F226" i="1" s="1"/>
  <c r="I226" i="1"/>
  <c r="O202" i="1"/>
  <c r="F222" i="1" s="1"/>
  <c r="O201" i="1"/>
  <c r="F221" i="1" s="1"/>
  <c r="O200" i="1"/>
  <c r="F220" i="1" s="1"/>
  <c r="O199" i="1"/>
  <c r="F219" i="1" s="1"/>
  <c r="O198" i="1"/>
  <c r="F218" i="1" s="1"/>
  <c r="O191" i="1"/>
  <c r="F217" i="1" s="1"/>
  <c r="M201" i="1"/>
  <c r="D221" i="1" s="1"/>
  <c r="M202" i="1"/>
  <c r="D222" i="1" s="1"/>
  <c r="M200" i="1"/>
  <c r="D220" i="1" s="1"/>
  <c r="M199" i="1"/>
  <c r="D219" i="1" s="1"/>
  <c r="M198" i="1"/>
  <c r="D218" i="1" s="1"/>
  <c r="M191" i="1"/>
  <c r="D217" i="1" s="1"/>
  <c r="I217" i="1"/>
  <c r="O189" i="1"/>
  <c r="O184" i="1"/>
  <c r="O183" i="1"/>
  <c r="O182" i="1"/>
  <c r="O181" i="1"/>
  <c r="O180" i="1"/>
  <c r="I210" i="1"/>
  <c r="O172" i="1"/>
  <c r="O171" i="1"/>
  <c r="M172" i="1"/>
  <c r="M171" i="1"/>
  <c r="I190" i="1"/>
  <c r="I181" i="1"/>
  <c r="O162" i="1"/>
  <c r="O161" i="1"/>
  <c r="M162" i="1"/>
  <c r="I172" i="1"/>
  <c r="O159" i="1"/>
  <c r="O158" i="1"/>
  <c r="G196" i="1" s="1"/>
  <c r="O157" i="1"/>
  <c r="G195" i="1" s="1"/>
  <c r="O156" i="1"/>
  <c r="G194" i="1" s="1"/>
  <c r="O155" i="1"/>
  <c r="G193" i="1" s="1"/>
  <c r="O154" i="1"/>
  <c r="G192" i="1" s="1"/>
  <c r="O153" i="1"/>
  <c r="O152" i="1"/>
  <c r="M153" i="1"/>
  <c r="M152" i="1"/>
  <c r="I163" i="1"/>
  <c r="I154" i="1"/>
  <c r="O150" i="1"/>
  <c r="F161" i="1" s="1"/>
  <c r="O131" i="1"/>
  <c r="O130" i="1"/>
  <c r="O128" i="1"/>
  <c r="O122" i="1"/>
  <c r="O121" i="1"/>
  <c r="O120" i="1"/>
  <c r="F37" i="1"/>
  <c r="F38" i="1" s="1"/>
  <c r="D55" i="1"/>
  <c r="I6" i="14"/>
  <c r="I7" i="14" s="1"/>
  <c r="H13" i="14" s="1"/>
  <c r="B6" i="14"/>
  <c r="J6" i="14" s="1"/>
  <c r="G14" i="14" s="1"/>
  <c r="B8" i="14"/>
  <c r="K7" i="14" s="1"/>
  <c r="H15" i="14" s="1"/>
  <c r="B10" i="14"/>
  <c r="L7" i="14" s="1"/>
  <c r="H16" i="14" s="1"/>
  <c r="B12" i="14"/>
  <c r="M6" i="14" s="1"/>
  <c r="G17" i="14" s="1"/>
  <c r="B14" i="14"/>
  <c r="N6" i="14" s="1"/>
  <c r="G18" i="14" s="1"/>
  <c r="B16" i="14"/>
  <c r="O7" i="14" s="1"/>
  <c r="H19" i="14" s="1"/>
  <c r="E4" i="14"/>
  <c r="G112"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K7" i="13"/>
  <c r="G8" i="13"/>
  <c r="N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F7" i="12"/>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8" i="11"/>
  <c r="M9" i="11"/>
  <c r="M10" i="11"/>
  <c r="M11" i="11"/>
  <c r="M12" i="11"/>
  <c r="M13" i="11"/>
  <c r="M14" i="11"/>
  <c r="M15" i="11"/>
  <c r="M16" i="11"/>
  <c r="M17" i="11"/>
  <c r="M18" i="11"/>
  <c r="M19" i="11"/>
  <c r="M20" i="11"/>
  <c r="J7" i="11"/>
  <c r="J6" i="11"/>
  <c r="J8" i="11"/>
  <c r="J9" i="11"/>
  <c r="J10" i="11"/>
  <c r="J11" i="11"/>
  <c r="J12" i="11"/>
  <c r="J13" i="11"/>
  <c r="J14" i="11"/>
  <c r="J15" i="11"/>
  <c r="J16" i="11"/>
  <c r="J17" i="11"/>
  <c r="J18" i="11"/>
  <c r="J19" i="11"/>
  <c r="J20" i="11"/>
  <c r="J30" i="11"/>
  <c r="J31" i="11"/>
  <c r="J32" i="11"/>
  <c r="J33" i="11"/>
  <c r="F7" i="11"/>
  <c r="F8" i="11"/>
  <c r="F9" i="11"/>
  <c r="F10" i="11"/>
  <c r="F11" i="11"/>
  <c r="F12" i="11"/>
  <c r="F13" i="11"/>
  <c r="F14" i="11"/>
  <c r="F15" i="11"/>
  <c r="F16" i="11"/>
  <c r="F17" i="11"/>
  <c r="F18" i="11"/>
  <c r="F19" i="11"/>
  <c r="F20" i="11"/>
  <c r="M33" i="11"/>
  <c r="M32" i="11"/>
  <c r="M31" i="11"/>
  <c r="M30" i="11"/>
  <c r="M6" i="11"/>
  <c r="F6" i="11"/>
  <c r="E5" i="14"/>
  <c r="O7" i="16"/>
  <c r="H19" i="16" s="1"/>
  <c r="E8" i="14"/>
  <c r="L7" i="16"/>
  <c r="H16" i="16" s="1"/>
  <c r="K7" i="15"/>
  <c r="H15" i="15" s="1"/>
  <c r="E6" i="15"/>
  <c r="F78" i="1" s="1"/>
  <c r="E7" i="15"/>
  <c r="F79" i="1" s="1"/>
  <c r="E5" i="16"/>
  <c r="L6" i="15"/>
  <c r="G16" i="15" s="1"/>
  <c r="N7" i="15" l="1"/>
  <c r="H18" i="15" s="1"/>
  <c r="E6" i="16"/>
  <c r="M7" i="16"/>
  <c r="H17" i="16" s="1"/>
  <c r="G35" i="13"/>
  <c r="F35" i="13" s="1"/>
  <c r="G12" i="18"/>
  <c r="E9" i="15"/>
  <c r="F81" i="1" s="1"/>
  <c r="M6" i="16"/>
  <c r="G17" i="16" s="1"/>
  <c r="E10" i="14"/>
  <c r="O6" i="14"/>
  <c r="G19" i="14" s="1"/>
  <c r="L6" i="14"/>
  <c r="G16" i="14" s="1"/>
  <c r="J6" i="15"/>
  <c r="G14" i="15" s="1"/>
  <c r="G20" i="15" s="1"/>
  <c r="D83" i="1" s="1"/>
  <c r="N7" i="16"/>
  <c r="H18" i="16" s="1"/>
  <c r="M34" i="11"/>
  <c r="L34" i="11" s="1"/>
  <c r="N7" i="14"/>
  <c r="H18" i="14" s="1"/>
  <c r="K35" i="13"/>
  <c r="J35" i="13" s="1"/>
  <c r="E9" i="14"/>
  <c r="E9" i="16"/>
  <c r="F34" i="11"/>
  <c r="E34" i="11" s="1"/>
  <c r="E5" i="15"/>
  <c r="F77" i="1" s="1"/>
  <c r="F35" i="12"/>
  <c r="E35" i="12" s="1"/>
  <c r="M7" i="14"/>
  <c r="H17" i="14" s="1"/>
  <c r="J34" i="11"/>
  <c r="I34" i="11" s="1"/>
  <c r="J35" i="12"/>
  <c r="I35" i="12" s="1"/>
  <c r="N35" i="13"/>
  <c r="M35" i="13" s="1"/>
  <c r="G13" i="14"/>
  <c r="K6" i="14"/>
  <c r="G15" i="14" s="1"/>
  <c r="M35" i="12"/>
  <c r="L35" i="12" s="1"/>
  <c r="E7" i="14"/>
  <c r="G13" i="16"/>
  <c r="F159" i="1"/>
  <c r="G186" i="1"/>
  <c r="G188" i="1"/>
  <c r="G197" i="1"/>
  <c r="F160" i="1"/>
  <c r="G187" i="1"/>
  <c r="F158" i="1"/>
  <c r="G185" i="1"/>
  <c r="G176" i="1"/>
  <c r="D158" i="1"/>
  <c r="G169" i="1"/>
  <c r="K169" i="1" s="1"/>
  <c r="G178" i="1"/>
  <c r="G170" i="1"/>
  <c r="K170" i="1" s="1"/>
  <c r="G179" i="1"/>
  <c r="D161" i="1"/>
  <c r="G161" i="1" s="1"/>
  <c r="K150" i="1" s="1"/>
  <c r="G177" i="1"/>
  <c r="D160" i="1"/>
  <c r="D159" i="1"/>
  <c r="G173" i="1"/>
  <c r="G165" i="1"/>
  <c r="K165" i="1" s="1"/>
  <c r="G166" i="1"/>
  <c r="K166" i="1" s="1"/>
  <c r="D154" i="1"/>
  <c r="D157" i="1"/>
  <c r="F155" i="1"/>
  <c r="D155" i="1"/>
  <c r="F156" i="1"/>
  <c r="F154" i="1"/>
  <c r="F157" i="1"/>
  <c r="D156" i="1"/>
  <c r="F213" i="1"/>
  <c r="D213" i="1"/>
  <c r="G204" i="1"/>
  <c r="F210" i="1"/>
  <c r="F214" i="1"/>
  <c r="D212" i="1"/>
  <c r="F211" i="1"/>
  <c r="F215" i="1"/>
  <c r="D215" i="1"/>
  <c r="G206" i="1"/>
  <c r="D211" i="1"/>
  <c r="F212" i="1"/>
  <c r="D214" i="1"/>
  <c r="G205" i="1"/>
  <c r="D210" i="1"/>
  <c r="G201" i="1"/>
  <c r="C121" i="1"/>
  <c r="G229" i="1"/>
  <c r="G248" i="1"/>
  <c r="D121" i="1"/>
  <c r="G217" i="1"/>
  <c r="G183" i="1"/>
  <c r="G167" i="1"/>
  <c r="K167" i="1" s="1"/>
  <c r="G174" i="1"/>
  <c r="G230" i="1"/>
  <c r="G250" i="1"/>
  <c r="G190" i="1"/>
  <c r="G182" i="1"/>
  <c r="G191" i="1"/>
  <c r="G235" i="1"/>
  <c r="G227" i="1"/>
  <c r="L213" i="1"/>
  <c r="L228" i="1" s="1"/>
  <c r="G175" i="1"/>
  <c r="G232" i="1"/>
  <c r="G243" i="1"/>
  <c r="G245" i="1"/>
  <c r="G240" i="1"/>
  <c r="G220" i="1"/>
  <c r="G239" i="1"/>
  <c r="G236" i="1"/>
  <c r="G218" i="1"/>
  <c r="G219" i="1"/>
  <c r="G226" i="1"/>
  <c r="G244" i="1"/>
  <c r="G247" i="1"/>
  <c r="G184" i="1"/>
  <c r="G233" i="1"/>
  <c r="G168" i="1"/>
  <c r="K168" i="1" s="1"/>
  <c r="G181" i="1"/>
  <c r="G234" i="1"/>
  <c r="G242" i="1"/>
  <c r="G228" i="1"/>
  <c r="G249" i="1"/>
  <c r="G221" i="1"/>
  <c r="G172" i="1"/>
  <c r="G222" i="1"/>
  <c r="E6" i="14"/>
  <c r="J7" i="14"/>
  <c r="H14" i="14" s="1"/>
  <c r="H20" i="14" s="1"/>
  <c r="O6" i="16"/>
  <c r="G19" i="16" s="1"/>
  <c r="G20" i="16" s="1"/>
  <c r="K7" i="16"/>
  <c r="H15" i="16" s="1"/>
  <c r="H20" i="16" s="1"/>
  <c r="M7" i="15"/>
  <c r="H17" i="15" s="1"/>
  <c r="H20" i="15" s="1"/>
  <c r="I83" i="1" s="1"/>
  <c r="G20" i="14"/>
  <c r="G159" i="1" l="1"/>
  <c r="K130" i="1" s="1"/>
  <c r="G158" i="1"/>
  <c r="K128" i="1" s="1"/>
  <c r="G164" i="1"/>
  <c r="K164" i="1" s="1"/>
  <c r="G163" i="1"/>
  <c r="K163" i="1" s="1"/>
  <c r="C119" i="1"/>
  <c r="G156" i="1"/>
  <c r="K121" i="1" s="1"/>
  <c r="G160" i="1"/>
  <c r="K131" i="1" s="1"/>
  <c r="G154" i="1"/>
  <c r="K119" i="1" s="1"/>
  <c r="Q119" i="1"/>
  <c r="D119" i="1"/>
  <c r="G211" i="1"/>
  <c r="G157" i="1"/>
  <c r="K122" i="1" s="1"/>
  <c r="G155" i="1"/>
  <c r="K120" i="1" s="1"/>
  <c r="C120" i="1"/>
  <c r="G213" i="1"/>
  <c r="G212" i="1"/>
  <c r="G210" i="1"/>
  <c r="G214" i="1"/>
  <c r="D120" i="1"/>
  <c r="G215" i="1"/>
  <c r="G202" i="1"/>
  <c r="G203" i="1"/>
  <c r="G121" i="1"/>
  <c r="D124" i="1" l="1"/>
  <c r="D129" i="1" s="1"/>
  <c r="G119" i="1"/>
  <c r="G127" i="1"/>
  <c r="G128" i="1" s="1"/>
  <c r="C124" i="1"/>
  <c r="C129" i="1" s="1"/>
  <c r="G120" i="1"/>
  <c r="G124" i="1" l="1"/>
  <c r="G129" i="1" s="1"/>
</calcChain>
</file>

<file path=xl/sharedStrings.xml><?xml version="1.0" encoding="utf-8"?>
<sst xmlns="http://schemas.openxmlformats.org/spreadsheetml/2006/main" count="1094" uniqueCount="320">
  <si>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</si>
  <si>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</si>
  <si>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</si>
  <si>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</si>
  <si>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</si>
  <si>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</si>
  <si>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</si>
  <si>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</si>
  <si>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</si>
  <si>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</si>
  <si>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</si>
  <si>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</si>
  <si>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</si>
  <si>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</si>
  <si>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</si>
  <si>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</si>
  <si>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At site</t>
  </si>
  <si>
    <t>Approval details:</t>
  </si>
  <si>
    <t>Permissible FSI</t>
  </si>
  <si>
    <t>Permissible TDR/Paid FSI</t>
  </si>
  <si>
    <t>Total FSI availaible for the project</t>
  </si>
  <si>
    <t>Total number of Buildings</t>
  </si>
  <si>
    <t>Building wise Construction details</t>
  </si>
  <si>
    <t>Recommended Rates of the Property :</t>
  </si>
  <si>
    <t>Quality of infrastructure in vicinity</t>
  </si>
  <si>
    <t>Description</t>
  </si>
  <si>
    <t>Attached Terrace area</t>
  </si>
  <si>
    <t>PLC Y/N</t>
  </si>
  <si>
    <t>% Progress</t>
  </si>
  <si>
    <t xml:space="preserve">% Disbursement </t>
  </si>
  <si>
    <t>Type of Work</t>
  </si>
  <si>
    <t>% Complition</t>
  </si>
  <si>
    <t>Plinth</t>
  </si>
  <si>
    <t>RCC</t>
  </si>
  <si>
    <t>Brick</t>
  </si>
  <si>
    <t>Plaster</t>
  </si>
  <si>
    <t xml:space="preserve">Latitude &amp; Longitude </t>
  </si>
  <si>
    <t>Flooring</t>
  </si>
  <si>
    <t>Painting &amp; Wooden Work</t>
  </si>
  <si>
    <t>Finishing</t>
  </si>
  <si>
    <t>Yes</t>
  </si>
  <si>
    <t>Expiry date:NA</t>
  </si>
  <si>
    <t>Expiry date: One year from date of issue</t>
  </si>
  <si>
    <t>Quality of construction: Good</t>
  </si>
  <si>
    <t>Violations Observed if any : NA</t>
  </si>
  <si>
    <t>South</t>
  </si>
  <si>
    <t xml:space="preserve">Distance from city centre: </t>
  </si>
  <si>
    <t>Plane</t>
  </si>
  <si>
    <t>Expiry date: NA</t>
  </si>
  <si>
    <t>Material laying at Site: :Bricks, Cement &amp; Steel etc.</t>
  </si>
  <si>
    <t>Wheather the construction is as per approved Building plan : Under Construction</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</si>
  <si>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</si>
  <si>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</si>
  <si>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</si>
  <si>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</si>
  <si>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</si>
  <si>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</si>
  <si>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</si>
  <si>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</si>
  <si>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</si>
  <si>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</si>
  <si>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</si>
  <si>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</si>
  <si>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</si>
  <si>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Expected Completion</t>
  </si>
  <si>
    <t>Approved no of Floors</t>
  </si>
  <si>
    <t>Carpet area</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</si>
  <si>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</si>
  <si>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</si>
  <si>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</si>
  <si>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</si>
  <si>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</si>
  <si>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</si>
  <si>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</si>
  <si>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</si>
  <si>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</si>
  <si>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</si>
  <si>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</si>
  <si>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</si>
  <si>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</si>
  <si>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</si>
  <si>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</si>
  <si>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</si>
  <si>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</si>
  <si>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</si>
  <si>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</si>
  <si>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</si>
  <si>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</si>
  <si>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</si>
  <si>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</si>
  <si>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</si>
  <si>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</si>
  <si>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</si>
  <si>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 xml:space="preserve">Date of approval: </t>
  </si>
  <si>
    <t>Contect Details ( Name &amp; Contect No.)</t>
  </si>
  <si>
    <t>Name / no of the Building</t>
  </si>
  <si>
    <t>Does property have Electricity / Water / Drainage Connection</t>
  </si>
  <si>
    <t>Date of Commencement of Construction</t>
  </si>
  <si>
    <t>Distressed valuation of the Property</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</si>
  <si>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</si>
  <si>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</si>
  <si>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</si>
  <si>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</si>
  <si>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</si>
  <si>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</si>
  <si>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</si>
  <si>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</si>
  <si>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</si>
  <si>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</si>
  <si>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</si>
  <si>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</si>
  <si>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</si>
  <si>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</si>
  <si>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</si>
  <si>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</si>
  <si>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</si>
  <si>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</si>
  <si>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</si>
  <si>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</si>
  <si>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</si>
  <si>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</si>
  <si>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Type of Structure : RCC Frame Structure</t>
  </si>
  <si>
    <t>Approved no of units</t>
  </si>
  <si>
    <t>Google Map :</t>
  </si>
  <si>
    <t>Middle Class</t>
  </si>
  <si>
    <t>Developing</t>
  </si>
  <si>
    <t>RERA No.</t>
  </si>
  <si>
    <t>Thane</t>
  </si>
  <si>
    <t>S.No.</t>
  </si>
  <si>
    <t>Ground floor is for parking</t>
  </si>
  <si>
    <t>1BHK</t>
  </si>
  <si>
    <t>2BHK</t>
  </si>
  <si>
    <t>N</t>
  </si>
  <si>
    <t>13th floor</t>
  </si>
  <si>
    <t xml:space="preserve">1st, 3rd, 5th, 7th, 9th, 11th &amp; 13th floor </t>
  </si>
  <si>
    <t>WING-D</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</si>
  <si>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</si>
  <si>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</si>
  <si>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</si>
  <si>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</si>
  <si>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 xml:space="preserve">4)  The saleable area is as per Our Calculation.  </t>
  </si>
  <si>
    <t>5) Legal title of the property is not verified by us.</t>
  </si>
  <si>
    <t>6) Gross carpet area =  Net Carpet area + Fungible area.</t>
  </si>
  <si>
    <t>7) Fungible Area= Enclosed Balcony + Flower Bed + Covered Balcony + Service Slab + Duct + Chajja + Wheather Shed area.</t>
  </si>
  <si>
    <t>Authorized Signatory
                                                                                                                                                                                                                                                                                     Name &amp; Seal of the agency</t>
  </si>
  <si>
    <t>M/s.Sadguru Developers</t>
  </si>
  <si>
    <t>Sadguru Nakshtra Phase-1</t>
  </si>
  <si>
    <t>120/4A, 118/3</t>
  </si>
  <si>
    <t xml:space="preserve">Approved usage of the Property: Residential
(Restrictive Covenants in regard to Land Use, if any)                                                                                                                                                </t>
  </si>
  <si>
    <t>KDMP/NRV/BP/KV/2018-19/08</t>
  </si>
  <si>
    <t>16/05/2018.</t>
  </si>
  <si>
    <t>Recommended rate of the flat Per Sq. Ft. ( on Saleable area)</t>
  </si>
  <si>
    <t>Ground floor for parking</t>
  </si>
  <si>
    <t>Ground floor for parking &amp; flats</t>
  </si>
  <si>
    <t>5th floor</t>
  </si>
  <si>
    <t>1RK</t>
  </si>
  <si>
    <t>Ground</t>
  </si>
  <si>
    <t>100000/-</t>
  </si>
  <si>
    <t>Development charges</t>
  </si>
  <si>
    <t>Saleable area</t>
  </si>
  <si>
    <t>1st, 2nd, 3rd, 4th &amp; 6th floor</t>
  </si>
  <si>
    <t>2nd, 4th, 6th, 8th, 10th, 12th &amp; 14th floor</t>
  </si>
  <si>
    <t>Accessibility to the Project from the City:
(Proximity to civic amenities like school, hospital, market)</t>
  </si>
  <si>
    <t>Amenities</t>
  </si>
  <si>
    <t xml:space="preserve">PHOTOGRAPHS OF PROPERTY : </t>
  </si>
  <si>
    <t>Excavation in process</t>
  </si>
  <si>
    <t>Excavation Completed</t>
  </si>
  <si>
    <t>Footing in Process</t>
  </si>
  <si>
    <t>Footing Completed</t>
  </si>
  <si>
    <t>Plinth in process</t>
  </si>
  <si>
    <t>Plinth completed</t>
  </si>
  <si>
    <t>Pratiksha</t>
  </si>
  <si>
    <t>Market Research Data</t>
  </si>
  <si>
    <t>Source</t>
  </si>
  <si>
    <t>Distance from proposed property</t>
  </si>
  <si>
    <t>Net Carpet</t>
  </si>
  <si>
    <t>Saleable Area</t>
  </si>
  <si>
    <t>Rate on Saleable</t>
  </si>
  <si>
    <t>Market Value</t>
  </si>
  <si>
    <t>Housing</t>
  </si>
  <si>
    <t>Proptiger</t>
  </si>
  <si>
    <t>99 Acres</t>
  </si>
  <si>
    <t>Average</t>
  </si>
  <si>
    <t xml:space="preserve">Valuation Adopted </t>
  </si>
  <si>
    <t>OLD Apf</t>
  </si>
  <si>
    <t>Makaan</t>
  </si>
  <si>
    <t>Dhanashree</t>
  </si>
  <si>
    <t>Stage of construction C Wing : Plinth, RCC, Brickwork, Plaster &amp; Flooring  work completed. Painting &amp; Other work are in process….</t>
  </si>
  <si>
    <t>Construction details:</t>
  </si>
  <si>
    <t>Basement</t>
  </si>
  <si>
    <t>Podium</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</si>
  <si>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</si>
  <si>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</si>
  <si>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</si>
  <si>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</si>
  <si>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</si>
  <si>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</si>
  <si>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</si>
  <si>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</si>
  <si>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</si>
  <si>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</si>
  <si>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</si>
  <si>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</si>
  <si>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</si>
  <si>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</si>
  <si>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</si>
  <si>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</si>
  <si>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</si>
  <si>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</si>
  <si>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</si>
  <si>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</si>
  <si>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</si>
  <si>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</si>
  <si>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</si>
  <si>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Titwala</t>
  </si>
  <si>
    <t>Building &amp; Wing</t>
  </si>
  <si>
    <t>No. of Units</t>
  </si>
  <si>
    <t>Total Carpet Area</t>
  </si>
  <si>
    <t>Total Saleable Area</t>
  </si>
  <si>
    <t>Titwala East</t>
  </si>
  <si>
    <t>Ms. Jyoti Chavan - 7776940285</t>
  </si>
  <si>
    <t>2.8 Km from Titwala Railway Station</t>
  </si>
  <si>
    <t>Stage of construction:</t>
  </si>
  <si>
    <t>Projected life : 60 Years After Completion</t>
  </si>
  <si>
    <t xml:space="preserve">KDMP/NRV/BP/KV/2018-19/08                                                                                                           Valid Up to: Wing A, B, C= Stilt + 1st to 
14th Floor 
Wing D = Gr + 1st to 6th Floor   </t>
  </si>
  <si>
    <t>1st, 2nd, 3rd, 4th &amp; 6th Floor</t>
  </si>
  <si>
    <t>5th Floor</t>
  </si>
  <si>
    <t>Phase 2 (Wing A)</t>
  </si>
  <si>
    <t>Ground floor Residential &amp; Parking</t>
  </si>
  <si>
    <t>Site meet person Contect Details ( Name &amp; Contect No.)</t>
  </si>
  <si>
    <t>Location Link</t>
  </si>
  <si>
    <t>https://goo.gl/maps/hSWiKjsbEaW6j29V9?coh=178572&amp;entry=tt</t>
  </si>
  <si>
    <t>KDMP/NRV/CC/K.V/77
(D Wing) = Gr + 1st to 6th Floor
Total Flats - 26</t>
  </si>
  <si>
    <t>KDMP/NRV/CC/K.V/263
B Wing = Gr + 1st to 14th Floor
Total Flats - 84
C Wing = Gr + 1st to 14th Floor
Total Flats - 70</t>
  </si>
  <si>
    <t>A, B, C, D &amp; E Wings</t>
  </si>
  <si>
    <t>Proposed no of Floors</t>
  </si>
  <si>
    <t>19.295851,73.224221</t>
  </si>
  <si>
    <t>As per Layout</t>
  </si>
  <si>
    <t>Ekta Nagar Road</t>
  </si>
  <si>
    <t>Internal Road</t>
  </si>
  <si>
    <t>Shree Ganesh Park</t>
  </si>
  <si>
    <t>Open Plot</t>
  </si>
  <si>
    <t>Other Plot</t>
  </si>
  <si>
    <t>12.00 Meter Wide Road</t>
  </si>
  <si>
    <t>Layout :</t>
  </si>
  <si>
    <t>KDMP/TPD/BP/KD/2018-19/08/461</t>
  </si>
  <si>
    <t xml:space="preserve">Date of Commencement of Construction </t>
  </si>
  <si>
    <t>Phase 3 (Wing E)</t>
  </si>
  <si>
    <t>15th floor</t>
  </si>
  <si>
    <t>Building details Floor Wise</t>
  </si>
  <si>
    <t xml:space="preserve">Details of Residential &amp; Commercials in Building   </t>
  </si>
  <si>
    <t>Shop</t>
  </si>
  <si>
    <t>Ground Floor For Commercial &amp; Parking</t>
  </si>
  <si>
    <t>s</t>
  </si>
  <si>
    <t>1st Floor Residential</t>
  </si>
  <si>
    <t>2nd to 7th, 9th, 10th, 12th, 13th &amp; 15th Floor</t>
  </si>
  <si>
    <t>8th, 11th &amp; 14th Floor (Part Refuge Area)</t>
  </si>
  <si>
    <t>Refuge Area</t>
  </si>
  <si>
    <t>9. On site we meet Ms.Jyoti Chavan (Sales) - 7776940285.</t>
  </si>
  <si>
    <t xml:space="preserve"> Wing B</t>
  </si>
  <si>
    <t xml:space="preserve">Phase 1 </t>
  </si>
  <si>
    <t>Wing C</t>
  </si>
  <si>
    <t xml:space="preserve"> Wing D</t>
  </si>
  <si>
    <t>Grand Total</t>
  </si>
  <si>
    <t>16th Floor</t>
  </si>
  <si>
    <t>05 Wings</t>
  </si>
  <si>
    <t>Flat No.
(Sale/Mhada)</t>
  </si>
  <si>
    <t>Sale Shop No.</t>
  </si>
  <si>
    <t>Sale</t>
  </si>
  <si>
    <t>Mhada</t>
  </si>
  <si>
    <t>https://housing.com/in/buy/projects/page/256085-sadguru-nakshtra-by-sadguru-developers-in-titwala</t>
  </si>
  <si>
    <r>
      <t xml:space="preserve">Proposed Amenities  : </t>
    </r>
    <r>
      <rPr>
        <sz val="11"/>
        <color theme="1"/>
        <rFont val="Times New Roman"/>
        <family val="1"/>
      </rPr>
      <t>Club House, Gymnasium, Lnadscaped Garden, Childern Play Area, Gazebo in Garden, Senior Citizen Sitting Area, Generator Backup for Lift and common area, Grand Entrance Lobby, Solar System for lighting in Common Passage, Society Office etc.</t>
    </r>
  </si>
  <si>
    <t>Saleble</t>
  </si>
  <si>
    <t>Approved Plans, CC, Costsheet, Builder Saleable Area, OC</t>
  </si>
  <si>
    <t xml:space="preserve">
16/05/2018
15/03/2023</t>
  </si>
  <si>
    <t>Commencement date of construction 
Wing A to D
Wing E</t>
  </si>
  <si>
    <t xml:space="preserve">KDMP/NRV/BP/KD/2018-19/08/461                                                                                                           Valid Up to: 
Wing A = 15th floor (Pt) For Mhada
Wing E = Gr/St + 1st to 16th Floor   </t>
  </si>
  <si>
    <t>Commercial Area Details : Sale Shops</t>
  </si>
  <si>
    <t>Residential Area Details : Sale Flats</t>
  </si>
  <si>
    <t>Residential Area Details : Mhada Flats</t>
  </si>
  <si>
    <t>Sadguru Nakshtra Phase - I, II &amp; III</t>
  </si>
  <si>
    <t>Phase II (Wing A) =  Stilt + 1st to 14th + 15th Floor (Pt) Mhada
Phase I (Wing B &amp; C) = Stilt + 1st to 14th Floor
Phase I Wing D = Gr + 1st to 6th Floor
Phase III (Wing E) = Gr/St + 1st to 16th Floor</t>
  </si>
  <si>
    <t>Phase II (Wing A) =  Stilt + 1st to 14th + 15th Floor (Pt) Mhada</t>
  </si>
  <si>
    <t>Phase I (Wing B &amp; C) = Stilt + 1st to 14th Floor</t>
  </si>
  <si>
    <t>Phase I (Wing D) = Gr + 1st to 6th Floor</t>
  </si>
  <si>
    <t>Phase III (Wing E) = Gr/St + 1st to 16th Floor</t>
  </si>
  <si>
    <t>Phase III (Wing E)</t>
  </si>
  <si>
    <t>Phase II (Wing A)</t>
  </si>
  <si>
    <t>Phase I (Wing B)</t>
  </si>
  <si>
    <t>Phase I  (Wing C)</t>
  </si>
  <si>
    <t>Phase I (Wing D)</t>
  </si>
  <si>
    <t xml:space="preserve">Phase I (Wing B, C &amp; D) = P51700017067
Phase II (Wing A) = P51700028547
Phase III (Wing E) = P51700053926
</t>
  </si>
  <si>
    <t>Axis Badlapur</t>
  </si>
  <si>
    <t>KDMC/TPD/BP/KD/2018-19/08/461</t>
  </si>
  <si>
    <t>14th floor</t>
  </si>
  <si>
    <t>1st, 3rd, 5th, 7th, 9th &amp; 11th floor (Refuge Area @5th Floor)</t>
  </si>
  <si>
    <t>2nd, 4th, 6th, 8th &amp; 10th floor (Refuge Area @ 8th Floor)</t>
  </si>
  <si>
    <t>12th floor (Part Refuge Area)</t>
  </si>
  <si>
    <t>200000/-</t>
  </si>
  <si>
    <t>Approved Floor plan No    (Wing B, C &amp; D)</t>
  </si>
  <si>
    <t>Approved Floor plan No    (Wing A &amp; Wing E)</t>
  </si>
  <si>
    <t>Sale Flat -  551, Mhada Flats - 5, Sale Shop -14</t>
  </si>
  <si>
    <t xml:space="preserve">Environmental Clearance Certificate .: 
Valid Up to: </t>
  </si>
  <si>
    <t xml:space="preserve">SIA/MH/MIS/272449/2022
Survey No. 120, Hissa No. 4/A
Plot Area = 6865.00Sq.m
Builtup Area = 38311.577Sq.m
Wing A = Gr + 1st to 15th Floor
Wing B &amp; C = Gr + 1st to 14th Floor
Wing D = Gr + 1st to 6th Floor
Wing E = Gr + 1st to 16th Floor
</t>
  </si>
  <si>
    <t>4000 to 4100</t>
  </si>
  <si>
    <t>Rushikesh</t>
  </si>
  <si>
    <t>don’t increase other charges here after</t>
  </si>
  <si>
    <t>Sadguru Nakshtra Phase - I, II &amp; III , S.No - 120, Hissa No - 4A &amp; S.No - 118, Hissa No - 3, Titwala, Kalyan, Thane 421605</t>
  </si>
  <si>
    <t>Office No. 1031, Wing J, Akshar Business Park, Plot No. 03 Sector 25, Near APMC Market, Vashi, 
Navi Mumbai, Maharashtra 400703 TEL: 022-46090378/79/80
Email : vsjcapf@gmail.com. Web site : www.vsjadon.com</t>
  </si>
  <si>
    <t>4100 to 4300</t>
  </si>
  <si>
    <t>1L to 2L</t>
  </si>
  <si>
    <t>Recommended rate of the Shop Per Sq. Ft. ( on Saleable area)</t>
  </si>
  <si>
    <t>10000/-</t>
  </si>
  <si>
    <t>O. Certificate No.: 
Valid Up to: 
(Wing A)</t>
  </si>
  <si>
    <t>O. Certificate No.: 
Valid Up to: 
(Wing D)</t>
  </si>
  <si>
    <t xml:space="preserve">KDMCC/PO/2024/APL/00037
A Wing = Gr + 1st to 15th Floor
</t>
  </si>
  <si>
    <t>O. Certificate No.: 
Valid Up to: 
(Wing B &amp; C)</t>
  </si>
  <si>
    <t>Wing A = Completed
Wing (B, C &amp; D) Completed
Wing E = 31/12/2027</t>
  </si>
  <si>
    <t>KDMCC/PO/2024/APL/00037
A Wing = Gr + 1st to 15th Floor</t>
  </si>
  <si>
    <t xml:space="preserve">Remarks:  
1. Wing E = Construction work was in process at the time of visit.(Labour Found)
    Wing A, B, C &amp; D = All work Completed. OC Received.
2. We considered Saleable area as per our calculation.
3. We considered Carpet area as per Approved Plan.
4. We considered Gross carpet area = Net carpet + Part. Balcony + Enclosed Balcony + Balcony Area
5. We have considered rate by verifying it from market inquire.
6. Car parking is subjected to authentic documentation.
7. We have considered Other charges from cost sheet.
8. We have updated O.C &amp; approved floor plan of (Wing D) on (27/08/2022).
9. We have updated approved OC of Wing B &amp; C from RERA on 13/10/2023.
10. Recommended Rates/Other Charges of the Property have been revised as per market inquiry.
11. We have considered Saleable area as per Builder Area Sheet for Wing E.
12. We have updated approved plans &amp; CC of wing A &amp; Wing E (on17/01/2024).
13. We have updated Environment Clearance Certificate on 31/01/2024.
14. Recommended Rates/Other Charges of the Property have been revised on 31/01/2024 &amp; 18/06/2024.
15. We have updated approved OC for Wing A on 23/07/2024.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</si>
</sst>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0.0"/>
    <numFmt numFmtId="167" formatCode="0.000"/>
  </numFmts>
  <fonts count="29"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b/>
      <sz val="14"/>
      <color indexed="8"/>
      <name val="Times New Roman"/>
      <family val="1"/>
    </font>
    <font>
      <b/>
      <sz val="10"/>
      <color indexed="8"/>
      <name val="Times New Roman"/>
      <family val="1"/>
    </font>
    <font>
      <sz val="8"/>
      <name val="Calibri"/>
      <family val="2"/>
    </font>
    <font>
      <sz val="11"/>
      <color theme="1"/>
      <name val="Calibri"/>
      <family val="2"/>
      <scheme val="minor"/>
    </font>
    <font>
      <b/>
      <sz val="11"/>
      <color theme="1"/>
      <name val="Calibri"/>
      <family val="2"/>
      <scheme val="minor"/>
    </font>
    <font>
      <sz val="11"/>
      <color rgb="FFFF0000"/>
      <name val="Calibri"/>
      <family val="2"/>
      <scheme val="minor"/>
    </font>
    <font>
      <sz val="11"/>
      <color theme="1"/>
      <name val="Times New Roman"/>
      <family val="1"/>
    </font>
    <font>
      <b/>
      <sz val="11"/>
      <color theme="1"/>
      <name val="Times New Roman"/>
      <family val="1"/>
    </font>
    <font>
      <sz val="11"/>
      <color rgb="FF000000"/>
      <name val="Times New Roman"/>
      <family val="1"/>
    </font>
    <font>
      <sz val="11"/>
      <color rgb="FFFF0000"/>
      <name val="Calibri"/>
      <family val="2"/>
    </font>
    <font>
      <sz val="12"/>
      <color theme="1"/>
      <name val="Times New Roman"/>
      <family val="1"/>
    </font>
    <font>
      <sz val="12"/>
      <name val="Times New Roman"/>
      <family val="1"/>
    </font>
    <font>
      <b/>
      <sz val="12"/>
      <name val="Times New Roman"/>
      <family val="1"/>
    </font>
    <font>
      <b/>
      <sz val="12"/>
      <color theme="1"/>
      <name val="Times New Roman"/>
      <family val="1"/>
    </font>
    <font>
      <u/>
      <sz val="11"/>
      <color theme="10"/>
      <name val="Calibri"/>
      <family val="2"/>
      <scheme val="minor"/>
    </font>
    <font>
      <b/>
      <sz val="11"/>
      <name val="Calibri"/>
      <family val="2"/>
      <scheme val="minor"/>
    </font>
    <font>
      <sz val="11"/>
      <name val="Calibri"/>
      <family val="2"/>
      <scheme val="minor"/>
    </font>
    <font>
      <u/>
      <sz val="11"/>
      <color theme="1"/>
      <name val="Calibri"/>
      <family val="2"/>
      <scheme val="minor"/>
    </font>
  </fonts>
  <fills count="3">
    <fill>
      <patternFill patternType="none"/>
    </fill>
    <fill>
      <patternFill patternType="gray125"/>
    </fill>
    <fill>
      <patternFill patternType="solid">
        <fgColor rgb="FFFFFF00"/>
        <bgColor indexed="64"/>
      </patternFill>
    </fill>
  </fills>
  <borders count="3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7">
    <xf numFmtId="0" fontId="0" fillId="0" borderId="0"/>
    <xf numFmtId="164" fontId="1" fillId="0" borderId="0" applyFont="0" applyFill="0" applyBorder="0" applyAlignment="0" applyProtection="0"/>
    <xf numFmtId="0" fontId="2" fillId="0" borderId="0"/>
    <xf numFmtId="0" fontId="1" fillId="0" borderId="0"/>
    <xf numFmtId="0" fontId="14" fillId="0" borderId="0"/>
    <xf numFmtId="0" fontId="14" fillId="0" borderId="0"/>
    <xf numFmtId="0" fontId="25" fillId="0" borderId="0" applyNumberFormat="0" applyFill="0" applyBorder="0" applyAlignment="0" applyProtection="0"/>
  </cellStyleXfs>
  <cellXfs count="330">
    <xf numFmtId="0" fontId="0" fillId="0" borderId="0" xfId="0"/>
    <xf numFmtId="0" fontId="4" fillId="0" borderId="2" xfId="0" applyFont="1" applyBorder="1" applyAlignment="1">
      <alignment vertical="top"/>
    </xf>
    <xf numFmtId="1" fontId="6" fillId="0" borderId="2" xfId="0" applyNumberFormat="1" applyFont="1" applyBorder="1" applyAlignment="1">
      <alignment horizontal="center" vertical="top" wrapText="1"/>
    </xf>
    <xf numFmtId="0" fontId="0" fillId="0" borderId="2" xfId="0" applyBorder="1"/>
    <xf numFmtId="0" fontId="15" fillId="0" borderId="2" xfId="0" applyFont="1" applyBorder="1"/>
    <xf numFmtId="0" fontId="0" fillId="0" borderId="3" xfId="0" applyBorder="1"/>
    <xf numFmtId="0" fontId="0" fillId="2" borderId="2" xfId="0" applyFill="1" applyBorder="1"/>
    <xf numFmtId="0" fontId="15" fillId="0" borderId="2" xfId="0" applyFont="1" applyBorder="1" applyAlignment="1">
      <alignment horizontal="center"/>
    </xf>
    <xf numFmtId="1" fontId="10" fillId="0" borderId="2" xfId="0" applyNumberFormat="1" applyFont="1" applyBorder="1" applyAlignment="1">
      <alignment horizontal="center" vertical="center" wrapText="1"/>
    </xf>
    <xf numFmtId="1" fontId="12" fillId="0" borderId="2" xfId="0" applyNumberFormat="1" applyFont="1" applyBorder="1" applyAlignment="1">
      <alignment horizontal="center" vertical="top" wrapText="1"/>
    </xf>
    <xf numFmtId="0" fontId="15" fillId="2"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1" fontId="6" fillId="0" borderId="0" xfId="0" applyNumberFormat="1" applyFont="1" applyAlignment="1">
      <alignment vertical="center" wrapText="1"/>
    </xf>
    <xf numFmtId="1" fontId="6" fillId="0" borderId="5" xfId="0" applyNumberFormat="1" applyFont="1" applyBorder="1" applyAlignment="1">
      <alignment vertical="center" wrapText="1"/>
    </xf>
    <xf numFmtId="0" fontId="4" fillId="0" borderId="0" xfId="0" applyFont="1" applyAlignment="1">
      <alignment horizontal="center" vertical="top" wrapText="1"/>
    </xf>
    <xf numFmtId="0" fontId="4" fillId="0" borderId="0" xfId="0" applyFont="1" applyAlignment="1">
      <alignment horizontal="left" vertical="top"/>
    </xf>
    <xf numFmtId="0" fontId="4" fillId="0" borderId="0" xfId="0" applyFont="1" applyAlignment="1">
      <alignment horizontal="left" vertical="top" wrapText="1"/>
    </xf>
    <xf numFmtId="0" fontId="9" fillId="0" borderId="0" xfId="0" applyFont="1" applyAlignment="1">
      <alignment vertical="top" wrapText="1"/>
    </xf>
    <xf numFmtId="0" fontId="9" fillId="0" borderId="0" xfId="0" applyFont="1" applyAlignment="1">
      <alignment vertical="top"/>
    </xf>
    <xf numFmtId="0" fontId="5" fillId="0" borderId="0" xfId="0" applyFont="1" applyAlignment="1">
      <alignment vertical="top"/>
    </xf>
    <xf numFmtId="0" fontId="5" fillId="0" borderId="0" xfId="0" applyFont="1" applyAlignment="1">
      <alignment horizontal="center" vertical="top"/>
    </xf>
    <xf numFmtId="0" fontId="4" fillId="0" borderId="0" xfId="0" applyFont="1" applyAlignment="1">
      <alignment horizontal="center" vertical="top"/>
    </xf>
    <xf numFmtId="0" fontId="3" fillId="0" borderId="0" xfId="0" applyFont="1" applyAlignment="1">
      <alignment horizontal="left" vertical="top"/>
    </xf>
    <xf numFmtId="0" fontId="9" fillId="0" borderId="0" xfId="0" applyFont="1" applyAlignment="1">
      <alignment horizontal="left" vertical="top" wrapText="1"/>
    </xf>
    <xf numFmtId="0" fontId="4" fillId="0" borderId="0" xfId="0" applyFont="1" applyAlignment="1">
      <alignment vertical="top" wrapText="1"/>
    </xf>
    <xf numFmtId="0" fontId="3" fillId="0" borderId="0" xfId="0" applyFont="1" applyAlignment="1">
      <alignment vertical="top"/>
    </xf>
    <xf numFmtId="0" fontId="9" fillId="0" borderId="0" xfId="0" applyFont="1" applyAlignment="1">
      <alignment horizontal="center" vertical="top" wrapText="1"/>
    </xf>
    <xf numFmtId="0" fontId="8" fillId="0" borderId="0" xfId="0" applyFont="1" applyAlignment="1">
      <alignment horizontal="left" vertical="top" wrapText="1"/>
    </xf>
    <xf numFmtId="0" fontId="11" fillId="0" borderId="0" xfId="0" applyFont="1" applyAlignment="1">
      <alignment horizontal="center" vertical="top"/>
    </xf>
    <xf numFmtId="0" fontId="3" fillId="0" borderId="0" xfId="0" applyFont="1" applyAlignment="1">
      <alignment horizontal="center" vertical="top"/>
    </xf>
    <xf numFmtId="1" fontId="6" fillId="0" borderId="0" xfId="0" applyNumberFormat="1" applyFont="1" applyAlignment="1">
      <alignment horizontal="center" vertical="top" wrapText="1"/>
    </xf>
    <xf numFmtId="1" fontId="6" fillId="0" borderId="0" xfId="0" applyNumberFormat="1" applyFont="1" applyAlignment="1">
      <alignment horizontal="center" vertical="center" wrapText="1"/>
    </xf>
    <xf numFmtId="1" fontId="10"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0" fontId="19" fillId="0" borderId="0" xfId="0" applyFont="1"/>
    <xf numFmtId="9" fontId="19" fillId="0" borderId="0" xfId="0" applyNumberFormat="1" applyFont="1"/>
    <xf numFmtId="14" fontId="1" fillId="0" borderId="0" xfId="3" applyNumberFormat="1"/>
    <xf numFmtId="0" fontId="1" fillId="0" borderId="0" xfId="3"/>
    <xf numFmtId="0" fontId="14" fillId="0" borderId="0" xfId="4"/>
    <xf numFmtId="0" fontId="15" fillId="0" borderId="2" xfId="4" applyFont="1" applyBorder="1" applyAlignment="1">
      <alignment horizontal="center" vertical="top" wrapText="1"/>
    </xf>
    <xf numFmtId="0" fontId="14" fillId="0" borderId="2" xfId="4" applyBorder="1" applyAlignment="1">
      <alignment horizontal="center" vertical="center"/>
    </xf>
    <xf numFmtId="1" fontId="14" fillId="0" borderId="2" xfId="4" applyNumberFormat="1" applyBorder="1" applyAlignment="1">
      <alignment horizontal="center" vertical="center"/>
    </xf>
    <xf numFmtId="165" fontId="14" fillId="0" borderId="2" xfId="1" applyNumberFormat="1" applyFont="1" applyBorder="1" applyAlignment="1">
      <alignment horizontal="right" vertical="center"/>
    </xf>
    <xf numFmtId="0" fontId="15" fillId="0" borderId="2" xfId="4" applyFont="1" applyBorder="1" applyAlignment="1">
      <alignment horizontal="center" vertical="center"/>
    </xf>
    <xf numFmtId="1" fontId="16" fillId="0" borderId="2" xfId="4" applyNumberFormat="1" applyFont="1" applyBorder="1" applyAlignment="1">
      <alignment horizontal="center" vertical="center"/>
    </xf>
    <xf numFmtId="0" fontId="1" fillId="0" borderId="2" xfId="3" applyBorder="1" applyAlignment="1">
      <alignment horizontal="center" vertical="center"/>
    </xf>
    <xf numFmtId="0" fontId="20" fillId="0" borderId="0" xfId="3" applyFont="1"/>
    <xf numFmtId="0" fontId="14" fillId="0" borderId="2" xfId="4" applyBorder="1" applyAlignment="1">
      <alignment horizontal="left" vertical="center"/>
    </xf>
    <xf numFmtId="0" fontId="21" fillId="0" borderId="19" xfId="5" applyFont="1" applyBorder="1" applyProtection="1">
      <protection hidden="1"/>
    </xf>
    <xf numFmtId="0" fontId="21" fillId="0" borderId="0" xfId="5" applyFont="1" applyProtection="1">
      <protection hidden="1"/>
    </xf>
    <xf numFmtId="0" fontId="19" fillId="0" borderId="0" xfId="0" applyFont="1" applyProtection="1">
      <protection hidden="1"/>
    </xf>
    <xf numFmtId="0" fontId="19" fillId="0" borderId="31" xfId="0" applyFont="1" applyBorder="1" applyProtection="1">
      <protection hidden="1"/>
    </xf>
    <xf numFmtId="0" fontId="22" fillId="0" borderId="21" xfId="5" applyFont="1" applyBorder="1" applyAlignment="1" applyProtection="1">
      <alignment horizontal="center" vertical="top"/>
      <protection locked="0"/>
    </xf>
    <xf numFmtId="0" fontId="22" fillId="0" borderId="2" xfId="5" applyFont="1" applyBorder="1" applyAlignment="1" applyProtection="1">
      <alignment horizontal="center" vertical="top"/>
      <protection locked="0"/>
    </xf>
    <xf numFmtId="0" fontId="17" fillId="0" borderId="0" xfId="0" applyFont="1" applyAlignment="1">
      <alignment horizontal="center" vertical="top" wrapText="1"/>
    </xf>
    <xf numFmtId="0" fontId="3" fillId="0" borderId="0" xfId="0" applyFont="1" applyAlignment="1">
      <alignment horizontal="center" vertical="top" wrapText="1"/>
    </xf>
    <xf numFmtId="14" fontId="4" fillId="0" borderId="0" xfId="0" applyNumberFormat="1" applyFont="1" applyAlignment="1">
      <alignment horizontal="left" vertical="top"/>
    </xf>
    <xf numFmtId="0" fontId="21" fillId="0" borderId="20" xfId="5" applyFont="1" applyBorder="1" applyProtection="1">
      <protection hidden="1"/>
    </xf>
    <xf numFmtId="0" fontId="21" fillId="0" borderId="23" xfId="5" applyFont="1" applyBorder="1" applyProtection="1">
      <protection hidden="1"/>
    </xf>
    <xf numFmtId="0" fontId="21" fillId="0" borderId="23" xfId="5" applyFont="1" applyBorder="1"/>
    <xf numFmtId="0" fontId="22" fillId="0" borderId="2" xfId="5" applyFont="1" applyBorder="1" applyAlignment="1" applyProtection="1">
      <alignment horizontal="center" wrapText="1"/>
      <protection locked="0"/>
    </xf>
    <xf numFmtId="0" fontId="19" fillId="0" borderId="23" xfId="0" applyFont="1" applyBorder="1" applyProtection="1">
      <protection hidden="1"/>
    </xf>
    <xf numFmtId="1" fontId="22" fillId="0" borderId="2" xfId="5" applyNumberFormat="1" applyFont="1" applyBorder="1" applyAlignment="1" applyProtection="1">
      <alignment horizontal="center" wrapText="1"/>
      <protection locked="0"/>
    </xf>
    <xf numFmtId="1" fontId="0" fillId="0" borderId="23" xfId="0" applyNumberFormat="1" applyBorder="1"/>
    <xf numFmtId="1" fontId="0" fillId="0" borderId="23" xfId="0" applyNumberFormat="1" applyBorder="1" applyAlignment="1">
      <alignment horizontal="right"/>
    </xf>
    <xf numFmtId="0" fontId="22" fillId="0" borderId="27" xfId="5" applyFont="1" applyBorder="1" applyAlignment="1" applyProtection="1">
      <alignment horizontal="center" wrapText="1"/>
      <protection locked="0"/>
    </xf>
    <xf numFmtId="1" fontId="0" fillId="0" borderId="32" xfId="0" applyNumberFormat="1" applyBorder="1"/>
    <xf numFmtId="1" fontId="17" fillId="0" borderId="0" xfId="0" applyNumberFormat="1" applyFont="1" applyAlignment="1">
      <alignment horizontal="center"/>
    </xf>
    <xf numFmtId="0" fontId="2" fillId="0" borderId="0" xfId="2"/>
    <xf numFmtId="0" fontId="22" fillId="0" borderId="0" xfId="0" applyFont="1" applyAlignment="1">
      <alignment horizontal="center" vertical="center"/>
    </xf>
    <xf numFmtId="0" fontId="21" fillId="0" borderId="0" xfId="0" applyFont="1" applyAlignment="1">
      <alignment horizontal="center" vertical="center"/>
    </xf>
    <xf numFmtId="0" fontId="23" fillId="0" borderId="2" xfId="0" applyFont="1" applyBorder="1" applyAlignment="1" applyProtection="1">
      <alignment horizontal="center" vertical="center"/>
      <protection locked="0"/>
    </xf>
    <xf numFmtId="1" fontId="22" fillId="0" borderId="2" xfId="0" applyNumberFormat="1" applyFont="1" applyBorder="1" applyAlignment="1" applyProtection="1">
      <alignment horizontal="center" vertical="center"/>
      <protection locked="0"/>
    </xf>
    <xf numFmtId="1" fontId="23" fillId="0" borderId="2" xfId="0" applyNumberFormat="1" applyFont="1" applyBorder="1" applyAlignment="1" applyProtection="1">
      <alignment horizontal="center" vertical="center"/>
      <protection locked="0"/>
    </xf>
    <xf numFmtId="0" fontId="23" fillId="0" borderId="0" xfId="0" applyFont="1" applyAlignment="1">
      <alignment horizontal="center" vertical="center"/>
    </xf>
    <xf numFmtId="0" fontId="24" fillId="0" borderId="0" xfId="0" applyFont="1" applyAlignment="1">
      <alignment horizontal="center" vertical="center"/>
    </xf>
    <xf numFmtId="1" fontId="0" fillId="0" borderId="0" xfId="0" applyNumberFormat="1"/>
    <xf numFmtId="0" fontId="3" fillId="0" borderId="0" xfId="2" applyFont="1" applyAlignment="1">
      <alignment horizontal="left" vertical="top" wrapText="1"/>
    </xf>
    <xf numFmtId="0" fontId="4" fillId="0" borderId="0" xfId="0" applyFont="1" applyAlignment="1">
      <alignment vertical="top"/>
    </xf>
    <xf numFmtId="0" fontId="18" fillId="0" borderId="0" xfId="0" applyFont="1"/>
    <xf numFmtId="1" fontId="0" fillId="0" borderId="2" xfId="0" applyNumberFormat="1" applyBorder="1" applyAlignment="1">
      <alignment horizontal="center"/>
    </xf>
    <xf numFmtId="0" fontId="3" fillId="0" borderId="2" xfId="0" applyFont="1" applyBorder="1" applyAlignment="1">
      <alignment vertical="top"/>
    </xf>
    <xf numFmtId="0" fontId="22" fillId="0" borderId="34" xfId="5" applyFont="1" applyBorder="1" applyAlignment="1" applyProtection="1">
      <alignment horizontal="center" vertical="top" wrapText="1"/>
      <protection locked="0"/>
    </xf>
    <xf numFmtId="0" fontId="4" fillId="0" borderId="2" xfId="0" applyFont="1" applyBorder="1" applyAlignment="1">
      <alignment horizontal="left" vertical="top"/>
    </xf>
    <xf numFmtId="166" fontId="0" fillId="0" borderId="0" xfId="0" applyNumberFormat="1"/>
    <xf numFmtId="166" fontId="26" fillId="0" borderId="0" xfId="0" applyNumberFormat="1" applyFont="1"/>
    <xf numFmtId="0" fontId="26" fillId="0" borderId="0" xfId="0" applyFont="1"/>
    <xf numFmtId="0" fontId="26" fillId="0" borderId="0" xfId="0" applyFont="1" applyAlignment="1">
      <alignment vertical="top"/>
    </xf>
    <xf numFmtId="1" fontId="21" fillId="0" borderId="2" xfId="0" applyNumberFormat="1" applyFont="1" applyBorder="1" applyAlignment="1">
      <alignment horizontal="center"/>
    </xf>
    <xf numFmtId="2" fontId="10" fillId="0" borderId="0" xfId="0" applyNumberFormat="1" applyFont="1" applyAlignment="1">
      <alignment horizontal="center" vertical="center" wrapText="1"/>
    </xf>
    <xf numFmtId="1" fontId="22" fillId="0" borderId="2" xfId="0" applyNumberFormat="1" applyFont="1" applyBorder="1" applyAlignment="1" applyProtection="1">
      <alignment horizontal="center" wrapText="1"/>
      <protection locked="0"/>
    </xf>
    <xf numFmtId="0" fontId="25" fillId="0" borderId="0" xfId="6" applyFill="1" applyAlignment="1">
      <alignment horizontal="center" vertical="center"/>
    </xf>
    <xf numFmtId="166" fontId="0" fillId="0" borderId="0" xfId="0" applyNumberFormat="1" applyAlignment="1">
      <alignment horizontal="center"/>
    </xf>
    <xf numFmtId="166" fontId="0" fillId="0" borderId="0" xfId="0" applyNumberFormat="1" applyAlignment="1">
      <alignment horizontal="center" vertical="center"/>
    </xf>
    <xf numFmtId="0" fontId="27" fillId="0" borderId="0" xfId="0" applyFont="1"/>
    <xf numFmtId="1" fontId="0" fillId="0" borderId="2" xfId="0" applyNumberFormat="1" applyBorder="1" applyAlignment="1">
      <alignment horizontal="center" vertical="center"/>
    </xf>
    <xf numFmtId="167" fontId="6" fillId="0" borderId="0" xfId="0" applyNumberFormat="1" applyFont="1" applyAlignment="1">
      <alignment horizontal="center" vertical="center" wrapText="1"/>
    </xf>
    <xf numFmtId="14" fontId="24" fillId="0" borderId="0" xfId="0" applyNumberFormat="1" applyFont="1" applyAlignment="1">
      <alignment horizontal="center" vertical="center"/>
    </xf>
    <xf numFmtId="0" fontId="28" fillId="0" borderId="0" xfId="0" applyFont="1"/>
    <xf numFmtId="0" fontId="4" fillId="0" borderId="2"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5" fillId="0" borderId="1" xfId="0" applyFont="1" applyBorder="1" applyAlignment="1">
      <alignment horizontal="center" vertical="top"/>
    </xf>
    <xf numFmtId="0" fontId="5" fillId="0" borderId="7" xfId="0" applyFont="1" applyBorder="1" applyAlignment="1">
      <alignment horizontal="center" vertical="top"/>
    </xf>
    <xf numFmtId="0" fontId="9" fillId="0" borderId="1" xfId="0" applyFont="1" applyBorder="1" applyAlignment="1">
      <alignment vertical="top" wrapText="1"/>
    </xf>
    <xf numFmtId="0" fontId="9" fillId="0" borderId="6" xfId="0" applyFont="1" applyBorder="1" applyAlignment="1">
      <alignment vertical="top" wrapText="1"/>
    </xf>
    <xf numFmtId="0" fontId="9" fillId="0" borderId="7" xfId="0" applyFont="1" applyBorder="1" applyAlignment="1">
      <alignment vertical="top" wrapText="1"/>
    </xf>
    <xf numFmtId="0" fontId="5" fillId="0" borderId="1"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4" fillId="0" borderId="2" xfId="0" applyFont="1" applyBorder="1" applyAlignment="1">
      <alignment horizontal="left" vertical="top"/>
    </xf>
    <xf numFmtId="0" fontId="4" fillId="0" borderId="1" xfId="0" applyFont="1" applyBorder="1" applyAlignment="1">
      <alignment vertical="top"/>
    </xf>
    <xf numFmtId="0" fontId="5" fillId="0" borderId="6" xfId="0" applyFont="1" applyBorder="1" applyAlignment="1">
      <alignment vertical="top"/>
    </xf>
    <xf numFmtId="0" fontId="5" fillId="0" borderId="7" xfId="0" applyFont="1" applyBorder="1" applyAlignment="1">
      <alignment vertical="top"/>
    </xf>
    <xf numFmtId="1" fontId="21" fillId="0" borderId="2" xfId="0" applyNumberFormat="1" applyFont="1" applyBorder="1" applyAlignment="1">
      <alignment horizontal="center"/>
    </xf>
    <xf numFmtId="1" fontId="21" fillId="0" borderId="2" xfId="0" applyNumberFormat="1" applyFont="1" applyBorder="1" applyAlignment="1">
      <alignment horizontal="center" vertical="center"/>
    </xf>
    <xf numFmtId="1" fontId="10" fillId="0" borderId="5" xfId="0" applyNumberFormat="1" applyFont="1" applyBorder="1" applyAlignment="1">
      <alignment horizontal="center" vertical="center" wrapText="1"/>
    </xf>
    <xf numFmtId="1" fontId="10" fillId="0" borderId="8" xfId="0" applyNumberFormat="1" applyFont="1" applyBorder="1" applyAlignment="1">
      <alignment horizontal="center" vertical="center" wrapText="1"/>
    </xf>
    <xf numFmtId="1" fontId="10" fillId="0" borderId="9" xfId="0" applyNumberFormat="1" applyFont="1" applyBorder="1" applyAlignment="1">
      <alignment horizontal="center" vertical="center" wrapText="1"/>
    </xf>
    <xf numFmtId="1" fontId="10" fillId="0" borderId="10" xfId="0" applyNumberFormat="1" applyFont="1" applyBorder="1" applyAlignment="1">
      <alignment horizontal="center" vertical="center" wrapText="1"/>
    </xf>
    <xf numFmtId="1" fontId="10" fillId="0" borderId="11" xfId="0" applyNumberFormat="1" applyFont="1" applyBorder="1" applyAlignment="1">
      <alignment horizontal="center" vertical="center" wrapText="1"/>
    </xf>
    <xf numFmtId="1" fontId="10" fillId="0" borderId="12" xfId="0" applyNumberFormat="1" applyFont="1" applyBorder="1" applyAlignment="1">
      <alignment horizontal="center" vertical="center" wrapText="1"/>
    </xf>
    <xf numFmtId="1" fontId="0" fillId="0" borderId="9" xfId="0" applyNumberFormat="1" applyBorder="1" applyAlignment="1">
      <alignment horizontal="center" vertical="center"/>
    </xf>
    <xf numFmtId="1" fontId="0" fillId="0" borderId="0" xfId="0" applyNumberFormat="1" applyAlignment="1">
      <alignment horizontal="center" vertical="center"/>
    </xf>
    <xf numFmtId="1" fontId="10" fillId="0" borderId="1" xfId="0" applyNumberFormat="1" applyFont="1" applyBorder="1" applyAlignment="1">
      <alignment horizontal="center" vertical="center" wrapText="1"/>
    </xf>
    <xf numFmtId="1" fontId="10" fillId="0" borderId="7" xfId="0" applyNumberFormat="1" applyFont="1" applyBorder="1" applyAlignment="1">
      <alignment horizontal="center" vertical="center" wrapText="1"/>
    </xf>
    <xf numFmtId="0" fontId="4" fillId="0" borderId="1"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1" fontId="17" fillId="0" borderId="1" xfId="0" applyNumberFormat="1" applyFont="1" applyBorder="1" applyAlignment="1">
      <alignment horizontal="center"/>
    </xf>
    <xf numFmtId="1" fontId="17" fillId="0" borderId="7" xfId="0" applyNumberFormat="1" applyFont="1" applyBorder="1" applyAlignment="1">
      <alignment horizontal="center"/>
    </xf>
    <xf numFmtId="0" fontId="17" fillId="0" borderId="1" xfId="0" applyFont="1" applyBorder="1" applyAlignment="1">
      <alignment horizontal="center"/>
    </xf>
    <xf numFmtId="0" fontId="17" fillId="0" borderId="6" xfId="0" applyFont="1" applyBorder="1" applyAlignment="1">
      <alignment horizontal="center"/>
    </xf>
    <xf numFmtId="0" fontId="17" fillId="0" borderId="7" xfId="0" applyFont="1" applyBorder="1" applyAlignment="1">
      <alignment horizontal="center"/>
    </xf>
    <xf numFmtId="0" fontId="17" fillId="0" borderId="5" xfId="0" applyFont="1" applyBorder="1" applyAlignment="1">
      <alignment horizontal="center" vertical="top" wrapText="1"/>
    </xf>
    <xf numFmtId="0" fontId="17" fillId="0" borderId="13" xfId="0" applyFont="1" applyBorder="1" applyAlignment="1">
      <alignment horizontal="center" vertical="top" wrapText="1"/>
    </xf>
    <xf numFmtId="0" fontId="17" fillId="0" borderId="8" xfId="0" applyFont="1" applyBorder="1" applyAlignment="1">
      <alignment horizontal="center" vertical="top" wrapText="1"/>
    </xf>
    <xf numFmtId="0" fontId="17" fillId="0" borderId="9" xfId="0" applyFont="1" applyBorder="1" applyAlignment="1">
      <alignment horizontal="center" vertical="top" wrapText="1"/>
    </xf>
    <xf numFmtId="0" fontId="17" fillId="0" borderId="0" xfId="0" applyFont="1" applyAlignment="1">
      <alignment horizontal="center" vertical="top" wrapText="1"/>
    </xf>
    <xf numFmtId="0" fontId="17" fillId="0" borderId="10" xfId="0" applyFont="1" applyBorder="1" applyAlignment="1">
      <alignment horizontal="center" vertical="top" wrapText="1"/>
    </xf>
    <xf numFmtId="0" fontId="17" fillId="0" borderId="11" xfId="0" applyFont="1" applyBorder="1" applyAlignment="1">
      <alignment horizontal="center" vertical="top" wrapText="1"/>
    </xf>
    <xf numFmtId="0" fontId="17" fillId="0" borderId="3" xfId="0" applyFont="1" applyBorder="1" applyAlignment="1">
      <alignment horizontal="center" vertical="top" wrapText="1"/>
    </xf>
    <xf numFmtId="0" fontId="17" fillId="0" borderId="12" xfId="0" applyFont="1" applyBorder="1" applyAlignment="1">
      <alignment horizontal="center" vertical="top" wrapText="1"/>
    </xf>
    <xf numFmtId="1" fontId="17" fillId="0" borderId="1" xfId="0" applyNumberFormat="1" applyFont="1" applyBorder="1" applyAlignment="1">
      <alignment horizontal="center" vertical="top" wrapText="1"/>
    </xf>
    <xf numFmtId="1" fontId="17" fillId="0" borderId="7" xfId="0" applyNumberFormat="1" applyFont="1" applyBorder="1" applyAlignment="1">
      <alignment horizontal="center" vertical="top" wrapText="1"/>
    </xf>
    <xf numFmtId="1" fontId="6" fillId="0" borderId="1" xfId="0" applyNumberFormat="1" applyFont="1" applyBorder="1" applyAlignment="1">
      <alignment horizontal="center" vertical="center" wrapText="1"/>
    </xf>
    <xf numFmtId="1" fontId="6" fillId="0" borderId="6"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1" fontId="23" fillId="0" borderId="1" xfId="0" applyNumberFormat="1" applyFont="1" applyBorder="1" applyAlignment="1" applyProtection="1">
      <alignment horizontal="center" vertical="center" wrapText="1"/>
      <protection locked="0"/>
    </xf>
    <xf numFmtId="1" fontId="23" fillId="0" borderId="6" xfId="0" applyNumberFormat="1" applyFont="1" applyBorder="1" applyAlignment="1" applyProtection="1">
      <alignment horizontal="center" vertical="center" wrapText="1"/>
      <protection locked="0"/>
    </xf>
    <xf numFmtId="1" fontId="23" fillId="0" borderId="7" xfId="0" applyNumberFormat="1" applyFont="1" applyBorder="1" applyAlignment="1" applyProtection="1">
      <alignment horizontal="center" vertical="center" wrapText="1"/>
      <protection locked="0"/>
    </xf>
    <xf numFmtId="1" fontId="23" fillId="0" borderId="2" xfId="0" applyNumberFormat="1" applyFont="1" applyBorder="1" applyAlignment="1" applyProtection="1">
      <alignment horizontal="center" vertical="top" wrapText="1"/>
      <protection locked="0"/>
    </xf>
    <xf numFmtId="0" fontId="23" fillId="0" borderId="1" xfId="0" applyFont="1" applyBorder="1" applyAlignment="1" applyProtection="1">
      <alignment horizontal="center" vertical="top" wrapText="1"/>
      <protection locked="0"/>
    </xf>
    <xf numFmtId="0" fontId="23" fillId="0" borderId="6" xfId="0" applyFont="1" applyBorder="1" applyAlignment="1" applyProtection="1">
      <alignment horizontal="center" vertical="top" wrapText="1"/>
      <protection locked="0"/>
    </xf>
    <xf numFmtId="0" fontId="23" fillId="0" borderId="7" xfId="0" applyFont="1" applyBorder="1" applyAlignment="1" applyProtection="1">
      <alignment horizontal="center" vertical="top" wrapText="1"/>
      <protection locked="0"/>
    </xf>
    <xf numFmtId="1" fontId="23" fillId="0" borderId="1" xfId="0" applyNumberFormat="1" applyFont="1" applyBorder="1" applyAlignment="1" applyProtection="1">
      <alignment horizontal="center" vertical="top" wrapText="1"/>
      <protection locked="0"/>
    </xf>
    <xf numFmtId="1" fontId="23" fillId="0" borderId="6" xfId="0" applyNumberFormat="1" applyFont="1" applyBorder="1" applyAlignment="1" applyProtection="1">
      <alignment horizontal="center" vertical="top" wrapText="1"/>
      <protection locked="0"/>
    </xf>
    <xf numFmtId="1" fontId="23" fillId="0" borderId="7" xfId="0" applyNumberFormat="1" applyFont="1" applyBorder="1" applyAlignment="1" applyProtection="1">
      <alignment horizontal="center" vertical="top" wrapText="1"/>
      <protection locked="0"/>
    </xf>
    <xf numFmtId="1" fontId="22" fillId="0" borderId="2" xfId="0" applyNumberFormat="1" applyFont="1" applyBorder="1" applyAlignment="1" applyProtection="1">
      <alignment horizontal="center" vertical="center" wrapText="1"/>
      <protection locked="0"/>
    </xf>
    <xf numFmtId="0" fontId="3" fillId="0" borderId="5" xfId="0" applyFont="1" applyBorder="1" applyAlignment="1">
      <alignment horizontal="center" vertical="top" wrapText="1"/>
    </xf>
    <xf numFmtId="0" fontId="3" fillId="0" borderId="13"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0" xfId="0" applyFont="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3" xfId="0" applyFont="1" applyBorder="1" applyAlignment="1">
      <alignment horizontal="center" vertical="top" wrapText="1"/>
    </xf>
    <xf numFmtId="0" fontId="3" fillId="0" borderId="12" xfId="0" applyFont="1" applyBorder="1" applyAlignment="1">
      <alignment horizontal="center" vertical="top" wrapText="1"/>
    </xf>
    <xf numFmtId="0" fontId="18" fillId="0" borderId="1" xfId="2" applyFont="1" applyBorder="1" applyAlignment="1">
      <alignment horizontal="left" vertical="top" wrapText="1"/>
    </xf>
    <xf numFmtId="0" fontId="18" fillId="0" borderId="6" xfId="2" applyFont="1" applyBorder="1" applyAlignment="1">
      <alignment horizontal="left" vertical="top" wrapText="1"/>
    </xf>
    <xf numFmtId="0" fontId="18" fillId="0" borderId="7" xfId="2" applyFont="1" applyBorder="1" applyAlignment="1">
      <alignment horizontal="left" vertical="top" wrapText="1"/>
    </xf>
    <xf numFmtId="0" fontId="4" fillId="0" borderId="6" xfId="0" applyFont="1" applyBorder="1" applyAlignment="1">
      <alignment vertical="top"/>
    </xf>
    <xf numFmtId="0" fontId="4" fillId="0" borderId="7" xfId="0" applyFont="1" applyBorder="1" applyAlignment="1">
      <alignment vertical="top"/>
    </xf>
    <xf numFmtId="1" fontId="6" fillId="0" borderId="2" xfId="0" applyNumberFormat="1" applyFont="1" applyBorder="1" applyAlignment="1">
      <alignment horizontal="center" vertical="center" wrapText="1"/>
    </xf>
    <xf numFmtId="0" fontId="4" fillId="0" borderId="1" xfId="0" applyFont="1" applyBorder="1" applyAlignment="1">
      <alignment horizontal="left" vertical="top" wrapText="1"/>
    </xf>
    <xf numFmtId="1" fontId="10" fillId="0" borderId="2" xfId="0" applyNumberFormat="1" applyFont="1" applyBorder="1" applyAlignment="1">
      <alignment horizontal="center" vertical="center" wrapText="1"/>
    </xf>
    <xf numFmtId="1" fontId="22" fillId="0" borderId="1" xfId="0" applyNumberFormat="1" applyFont="1" applyBorder="1" applyAlignment="1" applyProtection="1">
      <alignment horizontal="center" vertical="top" wrapText="1"/>
      <protection locked="0"/>
    </xf>
    <xf numFmtId="1" fontId="22" fillId="0" borderId="6" xfId="0" applyNumberFormat="1" applyFont="1" applyBorder="1" applyAlignment="1" applyProtection="1">
      <alignment horizontal="center" vertical="top" wrapText="1"/>
      <protection locked="0"/>
    </xf>
    <xf numFmtId="1" fontId="22" fillId="0" borderId="7" xfId="0" applyNumberFormat="1" applyFont="1" applyBorder="1" applyAlignment="1" applyProtection="1">
      <alignment horizontal="center" vertical="top" wrapText="1"/>
      <protection locked="0"/>
    </xf>
    <xf numFmtId="0" fontId="6" fillId="0" borderId="1" xfId="0" applyFont="1" applyBorder="1" applyAlignment="1">
      <alignment horizontal="center" vertical="top"/>
    </xf>
    <xf numFmtId="0" fontId="6" fillId="0" borderId="6" xfId="0" applyFont="1" applyBorder="1" applyAlignment="1">
      <alignment horizontal="center" vertical="top"/>
    </xf>
    <xf numFmtId="0" fontId="6" fillId="0" borderId="7" xfId="0" applyFont="1" applyBorder="1" applyAlignment="1">
      <alignment horizontal="center" vertical="top"/>
    </xf>
    <xf numFmtId="1" fontId="23" fillId="0" borderId="2" xfId="0" applyNumberFormat="1" applyFont="1" applyBorder="1" applyAlignment="1" applyProtection="1">
      <alignment horizontal="center" vertical="center" wrapText="1"/>
      <protection locked="0"/>
    </xf>
    <xf numFmtId="0" fontId="22" fillId="0" borderId="1" xfId="5" applyFont="1" applyBorder="1" applyAlignment="1" applyProtection="1">
      <alignment horizontal="center" vertical="top"/>
      <protection locked="0"/>
    </xf>
    <xf numFmtId="0" fontId="22" fillId="0" borderId="22" xfId="5" applyFont="1" applyBorder="1" applyAlignment="1" applyProtection="1">
      <alignment horizontal="center" vertical="top"/>
      <protection locked="0"/>
    </xf>
    <xf numFmtId="0" fontId="23" fillId="0" borderId="21" xfId="5" applyFont="1" applyBorder="1" applyAlignment="1" applyProtection="1">
      <alignment horizontal="left" vertical="top"/>
      <protection locked="0"/>
    </xf>
    <xf numFmtId="0" fontId="23" fillId="0" borderId="2" xfId="5" applyFont="1" applyBorder="1" applyAlignment="1" applyProtection="1">
      <alignment horizontal="left" vertical="top"/>
      <protection locked="0"/>
    </xf>
    <xf numFmtId="0" fontId="23" fillId="0" borderId="1" xfId="5" applyFont="1" applyBorder="1" applyAlignment="1" applyProtection="1">
      <alignment horizontal="left" vertical="top" wrapText="1"/>
      <protection locked="0"/>
    </xf>
    <xf numFmtId="0" fontId="23" fillId="0" borderId="6" xfId="5" applyFont="1" applyBorder="1" applyAlignment="1" applyProtection="1">
      <alignment horizontal="left" vertical="top" wrapText="1"/>
      <protection locked="0"/>
    </xf>
    <xf numFmtId="0" fontId="23" fillId="0" borderId="22" xfId="5" applyFont="1" applyBorder="1" applyAlignment="1" applyProtection="1">
      <alignment horizontal="left" vertical="top" wrapText="1"/>
      <protection locked="0"/>
    </xf>
    <xf numFmtId="0" fontId="23" fillId="0" borderId="21" xfId="5" applyFont="1" applyBorder="1" applyAlignment="1" applyProtection="1">
      <alignment horizontal="center" vertical="center"/>
      <protection locked="0"/>
    </xf>
    <xf numFmtId="0" fontId="23" fillId="0" borderId="2" xfId="5" applyFont="1" applyBorder="1" applyAlignment="1" applyProtection="1">
      <alignment horizontal="center" vertical="center"/>
      <protection locked="0"/>
    </xf>
    <xf numFmtId="0" fontId="23" fillId="0" borderId="26" xfId="5" applyFont="1" applyBorder="1" applyAlignment="1" applyProtection="1">
      <alignment horizontal="center" vertical="center"/>
      <protection locked="0"/>
    </xf>
    <xf numFmtId="0" fontId="23" fillId="0" borderId="27" xfId="5" applyFont="1" applyBorder="1" applyAlignment="1" applyProtection="1">
      <alignment horizontal="center" vertical="center"/>
      <protection locked="0"/>
    </xf>
    <xf numFmtId="9" fontId="23" fillId="0" borderId="2" xfId="5" applyNumberFormat="1" applyFont="1" applyBorder="1" applyAlignment="1" applyProtection="1">
      <alignment horizontal="center" vertical="center" wrapText="1"/>
      <protection locked="0"/>
    </xf>
    <xf numFmtId="0" fontId="23" fillId="0" borderId="2" xfId="5" applyFont="1" applyBorder="1" applyAlignment="1" applyProtection="1">
      <alignment horizontal="center" vertical="center" wrapText="1"/>
      <protection locked="0"/>
    </xf>
    <xf numFmtId="0" fontId="23" fillId="0" borderId="27" xfId="5" applyFont="1" applyBorder="1" applyAlignment="1" applyProtection="1">
      <alignment horizontal="center" vertical="center" wrapText="1"/>
      <protection locked="0"/>
    </xf>
    <xf numFmtId="0" fontId="23" fillId="0" borderId="24" xfId="5" applyFont="1" applyBorder="1" applyAlignment="1" applyProtection="1">
      <alignment horizontal="center" vertical="center" wrapText="1"/>
      <protection locked="0"/>
    </xf>
    <xf numFmtId="0" fontId="23" fillId="0" borderId="36" xfId="5" applyFont="1" applyBorder="1" applyAlignment="1" applyProtection="1">
      <alignment horizontal="center" vertical="center" wrapText="1"/>
      <protection locked="0"/>
    </xf>
    <xf numFmtId="0" fontId="23" fillId="0" borderId="14" xfId="5" applyFont="1" applyBorder="1" applyAlignment="1" applyProtection="1">
      <alignment horizontal="center" vertical="top" wrapText="1"/>
      <protection locked="0"/>
    </xf>
    <xf numFmtId="0" fontId="23" fillId="0" borderId="15" xfId="5" applyFont="1" applyBorder="1" applyAlignment="1" applyProtection="1">
      <alignment horizontal="center" vertical="top" wrapText="1"/>
      <protection locked="0"/>
    </xf>
    <xf numFmtId="0" fontId="23" fillId="0" borderId="16" xfId="5" applyFont="1" applyBorder="1" applyAlignment="1" applyProtection="1">
      <alignment horizontal="left" vertical="top" wrapText="1"/>
      <protection locked="0"/>
    </xf>
    <xf numFmtId="0" fontId="23" fillId="0" borderId="17" xfId="5" applyFont="1" applyBorder="1" applyAlignment="1" applyProtection="1">
      <alignment horizontal="left" vertical="top" wrapText="1"/>
      <protection locked="0"/>
    </xf>
    <xf numFmtId="0" fontId="23" fillId="0" borderId="18" xfId="5" applyFont="1" applyBorder="1" applyAlignment="1" applyProtection="1">
      <alignment horizontal="left" vertical="top" wrapText="1"/>
      <protection locked="0"/>
    </xf>
    <xf numFmtId="0" fontId="22" fillId="0" borderId="7" xfId="5" applyFont="1" applyBorder="1" applyAlignment="1" applyProtection="1">
      <alignment horizontal="center" vertical="top"/>
      <protection locked="0"/>
    </xf>
    <xf numFmtId="0" fontId="24" fillId="0" borderId="21" xfId="5" applyFont="1" applyBorder="1" applyAlignment="1" applyProtection="1">
      <alignment horizontal="left" vertical="top"/>
      <protection locked="0"/>
    </xf>
    <xf numFmtId="0" fontId="24" fillId="0" borderId="2" xfId="5" applyFont="1" applyBorder="1" applyAlignment="1" applyProtection="1">
      <alignment horizontal="left" vertical="top"/>
      <protection locked="0"/>
    </xf>
    <xf numFmtId="0" fontId="22" fillId="0" borderId="33" xfId="5" applyFont="1" applyBorder="1" applyAlignment="1" applyProtection="1">
      <alignment horizontal="center" vertical="top" wrapText="1"/>
      <protection locked="0"/>
    </xf>
    <xf numFmtId="0" fontId="22" fillId="0" borderId="12" xfId="5" applyFont="1" applyBorder="1" applyAlignment="1" applyProtection="1">
      <alignment horizontal="center" vertical="top" wrapText="1"/>
      <protection locked="0"/>
    </xf>
    <xf numFmtId="0" fontId="22" fillId="0" borderId="34" xfId="5" applyFont="1" applyBorder="1" applyAlignment="1" applyProtection="1">
      <alignment horizontal="center" vertical="top" wrapText="1"/>
      <protection locked="0"/>
    </xf>
    <xf numFmtId="0" fontId="22" fillId="0" borderId="35" xfId="5" applyFont="1" applyBorder="1" applyAlignment="1" applyProtection="1">
      <alignment horizontal="center" vertical="top" wrapText="1"/>
      <protection locked="0"/>
    </xf>
    <xf numFmtId="9" fontId="22" fillId="0" borderId="5" xfId="5" applyNumberFormat="1" applyFont="1" applyBorder="1" applyAlignment="1" applyProtection="1">
      <alignment horizontal="center" vertical="center" wrapText="1"/>
      <protection hidden="1"/>
    </xf>
    <xf numFmtId="9" fontId="22" fillId="0" borderId="13" xfId="5" applyNumberFormat="1" applyFont="1" applyBorder="1" applyAlignment="1" applyProtection="1">
      <alignment horizontal="center" vertical="center" wrapText="1"/>
      <protection hidden="1"/>
    </xf>
    <xf numFmtId="9" fontId="22" fillId="0" borderId="25" xfId="5" applyNumberFormat="1" applyFont="1" applyBorder="1" applyAlignment="1" applyProtection="1">
      <alignment horizontal="center" vertical="center" wrapText="1"/>
      <protection hidden="1"/>
    </xf>
    <xf numFmtId="9" fontId="22" fillId="0" borderId="9" xfId="5" applyNumberFormat="1" applyFont="1" applyBorder="1" applyAlignment="1" applyProtection="1">
      <alignment horizontal="center" vertical="center" wrapText="1"/>
      <protection hidden="1"/>
    </xf>
    <xf numFmtId="9" fontId="22" fillId="0" borderId="0" xfId="5" applyNumberFormat="1" applyFont="1" applyAlignment="1" applyProtection="1">
      <alignment horizontal="center" vertical="center" wrapText="1"/>
      <protection hidden="1"/>
    </xf>
    <xf numFmtId="9" fontId="22" fillId="0" borderId="23" xfId="5" applyNumberFormat="1" applyFont="1" applyBorder="1" applyAlignment="1" applyProtection="1">
      <alignment horizontal="center" vertical="center" wrapText="1"/>
      <protection hidden="1"/>
    </xf>
    <xf numFmtId="9" fontId="22" fillId="0" borderId="30" xfId="5" applyNumberFormat="1" applyFont="1" applyBorder="1" applyAlignment="1" applyProtection="1">
      <alignment horizontal="center" vertical="center" wrapText="1"/>
      <protection hidden="1"/>
    </xf>
    <xf numFmtId="9" fontId="22" fillId="0" borderId="31" xfId="5" applyNumberFormat="1" applyFont="1" applyBorder="1" applyAlignment="1" applyProtection="1">
      <alignment horizontal="center" vertical="center" wrapText="1"/>
      <protection hidden="1"/>
    </xf>
    <xf numFmtId="9" fontId="22" fillId="0" borderId="32" xfId="5" applyNumberFormat="1" applyFont="1" applyBorder="1" applyAlignment="1" applyProtection="1">
      <alignment horizontal="center" vertical="center" wrapText="1"/>
      <protection hidden="1"/>
    </xf>
    <xf numFmtId="0" fontId="22" fillId="0" borderId="21" xfId="5" applyFont="1" applyBorder="1" applyAlignment="1" applyProtection="1">
      <alignment horizontal="center" vertical="top" wrapText="1"/>
      <protection locked="0"/>
    </xf>
    <xf numFmtId="0" fontId="22" fillId="0" borderId="2" xfId="5" applyFont="1" applyBorder="1" applyAlignment="1" applyProtection="1">
      <alignment horizontal="center" vertical="top" wrapText="1"/>
      <protection locked="0"/>
    </xf>
    <xf numFmtId="9" fontId="22" fillId="0" borderId="1" xfId="5" applyNumberFormat="1" applyFont="1" applyBorder="1" applyAlignment="1" applyProtection="1">
      <alignment horizontal="center" vertical="center" wrapText="1"/>
      <protection hidden="1"/>
    </xf>
    <xf numFmtId="9" fontId="22" fillId="0" borderId="7" xfId="5" applyNumberFormat="1" applyFont="1" applyBorder="1" applyAlignment="1" applyProtection="1">
      <alignment horizontal="center" vertical="center" wrapText="1"/>
      <protection hidden="1"/>
    </xf>
    <xf numFmtId="9" fontId="22" fillId="0" borderId="2" xfId="5" applyNumberFormat="1" applyFont="1" applyBorder="1" applyAlignment="1" applyProtection="1">
      <alignment horizontal="center" vertical="center" wrapText="1"/>
      <protection hidden="1"/>
    </xf>
    <xf numFmtId="9" fontId="22" fillId="0" borderId="27" xfId="5" applyNumberFormat="1" applyFont="1" applyBorder="1" applyAlignment="1" applyProtection="1">
      <alignment horizontal="center" vertical="center" wrapText="1"/>
      <protection hidden="1"/>
    </xf>
    <xf numFmtId="0" fontId="17" fillId="0" borderId="1" xfId="0" applyFont="1" applyBorder="1" applyAlignment="1">
      <alignment horizontal="center" vertical="top" wrapText="1"/>
    </xf>
    <xf numFmtId="0" fontId="17" fillId="0" borderId="6" xfId="0" applyFont="1" applyBorder="1" applyAlignment="1">
      <alignment horizontal="center" vertical="top" wrapText="1"/>
    </xf>
    <xf numFmtId="0" fontId="17" fillId="0" borderId="7" xfId="0" applyFont="1" applyBorder="1" applyAlignment="1">
      <alignment horizontal="center" vertical="top" wrapText="1"/>
    </xf>
    <xf numFmtId="0" fontId="8" fillId="0" borderId="1"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9" fillId="0" borderId="1" xfId="0" applyFont="1" applyBorder="1" applyAlignment="1">
      <alignment vertical="top"/>
    </xf>
    <xf numFmtId="0" fontId="9" fillId="0" borderId="6" xfId="0" applyFont="1" applyBorder="1" applyAlignment="1">
      <alignment vertical="top"/>
    </xf>
    <xf numFmtId="0" fontId="9" fillId="0" borderId="7" xfId="0" applyFont="1" applyBorder="1" applyAlignment="1">
      <alignment vertical="top"/>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3" fillId="0" borderId="1" xfId="0" applyFont="1" applyBorder="1" applyAlignment="1">
      <alignment horizontal="center"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0" fillId="0" borderId="7" xfId="0" applyBorder="1" applyAlignment="1">
      <alignment horizontal="left"/>
    </xf>
    <xf numFmtId="0" fontId="3" fillId="0" borderId="1"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166" fontId="4" fillId="0" borderId="1" xfId="0" applyNumberFormat="1" applyFont="1" applyBorder="1" applyAlignment="1">
      <alignment horizontal="left" vertical="top"/>
    </xf>
    <xf numFmtId="166" fontId="4" fillId="0" borderId="6" xfId="0" applyNumberFormat="1" applyFont="1" applyBorder="1" applyAlignment="1">
      <alignment horizontal="left" vertical="top"/>
    </xf>
    <xf numFmtId="166" fontId="4" fillId="0" borderId="7" xfId="0" applyNumberFormat="1" applyFont="1" applyBorder="1" applyAlignment="1">
      <alignment horizontal="left" vertical="top"/>
    </xf>
    <xf numFmtId="14" fontId="4" fillId="0" borderId="1" xfId="0" applyNumberFormat="1" applyFont="1" applyBorder="1" applyAlignment="1">
      <alignment horizontal="left" vertical="top" wrapText="1"/>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left" vertical="top" wrapText="1"/>
    </xf>
    <xf numFmtId="0" fontId="4" fillId="0" borderId="13" xfId="0" applyFont="1" applyBorder="1" applyAlignment="1">
      <alignment horizontal="left" vertical="top" wrapText="1"/>
    </xf>
    <xf numFmtId="0" fontId="4" fillId="0" borderId="8" xfId="0" applyFont="1" applyBorder="1" applyAlignment="1">
      <alignment horizontal="left" vertical="top" wrapText="1"/>
    </xf>
    <xf numFmtId="0" fontId="4" fillId="0" borderId="11" xfId="0" applyFont="1" applyBorder="1" applyAlignment="1">
      <alignment horizontal="left" vertical="top" wrapText="1"/>
    </xf>
    <xf numFmtId="0" fontId="4" fillId="0" borderId="3" xfId="0" applyFont="1" applyBorder="1" applyAlignment="1">
      <alignment horizontal="left" vertical="top" wrapText="1"/>
    </xf>
    <xf numFmtId="0" fontId="4"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8" xfId="0" applyFont="1" applyBorder="1" applyAlignment="1">
      <alignment horizontal="left" vertical="top" wrapText="1"/>
    </xf>
    <xf numFmtId="14" fontId="4" fillId="0" borderId="1" xfId="0" applyNumberFormat="1" applyFont="1" applyBorder="1" applyAlignment="1">
      <alignment horizontal="left" vertical="top"/>
    </xf>
    <xf numFmtId="14" fontId="4" fillId="0" borderId="6" xfId="0" applyNumberFormat="1" applyFont="1" applyBorder="1" applyAlignment="1">
      <alignment horizontal="left" vertical="top"/>
    </xf>
    <xf numFmtId="14" fontId="4" fillId="0" borderId="7" xfId="0" applyNumberFormat="1" applyFont="1" applyBorder="1" applyAlignment="1">
      <alignment horizontal="left" vertical="top"/>
    </xf>
    <xf numFmtId="0" fontId="9" fillId="0" borderId="1"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4" fillId="0" borderId="1" xfId="0" applyFont="1" applyBorder="1" applyAlignment="1">
      <alignment horizontal="center" vertical="top"/>
    </xf>
    <xf numFmtId="0" fontId="4" fillId="0" borderId="7" xfId="0" applyFont="1" applyBorder="1" applyAlignment="1">
      <alignment horizontal="center" vertical="top"/>
    </xf>
    <xf numFmtId="0" fontId="4" fillId="0" borderId="5" xfId="0" applyFont="1" applyBorder="1" applyAlignment="1">
      <alignment horizontal="left" vertical="top"/>
    </xf>
    <xf numFmtId="0" fontId="4" fillId="0" borderId="13" xfId="0" applyFont="1" applyBorder="1" applyAlignment="1">
      <alignment horizontal="left" vertical="top"/>
    </xf>
    <xf numFmtId="0" fontId="4" fillId="0" borderId="8" xfId="0" applyFont="1" applyBorder="1" applyAlignment="1">
      <alignment horizontal="left" vertical="top"/>
    </xf>
    <xf numFmtId="0" fontId="4" fillId="0" borderId="11" xfId="0" applyFont="1" applyBorder="1" applyAlignment="1">
      <alignment horizontal="left" vertical="top"/>
    </xf>
    <xf numFmtId="0" fontId="4" fillId="0" borderId="3" xfId="0" applyFont="1" applyBorder="1" applyAlignment="1">
      <alignment horizontal="left" vertical="top"/>
    </xf>
    <xf numFmtId="0" fontId="4" fillId="0" borderId="12" xfId="0" applyFont="1" applyBorder="1" applyAlignment="1">
      <alignment horizontal="left" vertical="top"/>
    </xf>
    <xf numFmtId="0" fontId="3" fillId="0" borderId="1" xfId="0" applyFont="1" applyBorder="1" applyAlignment="1">
      <alignment horizontal="left" vertical="top" wrapText="1"/>
    </xf>
    <xf numFmtId="0" fontId="3" fillId="0" borderId="7" xfId="0" applyFont="1" applyBorder="1" applyAlignment="1">
      <alignment horizontal="left" vertical="top" wrapText="1"/>
    </xf>
    <xf numFmtId="0" fontId="3" fillId="0" borderId="6" xfId="0" applyFont="1" applyBorder="1" applyAlignment="1">
      <alignment horizontal="left" vertical="top" wrapText="1"/>
    </xf>
    <xf numFmtId="0" fontId="9" fillId="0" borderId="5" xfId="0" applyFont="1" applyBorder="1" applyAlignment="1">
      <alignment horizontal="left" vertical="top" wrapText="1"/>
    </xf>
    <xf numFmtId="0" fontId="9" fillId="0" borderId="13" xfId="0" applyFont="1" applyBorder="1" applyAlignment="1">
      <alignment horizontal="left" vertical="top" wrapText="1"/>
    </xf>
    <xf numFmtId="0" fontId="9" fillId="0" borderId="8" xfId="0" applyFont="1" applyBorder="1" applyAlignment="1">
      <alignment horizontal="left" vertical="top" wrapText="1"/>
    </xf>
    <xf numFmtId="0" fontId="9" fillId="0" borderId="11" xfId="0" applyFont="1" applyBorder="1" applyAlignment="1">
      <alignment horizontal="left" vertical="top" wrapText="1"/>
    </xf>
    <xf numFmtId="0" fontId="9" fillId="0" borderId="3" xfId="0" applyFont="1" applyBorder="1" applyAlignment="1">
      <alignment horizontal="left" vertical="top" wrapText="1"/>
    </xf>
    <xf numFmtId="0" fontId="9" fillId="0" borderId="12" xfId="0" applyFont="1" applyBorder="1" applyAlignment="1">
      <alignment horizontal="left" vertical="top" wrapText="1"/>
    </xf>
    <xf numFmtId="0" fontId="3" fillId="0" borderId="1" xfId="0" applyFont="1" applyBorder="1" applyAlignment="1">
      <alignment vertical="top"/>
    </xf>
    <xf numFmtId="0" fontId="3" fillId="0" borderId="6" xfId="0" applyFont="1" applyBorder="1" applyAlignment="1">
      <alignment vertical="top"/>
    </xf>
    <xf numFmtId="0" fontId="3" fillId="0" borderId="7" xfId="0" applyFont="1" applyBorder="1" applyAlignment="1">
      <alignment vertical="top"/>
    </xf>
    <xf numFmtId="14" fontId="3" fillId="0" borderId="1" xfId="0" applyNumberFormat="1" applyFont="1" applyBorder="1" applyAlignment="1">
      <alignment horizontal="left" vertical="top"/>
    </xf>
    <xf numFmtId="0" fontId="25" fillId="0" borderId="1" xfId="6" applyFill="1" applyBorder="1" applyAlignment="1">
      <alignment horizontal="left" vertical="top"/>
    </xf>
    <xf numFmtId="0" fontId="17" fillId="0" borderId="6" xfId="0" applyFont="1" applyBorder="1" applyAlignment="1">
      <alignment horizontal="left" vertical="top" wrapText="1"/>
    </xf>
    <xf numFmtId="0" fontId="17" fillId="0" borderId="7" xfId="0" applyFont="1" applyBorder="1" applyAlignment="1">
      <alignment horizontal="left" vertical="top" wrapText="1"/>
    </xf>
    <xf numFmtId="0" fontId="17" fillId="0" borderId="1" xfId="0" applyFont="1" applyBorder="1" applyAlignment="1">
      <alignment horizontal="left" vertical="top"/>
    </xf>
    <xf numFmtId="0" fontId="17" fillId="0" borderId="6" xfId="0" applyFont="1" applyBorder="1" applyAlignment="1">
      <alignment horizontal="left" vertical="top"/>
    </xf>
    <xf numFmtId="0" fontId="17" fillId="0" borderId="7" xfId="0" applyFont="1" applyBorder="1" applyAlignment="1">
      <alignment horizontal="left" vertical="top"/>
    </xf>
    <xf numFmtId="0" fontId="24" fillId="0" borderId="16" xfId="5" applyFont="1" applyBorder="1" applyAlignment="1" applyProtection="1">
      <alignment horizontal="left" vertical="top" wrapText="1"/>
      <protection locked="0"/>
    </xf>
    <xf numFmtId="0" fontId="24" fillId="0" borderId="17" xfId="5" applyFont="1" applyBorder="1" applyAlignment="1" applyProtection="1">
      <alignment horizontal="left" vertical="top" wrapText="1"/>
      <protection locked="0"/>
    </xf>
    <xf numFmtId="0" fontId="24" fillId="0" borderId="18" xfId="5" applyFont="1" applyBorder="1" applyAlignment="1" applyProtection="1">
      <alignment horizontal="left" vertical="top" wrapText="1"/>
      <protection locked="0"/>
    </xf>
    <xf numFmtId="0" fontId="0" fillId="0" borderId="0" xfId="0" applyAlignment="1">
      <alignment horizontal="center"/>
    </xf>
    <xf numFmtId="1" fontId="6" fillId="0" borderId="1" xfId="0" applyNumberFormat="1" applyFont="1" applyBorder="1" applyAlignment="1">
      <alignment horizontal="center" vertical="top" wrapText="1"/>
    </xf>
    <xf numFmtId="1" fontId="6" fillId="0" borderId="7" xfId="0" applyNumberFormat="1" applyFont="1" applyBorder="1" applyAlignment="1">
      <alignment horizontal="center" vertical="top" wrapText="1"/>
    </xf>
    <xf numFmtId="1" fontId="3" fillId="0" borderId="1" xfId="0" applyNumberFormat="1" applyFont="1" applyBorder="1" applyAlignment="1">
      <alignment horizontal="center" vertical="top" wrapText="1"/>
    </xf>
    <xf numFmtId="1" fontId="3" fillId="0" borderId="7" xfId="0" applyNumberFormat="1" applyFont="1" applyBorder="1" applyAlignment="1">
      <alignment horizontal="center" vertical="top" wrapText="1"/>
    </xf>
    <xf numFmtId="0" fontId="9" fillId="0" borderId="1"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4" fillId="0" borderId="2" xfId="0" applyFont="1" applyBorder="1" applyAlignment="1">
      <alignment horizontal="center" vertical="top" wrapText="1"/>
    </xf>
    <xf numFmtId="0" fontId="4" fillId="0" borderId="2" xfId="0" applyFont="1" applyBorder="1" applyAlignment="1">
      <alignment horizontal="center" vertical="top"/>
    </xf>
    <xf numFmtId="1" fontId="4" fillId="0" borderId="5" xfId="0" applyNumberFormat="1" applyFont="1" applyBorder="1" applyAlignment="1">
      <alignment horizontal="center" vertical="center" wrapText="1"/>
    </xf>
    <xf numFmtId="1" fontId="4" fillId="0" borderId="8" xfId="0" applyNumberFormat="1" applyFont="1" applyBorder="1" applyAlignment="1">
      <alignment horizontal="center" vertical="center" wrapText="1"/>
    </xf>
    <xf numFmtId="1" fontId="4" fillId="0" borderId="9" xfId="0" applyNumberFormat="1" applyFont="1" applyBorder="1" applyAlignment="1">
      <alignment horizontal="center" vertical="center" wrapText="1"/>
    </xf>
    <xf numFmtId="1" fontId="4" fillId="0" borderId="10" xfId="0" applyNumberFormat="1" applyFont="1" applyBorder="1" applyAlignment="1">
      <alignment horizontal="center" vertical="center" wrapText="1"/>
    </xf>
    <xf numFmtId="1" fontId="4" fillId="0" borderId="11" xfId="0" applyNumberFormat="1" applyFont="1" applyBorder="1" applyAlignment="1">
      <alignment horizontal="center" vertical="center" wrapText="1"/>
    </xf>
    <xf numFmtId="1" fontId="4" fillId="0" borderId="12" xfId="0" applyNumberFormat="1" applyFont="1" applyBorder="1" applyAlignment="1">
      <alignment horizontal="center" vertical="center" wrapText="1"/>
    </xf>
    <xf numFmtId="0" fontId="22" fillId="0" borderId="26" xfId="5" applyFont="1" applyBorder="1" applyAlignment="1" applyProtection="1">
      <alignment horizontal="center" vertical="top" wrapText="1"/>
      <protection locked="0"/>
    </xf>
    <xf numFmtId="0" fontId="22" fillId="0" borderId="27" xfId="5" applyFont="1" applyBorder="1" applyAlignment="1" applyProtection="1">
      <alignment horizontal="center" vertical="top" wrapText="1"/>
      <protection locked="0"/>
    </xf>
    <xf numFmtId="9" fontId="22" fillId="0" borderId="28" xfId="5" applyNumberFormat="1" applyFont="1" applyBorder="1" applyAlignment="1" applyProtection="1">
      <alignment horizontal="center" vertical="center" wrapText="1"/>
      <protection hidden="1"/>
    </xf>
    <xf numFmtId="9" fontId="22" fillId="0" borderId="29" xfId="5" applyNumberFormat="1" applyFont="1" applyBorder="1" applyAlignment="1" applyProtection="1">
      <alignment horizontal="center" vertical="center" wrapText="1"/>
      <protection hidden="1"/>
    </xf>
    <xf numFmtId="0" fontId="8" fillId="0" borderId="1" xfId="0" applyFont="1" applyBorder="1" applyAlignment="1">
      <alignment horizontal="left" vertical="top"/>
    </xf>
    <xf numFmtId="0" fontId="8" fillId="0" borderId="6" xfId="0" applyFont="1" applyBorder="1" applyAlignment="1">
      <alignment horizontal="left" vertical="top"/>
    </xf>
    <xf numFmtId="0" fontId="18" fillId="0" borderId="2" xfId="0" applyFont="1" applyBorder="1" applyAlignment="1">
      <alignment vertical="top" wrapText="1"/>
    </xf>
    <xf numFmtId="0" fontId="7" fillId="0" borderId="1"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1" fontId="23" fillId="0" borderId="0" xfId="0" applyNumberFormat="1" applyFont="1" applyAlignment="1">
      <alignment vertical="top" wrapText="1"/>
    </xf>
    <xf numFmtId="1" fontId="10" fillId="0" borderId="6" xfId="0" applyNumberFormat="1" applyFont="1" applyBorder="1" applyAlignment="1">
      <alignment horizontal="center" vertical="center" wrapText="1"/>
    </xf>
    <xf numFmtId="1" fontId="22" fillId="0" borderId="4" xfId="0" applyNumberFormat="1" applyFont="1" applyBorder="1" applyAlignment="1" applyProtection="1">
      <alignment horizontal="center" vertical="center" wrapText="1"/>
      <protection locked="0"/>
    </xf>
    <xf numFmtId="1" fontId="22" fillId="0" borderId="37" xfId="0" applyNumberFormat="1" applyFont="1" applyBorder="1" applyAlignment="1" applyProtection="1">
      <alignment horizontal="center" vertical="center" wrapText="1"/>
      <protection locked="0"/>
    </xf>
    <xf numFmtId="1" fontId="22" fillId="0" borderId="34" xfId="0" applyNumberFormat="1" applyFont="1" applyBorder="1" applyAlignment="1" applyProtection="1">
      <alignment horizontal="center" vertical="center" wrapText="1"/>
      <protection locked="0"/>
    </xf>
    <xf numFmtId="0" fontId="15" fillId="0" borderId="2" xfId="4" applyFont="1" applyBorder="1" applyAlignment="1">
      <alignment horizontal="left"/>
    </xf>
    <xf numFmtId="0" fontId="0" fillId="2" borderId="2" xfId="0" applyFill="1" applyBorder="1" applyAlignment="1">
      <alignment horizontal="center" wrapText="1"/>
    </xf>
    <xf numFmtId="0" fontId="15" fillId="0" borderId="2" xfId="0" applyFont="1" applyBorder="1" applyAlignment="1">
      <alignment horizontal="center"/>
    </xf>
  </cellXfs>
  <cellStyles count="7">
    <cellStyle name="Comma 2" xfId="1" xr:uid="{00000000-0005-0000-0000-000000000000}"/>
    <cellStyle name="Excel Built-in Normal" xfId="2" xr:uid="{00000000-0005-0000-0000-000001000000}"/>
    <cellStyle name="Excel Built-in Normal 2" xfId="3" xr:uid="{00000000-0005-0000-0000-000002000000}"/>
    <cellStyle name="Hyperlink" xfId="6" builtinId="8"/>
    <cellStyle name="Normal" xfId="0" builtinId="0"/>
    <cellStyle name="Normal 3" xfId="5" xr:uid="{00000000-0005-0000-0000-000005000000}"/>
    <cellStyle name="Normal 4" xfId="4"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6.jpeg"/><Relationship Id="rId13" Type="http://schemas.openxmlformats.org/officeDocument/2006/relationships/image" Target="../media/image11.jpeg"/><Relationship Id="rId18" Type="http://schemas.openxmlformats.org/officeDocument/2006/relationships/image" Target="../media/image16.jpg"/><Relationship Id="rId26" Type="http://schemas.openxmlformats.org/officeDocument/2006/relationships/image" Target="../media/image24.jpg"/><Relationship Id="rId3" Type="http://schemas.openxmlformats.org/officeDocument/2006/relationships/image" Target="../media/image2.png"/><Relationship Id="rId21" Type="http://schemas.openxmlformats.org/officeDocument/2006/relationships/image" Target="../media/image19.jpg"/><Relationship Id="rId7" Type="http://schemas.openxmlformats.org/officeDocument/2006/relationships/image" Target="../media/image5.jpeg"/><Relationship Id="rId12" Type="http://schemas.openxmlformats.org/officeDocument/2006/relationships/image" Target="../media/image10.jpeg"/><Relationship Id="rId17" Type="http://schemas.openxmlformats.org/officeDocument/2006/relationships/image" Target="../media/image15.jpeg"/><Relationship Id="rId25" Type="http://schemas.openxmlformats.org/officeDocument/2006/relationships/image" Target="../media/image23.jpg"/><Relationship Id="rId2" Type="http://schemas.microsoft.com/office/2007/relationships/hdphoto" Target="../media/hdphoto1.wdp"/><Relationship Id="rId16" Type="http://schemas.openxmlformats.org/officeDocument/2006/relationships/image" Target="../media/image14.jpeg"/><Relationship Id="rId20" Type="http://schemas.openxmlformats.org/officeDocument/2006/relationships/image" Target="../media/image18.jpg"/><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image" Target="../media/image9.jpeg"/><Relationship Id="rId24" Type="http://schemas.openxmlformats.org/officeDocument/2006/relationships/image" Target="../media/image22.jpg"/><Relationship Id="rId5" Type="http://schemas.openxmlformats.org/officeDocument/2006/relationships/image" Target="../media/image3.png"/><Relationship Id="rId15" Type="http://schemas.openxmlformats.org/officeDocument/2006/relationships/image" Target="../media/image13.jpeg"/><Relationship Id="rId23" Type="http://schemas.openxmlformats.org/officeDocument/2006/relationships/image" Target="../media/image21.jpg"/><Relationship Id="rId28" Type="http://schemas.openxmlformats.org/officeDocument/2006/relationships/image" Target="../media/image26.jpg"/><Relationship Id="rId10" Type="http://schemas.openxmlformats.org/officeDocument/2006/relationships/image" Target="../media/image8.jpeg"/><Relationship Id="rId19" Type="http://schemas.openxmlformats.org/officeDocument/2006/relationships/image" Target="../media/image17.jpg"/><Relationship Id="rId4" Type="http://schemas.microsoft.com/office/2007/relationships/hdphoto" Target="../media/hdphoto2.wdp"/><Relationship Id="rId9" Type="http://schemas.openxmlformats.org/officeDocument/2006/relationships/image" Target="../media/image7.jpeg"/><Relationship Id="rId14" Type="http://schemas.openxmlformats.org/officeDocument/2006/relationships/image" Target="../media/image12.jpeg"/><Relationship Id="rId22" Type="http://schemas.openxmlformats.org/officeDocument/2006/relationships/image" Target="../media/image20.jpg"/><Relationship Id="rId27" Type="http://schemas.openxmlformats.org/officeDocument/2006/relationships/image" Target="../media/image25.jpg"/></Relationships>
</file>

<file path=xl/drawings/_rels/drawing2.xml.rels><?xml version="1.0" encoding="UTF-8" standalone="yes"?>
<Relationships xmlns="http://schemas.openxmlformats.org/package/2006/relationships"><Relationship Id="rId3" Type="http://schemas.openxmlformats.org/officeDocument/2006/relationships/image" Target="../media/image31.jpeg"/><Relationship Id="rId2" Type="http://schemas.openxmlformats.org/officeDocument/2006/relationships/image" Target="../media/image30.jpeg"/><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29.png"/></Relationships>
</file>

<file path=xl/drawings/_rels/drawing4.xml.rels><?xml version="1.0" encoding="UTF-8" standalone="yes"?>
<Relationships xmlns="http://schemas.openxmlformats.org/package/2006/relationships"><Relationship Id="rId1" Type="http://schemas.openxmlformats.org/officeDocument/2006/relationships/image" Target="../media/image29.png"/></Relationships>
</file>

<file path=xl/drawings/_rels/drawing5.xml.rels><?xml version="1.0" encoding="UTF-8" standalone="yes"?>
<Relationships xmlns="http://schemas.openxmlformats.org/package/2006/relationships"><Relationship Id="rId2" Type="http://schemas.openxmlformats.org/officeDocument/2006/relationships/image" Target="../media/image33.jpeg"/><Relationship Id="rId1" Type="http://schemas.openxmlformats.org/officeDocument/2006/relationships/image" Target="../media/image32.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5.png"/><Relationship Id="rId1" Type="http://schemas.openxmlformats.org/officeDocument/2006/relationships/image" Target="../media/image34.jpeg"/><Relationship Id="rId4" Type="http://schemas.openxmlformats.org/officeDocument/2006/relationships/image" Target="../media/image3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xdr:from>
      <xdr:col>15</xdr:col>
      <xdr:colOff>368217</xdr:colOff>
      <xdr:row>259</xdr:row>
      <xdr:rowOff>138545</xdr:rowOff>
    </xdr:from>
    <xdr:to>
      <xdr:col>17</xdr:col>
      <xdr:colOff>84403</xdr:colOff>
      <xdr:row>261</xdr:row>
      <xdr:rowOff>126877</xdr:rowOff>
    </xdr:to>
    <xdr:sp macro="" textlink="">
      <xdr:nvSpPr>
        <xdr:cNvPr id="28" name="Rectangle 27">
          <a:extLst>
            <a:ext uri="{FF2B5EF4-FFF2-40B4-BE49-F238E27FC236}">
              <a16:creationId xmlns:a16="http://schemas.microsoft.com/office/drawing/2014/main" id="{00000000-0008-0000-0000-00001C000000}"/>
            </a:ext>
          </a:extLst>
        </xdr:cNvPr>
        <xdr:cNvSpPr/>
      </xdr:nvSpPr>
      <xdr:spPr>
        <a:xfrm>
          <a:off x="9546853" y="41693522"/>
          <a:ext cx="928459"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 Wing </a:t>
          </a:r>
        </a:p>
      </xdr:txBody>
    </xdr:sp>
    <xdr:clientData/>
  </xdr:twoCellAnchor>
  <xdr:twoCellAnchor>
    <xdr:from>
      <xdr:col>15</xdr:col>
      <xdr:colOff>238990</xdr:colOff>
      <xdr:row>268</xdr:row>
      <xdr:rowOff>0</xdr:rowOff>
    </xdr:from>
    <xdr:to>
      <xdr:col>16</xdr:col>
      <xdr:colOff>553520</xdr:colOff>
      <xdr:row>268</xdr:row>
      <xdr:rowOff>187105</xdr:rowOff>
    </xdr:to>
    <xdr:sp macro="" textlink="">
      <xdr:nvSpPr>
        <xdr:cNvPr id="37" name="Rectangle 36">
          <a:extLst>
            <a:ext uri="{FF2B5EF4-FFF2-40B4-BE49-F238E27FC236}">
              <a16:creationId xmlns:a16="http://schemas.microsoft.com/office/drawing/2014/main" id="{00000000-0008-0000-0000-000025000000}"/>
            </a:ext>
          </a:extLst>
        </xdr:cNvPr>
        <xdr:cNvSpPr/>
      </xdr:nvSpPr>
      <xdr:spPr>
        <a:xfrm>
          <a:off x="9906865" y="44332814"/>
          <a:ext cx="924130"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C Wing </a:t>
          </a:r>
        </a:p>
      </xdr:txBody>
    </xdr:sp>
    <xdr:clientData/>
  </xdr:twoCellAnchor>
  <xdr:twoCellAnchor>
    <xdr:from>
      <xdr:col>11</xdr:col>
      <xdr:colOff>304580</xdr:colOff>
      <xdr:row>365</xdr:row>
      <xdr:rowOff>118509</xdr:rowOff>
    </xdr:from>
    <xdr:to>
      <xdr:col>13</xdr:col>
      <xdr:colOff>176630</xdr:colOff>
      <xdr:row>367</xdr:row>
      <xdr:rowOff>106841</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7711668" y="43765421"/>
          <a:ext cx="925403"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A Wing </a:t>
          </a:r>
        </a:p>
      </xdr:txBody>
    </xdr:sp>
    <xdr:clientData/>
  </xdr:twoCellAnchor>
  <xdr:twoCellAnchor>
    <xdr:from>
      <xdr:col>15</xdr:col>
      <xdr:colOff>368217</xdr:colOff>
      <xdr:row>361</xdr:row>
      <xdr:rowOff>138545</xdr:rowOff>
    </xdr:from>
    <xdr:to>
      <xdr:col>17</xdr:col>
      <xdr:colOff>84403</xdr:colOff>
      <xdr:row>363</xdr:row>
      <xdr:rowOff>126877</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10038893" y="43023457"/>
          <a:ext cx="926422"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 Wing </a:t>
          </a:r>
        </a:p>
      </xdr:txBody>
    </xdr:sp>
    <xdr:clientData/>
  </xdr:twoCellAnchor>
  <xdr:twoCellAnchor>
    <xdr:from>
      <xdr:col>10</xdr:col>
      <xdr:colOff>567817</xdr:colOff>
      <xdr:row>370</xdr:row>
      <xdr:rowOff>5941</xdr:rowOff>
    </xdr:from>
    <xdr:to>
      <xdr:col>12</xdr:col>
      <xdr:colOff>411292</xdr:colOff>
      <xdr:row>371</xdr:row>
      <xdr:rowOff>184773</xdr:rowOff>
    </xdr:to>
    <xdr:sp macro="" textlink="">
      <xdr:nvSpPr>
        <xdr:cNvPr id="33" name="Rectangle 32">
          <a:extLst>
            <a:ext uri="{FF2B5EF4-FFF2-40B4-BE49-F238E27FC236}">
              <a16:creationId xmlns:a16="http://schemas.microsoft.com/office/drawing/2014/main" id="{00000000-0008-0000-0000-000021000000}"/>
            </a:ext>
          </a:extLst>
        </xdr:cNvPr>
        <xdr:cNvSpPr/>
      </xdr:nvSpPr>
      <xdr:spPr>
        <a:xfrm>
          <a:off x="7336170" y="44605353"/>
          <a:ext cx="930446"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A Wing </a:t>
          </a:r>
        </a:p>
      </xdr:txBody>
    </xdr:sp>
    <xdr:clientData/>
  </xdr:twoCellAnchor>
  <xdr:twoCellAnchor>
    <xdr:from>
      <xdr:col>13</xdr:col>
      <xdr:colOff>58221</xdr:colOff>
      <xdr:row>369</xdr:row>
      <xdr:rowOff>150667</xdr:rowOff>
    </xdr:from>
    <xdr:to>
      <xdr:col>14</xdr:col>
      <xdr:colOff>379677</xdr:colOff>
      <xdr:row>371</xdr:row>
      <xdr:rowOff>138999</xdr:rowOff>
    </xdr:to>
    <xdr:sp macro="" textlink="">
      <xdr:nvSpPr>
        <xdr:cNvPr id="34" name="Rectangle 33">
          <a:extLst>
            <a:ext uri="{FF2B5EF4-FFF2-40B4-BE49-F238E27FC236}">
              <a16:creationId xmlns:a16="http://schemas.microsoft.com/office/drawing/2014/main" id="{00000000-0008-0000-0000-000022000000}"/>
            </a:ext>
          </a:extLst>
        </xdr:cNvPr>
        <xdr:cNvSpPr/>
      </xdr:nvSpPr>
      <xdr:spPr>
        <a:xfrm>
          <a:off x="8518662" y="44559579"/>
          <a:ext cx="926574"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 Wing </a:t>
          </a:r>
        </a:p>
      </xdr:txBody>
    </xdr:sp>
    <xdr:clientData/>
  </xdr:twoCellAnchor>
  <xdr:twoCellAnchor>
    <xdr:from>
      <xdr:col>15</xdr:col>
      <xdr:colOff>238990</xdr:colOff>
      <xdr:row>370</xdr:row>
      <xdr:rowOff>3464</xdr:rowOff>
    </xdr:from>
    <xdr:to>
      <xdr:col>16</xdr:col>
      <xdr:colOff>553520</xdr:colOff>
      <xdr:row>371</xdr:row>
      <xdr:rowOff>187105</xdr:rowOff>
    </xdr:to>
    <xdr:sp macro="" textlink="">
      <xdr:nvSpPr>
        <xdr:cNvPr id="40" name="Rectangle 39">
          <a:extLst>
            <a:ext uri="{FF2B5EF4-FFF2-40B4-BE49-F238E27FC236}">
              <a16:creationId xmlns:a16="http://schemas.microsoft.com/office/drawing/2014/main" id="{00000000-0008-0000-0000-000028000000}"/>
            </a:ext>
          </a:extLst>
        </xdr:cNvPr>
        <xdr:cNvSpPr/>
      </xdr:nvSpPr>
      <xdr:spPr>
        <a:xfrm>
          <a:off x="9909666" y="44602876"/>
          <a:ext cx="919648"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C Wing </a:t>
          </a:r>
        </a:p>
      </xdr:txBody>
    </xdr:sp>
    <xdr:clientData/>
  </xdr:twoCellAnchor>
  <xdr:twoCellAnchor>
    <xdr:from>
      <xdr:col>10</xdr:col>
      <xdr:colOff>523875</xdr:colOff>
      <xdr:row>376</xdr:row>
      <xdr:rowOff>98714</xdr:rowOff>
    </xdr:from>
    <xdr:to>
      <xdr:col>12</xdr:col>
      <xdr:colOff>367350</xdr:colOff>
      <xdr:row>378</xdr:row>
      <xdr:rowOff>91855</xdr:rowOff>
    </xdr:to>
    <xdr:sp macro="" textlink="">
      <xdr:nvSpPr>
        <xdr:cNvPr id="41" name="Rectangle 40">
          <a:extLst>
            <a:ext uri="{FF2B5EF4-FFF2-40B4-BE49-F238E27FC236}">
              <a16:creationId xmlns:a16="http://schemas.microsoft.com/office/drawing/2014/main" id="{00000000-0008-0000-0000-000029000000}"/>
            </a:ext>
          </a:extLst>
        </xdr:cNvPr>
        <xdr:cNvSpPr/>
      </xdr:nvSpPr>
      <xdr:spPr>
        <a:xfrm>
          <a:off x="7292228" y="45841126"/>
          <a:ext cx="930446"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D Wing </a:t>
          </a:r>
        </a:p>
      </xdr:txBody>
    </xdr:sp>
    <xdr:clientData/>
  </xdr:twoCellAnchor>
  <xdr:twoCellAnchor>
    <xdr:from>
      <xdr:col>11</xdr:col>
      <xdr:colOff>304580</xdr:colOff>
      <xdr:row>412</xdr:row>
      <xdr:rowOff>118509</xdr:rowOff>
    </xdr:from>
    <xdr:to>
      <xdr:col>13</xdr:col>
      <xdr:colOff>176630</xdr:colOff>
      <xdr:row>414</xdr:row>
      <xdr:rowOff>106841</xdr:rowOff>
    </xdr:to>
    <xdr:sp macro="" textlink="">
      <xdr:nvSpPr>
        <xdr:cNvPr id="42" name="Rectangle 41">
          <a:extLst>
            <a:ext uri="{FF2B5EF4-FFF2-40B4-BE49-F238E27FC236}">
              <a16:creationId xmlns:a16="http://schemas.microsoft.com/office/drawing/2014/main" id="{00000000-0008-0000-0000-00002A000000}"/>
            </a:ext>
          </a:extLst>
        </xdr:cNvPr>
        <xdr:cNvSpPr/>
      </xdr:nvSpPr>
      <xdr:spPr>
        <a:xfrm>
          <a:off x="7734080" y="54047327"/>
          <a:ext cx="928459"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A Wing </a:t>
          </a:r>
        </a:p>
      </xdr:txBody>
    </xdr:sp>
    <xdr:clientData/>
  </xdr:twoCellAnchor>
  <xdr:twoCellAnchor>
    <xdr:from>
      <xdr:col>15</xdr:col>
      <xdr:colOff>368217</xdr:colOff>
      <xdr:row>408</xdr:row>
      <xdr:rowOff>138545</xdr:rowOff>
    </xdr:from>
    <xdr:to>
      <xdr:col>17</xdr:col>
      <xdr:colOff>84403</xdr:colOff>
      <xdr:row>410</xdr:row>
      <xdr:rowOff>126877</xdr:rowOff>
    </xdr:to>
    <xdr:sp macro="" textlink="">
      <xdr:nvSpPr>
        <xdr:cNvPr id="43" name="Rectangle 42">
          <a:extLst>
            <a:ext uri="{FF2B5EF4-FFF2-40B4-BE49-F238E27FC236}">
              <a16:creationId xmlns:a16="http://schemas.microsoft.com/office/drawing/2014/main" id="{00000000-0008-0000-0000-00002B000000}"/>
            </a:ext>
          </a:extLst>
        </xdr:cNvPr>
        <xdr:cNvSpPr/>
      </xdr:nvSpPr>
      <xdr:spPr>
        <a:xfrm>
          <a:off x="10066399" y="53305363"/>
          <a:ext cx="928459"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 Wing </a:t>
          </a:r>
        </a:p>
      </xdr:txBody>
    </xdr:sp>
    <xdr:clientData/>
  </xdr:twoCellAnchor>
  <xdr:twoCellAnchor>
    <xdr:from>
      <xdr:col>10</xdr:col>
      <xdr:colOff>567817</xdr:colOff>
      <xdr:row>417</xdr:row>
      <xdr:rowOff>5941</xdr:rowOff>
    </xdr:from>
    <xdr:to>
      <xdr:col>12</xdr:col>
      <xdr:colOff>411292</xdr:colOff>
      <xdr:row>418</xdr:row>
      <xdr:rowOff>184773</xdr:rowOff>
    </xdr:to>
    <xdr:sp macro="" textlink="">
      <xdr:nvSpPr>
        <xdr:cNvPr id="44" name="Rectangle 43">
          <a:extLst>
            <a:ext uri="{FF2B5EF4-FFF2-40B4-BE49-F238E27FC236}">
              <a16:creationId xmlns:a16="http://schemas.microsoft.com/office/drawing/2014/main" id="{00000000-0008-0000-0000-00002C000000}"/>
            </a:ext>
          </a:extLst>
        </xdr:cNvPr>
        <xdr:cNvSpPr/>
      </xdr:nvSpPr>
      <xdr:spPr>
        <a:xfrm>
          <a:off x="7356544" y="54887259"/>
          <a:ext cx="934521"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A Wing </a:t>
          </a:r>
        </a:p>
      </xdr:txBody>
    </xdr:sp>
    <xdr:clientData/>
  </xdr:twoCellAnchor>
  <xdr:twoCellAnchor>
    <xdr:from>
      <xdr:col>13</xdr:col>
      <xdr:colOff>58221</xdr:colOff>
      <xdr:row>416</xdr:row>
      <xdr:rowOff>150667</xdr:rowOff>
    </xdr:from>
    <xdr:to>
      <xdr:col>14</xdr:col>
      <xdr:colOff>379677</xdr:colOff>
      <xdr:row>418</xdr:row>
      <xdr:rowOff>138999</xdr:rowOff>
    </xdr:to>
    <xdr:sp macro="" textlink="">
      <xdr:nvSpPr>
        <xdr:cNvPr id="45" name="Rectangle 44">
          <a:extLst>
            <a:ext uri="{FF2B5EF4-FFF2-40B4-BE49-F238E27FC236}">
              <a16:creationId xmlns:a16="http://schemas.microsoft.com/office/drawing/2014/main" id="{00000000-0008-0000-0000-00002D000000}"/>
            </a:ext>
          </a:extLst>
        </xdr:cNvPr>
        <xdr:cNvSpPr/>
      </xdr:nvSpPr>
      <xdr:spPr>
        <a:xfrm>
          <a:off x="8544130" y="54841485"/>
          <a:ext cx="927592"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 Wing </a:t>
          </a:r>
        </a:p>
      </xdr:txBody>
    </xdr:sp>
    <xdr:clientData/>
  </xdr:twoCellAnchor>
  <xdr:twoCellAnchor>
    <xdr:from>
      <xdr:col>15</xdr:col>
      <xdr:colOff>238990</xdr:colOff>
      <xdr:row>417</xdr:row>
      <xdr:rowOff>3464</xdr:rowOff>
    </xdr:from>
    <xdr:to>
      <xdr:col>16</xdr:col>
      <xdr:colOff>553520</xdr:colOff>
      <xdr:row>418</xdr:row>
      <xdr:rowOff>187105</xdr:rowOff>
    </xdr:to>
    <xdr:sp macro="" textlink="">
      <xdr:nvSpPr>
        <xdr:cNvPr id="46" name="Rectangle 45">
          <a:extLst>
            <a:ext uri="{FF2B5EF4-FFF2-40B4-BE49-F238E27FC236}">
              <a16:creationId xmlns:a16="http://schemas.microsoft.com/office/drawing/2014/main" id="{00000000-0008-0000-0000-00002E000000}"/>
            </a:ext>
          </a:extLst>
        </xdr:cNvPr>
        <xdr:cNvSpPr/>
      </xdr:nvSpPr>
      <xdr:spPr>
        <a:xfrm>
          <a:off x="9937172" y="54884782"/>
          <a:ext cx="920666"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C Wing </a:t>
          </a:r>
        </a:p>
      </xdr:txBody>
    </xdr:sp>
    <xdr:clientData/>
  </xdr:twoCellAnchor>
  <xdr:twoCellAnchor>
    <xdr:from>
      <xdr:col>10</xdr:col>
      <xdr:colOff>523875</xdr:colOff>
      <xdr:row>423</xdr:row>
      <xdr:rowOff>98714</xdr:rowOff>
    </xdr:from>
    <xdr:to>
      <xdr:col>12</xdr:col>
      <xdr:colOff>367350</xdr:colOff>
      <xdr:row>425</xdr:row>
      <xdr:rowOff>91855</xdr:rowOff>
    </xdr:to>
    <xdr:sp macro="" textlink="">
      <xdr:nvSpPr>
        <xdr:cNvPr id="47" name="Rectangle 46">
          <a:extLst>
            <a:ext uri="{FF2B5EF4-FFF2-40B4-BE49-F238E27FC236}">
              <a16:creationId xmlns:a16="http://schemas.microsoft.com/office/drawing/2014/main" id="{00000000-0008-0000-0000-00002F000000}"/>
            </a:ext>
          </a:extLst>
        </xdr:cNvPr>
        <xdr:cNvSpPr/>
      </xdr:nvSpPr>
      <xdr:spPr>
        <a:xfrm>
          <a:off x="7312602" y="56123032"/>
          <a:ext cx="934521"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D Wing </a:t>
          </a:r>
        </a:p>
      </xdr:txBody>
    </xdr:sp>
    <xdr:clientData/>
  </xdr:twoCellAnchor>
  <xdr:twoCellAnchor editAs="oneCell">
    <xdr:from>
      <xdr:col>2</xdr:col>
      <xdr:colOff>69875</xdr:colOff>
      <xdr:row>404</xdr:row>
      <xdr:rowOff>37810</xdr:rowOff>
    </xdr:from>
    <xdr:to>
      <xdr:col>7</xdr:col>
      <xdr:colOff>100692</xdr:colOff>
      <xdr:row>432</xdr:row>
      <xdr:rowOff>140607</xdr:rowOff>
    </xdr:to>
    <xdr:pic>
      <xdr:nvPicPr>
        <xdr:cNvPr id="58" name="Picture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4700"/>
                  </a14:imgEffect>
                  <a14:imgEffect>
                    <a14:brightnessContrast contrast="40000"/>
                  </a14:imgEffect>
                </a14:imgLayer>
              </a14:imgProps>
            </a:ext>
          </a:extLst>
        </a:blip>
        <a:stretch>
          <a:fillRect/>
        </a:stretch>
      </xdr:blipFill>
      <xdr:spPr>
        <a:xfrm rot="16200000">
          <a:off x="694285" y="85335250"/>
          <a:ext cx="5258997" cy="3269317"/>
        </a:xfrm>
        <a:prstGeom prst="rect">
          <a:avLst/>
        </a:prstGeom>
        <a:ln w="9525">
          <a:solidFill>
            <a:schemeClr val="tx1"/>
          </a:solidFill>
        </a:ln>
      </xdr:spPr>
    </xdr:pic>
    <xdr:clientData/>
  </xdr:twoCellAnchor>
  <xdr:twoCellAnchor editAs="oneCell">
    <xdr:from>
      <xdr:col>1</xdr:col>
      <xdr:colOff>813955</xdr:colOff>
      <xdr:row>390</xdr:row>
      <xdr:rowOff>161925</xdr:rowOff>
    </xdr:from>
    <xdr:to>
      <xdr:col>7</xdr:col>
      <xdr:colOff>266967</xdr:colOff>
      <xdr:row>403</xdr:row>
      <xdr:rowOff>101600</xdr:rowOff>
    </xdr:to>
    <xdr:pic>
      <xdr:nvPicPr>
        <xdr:cNvPr id="59" name="Pictur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4700"/>
                  </a14:imgEffect>
                  <a14:imgEffect>
                    <a14:brightnessContrast contrast="20000"/>
                  </a14:imgEffect>
                </a14:imgLayer>
              </a14:imgProps>
            </a:ext>
          </a:extLst>
        </a:blip>
        <a:stretch>
          <a:fillRect/>
        </a:stretch>
      </xdr:blipFill>
      <xdr:spPr>
        <a:xfrm>
          <a:off x="1423555" y="81886425"/>
          <a:ext cx="3701162" cy="2333625"/>
        </a:xfrm>
        <a:prstGeom prst="rect">
          <a:avLst/>
        </a:prstGeom>
        <a:ln w="9525">
          <a:solidFill>
            <a:schemeClr val="tx1"/>
          </a:solidFill>
        </a:ln>
      </xdr:spPr>
    </xdr:pic>
    <xdr:clientData/>
  </xdr:twoCellAnchor>
  <xdr:twoCellAnchor>
    <xdr:from>
      <xdr:col>2</xdr:col>
      <xdr:colOff>654613</xdr:colOff>
      <xdr:row>409</xdr:row>
      <xdr:rowOff>90092</xdr:rowOff>
    </xdr:from>
    <xdr:to>
      <xdr:col>4</xdr:col>
      <xdr:colOff>45013</xdr:colOff>
      <xdr:row>415</xdr:row>
      <xdr:rowOff>150417</xdr:rowOff>
    </xdr:to>
    <xdr:sp macro="" textlink="">
      <xdr:nvSpPr>
        <xdr:cNvPr id="60" name="Rectangle 59">
          <a:extLst>
            <a:ext uri="{FF2B5EF4-FFF2-40B4-BE49-F238E27FC236}">
              <a16:creationId xmlns:a16="http://schemas.microsoft.com/office/drawing/2014/main" id="{00000000-0008-0000-0000-00003C000000}"/>
            </a:ext>
          </a:extLst>
        </xdr:cNvPr>
        <xdr:cNvSpPr/>
      </xdr:nvSpPr>
      <xdr:spPr>
        <a:xfrm rot="2286070">
          <a:off x="2273863" y="85313442"/>
          <a:ext cx="908050" cy="1165225"/>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4</xdr:col>
      <xdr:colOff>386906</xdr:colOff>
      <xdr:row>413</xdr:row>
      <xdr:rowOff>151682</xdr:rowOff>
    </xdr:from>
    <xdr:to>
      <xdr:col>6</xdr:col>
      <xdr:colOff>99157</xdr:colOff>
      <xdr:row>422</xdr:row>
      <xdr:rowOff>8850</xdr:rowOff>
    </xdr:to>
    <xdr:sp macro="" textlink="">
      <xdr:nvSpPr>
        <xdr:cNvPr id="61" name="Rectangle 60">
          <a:extLst>
            <a:ext uri="{FF2B5EF4-FFF2-40B4-BE49-F238E27FC236}">
              <a16:creationId xmlns:a16="http://schemas.microsoft.com/office/drawing/2014/main" id="{00000000-0008-0000-0000-00003D000000}"/>
            </a:ext>
          </a:extLst>
        </xdr:cNvPr>
        <xdr:cNvSpPr/>
      </xdr:nvSpPr>
      <xdr:spPr>
        <a:xfrm>
          <a:off x="3523806" y="86111632"/>
          <a:ext cx="747301" cy="1514518"/>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3</xdr:col>
      <xdr:colOff>342778</xdr:colOff>
      <xdr:row>407</xdr:row>
      <xdr:rowOff>171014</xdr:rowOff>
    </xdr:from>
    <xdr:to>
      <xdr:col>6</xdr:col>
      <xdr:colOff>192963</xdr:colOff>
      <xdr:row>412</xdr:row>
      <xdr:rowOff>166253</xdr:rowOff>
    </xdr:to>
    <xdr:sp macro="" textlink="">
      <xdr:nvSpPr>
        <xdr:cNvPr id="62" name="Freeform 61">
          <a:extLst>
            <a:ext uri="{FF2B5EF4-FFF2-40B4-BE49-F238E27FC236}">
              <a16:creationId xmlns:a16="http://schemas.microsoft.com/office/drawing/2014/main" id="{00000000-0008-0000-0000-00003E000000}"/>
            </a:ext>
          </a:extLst>
        </xdr:cNvPr>
        <xdr:cNvSpPr/>
      </xdr:nvSpPr>
      <xdr:spPr>
        <a:xfrm>
          <a:off x="2971678" y="85026064"/>
          <a:ext cx="1393235" cy="915989"/>
        </a:xfrm>
        <a:custGeom>
          <a:avLst/>
          <a:gdLst>
            <a:gd name="connsiteX0" fmla="*/ 0 w 1352550"/>
            <a:gd name="connsiteY0" fmla="*/ 171450 h 1000125"/>
            <a:gd name="connsiteX1" fmla="*/ 1147763 w 1352550"/>
            <a:gd name="connsiteY1" fmla="*/ 0 h 1000125"/>
            <a:gd name="connsiteX2" fmla="*/ 1266825 w 1352550"/>
            <a:gd name="connsiteY2" fmla="*/ 4763 h 1000125"/>
            <a:gd name="connsiteX3" fmla="*/ 1304925 w 1352550"/>
            <a:gd name="connsiteY3" fmla="*/ 66675 h 1000125"/>
            <a:gd name="connsiteX4" fmla="*/ 1333500 w 1352550"/>
            <a:gd name="connsiteY4" fmla="*/ 123825 h 1000125"/>
            <a:gd name="connsiteX5" fmla="*/ 1352550 w 1352550"/>
            <a:gd name="connsiteY5" fmla="*/ 981075 h 1000125"/>
            <a:gd name="connsiteX6" fmla="*/ 728663 w 1352550"/>
            <a:gd name="connsiteY6" fmla="*/ 1000125 h 1000125"/>
            <a:gd name="connsiteX7" fmla="*/ 709613 w 1352550"/>
            <a:gd name="connsiteY7" fmla="*/ 585788 h 1000125"/>
            <a:gd name="connsiteX8" fmla="*/ 271463 w 1352550"/>
            <a:gd name="connsiteY8" fmla="*/ 638175 h 1000125"/>
            <a:gd name="connsiteX9" fmla="*/ 0 w 1352550"/>
            <a:gd name="connsiteY9" fmla="*/ 171450 h 10001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352550" h="1000125">
              <a:moveTo>
                <a:pt x="0" y="171450"/>
              </a:moveTo>
              <a:lnTo>
                <a:pt x="1147763" y="0"/>
              </a:lnTo>
              <a:lnTo>
                <a:pt x="1266825" y="4763"/>
              </a:lnTo>
              <a:lnTo>
                <a:pt x="1304925" y="66675"/>
              </a:lnTo>
              <a:lnTo>
                <a:pt x="1333500" y="123825"/>
              </a:lnTo>
              <a:lnTo>
                <a:pt x="1352550" y="981075"/>
              </a:lnTo>
              <a:lnTo>
                <a:pt x="728663" y="1000125"/>
              </a:lnTo>
              <a:lnTo>
                <a:pt x="709613" y="585788"/>
              </a:lnTo>
              <a:lnTo>
                <a:pt x="271463" y="638175"/>
              </a:lnTo>
              <a:lnTo>
                <a:pt x="0" y="171450"/>
              </a:lnTo>
              <a:close/>
            </a:path>
          </a:pathLst>
        </a:cu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2</xdr:col>
      <xdr:colOff>564706</xdr:colOff>
      <xdr:row>421</xdr:row>
      <xdr:rowOff>179613</xdr:rowOff>
    </xdr:from>
    <xdr:to>
      <xdr:col>6</xdr:col>
      <xdr:colOff>92807</xdr:colOff>
      <xdr:row>430</xdr:row>
      <xdr:rowOff>170543</xdr:rowOff>
    </xdr:to>
    <xdr:sp macro="" textlink="">
      <xdr:nvSpPr>
        <xdr:cNvPr id="63" name="Freeform 62">
          <a:extLst>
            <a:ext uri="{FF2B5EF4-FFF2-40B4-BE49-F238E27FC236}">
              <a16:creationId xmlns:a16="http://schemas.microsoft.com/office/drawing/2014/main" id="{00000000-0008-0000-0000-00003F000000}"/>
            </a:ext>
          </a:extLst>
        </xdr:cNvPr>
        <xdr:cNvSpPr/>
      </xdr:nvSpPr>
      <xdr:spPr>
        <a:xfrm>
          <a:off x="2183956" y="87612763"/>
          <a:ext cx="2080801" cy="1648280"/>
        </a:xfrm>
        <a:custGeom>
          <a:avLst/>
          <a:gdLst>
            <a:gd name="connsiteX0" fmla="*/ 1252537 w 1943100"/>
            <a:gd name="connsiteY0" fmla="*/ 0 h 1909763"/>
            <a:gd name="connsiteX1" fmla="*/ 1943100 w 1943100"/>
            <a:gd name="connsiteY1" fmla="*/ 4763 h 1909763"/>
            <a:gd name="connsiteX2" fmla="*/ 1928812 w 1943100"/>
            <a:gd name="connsiteY2" fmla="*/ 1595438 h 1909763"/>
            <a:gd name="connsiteX3" fmla="*/ 1776412 w 1943100"/>
            <a:gd name="connsiteY3" fmla="*/ 1909763 h 1909763"/>
            <a:gd name="connsiteX4" fmla="*/ 0 w 1943100"/>
            <a:gd name="connsiteY4" fmla="*/ 1243013 h 1909763"/>
            <a:gd name="connsiteX5" fmla="*/ 233362 w 1943100"/>
            <a:gd name="connsiteY5" fmla="*/ 704850 h 1909763"/>
            <a:gd name="connsiteX6" fmla="*/ 1304925 w 1943100"/>
            <a:gd name="connsiteY6" fmla="*/ 1028700 h 1909763"/>
            <a:gd name="connsiteX7" fmla="*/ 1252537 w 1943100"/>
            <a:gd name="connsiteY7" fmla="*/ 0 h 1909763"/>
            <a:gd name="connsiteX0" fmla="*/ 1252537 w 1943100"/>
            <a:gd name="connsiteY0" fmla="*/ 0 h 1909763"/>
            <a:gd name="connsiteX1" fmla="*/ 1943100 w 1943100"/>
            <a:gd name="connsiteY1" fmla="*/ 4763 h 1909763"/>
            <a:gd name="connsiteX2" fmla="*/ 1928812 w 1943100"/>
            <a:gd name="connsiteY2" fmla="*/ 1595438 h 1909763"/>
            <a:gd name="connsiteX3" fmla="*/ 1776412 w 1943100"/>
            <a:gd name="connsiteY3" fmla="*/ 1909763 h 1909763"/>
            <a:gd name="connsiteX4" fmla="*/ 0 w 1943100"/>
            <a:gd name="connsiteY4" fmla="*/ 1243013 h 1909763"/>
            <a:gd name="connsiteX5" fmla="*/ 233362 w 1943100"/>
            <a:gd name="connsiteY5" fmla="*/ 704850 h 1909763"/>
            <a:gd name="connsiteX6" fmla="*/ 1266825 w 1943100"/>
            <a:gd name="connsiteY6" fmla="*/ 1019175 h 1909763"/>
            <a:gd name="connsiteX7" fmla="*/ 1252537 w 1943100"/>
            <a:gd name="connsiteY7" fmla="*/ 0 h 19097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943100" h="1909763">
              <a:moveTo>
                <a:pt x="1252537" y="0"/>
              </a:moveTo>
              <a:lnTo>
                <a:pt x="1943100" y="4763"/>
              </a:lnTo>
              <a:lnTo>
                <a:pt x="1928812" y="1595438"/>
              </a:lnTo>
              <a:lnTo>
                <a:pt x="1776412" y="1909763"/>
              </a:lnTo>
              <a:lnTo>
                <a:pt x="0" y="1243013"/>
              </a:lnTo>
              <a:lnTo>
                <a:pt x="233362" y="704850"/>
              </a:lnTo>
              <a:lnTo>
                <a:pt x="1266825" y="1019175"/>
              </a:lnTo>
              <a:lnTo>
                <a:pt x="1252537" y="0"/>
              </a:lnTo>
              <a:close/>
            </a:path>
          </a:pathLst>
        </a:cu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noFill/>
          </a:endParaRPr>
        </a:p>
      </xdr:txBody>
    </xdr:sp>
    <xdr:clientData/>
  </xdr:twoCellAnchor>
  <xdr:twoCellAnchor>
    <xdr:from>
      <xdr:col>2</xdr:col>
      <xdr:colOff>498693</xdr:colOff>
      <xdr:row>408</xdr:row>
      <xdr:rowOff>129478</xdr:rowOff>
    </xdr:from>
    <xdr:to>
      <xdr:col>2</xdr:col>
      <xdr:colOff>771770</xdr:colOff>
      <xdr:row>412</xdr:row>
      <xdr:rowOff>7852</xdr:rowOff>
    </xdr:to>
    <xdr:sp macro="" textlink="">
      <xdr:nvSpPr>
        <xdr:cNvPr id="64" name="TextBox 16">
          <a:extLst>
            <a:ext uri="{FF2B5EF4-FFF2-40B4-BE49-F238E27FC236}">
              <a16:creationId xmlns:a16="http://schemas.microsoft.com/office/drawing/2014/main" id="{00000000-0008-0000-0000-000040000000}"/>
            </a:ext>
          </a:extLst>
        </xdr:cNvPr>
        <xdr:cNvSpPr txBox="1"/>
      </xdr:nvSpPr>
      <xdr:spPr>
        <a:xfrm rot="18600186">
          <a:off x="1946995" y="85339626"/>
          <a:ext cx="614974" cy="2730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C00000"/>
              </a:solidFill>
            </a:rPr>
            <a:t>Wing C</a:t>
          </a:r>
          <a:endParaRPr lang="en-IN" sz="1200" b="1">
            <a:solidFill>
              <a:srgbClr val="C00000"/>
            </a:solidFill>
          </a:endParaRPr>
        </a:p>
      </xdr:txBody>
    </xdr:sp>
    <xdr:clientData/>
  </xdr:twoCellAnchor>
  <xdr:twoCellAnchor>
    <xdr:from>
      <xdr:col>4</xdr:col>
      <xdr:colOff>157408</xdr:colOff>
      <xdr:row>406</xdr:row>
      <xdr:rowOff>154933</xdr:rowOff>
    </xdr:from>
    <xdr:to>
      <xdr:col>5</xdr:col>
      <xdr:colOff>407257</xdr:colOff>
      <xdr:row>408</xdr:row>
      <xdr:rowOff>57282</xdr:rowOff>
    </xdr:to>
    <xdr:sp macro="" textlink="">
      <xdr:nvSpPr>
        <xdr:cNvPr id="65" name="TextBox 17">
          <a:extLst>
            <a:ext uri="{FF2B5EF4-FFF2-40B4-BE49-F238E27FC236}">
              <a16:creationId xmlns:a16="http://schemas.microsoft.com/office/drawing/2014/main" id="{00000000-0008-0000-0000-000041000000}"/>
            </a:ext>
          </a:extLst>
        </xdr:cNvPr>
        <xdr:cNvSpPr txBox="1"/>
      </xdr:nvSpPr>
      <xdr:spPr>
        <a:xfrm rot="21278504">
          <a:off x="3294308" y="84825833"/>
          <a:ext cx="656249" cy="27064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C00000"/>
              </a:solidFill>
            </a:rPr>
            <a:t>Wing B</a:t>
          </a:r>
          <a:endParaRPr lang="en-IN" sz="1200" b="1">
            <a:solidFill>
              <a:srgbClr val="C00000"/>
            </a:solidFill>
          </a:endParaRPr>
        </a:p>
      </xdr:txBody>
    </xdr:sp>
    <xdr:clientData/>
  </xdr:twoCellAnchor>
  <xdr:twoCellAnchor>
    <xdr:from>
      <xdr:col>4</xdr:col>
      <xdr:colOff>109907</xdr:colOff>
      <xdr:row>416</xdr:row>
      <xdr:rowOff>118300</xdr:rowOff>
    </xdr:from>
    <xdr:to>
      <xdr:col>4</xdr:col>
      <xdr:colOff>386906</xdr:colOff>
      <xdr:row>420</xdr:row>
      <xdr:rowOff>31289</xdr:rowOff>
    </xdr:to>
    <xdr:sp macro="" textlink="">
      <xdr:nvSpPr>
        <xdr:cNvPr id="66" name="TextBox 18">
          <a:extLst>
            <a:ext uri="{FF2B5EF4-FFF2-40B4-BE49-F238E27FC236}">
              <a16:creationId xmlns:a16="http://schemas.microsoft.com/office/drawing/2014/main" id="{00000000-0008-0000-0000-000042000000}"/>
            </a:ext>
          </a:extLst>
        </xdr:cNvPr>
        <xdr:cNvSpPr txBox="1"/>
      </xdr:nvSpPr>
      <xdr:spPr>
        <a:xfrm rot="16200000">
          <a:off x="3060512" y="86816995"/>
          <a:ext cx="649589"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C00000"/>
              </a:solidFill>
            </a:rPr>
            <a:t>Wing A</a:t>
          </a:r>
          <a:endParaRPr lang="en-IN" sz="1200" b="1">
            <a:solidFill>
              <a:srgbClr val="C00000"/>
            </a:solidFill>
          </a:endParaRPr>
        </a:p>
      </xdr:txBody>
    </xdr:sp>
    <xdr:clientData/>
  </xdr:twoCellAnchor>
  <xdr:twoCellAnchor>
    <xdr:from>
      <xdr:col>3</xdr:col>
      <xdr:colOff>144891</xdr:colOff>
      <xdr:row>424</xdr:row>
      <xdr:rowOff>24976</xdr:rowOff>
    </xdr:from>
    <xdr:to>
      <xdr:col>4</xdr:col>
      <xdr:colOff>334105</xdr:colOff>
      <xdr:row>425</xdr:row>
      <xdr:rowOff>102403</xdr:rowOff>
    </xdr:to>
    <xdr:sp macro="" textlink="">
      <xdr:nvSpPr>
        <xdr:cNvPr id="67" name="TextBox 19">
          <a:extLst>
            <a:ext uri="{FF2B5EF4-FFF2-40B4-BE49-F238E27FC236}">
              <a16:creationId xmlns:a16="http://schemas.microsoft.com/office/drawing/2014/main" id="{00000000-0008-0000-0000-000043000000}"/>
            </a:ext>
          </a:extLst>
        </xdr:cNvPr>
        <xdr:cNvSpPr txBox="1"/>
      </xdr:nvSpPr>
      <xdr:spPr>
        <a:xfrm rot="1004117">
          <a:off x="2773791" y="88010576"/>
          <a:ext cx="697214" cy="2615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C00000"/>
              </a:solidFill>
            </a:rPr>
            <a:t>Wing E</a:t>
          </a:r>
          <a:endParaRPr lang="en-IN" sz="1200" b="1">
            <a:solidFill>
              <a:srgbClr val="C00000"/>
            </a:solidFill>
          </a:endParaRPr>
        </a:p>
      </xdr:txBody>
    </xdr:sp>
    <xdr:clientData/>
  </xdr:twoCellAnchor>
  <xdr:twoCellAnchor editAs="oneCell">
    <xdr:from>
      <xdr:col>1</xdr:col>
      <xdr:colOff>271865</xdr:colOff>
      <xdr:row>439</xdr:row>
      <xdr:rowOff>177513</xdr:rowOff>
    </xdr:from>
    <xdr:to>
      <xdr:col>8</xdr:col>
      <xdr:colOff>206683</xdr:colOff>
      <xdr:row>458</xdr:row>
      <xdr:rowOff>121982</xdr:rowOff>
    </xdr:to>
    <xdr:pic>
      <xdr:nvPicPr>
        <xdr:cNvPr id="69" name="Picture 68">
          <a:extLst>
            <a:ext uri="{FF2B5EF4-FFF2-40B4-BE49-F238E27FC236}">
              <a16:creationId xmlns:a16="http://schemas.microsoft.com/office/drawing/2014/main" id="{00000000-0008-0000-0000-000045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860683" y="91478968"/>
          <a:ext cx="4680000" cy="3563969"/>
        </a:xfrm>
        <a:prstGeom prst="rect">
          <a:avLst/>
        </a:prstGeom>
        <a:ln w="9525">
          <a:solidFill>
            <a:schemeClr val="tx1"/>
          </a:solidFill>
        </a:ln>
      </xdr:spPr>
    </xdr:pic>
    <xdr:clientData/>
  </xdr:twoCellAnchor>
  <xdr:twoCellAnchor>
    <xdr:from>
      <xdr:col>0</xdr:col>
      <xdr:colOff>368912</xdr:colOff>
      <xdr:row>459</xdr:row>
      <xdr:rowOff>113561</xdr:rowOff>
    </xdr:from>
    <xdr:to>
      <xdr:col>9</xdr:col>
      <xdr:colOff>346399</xdr:colOff>
      <xdr:row>481</xdr:row>
      <xdr:rowOff>89076</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368912" y="94540601"/>
          <a:ext cx="5982047" cy="3998875"/>
          <a:chOff x="397487" y="95858861"/>
          <a:chExt cx="5806787" cy="4166515"/>
        </a:xfrm>
      </xdr:grpSpPr>
      <xdr:pic>
        <xdr:nvPicPr>
          <xdr:cNvPr id="68" name="Picture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6"/>
          <a:stretch>
            <a:fillRect/>
          </a:stretch>
        </xdr:blipFill>
        <xdr:spPr>
          <a:xfrm>
            <a:off x="397487" y="95858861"/>
            <a:ext cx="5806787" cy="4166515"/>
          </a:xfrm>
          <a:prstGeom prst="rect">
            <a:avLst/>
          </a:prstGeom>
          <a:ln w="9525">
            <a:solidFill>
              <a:schemeClr val="tx1"/>
            </a:solidFill>
          </a:ln>
        </xdr:spPr>
      </xdr:pic>
      <xdr:sp macro="" textlink="">
        <xdr:nvSpPr>
          <xdr:cNvPr id="2" name="Rectangle 1">
            <a:extLst>
              <a:ext uri="{FF2B5EF4-FFF2-40B4-BE49-F238E27FC236}">
                <a16:creationId xmlns:a16="http://schemas.microsoft.com/office/drawing/2014/main" id="{00000000-0008-0000-0000-000002000000}"/>
              </a:ext>
            </a:extLst>
          </xdr:cNvPr>
          <xdr:cNvSpPr/>
        </xdr:nvSpPr>
        <xdr:spPr>
          <a:xfrm rot="20518188">
            <a:off x="2131635" y="98245620"/>
            <a:ext cx="1892785" cy="1052405"/>
          </a:xfrm>
          <a:prstGeom prst="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2</xdr:col>
      <xdr:colOff>315092</xdr:colOff>
      <xdr:row>416</xdr:row>
      <xdr:rowOff>1095</xdr:rowOff>
    </xdr:from>
    <xdr:to>
      <xdr:col>3</xdr:col>
      <xdr:colOff>104885</xdr:colOff>
      <xdr:row>420</xdr:row>
      <xdr:rowOff>93060</xdr:rowOff>
    </xdr:to>
    <xdr:sp macro="" textlink="">
      <xdr:nvSpPr>
        <xdr:cNvPr id="71" name="Rectangle 70">
          <a:extLst>
            <a:ext uri="{FF2B5EF4-FFF2-40B4-BE49-F238E27FC236}">
              <a16:creationId xmlns:a16="http://schemas.microsoft.com/office/drawing/2014/main" id="{00000000-0008-0000-0000-000047000000}"/>
            </a:ext>
          </a:extLst>
        </xdr:cNvPr>
        <xdr:cNvSpPr/>
      </xdr:nvSpPr>
      <xdr:spPr>
        <a:xfrm rot="1011675">
          <a:off x="1934342" y="86513495"/>
          <a:ext cx="799443" cy="828565"/>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2</xdr:col>
      <xdr:colOff>107892</xdr:colOff>
      <xdr:row>414</xdr:row>
      <xdr:rowOff>138926</xdr:rowOff>
    </xdr:from>
    <xdr:to>
      <xdr:col>2</xdr:col>
      <xdr:colOff>388097</xdr:colOff>
      <xdr:row>418</xdr:row>
      <xdr:rowOff>115111</xdr:rowOff>
    </xdr:to>
    <xdr:sp macro="" textlink="">
      <xdr:nvSpPr>
        <xdr:cNvPr id="72" name="TextBox 16">
          <a:extLst>
            <a:ext uri="{FF2B5EF4-FFF2-40B4-BE49-F238E27FC236}">
              <a16:creationId xmlns:a16="http://schemas.microsoft.com/office/drawing/2014/main" id="{00000000-0008-0000-0000-000048000000}"/>
            </a:ext>
          </a:extLst>
        </xdr:cNvPr>
        <xdr:cNvSpPr txBox="1"/>
      </xdr:nvSpPr>
      <xdr:spPr>
        <a:xfrm rot="17115778">
          <a:off x="1510852" y="86499316"/>
          <a:ext cx="712785" cy="28020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C00000"/>
              </a:solidFill>
            </a:rPr>
            <a:t>Wing D</a:t>
          </a:r>
          <a:endParaRPr lang="en-IN" sz="1200" b="1">
            <a:solidFill>
              <a:srgbClr val="C00000"/>
            </a:solidFill>
          </a:endParaRPr>
        </a:p>
      </xdr:txBody>
    </xdr:sp>
    <xdr:clientData/>
  </xdr:twoCellAnchor>
  <xdr:twoCellAnchor editAs="oneCell">
    <xdr:from>
      <xdr:col>10</xdr:col>
      <xdr:colOff>209550</xdr:colOff>
      <xdr:row>111</xdr:row>
      <xdr:rowOff>9525</xdr:rowOff>
    </xdr:from>
    <xdr:to>
      <xdr:col>16</xdr:col>
      <xdr:colOff>208750</xdr:colOff>
      <xdr:row>129</xdr:row>
      <xdr:rowOff>9075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6962775" y="28013025"/>
          <a:ext cx="6400000" cy="3600000"/>
        </a:xfrm>
        <a:prstGeom prst="rect">
          <a:avLst/>
        </a:prstGeom>
      </xdr:spPr>
    </xdr:pic>
    <xdr:clientData/>
  </xdr:twoCellAnchor>
  <xdr:twoCellAnchor editAs="oneCell">
    <xdr:from>
      <xdr:col>10</xdr:col>
      <xdr:colOff>200025</xdr:colOff>
      <xdr:row>43</xdr:row>
      <xdr:rowOff>361950</xdr:rowOff>
    </xdr:from>
    <xdr:to>
      <xdr:col>16</xdr:col>
      <xdr:colOff>199225</xdr:colOff>
      <xdr:row>48</xdr:row>
      <xdr:rowOff>923475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6953250" y="10115550"/>
          <a:ext cx="6400000" cy="3600000"/>
        </a:xfrm>
        <a:prstGeom prst="rect">
          <a:avLst/>
        </a:prstGeom>
      </xdr:spPr>
    </xdr:pic>
    <xdr:clientData/>
  </xdr:twoCellAnchor>
  <xdr:twoCellAnchor>
    <xdr:from>
      <xdr:col>10</xdr:col>
      <xdr:colOff>741045</xdr:colOff>
      <xdr:row>343</xdr:row>
      <xdr:rowOff>139066</xdr:rowOff>
    </xdr:from>
    <xdr:to>
      <xdr:col>16</xdr:col>
      <xdr:colOff>581025</xdr:colOff>
      <xdr:row>388</xdr:row>
      <xdr:rowOff>100966</xdr:rowOff>
    </xdr:to>
    <xdr:grpSp>
      <xdr:nvGrpSpPr>
        <xdr:cNvPr id="53" name="Group 52">
          <a:extLst>
            <a:ext uri="{FF2B5EF4-FFF2-40B4-BE49-F238E27FC236}">
              <a16:creationId xmlns:a16="http://schemas.microsoft.com/office/drawing/2014/main" id="{D1E315FD-B89F-4D36-90ED-11DE501CE960}"/>
            </a:ext>
          </a:extLst>
        </xdr:cNvPr>
        <xdr:cNvGrpSpPr/>
      </xdr:nvGrpSpPr>
      <xdr:grpSpPr>
        <a:xfrm>
          <a:off x="7698105" y="73352026"/>
          <a:ext cx="6423660" cy="8191500"/>
          <a:chOff x="224116" y="286871"/>
          <a:chExt cx="6255762" cy="8790777"/>
        </a:xfrm>
      </xdr:grpSpPr>
      <xdr:grpSp>
        <xdr:nvGrpSpPr>
          <xdr:cNvPr id="54" name="Group 53">
            <a:extLst>
              <a:ext uri="{FF2B5EF4-FFF2-40B4-BE49-F238E27FC236}">
                <a16:creationId xmlns:a16="http://schemas.microsoft.com/office/drawing/2014/main" id="{987AB23C-DE77-4F8D-9198-C30954D71D91}"/>
              </a:ext>
            </a:extLst>
          </xdr:cNvPr>
          <xdr:cNvGrpSpPr/>
        </xdr:nvGrpSpPr>
        <xdr:grpSpPr>
          <a:xfrm>
            <a:off x="224116" y="286871"/>
            <a:ext cx="6255762" cy="8790777"/>
            <a:chOff x="224116" y="286871"/>
            <a:chExt cx="6255762" cy="8790777"/>
          </a:xfrm>
        </xdr:grpSpPr>
        <xdr:pic>
          <xdr:nvPicPr>
            <xdr:cNvPr id="75" name="Picture 74">
              <a:extLst>
                <a:ext uri="{FF2B5EF4-FFF2-40B4-BE49-F238E27FC236}">
                  <a16:creationId xmlns:a16="http://schemas.microsoft.com/office/drawing/2014/main" id="{42B766E5-D5D0-479B-9934-A4CC2E7DAE4B}"/>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882542" y="286871"/>
              <a:ext cx="2427469" cy="3240000"/>
            </a:xfrm>
            <a:prstGeom prst="rect">
              <a:avLst/>
            </a:prstGeom>
            <a:ln>
              <a:solidFill>
                <a:schemeClr val="tx1"/>
              </a:solidFill>
            </a:ln>
          </xdr:spPr>
        </xdr:pic>
        <xdr:pic>
          <xdr:nvPicPr>
            <xdr:cNvPr id="76" name="Picture 75">
              <a:extLst>
                <a:ext uri="{FF2B5EF4-FFF2-40B4-BE49-F238E27FC236}">
                  <a16:creationId xmlns:a16="http://schemas.microsoft.com/office/drawing/2014/main" id="{CC22408E-63B6-4B18-A255-5DD8EA08B505}"/>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429000" y="286871"/>
              <a:ext cx="2427469" cy="3240000"/>
            </a:xfrm>
            <a:prstGeom prst="rect">
              <a:avLst/>
            </a:prstGeom>
            <a:ln>
              <a:solidFill>
                <a:schemeClr val="tx1"/>
              </a:solidFill>
            </a:ln>
          </xdr:spPr>
        </xdr:pic>
        <xdr:pic>
          <xdr:nvPicPr>
            <xdr:cNvPr id="77" name="Picture 76">
              <a:extLst>
                <a:ext uri="{FF2B5EF4-FFF2-40B4-BE49-F238E27FC236}">
                  <a16:creationId xmlns:a16="http://schemas.microsoft.com/office/drawing/2014/main" id="{17C1F4C0-E711-47D6-B5DE-FFECE82C8064}"/>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224116" y="3637130"/>
              <a:ext cx="1483453" cy="1980000"/>
            </a:xfrm>
            <a:prstGeom prst="rect">
              <a:avLst/>
            </a:prstGeom>
            <a:ln>
              <a:solidFill>
                <a:schemeClr val="tx1"/>
              </a:solidFill>
            </a:ln>
          </xdr:spPr>
        </xdr:pic>
        <xdr:pic>
          <xdr:nvPicPr>
            <xdr:cNvPr id="78" name="Picture 77">
              <a:extLst>
                <a:ext uri="{FF2B5EF4-FFF2-40B4-BE49-F238E27FC236}">
                  <a16:creationId xmlns:a16="http://schemas.microsoft.com/office/drawing/2014/main" id="{4BF739BC-D243-4293-BBF5-2F6C9939DDD4}"/>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4996425" y="3637130"/>
              <a:ext cx="1483453" cy="1980000"/>
            </a:xfrm>
            <a:prstGeom prst="rect">
              <a:avLst/>
            </a:prstGeom>
            <a:ln>
              <a:solidFill>
                <a:schemeClr val="tx1"/>
              </a:solidFill>
            </a:ln>
          </xdr:spPr>
        </xdr:pic>
        <xdr:pic>
          <xdr:nvPicPr>
            <xdr:cNvPr id="97" name="Picture 96">
              <a:extLst>
                <a:ext uri="{FF2B5EF4-FFF2-40B4-BE49-F238E27FC236}">
                  <a16:creationId xmlns:a16="http://schemas.microsoft.com/office/drawing/2014/main" id="{9E7EA4EF-10EB-46FA-B38F-A3378766BEAB}"/>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3429000" y="3637130"/>
              <a:ext cx="1483453" cy="1980000"/>
            </a:xfrm>
            <a:prstGeom prst="rect">
              <a:avLst/>
            </a:prstGeom>
            <a:ln>
              <a:solidFill>
                <a:schemeClr val="tx1"/>
              </a:solidFill>
            </a:ln>
          </xdr:spPr>
        </xdr:pic>
        <xdr:pic>
          <xdr:nvPicPr>
            <xdr:cNvPr id="98" name="Picture 97">
              <a:extLst>
                <a:ext uri="{FF2B5EF4-FFF2-40B4-BE49-F238E27FC236}">
                  <a16:creationId xmlns:a16="http://schemas.microsoft.com/office/drawing/2014/main" id="{8B36818E-C898-42F9-9128-E7EEFFD1D273}"/>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826558" y="3637130"/>
              <a:ext cx="1483453" cy="1980000"/>
            </a:xfrm>
            <a:prstGeom prst="rect">
              <a:avLst/>
            </a:prstGeom>
            <a:ln>
              <a:solidFill>
                <a:schemeClr val="tx1"/>
              </a:solidFill>
            </a:ln>
          </xdr:spPr>
        </xdr:pic>
        <xdr:pic>
          <xdr:nvPicPr>
            <xdr:cNvPr id="99" name="Picture 98">
              <a:extLst>
                <a:ext uri="{FF2B5EF4-FFF2-40B4-BE49-F238E27FC236}">
                  <a16:creationId xmlns:a16="http://schemas.microsoft.com/office/drawing/2014/main" id="{A035159A-499C-42AF-890D-81F464CD4B1F}"/>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3429000" y="5727389"/>
              <a:ext cx="2398095" cy="1800000"/>
            </a:xfrm>
            <a:prstGeom prst="rect">
              <a:avLst/>
            </a:prstGeom>
            <a:ln>
              <a:solidFill>
                <a:schemeClr val="tx1"/>
              </a:solidFill>
            </a:ln>
          </xdr:spPr>
        </xdr:pic>
        <xdr:pic>
          <xdr:nvPicPr>
            <xdr:cNvPr id="100" name="Picture 99">
              <a:extLst>
                <a:ext uri="{FF2B5EF4-FFF2-40B4-BE49-F238E27FC236}">
                  <a16:creationId xmlns:a16="http://schemas.microsoft.com/office/drawing/2014/main" id="{D64103FE-6E21-4361-A1F6-347A0AA7B45F}"/>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2231136" y="7637648"/>
              <a:ext cx="1078875" cy="1440000"/>
            </a:xfrm>
            <a:prstGeom prst="rect">
              <a:avLst/>
            </a:prstGeom>
            <a:ln>
              <a:solidFill>
                <a:schemeClr val="tx1"/>
              </a:solidFill>
            </a:ln>
          </xdr:spPr>
        </xdr:pic>
        <xdr:pic>
          <xdr:nvPicPr>
            <xdr:cNvPr id="101" name="Picture 100">
              <a:extLst>
                <a:ext uri="{FF2B5EF4-FFF2-40B4-BE49-F238E27FC236}">
                  <a16:creationId xmlns:a16="http://schemas.microsoft.com/office/drawing/2014/main" id="{F7564FF9-49D3-4AF3-986E-55FA1EA767E4}"/>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3429000" y="7637648"/>
              <a:ext cx="1078875" cy="1440000"/>
            </a:xfrm>
            <a:prstGeom prst="rect">
              <a:avLst/>
            </a:prstGeom>
            <a:ln>
              <a:solidFill>
                <a:schemeClr val="tx1"/>
              </a:solidFill>
            </a:ln>
          </xdr:spPr>
        </xdr:pic>
        <xdr:pic>
          <xdr:nvPicPr>
            <xdr:cNvPr id="102" name="Picture 101">
              <a:extLst>
                <a:ext uri="{FF2B5EF4-FFF2-40B4-BE49-F238E27FC236}">
                  <a16:creationId xmlns:a16="http://schemas.microsoft.com/office/drawing/2014/main" id="{C5FA873F-E3CA-4AC6-AC1C-5FFDA365DE6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939016" y="5727389"/>
              <a:ext cx="2398095" cy="1800000"/>
            </a:xfrm>
            <a:prstGeom prst="rect">
              <a:avLst/>
            </a:prstGeom>
            <a:ln>
              <a:solidFill>
                <a:schemeClr val="tx1"/>
              </a:solidFill>
            </a:ln>
          </xdr:spPr>
        </xdr:pic>
      </xdr:grpSp>
      <xdr:sp macro="" textlink="">
        <xdr:nvSpPr>
          <xdr:cNvPr id="55" name="TextBox 216">
            <a:extLst>
              <a:ext uri="{FF2B5EF4-FFF2-40B4-BE49-F238E27FC236}">
                <a16:creationId xmlns:a16="http://schemas.microsoft.com/office/drawing/2014/main" id="{5E6EF74F-A20C-4E41-953C-042ADDB43A81}"/>
              </a:ext>
            </a:extLst>
          </xdr:cNvPr>
          <xdr:cNvSpPr txBox="1"/>
        </xdr:nvSpPr>
        <xdr:spPr>
          <a:xfrm>
            <a:off x="1826558" y="502024"/>
            <a:ext cx="848309"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E</a:t>
            </a:r>
            <a:endParaRPr lang="en-IN" b="1">
              <a:solidFill>
                <a:srgbClr val="FF0000"/>
              </a:solidFill>
            </a:endParaRPr>
          </a:p>
        </xdr:txBody>
      </xdr:sp>
      <xdr:sp macro="" textlink="">
        <xdr:nvSpPr>
          <xdr:cNvPr id="56" name="TextBox 217">
            <a:extLst>
              <a:ext uri="{FF2B5EF4-FFF2-40B4-BE49-F238E27FC236}">
                <a16:creationId xmlns:a16="http://schemas.microsoft.com/office/drawing/2014/main" id="{03BD50B7-ADDC-42F1-9600-60640E886B89}"/>
              </a:ext>
            </a:extLst>
          </xdr:cNvPr>
          <xdr:cNvSpPr txBox="1"/>
        </xdr:nvSpPr>
        <xdr:spPr>
          <a:xfrm>
            <a:off x="4254027" y="686690"/>
            <a:ext cx="848309"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E</a:t>
            </a:r>
            <a:endParaRPr lang="en-IN" b="1">
              <a:solidFill>
                <a:srgbClr val="FF0000"/>
              </a:solidFill>
            </a:endParaRPr>
          </a:p>
        </xdr:txBody>
      </xdr:sp>
      <xdr:sp macro="" textlink="">
        <xdr:nvSpPr>
          <xdr:cNvPr id="57" name="TextBox 218">
            <a:extLst>
              <a:ext uri="{FF2B5EF4-FFF2-40B4-BE49-F238E27FC236}">
                <a16:creationId xmlns:a16="http://schemas.microsoft.com/office/drawing/2014/main" id="{24935F7E-8189-4870-AF49-D0E5B5924A2F}"/>
              </a:ext>
            </a:extLst>
          </xdr:cNvPr>
          <xdr:cNvSpPr txBox="1"/>
        </xdr:nvSpPr>
        <xdr:spPr>
          <a:xfrm>
            <a:off x="688040" y="4778189"/>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70" name="TextBox 219">
            <a:extLst>
              <a:ext uri="{FF2B5EF4-FFF2-40B4-BE49-F238E27FC236}">
                <a16:creationId xmlns:a16="http://schemas.microsoft.com/office/drawing/2014/main" id="{AD6776F1-FF92-4888-92FD-4B7C58964175}"/>
              </a:ext>
            </a:extLst>
          </xdr:cNvPr>
          <xdr:cNvSpPr txBox="1"/>
        </xdr:nvSpPr>
        <xdr:spPr>
          <a:xfrm>
            <a:off x="2346418" y="5118262"/>
            <a:ext cx="86594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sp macro="" textlink="">
        <xdr:nvSpPr>
          <xdr:cNvPr id="73" name="TextBox 220">
            <a:extLst>
              <a:ext uri="{FF2B5EF4-FFF2-40B4-BE49-F238E27FC236}">
                <a16:creationId xmlns:a16="http://schemas.microsoft.com/office/drawing/2014/main" id="{127947CB-7317-447E-AA4E-6A69E2414117}"/>
              </a:ext>
            </a:extLst>
          </xdr:cNvPr>
          <xdr:cNvSpPr txBox="1"/>
        </xdr:nvSpPr>
        <xdr:spPr>
          <a:xfrm>
            <a:off x="3692473" y="4933596"/>
            <a:ext cx="85792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C</a:t>
            </a:r>
            <a:endParaRPr lang="en-IN" b="1">
              <a:solidFill>
                <a:srgbClr val="FF0000"/>
              </a:solidFill>
            </a:endParaRPr>
          </a:p>
        </xdr:txBody>
      </xdr:sp>
      <xdr:sp macro="" textlink="">
        <xdr:nvSpPr>
          <xdr:cNvPr id="74" name="TextBox 221">
            <a:extLst>
              <a:ext uri="{FF2B5EF4-FFF2-40B4-BE49-F238E27FC236}">
                <a16:creationId xmlns:a16="http://schemas.microsoft.com/office/drawing/2014/main" id="{0C5DAC20-684A-4779-9393-92B77A795BB5}"/>
              </a:ext>
            </a:extLst>
          </xdr:cNvPr>
          <xdr:cNvSpPr txBox="1"/>
        </xdr:nvSpPr>
        <xdr:spPr>
          <a:xfrm>
            <a:off x="5331736" y="4986157"/>
            <a:ext cx="88197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D</a:t>
            </a:r>
            <a:endParaRPr lang="en-IN" b="1">
              <a:solidFill>
                <a:srgbClr val="FF0000"/>
              </a:solidFill>
            </a:endParaRPr>
          </a:p>
        </xdr:txBody>
      </xdr:sp>
    </xdr:grpSp>
    <xdr:clientData/>
  </xdr:twoCellAnchor>
  <xdr:twoCellAnchor>
    <xdr:from>
      <xdr:col>0</xdr:col>
      <xdr:colOff>175260</xdr:colOff>
      <xdr:row>345</xdr:row>
      <xdr:rowOff>53340</xdr:rowOff>
    </xdr:from>
    <xdr:to>
      <xdr:col>9</xdr:col>
      <xdr:colOff>769620</xdr:colOff>
      <xdr:row>380</xdr:row>
      <xdr:rowOff>53340</xdr:rowOff>
    </xdr:to>
    <xdr:grpSp>
      <xdr:nvGrpSpPr>
        <xdr:cNvPr id="6" name="Group 5">
          <a:extLst>
            <a:ext uri="{FF2B5EF4-FFF2-40B4-BE49-F238E27FC236}">
              <a16:creationId xmlns:a16="http://schemas.microsoft.com/office/drawing/2014/main" id="{4B9C9602-DA2E-F607-C269-6DD30EDED567}"/>
            </a:ext>
          </a:extLst>
        </xdr:cNvPr>
        <xdr:cNvGrpSpPr/>
      </xdr:nvGrpSpPr>
      <xdr:grpSpPr>
        <a:xfrm>
          <a:off x="175260" y="73632060"/>
          <a:ext cx="6598920" cy="6400800"/>
          <a:chOff x="-662941" y="490833"/>
          <a:chExt cx="8174532" cy="7272922"/>
        </a:xfrm>
      </xdr:grpSpPr>
      <xdr:grpSp>
        <xdr:nvGrpSpPr>
          <xdr:cNvPr id="7" name="Group 6">
            <a:extLst>
              <a:ext uri="{FF2B5EF4-FFF2-40B4-BE49-F238E27FC236}">
                <a16:creationId xmlns:a16="http://schemas.microsoft.com/office/drawing/2014/main" id="{5F127E98-FAD0-005E-176D-305DD48A94FF}"/>
              </a:ext>
            </a:extLst>
          </xdr:cNvPr>
          <xdr:cNvGrpSpPr/>
        </xdr:nvGrpSpPr>
        <xdr:grpSpPr>
          <a:xfrm>
            <a:off x="-662940" y="490833"/>
            <a:ext cx="8174531" cy="2520000"/>
            <a:chOff x="-407907" y="490833"/>
            <a:chExt cx="8174531" cy="2520000"/>
          </a:xfrm>
        </xdr:grpSpPr>
        <xdr:pic>
          <xdr:nvPicPr>
            <xdr:cNvPr id="18" name="Picture 17">
              <a:extLst>
                <a:ext uri="{FF2B5EF4-FFF2-40B4-BE49-F238E27FC236}">
                  <a16:creationId xmlns:a16="http://schemas.microsoft.com/office/drawing/2014/main" id="{9993EE34-E26A-5246-8404-4E16C89693B9}"/>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407907" y="490833"/>
              <a:ext cx="1888031" cy="2520000"/>
            </a:xfrm>
            <a:prstGeom prst="rect">
              <a:avLst/>
            </a:prstGeom>
            <a:ln>
              <a:solidFill>
                <a:schemeClr val="tx1"/>
              </a:solidFill>
            </a:ln>
          </xdr:spPr>
        </xdr:pic>
        <xdr:pic>
          <xdr:nvPicPr>
            <xdr:cNvPr id="19" name="Picture 18">
              <a:extLst>
                <a:ext uri="{FF2B5EF4-FFF2-40B4-BE49-F238E27FC236}">
                  <a16:creationId xmlns:a16="http://schemas.microsoft.com/office/drawing/2014/main" id="{4640D022-D55E-C366-6B4F-A153C9B63500}"/>
                </a:ext>
              </a:extLst>
            </xdr:cNvPr>
            <xdr:cNvPicPr>
              <a:picLocks noChangeAspect="1"/>
            </xdr:cNvPicPr>
          </xdr:nvPicPr>
          <xdr:blipFill>
            <a:blip xmlns:r="http://schemas.openxmlformats.org/officeDocument/2006/relationships" r:embed="rId19" cstate="hqprint">
              <a:extLst>
                <a:ext uri="{28A0092B-C50C-407E-A947-70E740481C1C}">
                  <a14:useLocalDpi xmlns:a14="http://schemas.microsoft.com/office/drawing/2010/main"/>
                </a:ext>
              </a:extLst>
            </a:blip>
            <a:stretch>
              <a:fillRect/>
            </a:stretch>
          </xdr:blipFill>
          <xdr:spPr>
            <a:xfrm>
              <a:off x="1687593" y="490833"/>
              <a:ext cx="1888031" cy="2520000"/>
            </a:xfrm>
            <a:prstGeom prst="rect">
              <a:avLst/>
            </a:prstGeom>
            <a:ln>
              <a:solidFill>
                <a:schemeClr val="tx1"/>
              </a:solidFill>
            </a:ln>
          </xdr:spPr>
        </xdr:pic>
        <xdr:pic>
          <xdr:nvPicPr>
            <xdr:cNvPr id="20" name="Picture 19">
              <a:extLst>
                <a:ext uri="{FF2B5EF4-FFF2-40B4-BE49-F238E27FC236}">
                  <a16:creationId xmlns:a16="http://schemas.microsoft.com/office/drawing/2014/main" id="{8C8934ED-D2C7-15A9-2498-973BDA829686}"/>
                </a:ext>
              </a:extLst>
            </xdr:cNvPr>
            <xdr:cNvPicPr>
              <a:picLocks noChangeAspect="1"/>
            </xdr:cNvPicPr>
          </xdr:nvPicPr>
          <xdr:blipFill>
            <a:blip xmlns:r="http://schemas.openxmlformats.org/officeDocument/2006/relationships" r:embed="rId20" cstate="hqprint">
              <a:extLst>
                <a:ext uri="{28A0092B-C50C-407E-A947-70E740481C1C}">
                  <a14:useLocalDpi xmlns:a14="http://schemas.microsoft.com/office/drawing/2010/main"/>
                </a:ext>
              </a:extLst>
            </a:blip>
            <a:stretch>
              <a:fillRect/>
            </a:stretch>
          </xdr:blipFill>
          <xdr:spPr>
            <a:xfrm>
              <a:off x="3783093" y="490833"/>
              <a:ext cx="1888031" cy="2520000"/>
            </a:xfrm>
            <a:prstGeom prst="rect">
              <a:avLst/>
            </a:prstGeom>
            <a:ln>
              <a:solidFill>
                <a:schemeClr val="tx1"/>
              </a:solidFill>
            </a:ln>
          </xdr:spPr>
        </xdr:pic>
        <xdr:pic>
          <xdr:nvPicPr>
            <xdr:cNvPr id="21" name="Picture 20">
              <a:extLst>
                <a:ext uri="{FF2B5EF4-FFF2-40B4-BE49-F238E27FC236}">
                  <a16:creationId xmlns:a16="http://schemas.microsoft.com/office/drawing/2014/main" id="{65B1D250-9C8A-7B36-3D59-6A3E710DB392}"/>
                </a:ext>
              </a:extLst>
            </xdr:cNvPr>
            <xdr:cNvPicPr>
              <a:picLocks noChangeAspect="1"/>
            </xdr:cNvPicPr>
          </xdr:nvPicPr>
          <xdr:blipFill>
            <a:blip xmlns:r="http://schemas.openxmlformats.org/officeDocument/2006/relationships" r:embed="rId21" cstate="hqprint">
              <a:extLst>
                <a:ext uri="{28A0092B-C50C-407E-A947-70E740481C1C}">
                  <a14:useLocalDpi xmlns:a14="http://schemas.microsoft.com/office/drawing/2010/main"/>
                </a:ext>
              </a:extLst>
            </a:blip>
            <a:stretch>
              <a:fillRect/>
            </a:stretch>
          </xdr:blipFill>
          <xdr:spPr>
            <a:xfrm>
              <a:off x="5878593" y="490833"/>
              <a:ext cx="1888031" cy="2520000"/>
            </a:xfrm>
            <a:prstGeom prst="rect">
              <a:avLst/>
            </a:prstGeom>
            <a:ln>
              <a:solidFill>
                <a:schemeClr val="tx1"/>
              </a:solidFill>
            </a:ln>
          </xdr:spPr>
        </xdr:pic>
      </xdr:grpSp>
      <xdr:grpSp>
        <xdr:nvGrpSpPr>
          <xdr:cNvPr id="8" name="Group 7">
            <a:extLst>
              <a:ext uri="{FF2B5EF4-FFF2-40B4-BE49-F238E27FC236}">
                <a16:creationId xmlns:a16="http://schemas.microsoft.com/office/drawing/2014/main" id="{130CE204-FA10-3150-79DF-5F77D2C7137A}"/>
              </a:ext>
            </a:extLst>
          </xdr:cNvPr>
          <xdr:cNvGrpSpPr/>
        </xdr:nvGrpSpPr>
        <xdr:grpSpPr>
          <a:xfrm>
            <a:off x="669214" y="5958461"/>
            <a:ext cx="5510222" cy="1805294"/>
            <a:chOff x="-917973" y="5958461"/>
            <a:chExt cx="5510222" cy="1805294"/>
          </a:xfrm>
        </xdr:grpSpPr>
        <xdr:pic>
          <xdr:nvPicPr>
            <xdr:cNvPr id="15" name="Picture 14">
              <a:extLst>
                <a:ext uri="{FF2B5EF4-FFF2-40B4-BE49-F238E27FC236}">
                  <a16:creationId xmlns:a16="http://schemas.microsoft.com/office/drawing/2014/main" id="{4550E818-23F2-DAB7-31D5-6F48A80FD10C}"/>
                </a:ext>
              </a:extLst>
            </xdr:cNvPr>
            <xdr:cNvPicPr>
              <a:picLocks noChangeAspect="1"/>
            </xdr:cNvPicPr>
          </xdr:nvPicPr>
          <xdr:blipFill>
            <a:blip xmlns:r="http://schemas.openxmlformats.org/officeDocument/2006/relationships" r:embed="rId22" cstate="hqprint">
              <a:extLst>
                <a:ext uri="{28A0092B-C50C-407E-A947-70E740481C1C}">
                  <a14:useLocalDpi xmlns:a14="http://schemas.microsoft.com/office/drawing/2010/main"/>
                </a:ext>
              </a:extLst>
            </a:blip>
            <a:stretch>
              <a:fillRect/>
            </a:stretch>
          </xdr:blipFill>
          <xdr:spPr>
            <a:xfrm>
              <a:off x="-917973" y="5963755"/>
              <a:ext cx="2398096" cy="1800000"/>
            </a:xfrm>
            <a:prstGeom prst="rect">
              <a:avLst/>
            </a:prstGeom>
            <a:ln>
              <a:solidFill>
                <a:schemeClr val="tx1"/>
              </a:solidFill>
            </a:ln>
          </xdr:spPr>
        </xdr:pic>
        <xdr:pic>
          <xdr:nvPicPr>
            <xdr:cNvPr id="16" name="Picture 15">
              <a:extLst>
                <a:ext uri="{FF2B5EF4-FFF2-40B4-BE49-F238E27FC236}">
                  <a16:creationId xmlns:a16="http://schemas.microsoft.com/office/drawing/2014/main" id="{AD88F360-E9CA-1511-3BC5-72AF06944B4B}"/>
                </a:ext>
              </a:extLst>
            </xdr:cNvPr>
            <xdr:cNvPicPr>
              <a:picLocks noChangeAspect="1"/>
            </xdr:cNvPicPr>
          </xdr:nvPicPr>
          <xdr:blipFill>
            <a:blip xmlns:r="http://schemas.openxmlformats.org/officeDocument/2006/relationships" r:embed="rId23" cstate="hqprint">
              <a:extLst>
                <a:ext uri="{28A0092B-C50C-407E-A947-70E740481C1C}">
                  <a14:useLocalDpi xmlns:a14="http://schemas.microsoft.com/office/drawing/2010/main"/>
                </a:ext>
              </a:extLst>
            </a:blip>
            <a:stretch>
              <a:fillRect/>
            </a:stretch>
          </xdr:blipFill>
          <xdr:spPr>
            <a:xfrm>
              <a:off x="1687592" y="5963755"/>
              <a:ext cx="1348594" cy="1800000"/>
            </a:xfrm>
            <a:prstGeom prst="rect">
              <a:avLst/>
            </a:prstGeom>
            <a:ln>
              <a:solidFill>
                <a:schemeClr val="tx1"/>
              </a:solidFill>
            </a:ln>
          </xdr:spPr>
        </xdr:pic>
        <xdr:pic>
          <xdr:nvPicPr>
            <xdr:cNvPr id="17" name="Picture 16">
              <a:extLst>
                <a:ext uri="{FF2B5EF4-FFF2-40B4-BE49-F238E27FC236}">
                  <a16:creationId xmlns:a16="http://schemas.microsoft.com/office/drawing/2014/main" id="{0D110EC1-2D88-23F0-ABC9-309040DB510D}"/>
                </a:ext>
              </a:extLst>
            </xdr:cNvPr>
            <xdr:cNvPicPr>
              <a:picLocks noChangeAspect="1"/>
            </xdr:cNvPicPr>
          </xdr:nvPicPr>
          <xdr:blipFill>
            <a:blip xmlns:r="http://schemas.openxmlformats.org/officeDocument/2006/relationships" r:embed="rId24" cstate="hqprint">
              <a:extLst>
                <a:ext uri="{28A0092B-C50C-407E-A947-70E740481C1C}">
                  <a14:useLocalDpi xmlns:a14="http://schemas.microsoft.com/office/drawing/2010/main"/>
                </a:ext>
              </a:extLst>
            </a:blip>
            <a:stretch>
              <a:fillRect/>
            </a:stretch>
          </xdr:blipFill>
          <xdr:spPr>
            <a:xfrm>
              <a:off x="3243655" y="5958461"/>
              <a:ext cx="1348594" cy="1800000"/>
            </a:xfrm>
            <a:prstGeom prst="rect">
              <a:avLst/>
            </a:prstGeom>
            <a:ln>
              <a:solidFill>
                <a:schemeClr val="tx1"/>
              </a:solidFill>
            </a:ln>
          </xdr:spPr>
        </xdr:pic>
      </xdr:grpSp>
      <xdr:grpSp>
        <xdr:nvGrpSpPr>
          <xdr:cNvPr id="9" name="Group 8">
            <a:extLst>
              <a:ext uri="{FF2B5EF4-FFF2-40B4-BE49-F238E27FC236}">
                <a16:creationId xmlns:a16="http://schemas.microsoft.com/office/drawing/2014/main" id="{CAFA9297-E7B9-16A6-91D7-B11674E047D0}"/>
              </a:ext>
            </a:extLst>
          </xdr:cNvPr>
          <xdr:cNvGrpSpPr/>
        </xdr:nvGrpSpPr>
        <xdr:grpSpPr>
          <a:xfrm>
            <a:off x="-662941" y="3224647"/>
            <a:ext cx="8174532" cy="2522647"/>
            <a:chOff x="-407908" y="3224647"/>
            <a:chExt cx="8174532" cy="2522647"/>
          </a:xfrm>
        </xdr:grpSpPr>
        <xdr:pic>
          <xdr:nvPicPr>
            <xdr:cNvPr id="11" name="Picture 10">
              <a:extLst>
                <a:ext uri="{FF2B5EF4-FFF2-40B4-BE49-F238E27FC236}">
                  <a16:creationId xmlns:a16="http://schemas.microsoft.com/office/drawing/2014/main" id="{42F3FAC1-5640-9B77-8293-BFFFD656CED8}"/>
                </a:ext>
              </a:extLst>
            </xdr:cNvPr>
            <xdr:cNvPicPr>
              <a:picLocks noChangeAspect="1"/>
            </xdr:cNvPicPr>
          </xdr:nvPicPr>
          <xdr:blipFill>
            <a:blip xmlns:r="http://schemas.openxmlformats.org/officeDocument/2006/relationships" r:embed="rId25" cstate="hqprint">
              <a:extLst>
                <a:ext uri="{28A0092B-C50C-407E-A947-70E740481C1C}">
                  <a14:useLocalDpi xmlns:a14="http://schemas.microsoft.com/office/drawing/2010/main"/>
                </a:ext>
              </a:extLst>
            </a:blip>
            <a:stretch>
              <a:fillRect/>
            </a:stretch>
          </xdr:blipFill>
          <xdr:spPr>
            <a:xfrm>
              <a:off x="1687592" y="3227294"/>
              <a:ext cx="1888031" cy="2520000"/>
            </a:xfrm>
            <a:prstGeom prst="rect">
              <a:avLst/>
            </a:prstGeom>
            <a:ln>
              <a:solidFill>
                <a:schemeClr val="tx1"/>
              </a:solidFill>
            </a:ln>
          </xdr:spPr>
        </xdr:pic>
        <xdr:pic>
          <xdr:nvPicPr>
            <xdr:cNvPr id="12" name="Picture 11">
              <a:extLst>
                <a:ext uri="{FF2B5EF4-FFF2-40B4-BE49-F238E27FC236}">
                  <a16:creationId xmlns:a16="http://schemas.microsoft.com/office/drawing/2014/main" id="{952302FA-DF34-8553-B6F5-3CA5CB63C2E9}"/>
                </a:ext>
              </a:extLst>
            </xdr:cNvPr>
            <xdr:cNvPicPr>
              <a:picLocks noChangeAspect="1"/>
            </xdr:cNvPicPr>
          </xdr:nvPicPr>
          <xdr:blipFill>
            <a:blip xmlns:r="http://schemas.openxmlformats.org/officeDocument/2006/relationships" r:embed="rId26" cstate="hqprint">
              <a:extLst>
                <a:ext uri="{28A0092B-C50C-407E-A947-70E740481C1C}">
                  <a14:useLocalDpi xmlns:a14="http://schemas.microsoft.com/office/drawing/2010/main"/>
                </a:ext>
              </a:extLst>
            </a:blip>
            <a:stretch>
              <a:fillRect/>
            </a:stretch>
          </xdr:blipFill>
          <xdr:spPr>
            <a:xfrm>
              <a:off x="5878593" y="3224647"/>
              <a:ext cx="1888031" cy="2520000"/>
            </a:xfrm>
            <a:prstGeom prst="rect">
              <a:avLst/>
            </a:prstGeom>
            <a:ln>
              <a:solidFill>
                <a:schemeClr val="tx1"/>
              </a:solidFill>
            </a:ln>
          </xdr:spPr>
        </xdr:pic>
        <xdr:pic>
          <xdr:nvPicPr>
            <xdr:cNvPr id="13" name="Picture 12">
              <a:extLst>
                <a:ext uri="{FF2B5EF4-FFF2-40B4-BE49-F238E27FC236}">
                  <a16:creationId xmlns:a16="http://schemas.microsoft.com/office/drawing/2014/main" id="{D3241C92-E220-72C6-8621-F703E0DBD3F8}"/>
                </a:ext>
              </a:extLst>
            </xdr:cNvPr>
            <xdr:cNvPicPr>
              <a:picLocks noChangeAspect="1"/>
            </xdr:cNvPicPr>
          </xdr:nvPicPr>
          <xdr:blipFill>
            <a:blip xmlns:r="http://schemas.openxmlformats.org/officeDocument/2006/relationships" r:embed="rId27" cstate="hqprint">
              <a:extLst>
                <a:ext uri="{28A0092B-C50C-407E-A947-70E740481C1C}">
                  <a14:useLocalDpi xmlns:a14="http://schemas.microsoft.com/office/drawing/2010/main"/>
                </a:ext>
              </a:extLst>
            </a:blip>
            <a:stretch>
              <a:fillRect/>
            </a:stretch>
          </xdr:blipFill>
          <xdr:spPr>
            <a:xfrm>
              <a:off x="3783093" y="3224647"/>
              <a:ext cx="1888031" cy="2520000"/>
            </a:xfrm>
            <a:prstGeom prst="rect">
              <a:avLst/>
            </a:prstGeom>
            <a:ln>
              <a:solidFill>
                <a:schemeClr val="tx1"/>
              </a:solidFill>
            </a:ln>
          </xdr:spPr>
        </xdr:pic>
        <xdr:pic>
          <xdr:nvPicPr>
            <xdr:cNvPr id="14" name="Picture 13">
              <a:extLst>
                <a:ext uri="{FF2B5EF4-FFF2-40B4-BE49-F238E27FC236}">
                  <a16:creationId xmlns:a16="http://schemas.microsoft.com/office/drawing/2014/main" id="{19770048-2FD7-9C6E-5064-597D92FC14C3}"/>
                </a:ext>
              </a:extLst>
            </xdr:cNvPr>
            <xdr:cNvPicPr>
              <a:picLocks noChangeAspect="1"/>
            </xdr:cNvPicPr>
          </xdr:nvPicPr>
          <xdr:blipFill>
            <a:blip xmlns:r="http://schemas.openxmlformats.org/officeDocument/2006/relationships" r:embed="rId28" cstate="hqprint">
              <a:extLst>
                <a:ext uri="{28A0092B-C50C-407E-A947-70E740481C1C}">
                  <a14:useLocalDpi xmlns:a14="http://schemas.microsoft.com/office/drawing/2010/main"/>
                </a:ext>
              </a:extLst>
            </a:blip>
            <a:stretch>
              <a:fillRect/>
            </a:stretch>
          </xdr:blipFill>
          <xdr:spPr>
            <a:xfrm>
              <a:off x="-407908" y="3227294"/>
              <a:ext cx="1888031" cy="2520000"/>
            </a:xfrm>
            <a:prstGeom prst="rect">
              <a:avLst/>
            </a:prstGeom>
            <a:ln>
              <a:solidFill>
                <a:schemeClr val="tx1"/>
              </a:solidFill>
            </a:ln>
          </xdr:spPr>
        </xdr:pic>
      </xdr:grpSp>
      <xdr:sp macro="" textlink="">
        <xdr:nvSpPr>
          <xdr:cNvPr id="10" name="TextBox 29">
            <a:extLst>
              <a:ext uri="{FF2B5EF4-FFF2-40B4-BE49-F238E27FC236}">
                <a16:creationId xmlns:a16="http://schemas.microsoft.com/office/drawing/2014/main" id="{4638E3D3-4793-359C-7778-1A5DE0F261D4}"/>
              </a:ext>
            </a:extLst>
          </xdr:cNvPr>
          <xdr:cNvSpPr txBox="1"/>
        </xdr:nvSpPr>
        <xdr:spPr>
          <a:xfrm>
            <a:off x="-206347" y="490833"/>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Wing A</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21</xdr:col>
      <xdr:colOff>38100</xdr:colOff>
      <xdr:row>60</xdr:row>
      <xdr:rowOff>76200</xdr:rowOff>
    </xdr:to>
    <xdr:pic>
      <xdr:nvPicPr>
        <xdr:cNvPr id="4409" name="Picture 1">
          <a:extLst>
            <a:ext uri="{FF2B5EF4-FFF2-40B4-BE49-F238E27FC236}">
              <a16:creationId xmlns:a16="http://schemas.microsoft.com/office/drawing/2014/main" id="{00000000-0008-0000-0100-0000391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0" y="4419600"/>
          <a:ext cx="13049250" cy="707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xdr:row>
      <xdr:rowOff>25400</xdr:rowOff>
    </xdr:from>
    <xdr:to>
      <xdr:col>12</xdr:col>
      <xdr:colOff>400050</xdr:colOff>
      <xdr:row>18</xdr:row>
      <xdr:rowOff>95250</xdr:rowOff>
    </xdr:to>
    <xdr:pic>
      <xdr:nvPicPr>
        <xdr:cNvPr id="4410" name="Picture 2">
          <a:extLst>
            <a:ext uri="{FF2B5EF4-FFF2-40B4-BE49-F238E27FC236}">
              <a16:creationId xmlns:a16="http://schemas.microsoft.com/office/drawing/2014/main" id="{00000000-0008-0000-0100-00003A11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6305550" y="1682750"/>
          <a:ext cx="1619250" cy="2095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533400</xdr:colOff>
      <xdr:row>9</xdr:row>
      <xdr:rowOff>0</xdr:rowOff>
    </xdr:from>
    <xdr:to>
      <xdr:col>15</xdr:col>
      <xdr:colOff>317500</xdr:colOff>
      <xdr:row>18</xdr:row>
      <xdr:rowOff>63500</xdr:rowOff>
    </xdr:to>
    <xdr:pic>
      <xdr:nvPicPr>
        <xdr:cNvPr id="4411" name="Picture 3">
          <a:extLst>
            <a:ext uri="{FF2B5EF4-FFF2-40B4-BE49-F238E27FC236}">
              <a16:creationId xmlns:a16="http://schemas.microsoft.com/office/drawing/2014/main" id="{00000000-0008-0000-0100-00003B11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8058150" y="1657350"/>
          <a:ext cx="1612900" cy="2089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21</xdr:col>
      <xdr:colOff>38100</xdr:colOff>
      <xdr:row>60</xdr:row>
      <xdr:rowOff>76200</xdr:rowOff>
    </xdr:to>
    <xdr:pic>
      <xdr:nvPicPr>
        <xdr:cNvPr id="2188" name="Picture 1">
          <a:extLst>
            <a:ext uri="{FF2B5EF4-FFF2-40B4-BE49-F238E27FC236}">
              <a16:creationId xmlns:a16="http://schemas.microsoft.com/office/drawing/2014/main" id="{00000000-0008-0000-0200-00008C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19600"/>
          <a:ext cx="13049250" cy="707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21</xdr:col>
      <xdr:colOff>38100</xdr:colOff>
      <xdr:row>60</xdr:row>
      <xdr:rowOff>76200</xdr:rowOff>
    </xdr:to>
    <xdr:pic>
      <xdr:nvPicPr>
        <xdr:cNvPr id="3199" name="Picture 1">
          <a:extLst>
            <a:ext uri="{FF2B5EF4-FFF2-40B4-BE49-F238E27FC236}">
              <a16:creationId xmlns:a16="http://schemas.microsoft.com/office/drawing/2014/main" id="{00000000-0008-0000-0300-00007F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0" y="4419600"/>
          <a:ext cx="13049250" cy="707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4</xdr:row>
      <xdr:rowOff>0</xdr:rowOff>
    </xdr:from>
    <xdr:to>
      <xdr:col>5</xdr:col>
      <xdr:colOff>400050</xdr:colOff>
      <xdr:row>15</xdr:row>
      <xdr:rowOff>63500</xdr:rowOff>
    </xdr:to>
    <xdr:pic>
      <xdr:nvPicPr>
        <xdr:cNvPr id="5179" name="Picture 1">
          <a:extLst>
            <a:ext uri="{FF2B5EF4-FFF2-40B4-BE49-F238E27FC236}">
              <a16:creationId xmlns:a16="http://schemas.microsoft.com/office/drawing/2014/main" id="{00000000-0008-0000-0400-00003B14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936750" y="736600"/>
          <a:ext cx="1619250" cy="2089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4</xdr:row>
      <xdr:rowOff>0</xdr:rowOff>
    </xdr:from>
    <xdr:to>
      <xdr:col>8</xdr:col>
      <xdr:colOff>298450</xdr:colOff>
      <xdr:row>15</xdr:row>
      <xdr:rowOff>63500</xdr:rowOff>
    </xdr:to>
    <xdr:pic>
      <xdr:nvPicPr>
        <xdr:cNvPr id="5180" name="Picture 2">
          <a:extLst>
            <a:ext uri="{FF2B5EF4-FFF2-40B4-BE49-F238E27FC236}">
              <a16:creationId xmlns:a16="http://schemas.microsoft.com/office/drawing/2014/main" id="{00000000-0008-0000-0400-00003C14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3670300" y="736600"/>
          <a:ext cx="1612900" cy="2089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8</xdr:col>
      <xdr:colOff>298450</xdr:colOff>
      <xdr:row>37</xdr:row>
      <xdr:rowOff>101600</xdr:rowOff>
    </xdr:to>
    <xdr:pic>
      <xdr:nvPicPr>
        <xdr:cNvPr id="6293" name="Picture 1">
          <a:extLst>
            <a:ext uri="{FF2B5EF4-FFF2-40B4-BE49-F238E27FC236}">
              <a16:creationId xmlns:a16="http://schemas.microsoft.com/office/drawing/2014/main" id="{00000000-0008-0000-0500-00009518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736600" y="2654300"/>
          <a:ext cx="9556750" cy="43497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38</xdr:row>
      <xdr:rowOff>76200</xdr:rowOff>
    </xdr:from>
    <xdr:to>
      <xdr:col>7</xdr:col>
      <xdr:colOff>139700</xdr:colOff>
      <xdr:row>62</xdr:row>
      <xdr:rowOff>6350</xdr:rowOff>
    </xdr:to>
    <xdr:pic>
      <xdr:nvPicPr>
        <xdr:cNvPr id="6294" name="Picture 2">
          <a:extLst>
            <a:ext uri="{FF2B5EF4-FFF2-40B4-BE49-F238E27FC236}">
              <a16:creationId xmlns:a16="http://schemas.microsoft.com/office/drawing/2014/main" id="{00000000-0008-0000-0500-00009618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736600" y="7162800"/>
          <a:ext cx="8248650" cy="43497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63</xdr:row>
      <xdr:rowOff>0</xdr:rowOff>
    </xdr:from>
    <xdr:to>
      <xdr:col>7</xdr:col>
      <xdr:colOff>660400</xdr:colOff>
      <xdr:row>86</xdr:row>
      <xdr:rowOff>120650</xdr:rowOff>
    </xdr:to>
    <xdr:pic>
      <xdr:nvPicPr>
        <xdr:cNvPr id="6295" name="Picture 3">
          <a:extLst>
            <a:ext uri="{FF2B5EF4-FFF2-40B4-BE49-F238E27FC236}">
              <a16:creationId xmlns:a16="http://schemas.microsoft.com/office/drawing/2014/main" id="{00000000-0008-0000-0500-00009718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736600" y="11690350"/>
          <a:ext cx="8769350" cy="43561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87</xdr:row>
      <xdr:rowOff>120650</xdr:rowOff>
    </xdr:from>
    <xdr:to>
      <xdr:col>7</xdr:col>
      <xdr:colOff>469900</xdr:colOff>
      <xdr:row>111</xdr:row>
      <xdr:rowOff>44450</xdr:rowOff>
    </xdr:to>
    <xdr:pic>
      <xdr:nvPicPr>
        <xdr:cNvPr id="6296" name="Picture 4">
          <a:extLst>
            <a:ext uri="{FF2B5EF4-FFF2-40B4-BE49-F238E27FC236}">
              <a16:creationId xmlns:a16="http://schemas.microsoft.com/office/drawing/2014/main" id="{00000000-0008-0000-0500-00009818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755650" y="16230600"/>
          <a:ext cx="8559800" cy="4343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ousing.com/in/buy/projects/page/256085-sadguru-nakshtra-by-sadguru-developers-in-titwala" TargetMode="External"/><Relationship Id="rId1" Type="http://schemas.openxmlformats.org/officeDocument/2006/relationships/hyperlink" Target="https://goo.gl/maps/hSWiKjsbEaW6j29V9?coh=178572&amp;entry=tt"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60"/>
  <sheetViews>
    <sheetView tabSelected="1" view="pageBreakPreview" zoomScaleNormal="100" zoomScaleSheetLayoutView="100" zoomScalePageLayoutView="85" workbookViewId="0">
      <selection activeCell="M7" sqref="M7"/>
    </sheetView>
  </sheetViews>
  <sheetFormatPr defaultColWidth="9.109375" defaultRowHeight="14.4" x14ac:dyDescent="0.3"/>
  <cols>
    <col min="1" max="1" width="8.6640625" customWidth="1"/>
    <col min="2" max="3" width="14.44140625" customWidth="1"/>
    <col min="4" max="4" width="7.33203125" customWidth="1"/>
    <col min="5" max="5" width="5.88671875" customWidth="1"/>
    <col min="6" max="6" width="9" customWidth="1"/>
    <col min="7" max="8" width="9.88671875" customWidth="1"/>
    <col min="9" max="9" width="8" customWidth="1"/>
    <col min="10" max="10" width="13.88671875" customWidth="1"/>
    <col min="11" max="11" width="16.5546875" customWidth="1"/>
    <col min="12" max="12" width="11.5546875" customWidth="1"/>
    <col min="13" max="13" width="11.33203125" bestFit="1" customWidth="1"/>
    <col min="14" max="14" width="38.33203125" customWidth="1"/>
  </cols>
  <sheetData>
    <row r="1" spans="1:11" ht="43.95" customHeight="1" x14ac:dyDescent="0.3">
      <c r="A1" s="239" t="s">
        <v>308</v>
      </c>
      <c r="B1" s="240"/>
      <c r="C1" s="240"/>
      <c r="D1" s="240"/>
      <c r="E1" s="240"/>
      <c r="F1" s="240"/>
      <c r="G1" s="240"/>
      <c r="H1" s="240"/>
      <c r="I1" s="240"/>
      <c r="J1" s="241"/>
      <c r="K1" s="57"/>
    </row>
    <row r="2" spans="1:11" x14ac:dyDescent="0.3">
      <c r="A2" s="109" t="s">
        <v>0</v>
      </c>
      <c r="B2" s="110"/>
      <c r="C2" s="110"/>
      <c r="D2" s="110"/>
      <c r="E2" s="111"/>
      <c r="F2" s="260" t="str">
        <f t="shared" ref="F2" ca="1" si="0">TEXT(TODAY(),"DD/MM/YYYY")</f>
        <v>09/07/2025</v>
      </c>
      <c r="G2" s="261"/>
      <c r="H2" s="261"/>
      <c r="I2" s="261"/>
      <c r="J2" s="262"/>
      <c r="K2" s="58"/>
    </row>
    <row r="3" spans="1:11" x14ac:dyDescent="0.3">
      <c r="A3" s="109" t="s">
        <v>1</v>
      </c>
      <c r="B3" s="110"/>
      <c r="C3" s="110"/>
      <c r="D3" s="110"/>
      <c r="E3" s="111"/>
      <c r="F3" s="128" t="s">
        <v>292</v>
      </c>
      <c r="G3" s="129"/>
      <c r="H3" s="129"/>
      <c r="I3" s="129"/>
      <c r="J3" s="130"/>
      <c r="K3" s="17"/>
    </row>
    <row r="4" spans="1:11" x14ac:dyDescent="0.3">
      <c r="A4" s="109" t="s">
        <v>2</v>
      </c>
      <c r="B4" s="110"/>
      <c r="C4" s="110"/>
      <c r="D4" s="110"/>
      <c r="E4" s="111"/>
      <c r="F4" s="260">
        <v>45847</v>
      </c>
      <c r="G4" s="261"/>
      <c r="H4" s="261"/>
      <c r="I4" s="261"/>
      <c r="J4" s="262"/>
      <c r="K4" s="58"/>
    </row>
    <row r="5" spans="1:11" x14ac:dyDescent="0.3">
      <c r="A5" s="109" t="s">
        <v>3</v>
      </c>
      <c r="B5" s="110"/>
      <c r="C5" s="110"/>
      <c r="D5" s="110"/>
      <c r="E5" s="111"/>
      <c r="F5" s="176" t="s">
        <v>145</v>
      </c>
      <c r="G5" s="102"/>
      <c r="H5" s="102"/>
      <c r="I5" s="102"/>
      <c r="J5" s="103"/>
      <c r="K5" s="18"/>
    </row>
    <row r="6" spans="1:11" x14ac:dyDescent="0.3">
      <c r="A6" s="109" t="s">
        <v>4</v>
      </c>
      <c r="B6" s="110"/>
      <c r="C6" s="110"/>
      <c r="D6" s="110"/>
      <c r="E6" s="111"/>
      <c r="F6" s="176" t="str">
        <f>F5</f>
        <v>M/s.Sadguru Developers</v>
      </c>
      <c r="G6" s="102"/>
      <c r="H6" s="102"/>
      <c r="I6" s="102"/>
      <c r="J6" s="103"/>
      <c r="K6" s="18"/>
    </row>
    <row r="7" spans="1:11" x14ac:dyDescent="0.3">
      <c r="A7" s="109" t="s">
        <v>5</v>
      </c>
      <c r="B7" s="110"/>
      <c r="C7" s="110"/>
      <c r="D7" s="110"/>
      <c r="E7" s="111"/>
      <c r="F7" s="243" t="s">
        <v>280</v>
      </c>
      <c r="G7" s="244"/>
      <c r="H7" s="244"/>
      <c r="I7" s="244"/>
      <c r="J7" s="245"/>
      <c r="K7" s="17"/>
    </row>
    <row r="8" spans="1:11" x14ac:dyDescent="0.3">
      <c r="A8" s="128" t="s">
        <v>94</v>
      </c>
      <c r="B8" s="110"/>
      <c r="C8" s="110"/>
      <c r="D8" s="110"/>
      <c r="E8" s="111"/>
      <c r="F8" s="128" t="s">
        <v>220</v>
      </c>
      <c r="G8" s="129"/>
      <c r="H8" s="129"/>
      <c r="I8" s="129"/>
      <c r="J8" s="130"/>
      <c r="K8" s="17"/>
    </row>
    <row r="9" spans="1:11" hidden="1" x14ac:dyDescent="0.3">
      <c r="A9" s="128" t="s">
        <v>229</v>
      </c>
      <c r="B9" s="110"/>
      <c r="C9" s="110"/>
      <c r="D9" s="110"/>
      <c r="E9" s="111"/>
      <c r="F9" s="128" t="s">
        <v>220</v>
      </c>
      <c r="G9" s="129"/>
      <c r="H9" s="129"/>
      <c r="I9" s="129"/>
      <c r="J9" s="130"/>
      <c r="K9" s="17"/>
    </row>
    <row r="10" spans="1:11" x14ac:dyDescent="0.3">
      <c r="A10" s="128" t="s">
        <v>95</v>
      </c>
      <c r="B10" s="129"/>
      <c r="C10" s="129"/>
      <c r="D10" s="129"/>
      <c r="E10" s="130"/>
      <c r="F10" s="128" t="s">
        <v>234</v>
      </c>
      <c r="G10" s="129"/>
      <c r="H10" s="129"/>
      <c r="I10" s="129"/>
      <c r="J10" s="130"/>
      <c r="K10" s="17"/>
    </row>
    <row r="11" spans="1:11" x14ac:dyDescent="0.3">
      <c r="A11" s="109" t="s">
        <v>6</v>
      </c>
      <c r="B11" s="110"/>
      <c r="C11" s="110"/>
      <c r="D11" s="110"/>
      <c r="E11" s="111"/>
      <c r="F11" s="263" t="s">
        <v>273</v>
      </c>
      <c r="G11" s="264"/>
      <c r="H11" s="264"/>
      <c r="I11" s="264"/>
      <c r="J11" s="265"/>
      <c r="K11" s="25"/>
    </row>
    <row r="12" spans="1:11" ht="45.75" customHeight="1" x14ac:dyDescent="0.3">
      <c r="A12" s="128" t="s">
        <v>126</v>
      </c>
      <c r="B12" s="129"/>
      <c r="C12" s="129"/>
      <c r="D12" s="129"/>
      <c r="E12" s="130"/>
      <c r="F12" s="176" t="s">
        <v>291</v>
      </c>
      <c r="G12" s="129"/>
      <c r="H12" s="129"/>
      <c r="I12" s="129"/>
      <c r="J12" s="130"/>
      <c r="K12" s="17"/>
    </row>
    <row r="13" spans="1:11" ht="31.5" customHeight="1" x14ac:dyDescent="0.3">
      <c r="A13" s="112" t="s">
        <v>54</v>
      </c>
      <c r="B13" s="112"/>
      <c r="C13" s="176" t="s">
        <v>307</v>
      </c>
      <c r="D13" s="102"/>
      <c r="E13" s="102"/>
      <c r="F13" s="102"/>
      <c r="G13" s="102"/>
      <c r="H13" s="102"/>
      <c r="I13" s="102"/>
      <c r="J13" s="103"/>
      <c r="K13" s="18"/>
    </row>
    <row r="14" spans="1:11" x14ac:dyDescent="0.3">
      <c r="A14" s="112" t="s">
        <v>128</v>
      </c>
      <c r="B14" s="112"/>
      <c r="C14" s="112" t="s">
        <v>147</v>
      </c>
      <c r="D14" s="112"/>
      <c r="E14" s="112"/>
      <c r="F14" s="101" t="s">
        <v>55</v>
      </c>
      <c r="G14" s="101"/>
      <c r="H14" s="102" t="s">
        <v>214</v>
      </c>
      <c r="I14" s="102"/>
      <c r="J14" s="103"/>
      <c r="K14" s="16"/>
    </row>
    <row r="15" spans="1:11" x14ac:dyDescent="0.3">
      <c r="A15" s="112" t="s">
        <v>7</v>
      </c>
      <c r="B15" s="112"/>
      <c r="C15" s="112" t="s">
        <v>238</v>
      </c>
      <c r="D15" s="112"/>
      <c r="E15" s="112"/>
      <c r="F15" s="101" t="s">
        <v>56</v>
      </c>
      <c r="G15" s="101"/>
      <c r="H15" s="102" t="s">
        <v>127</v>
      </c>
      <c r="I15" s="102"/>
      <c r="J15" s="103"/>
      <c r="K15" s="17"/>
    </row>
    <row r="16" spans="1:11" x14ac:dyDescent="0.3">
      <c r="A16" s="112" t="s">
        <v>8</v>
      </c>
      <c r="B16" s="112"/>
      <c r="C16" s="112" t="s">
        <v>219</v>
      </c>
      <c r="D16" s="112"/>
      <c r="E16" s="112"/>
      <c r="F16" s="101" t="s">
        <v>57</v>
      </c>
      <c r="G16" s="101"/>
      <c r="H16" s="102">
        <v>421605</v>
      </c>
      <c r="I16" s="102"/>
      <c r="J16" s="103"/>
      <c r="K16" s="17"/>
    </row>
    <row r="17" spans="1:11" ht="32.25" customHeight="1" x14ac:dyDescent="0.3">
      <c r="A17" s="112" t="s">
        <v>58</v>
      </c>
      <c r="B17" s="112"/>
      <c r="C17" s="112" t="s">
        <v>240</v>
      </c>
      <c r="D17" s="112"/>
      <c r="E17" s="112"/>
      <c r="F17" s="101" t="s">
        <v>46</v>
      </c>
      <c r="G17" s="101"/>
      <c r="H17" s="102" t="s">
        <v>221</v>
      </c>
      <c r="I17" s="102"/>
      <c r="J17" s="103"/>
      <c r="K17" s="18"/>
    </row>
    <row r="18" spans="1:11" ht="15" customHeight="1" x14ac:dyDescent="0.3">
      <c r="A18" s="252" t="s">
        <v>162</v>
      </c>
      <c r="B18" s="253"/>
      <c r="C18" s="253"/>
      <c r="D18" s="253"/>
      <c r="E18" s="254"/>
      <c r="F18" s="268" t="s">
        <v>52</v>
      </c>
      <c r="G18" s="269"/>
      <c r="H18" s="269"/>
      <c r="I18" s="269"/>
      <c r="J18" s="270"/>
      <c r="K18" s="17"/>
    </row>
    <row r="19" spans="1:11" x14ac:dyDescent="0.3">
      <c r="A19" s="255"/>
      <c r="B19" s="256"/>
      <c r="C19" s="256"/>
      <c r="D19" s="256"/>
      <c r="E19" s="257"/>
      <c r="F19" s="271"/>
      <c r="G19" s="272"/>
      <c r="H19" s="272"/>
      <c r="I19" s="272"/>
      <c r="J19" s="273"/>
      <c r="K19" s="17"/>
    </row>
    <row r="20" spans="1:11" ht="15" customHeight="1" x14ac:dyDescent="0.3">
      <c r="A20" s="252" t="s">
        <v>96</v>
      </c>
      <c r="B20" s="258"/>
      <c r="C20" s="258"/>
      <c r="D20" s="258"/>
      <c r="E20" s="259"/>
      <c r="F20" s="252" t="s">
        <v>40</v>
      </c>
      <c r="G20" s="253"/>
      <c r="H20" s="253"/>
      <c r="I20" s="253"/>
      <c r="J20" s="254"/>
      <c r="K20" s="18"/>
    </row>
    <row r="21" spans="1:11" x14ac:dyDescent="0.3">
      <c r="A21" s="109" t="s">
        <v>9</v>
      </c>
      <c r="B21" s="110"/>
      <c r="C21" s="110"/>
      <c r="D21" s="110"/>
      <c r="E21" s="111"/>
      <c r="F21" s="106" t="s">
        <v>124</v>
      </c>
      <c r="G21" s="107"/>
      <c r="H21" s="107"/>
      <c r="I21" s="107"/>
      <c r="J21" s="108"/>
      <c r="K21" s="19"/>
    </row>
    <row r="22" spans="1:11" x14ac:dyDescent="0.3">
      <c r="A22" s="109" t="s">
        <v>10</v>
      </c>
      <c r="B22" s="110"/>
      <c r="C22" s="110"/>
      <c r="D22" s="110"/>
      <c r="E22" s="111"/>
      <c r="F22" s="234" t="s">
        <v>47</v>
      </c>
      <c r="G22" s="235"/>
      <c r="H22" s="235"/>
      <c r="I22" s="235"/>
      <c r="J22" s="236"/>
      <c r="K22" s="20"/>
    </row>
    <row r="23" spans="1:11" x14ac:dyDescent="0.3">
      <c r="A23" s="109" t="s">
        <v>11</v>
      </c>
      <c r="B23" s="110"/>
      <c r="C23" s="110"/>
      <c r="D23" s="110"/>
      <c r="E23" s="111"/>
      <c r="F23" s="106" t="s">
        <v>125</v>
      </c>
      <c r="G23" s="107"/>
      <c r="H23" s="107"/>
      <c r="I23" s="107"/>
      <c r="J23" s="108"/>
      <c r="K23" s="19"/>
    </row>
    <row r="24" spans="1:11" x14ac:dyDescent="0.3">
      <c r="A24" s="109" t="s">
        <v>24</v>
      </c>
      <c r="B24" s="110"/>
      <c r="C24" s="110"/>
      <c r="D24" s="110"/>
      <c r="E24" s="111"/>
      <c r="F24" s="113" t="s">
        <v>59</v>
      </c>
      <c r="G24" s="114"/>
      <c r="H24" s="114"/>
      <c r="I24" s="114"/>
      <c r="J24" s="115"/>
      <c r="K24" s="21"/>
    </row>
    <row r="25" spans="1:11" x14ac:dyDescent="0.3">
      <c r="A25" s="104" t="s">
        <v>12</v>
      </c>
      <c r="B25" s="105"/>
      <c r="C25" s="104" t="s">
        <v>13</v>
      </c>
      <c r="D25" s="105"/>
      <c r="E25" s="266" t="s">
        <v>14</v>
      </c>
      <c r="F25" s="105"/>
      <c r="G25" s="266" t="s">
        <v>45</v>
      </c>
      <c r="H25" s="267"/>
      <c r="I25" s="104" t="s">
        <v>15</v>
      </c>
      <c r="J25" s="105"/>
      <c r="K25" s="22"/>
    </row>
    <row r="26" spans="1:11" ht="28.5" customHeight="1" x14ac:dyDescent="0.3">
      <c r="A26" s="266" t="s">
        <v>237</v>
      </c>
      <c r="B26" s="267"/>
      <c r="C26" s="250" t="s">
        <v>242</v>
      </c>
      <c r="D26" s="251"/>
      <c r="E26" s="237" t="s">
        <v>243</v>
      </c>
      <c r="F26" s="238"/>
      <c r="G26" s="250" t="s">
        <v>242</v>
      </c>
      <c r="H26" s="251"/>
      <c r="I26" s="250" t="s">
        <v>242</v>
      </c>
      <c r="J26" s="251"/>
      <c r="K26" s="23"/>
    </row>
    <row r="27" spans="1:11" ht="30" customHeight="1" x14ac:dyDescent="0.3">
      <c r="A27" s="104" t="s">
        <v>16</v>
      </c>
      <c r="B27" s="105"/>
      <c r="C27" s="237" t="s">
        <v>239</v>
      </c>
      <c r="D27" s="238"/>
      <c r="E27" s="237" t="s">
        <v>238</v>
      </c>
      <c r="F27" s="238"/>
      <c r="G27" s="237" t="s">
        <v>241</v>
      </c>
      <c r="H27" s="238"/>
      <c r="I27" s="237" t="s">
        <v>240</v>
      </c>
      <c r="J27" s="238"/>
      <c r="K27" s="16"/>
    </row>
    <row r="28" spans="1:11" x14ac:dyDescent="0.3">
      <c r="A28" s="128" t="s">
        <v>51</v>
      </c>
      <c r="B28" s="129"/>
      <c r="C28" s="129"/>
      <c r="D28" s="129"/>
      <c r="E28" s="129"/>
      <c r="F28" s="129"/>
      <c r="G28" s="129"/>
      <c r="H28" s="129"/>
      <c r="I28" s="129"/>
      <c r="J28" s="130"/>
      <c r="K28" s="17"/>
    </row>
    <row r="29" spans="1:11" x14ac:dyDescent="0.3">
      <c r="A29" s="128" t="s">
        <v>121</v>
      </c>
      <c r="B29" s="129"/>
      <c r="C29" s="129"/>
      <c r="D29" s="129"/>
      <c r="E29" s="129"/>
      <c r="F29" s="129"/>
      <c r="G29" s="129"/>
      <c r="H29" s="129"/>
      <c r="I29" s="129"/>
      <c r="J29" s="130"/>
      <c r="K29" s="17"/>
    </row>
    <row r="30" spans="1:11" x14ac:dyDescent="0.3">
      <c r="A30" s="128" t="s">
        <v>36</v>
      </c>
      <c r="B30" s="130"/>
      <c r="C30" s="243" t="s">
        <v>236</v>
      </c>
      <c r="D30" s="244"/>
      <c r="E30" s="244"/>
      <c r="F30" s="244"/>
      <c r="G30" s="244"/>
      <c r="H30" s="244"/>
      <c r="I30" s="244"/>
      <c r="J30" s="245"/>
      <c r="K30" s="22"/>
    </row>
    <row r="31" spans="1:11" x14ac:dyDescent="0.3">
      <c r="A31" s="128" t="s">
        <v>230</v>
      </c>
      <c r="B31" s="130"/>
      <c r="C31" s="287" t="s">
        <v>231</v>
      </c>
      <c r="D31" s="129"/>
      <c r="E31" s="129"/>
      <c r="F31" s="129"/>
      <c r="G31" s="129"/>
      <c r="H31" s="129"/>
      <c r="I31" s="129"/>
      <c r="J31" s="130"/>
      <c r="K31" s="22"/>
    </row>
    <row r="32" spans="1:11" x14ac:dyDescent="0.3">
      <c r="A32" s="243" t="s">
        <v>17</v>
      </c>
      <c r="B32" s="244"/>
      <c r="C32" s="244"/>
      <c r="D32" s="244"/>
      <c r="E32" s="244"/>
      <c r="F32" s="244"/>
      <c r="G32" s="244"/>
      <c r="H32" s="244"/>
      <c r="I32" s="244"/>
      <c r="J32" s="245"/>
      <c r="K32" s="24"/>
    </row>
    <row r="33" spans="1:11" ht="15" customHeight="1" x14ac:dyDescent="0.3">
      <c r="A33" s="277" t="s">
        <v>148</v>
      </c>
      <c r="B33" s="278"/>
      <c r="C33" s="278"/>
      <c r="D33" s="278"/>
      <c r="E33" s="278"/>
      <c r="F33" s="278"/>
      <c r="G33" s="278"/>
      <c r="H33" s="278"/>
      <c r="I33" s="278"/>
      <c r="J33" s="279"/>
      <c r="K33" s="25"/>
    </row>
    <row r="34" spans="1:11" x14ac:dyDescent="0.3">
      <c r="A34" s="280"/>
      <c r="B34" s="281"/>
      <c r="C34" s="281"/>
      <c r="D34" s="281"/>
      <c r="E34" s="281"/>
      <c r="F34" s="281"/>
      <c r="G34" s="281"/>
      <c r="H34" s="281"/>
      <c r="I34" s="281"/>
      <c r="J34" s="282"/>
      <c r="K34" s="25"/>
    </row>
    <row r="35" spans="1:11" ht="16.5" customHeight="1" x14ac:dyDescent="0.3">
      <c r="A35" s="128" t="s">
        <v>60</v>
      </c>
      <c r="B35" s="110"/>
      <c r="C35" s="110"/>
      <c r="D35" s="110"/>
      <c r="E35" s="111"/>
      <c r="F35" s="176">
        <v>6865</v>
      </c>
      <c r="G35" s="102"/>
      <c r="H35" s="102"/>
      <c r="I35" s="102"/>
      <c r="J35" s="103"/>
      <c r="K35" s="18"/>
    </row>
    <row r="36" spans="1:11" x14ac:dyDescent="0.3">
      <c r="A36" s="109" t="s">
        <v>18</v>
      </c>
      <c r="B36" s="110"/>
      <c r="C36" s="110"/>
      <c r="D36" s="110"/>
      <c r="E36" s="111"/>
      <c r="F36" s="246">
        <f>7551.5/F35</f>
        <v>1.1000000000000001</v>
      </c>
      <c r="G36" s="247"/>
      <c r="H36" s="247"/>
      <c r="I36" s="247"/>
      <c r="J36" s="248"/>
      <c r="K36" s="17"/>
    </row>
    <row r="37" spans="1:11" x14ac:dyDescent="0.3">
      <c r="A37" s="109" t="s">
        <v>19</v>
      </c>
      <c r="B37" s="110"/>
      <c r="C37" s="110"/>
      <c r="D37" s="110"/>
      <c r="E37" s="111"/>
      <c r="F37" s="246">
        <f>F39/F35-F36</f>
        <v>2.5308611798980336</v>
      </c>
      <c r="G37" s="247"/>
      <c r="H37" s="247"/>
      <c r="I37" s="247"/>
      <c r="J37" s="248"/>
      <c r="K37" s="17"/>
    </row>
    <row r="38" spans="1:11" x14ac:dyDescent="0.3">
      <c r="A38" s="109" t="s">
        <v>20</v>
      </c>
      <c r="B38" s="110"/>
      <c r="C38" s="110"/>
      <c r="D38" s="110"/>
      <c r="E38" s="111"/>
      <c r="F38" s="246">
        <f>F36+F37</f>
        <v>3.6308611798980337</v>
      </c>
      <c r="G38" s="247"/>
      <c r="H38" s="247"/>
      <c r="I38" s="247"/>
      <c r="J38" s="248"/>
      <c r="K38" s="17"/>
    </row>
    <row r="39" spans="1:11" x14ac:dyDescent="0.3">
      <c r="A39" s="128" t="s">
        <v>61</v>
      </c>
      <c r="B39" s="110"/>
      <c r="C39" s="110"/>
      <c r="D39" s="110"/>
      <c r="E39" s="111"/>
      <c r="F39" s="128">
        <v>24925.862000000001</v>
      </c>
      <c r="G39" s="129"/>
      <c r="H39" s="129"/>
      <c r="I39" s="129"/>
      <c r="J39" s="130"/>
      <c r="K39" s="17"/>
    </row>
    <row r="40" spans="1:11" x14ac:dyDescent="0.3">
      <c r="A40" s="109" t="s">
        <v>21</v>
      </c>
      <c r="B40" s="110"/>
      <c r="C40" s="110"/>
      <c r="D40" s="110"/>
      <c r="E40" s="111"/>
      <c r="F40" s="128" t="s">
        <v>265</v>
      </c>
      <c r="G40" s="129"/>
      <c r="H40" s="129"/>
      <c r="I40" s="129"/>
      <c r="J40" s="130"/>
      <c r="K40" s="17"/>
    </row>
    <row r="41" spans="1:11" x14ac:dyDescent="0.3">
      <c r="A41" s="243" t="s">
        <v>63</v>
      </c>
      <c r="B41" s="244"/>
      <c r="C41" s="244"/>
      <c r="D41" s="244"/>
      <c r="E41" s="244"/>
      <c r="F41" s="244"/>
      <c r="G41" s="244"/>
      <c r="H41" s="244"/>
      <c r="I41" s="244"/>
      <c r="J41" s="245"/>
      <c r="K41" s="24"/>
    </row>
    <row r="42" spans="1:11" hidden="1" x14ac:dyDescent="0.3">
      <c r="A42" s="176" t="s">
        <v>62</v>
      </c>
      <c r="B42" s="103"/>
      <c r="C42" s="128" t="s">
        <v>149</v>
      </c>
      <c r="D42" s="129"/>
      <c r="E42" s="129"/>
      <c r="F42" s="130"/>
      <c r="G42" s="85" t="s">
        <v>53</v>
      </c>
      <c r="H42" s="128" t="s">
        <v>150</v>
      </c>
      <c r="I42" s="129"/>
      <c r="J42" s="130"/>
      <c r="K42" s="16"/>
    </row>
    <row r="43" spans="1:11" ht="15" customHeight="1" x14ac:dyDescent="0.3">
      <c r="A43" s="176" t="s">
        <v>62</v>
      </c>
      <c r="B43" s="103"/>
      <c r="C43" s="128" t="s">
        <v>293</v>
      </c>
      <c r="D43" s="129"/>
      <c r="E43" s="129"/>
      <c r="F43" s="130"/>
      <c r="G43" s="85" t="s">
        <v>53</v>
      </c>
      <c r="H43" s="260">
        <v>45000</v>
      </c>
      <c r="I43" s="129"/>
      <c r="J43" s="130"/>
      <c r="K43" s="26"/>
    </row>
    <row r="44" spans="1:11" ht="38.25" customHeight="1" x14ac:dyDescent="0.3">
      <c r="A44" s="176" t="s">
        <v>299</v>
      </c>
      <c r="B44" s="103"/>
      <c r="C44" s="128" t="str">
        <f>C42</f>
        <v>KDMP/NRV/BP/KV/2018-19/08</v>
      </c>
      <c r="D44" s="129"/>
      <c r="E44" s="129"/>
      <c r="F44" s="130"/>
      <c r="G44" s="85" t="s">
        <v>53</v>
      </c>
      <c r="H44" s="128" t="str">
        <f>H42</f>
        <v>16/05/2018.</v>
      </c>
      <c r="I44" s="129" t="s">
        <v>41</v>
      </c>
      <c r="J44" s="130"/>
      <c r="K44" s="17"/>
    </row>
    <row r="45" spans="1:11" ht="60.75" customHeight="1" x14ac:dyDescent="0.3">
      <c r="A45" s="176" t="s">
        <v>97</v>
      </c>
      <c r="B45" s="103"/>
      <c r="C45" s="176" t="s">
        <v>224</v>
      </c>
      <c r="D45" s="102"/>
      <c r="E45" s="102"/>
      <c r="F45" s="103"/>
      <c r="G45" s="1" t="s">
        <v>53</v>
      </c>
      <c r="H45" s="128" t="str">
        <f>H44</f>
        <v>16/05/2018.</v>
      </c>
      <c r="I45" s="129" t="s">
        <v>42</v>
      </c>
      <c r="J45" s="130"/>
      <c r="K45" s="27"/>
    </row>
    <row r="46" spans="1:11" ht="30.75" customHeight="1" x14ac:dyDescent="0.3">
      <c r="A46" s="176" t="s">
        <v>300</v>
      </c>
      <c r="B46" s="103"/>
      <c r="C46" s="128" t="s">
        <v>245</v>
      </c>
      <c r="D46" s="129"/>
      <c r="E46" s="129"/>
      <c r="F46" s="130"/>
      <c r="G46" s="85" t="s">
        <v>53</v>
      </c>
      <c r="H46" s="260">
        <v>45000</v>
      </c>
      <c r="I46" s="129"/>
      <c r="J46" s="130"/>
      <c r="K46" s="17"/>
    </row>
    <row r="47" spans="1:11" ht="60.75" customHeight="1" x14ac:dyDescent="0.3">
      <c r="A47" s="176" t="s">
        <v>246</v>
      </c>
      <c r="B47" s="103"/>
      <c r="C47" s="176" t="s">
        <v>276</v>
      </c>
      <c r="D47" s="102"/>
      <c r="E47" s="102"/>
      <c r="F47" s="103"/>
      <c r="G47" s="1" t="s">
        <v>53</v>
      </c>
      <c r="H47" s="260">
        <v>45000</v>
      </c>
      <c r="I47" s="129"/>
      <c r="J47" s="130"/>
      <c r="K47" s="17"/>
    </row>
    <row r="48" spans="1:11" ht="48.75" customHeight="1" x14ac:dyDescent="0.3">
      <c r="A48" s="274" t="s">
        <v>314</v>
      </c>
      <c r="B48" s="275"/>
      <c r="C48" s="274" t="s">
        <v>232</v>
      </c>
      <c r="D48" s="276"/>
      <c r="E48" s="276"/>
      <c r="F48" s="275" t="s">
        <v>93</v>
      </c>
      <c r="G48" s="83" t="s">
        <v>53</v>
      </c>
      <c r="H48" s="286">
        <v>44694</v>
      </c>
      <c r="I48" s="244" t="s">
        <v>48</v>
      </c>
      <c r="J48" s="245"/>
      <c r="K48" s="28"/>
    </row>
    <row r="49" spans="1:12" ht="75" customHeight="1" x14ac:dyDescent="0.3">
      <c r="A49" s="274" t="s">
        <v>316</v>
      </c>
      <c r="B49" s="275"/>
      <c r="C49" s="274" t="s">
        <v>233</v>
      </c>
      <c r="D49" s="276"/>
      <c r="E49" s="276"/>
      <c r="F49" s="275" t="s">
        <v>93</v>
      </c>
      <c r="G49" s="83" t="s">
        <v>53</v>
      </c>
      <c r="H49" s="286">
        <v>44407</v>
      </c>
      <c r="I49" s="244" t="s">
        <v>48</v>
      </c>
      <c r="J49" s="245"/>
      <c r="K49" s="17"/>
    </row>
    <row r="50" spans="1:12" ht="47.25" customHeight="1" x14ac:dyDescent="0.3">
      <c r="A50" s="274" t="s">
        <v>313</v>
      </c>
      <c r="B50" s="275"/>
      <c r="C50" s="274" t="s">
        <v>318</v>
      </c>
      <c r="D50" s="276"/>
      <c r="E50" s="276"/>
      <c r="F50" s="275" t="s">
        <v>93</v>
      </c>
      <c r="G50" s="83" t="s">
        <v>53</v>
      </c>
      <c r="H50" s="286">
        <v>45414</v>
      </c>
      <c r="I50" s="244" t="s">
        <v>48</v>
      </c>
      <c r="J50" s="245"/>
      <c r="K50" s="17"/>
    </row>
    <row r="51" spans="1:12" ht="43.5" hidden="1" customHeight="1" x14ac:dyDescent="0.3">
      <c r="A51" s="274" t="s">
        <v>313</v>
      </c>
      <c r="B51" s="275"/>
      <c r="C51" s="274" t="s">
        <v>315</v>
      </c>
      <c r="D51" s="276"/>
      <c r="E51" s="276"/>
      <c r="F51" s="275" t="s">
        <v>93</v>
      </c>
      <c r="G51" s="83" t="s">
        <v>53</v>
      </c>
      <c r="H51" s="286">
        <v>44407</v>
      </c>
      <c r="I51" s="244" t="s">
        <v>48</v>
      </c>
      <c r="J51" s="245"/>
      <c r="K51" s="17"/>
    </row>
    <row r="52" spans="1:12" ht="118.5" customHeight="1" x14ac:dyDescent="0.3">
      <c r="A52" s="274" t="s">
        <v>302</v>
      </c>
      <c r="B52" s="275"/>
      <c r="C52" s="274" t="s">
        <v>303</v>
      </c>
      <c r="D52" s="276"/>
      <c r="E52" s="276"/>
      <c r="F52" s="275" t="s">
        <v>93</v>
      </c>
      <c r="G52" s="83" t="s">
        <v>53</v>
      </c>
      <c r="H52" s="286">
        <v>45072</v>
      </c>
      <c r="I52" s="244" t="s">
        <v>48</v>
      </c>
      <c r="J52" s="245"/>
      <c r="K52" s="17"/>
    </row>
    <row r="53" spans="1:12" ht="45" customHeight="1" x14ac:dyDescent="0.3">
      <c r="A53" s="101" t="s">
        <v>275</v>
      </c>
      <c r="B53" s="112"/>
      <c r="C53" s="112"/>
      <c r="D53" s="304" t="s">
        <v>274</v>
      </c>
      <c r="E53" s="305"/>
      <c r="F53" s="128" t="s">
        <v>64</v>
      </c>
      <c r="G53" s="242"/>
      <c r="H53" s="249" t="s">
        <v>317</v>
      </c>
      <c r="I53" s="129"/>
      <c r="J53" s="130"/>
    </row>
    <row r="54" spans="1:12" ht="15" customHeight="1" x14ac:dyDescent="0.3">
      <c r="A54" s="283" t="s">
        <v>22</v>
      </c>
      <c r="B54" s="284"/>
      <c r="C54" s="284"/>
      <c r="D54" s="284"/>
      <c r="E54" s="284"/>
      <c r="F54" s="284"/>
      <c r="G54" s="284"/>
      <c r="H54" s="284"/>
      <c r="I54" s="284"/>
      <c r="J54" s="285"/>
    </row>
    <row r="55" spans="1:12" ht="15" customHeight="1" x14ac:dyDescent="0.3">
      <c r="A55" s="128" t="s">
        <v>92</v>
      </c>
      <c r="B55" s="129"/>
      <c r="C55" s="130"/>
      <c r="D55" s="128">
        <f>F39</f>
        <v>24925.862000000001</v>
      </c>
      <c r="E55" s="129"/>
      <c r="F55" s="129"/>
      <c r="G55" s="129"/>
      <c r="H55" s="129"/>
      <c r="I55" s="129"/>
      <c r="J55" s="130"/>
    </row>
    <row r="56" spans="1:12" ht="15" customHeight="1" x14ac:dyDescent="0.3">
      <c r="A56" s="128" t="s">
        <v>122</v>
      </c>
      <c r="B56" s="129"/>
      <c r="C56" s="130"/>
      <c r="D56" s="290" t="s">
        <v>301</v>
      </c>
      <c r="E56" s="291"/>
      <c r="F56" s="291"/>
      <c r="G56" s="291"/>
      <c r="H56" s="291"/>
      <c r="I56" s="291"/>
      <c r="J56" s="292"/>
    </row>
    <row r="57" spans="1:12" ht="61.5" customHeight="1" x14ac:dyDescent="0.3">
      <c r="A57" s="128" t="s">
        <v>65</v>
      </c>
      <c r="B57" s="129"/>
      <c r="C57" s="176" t="s">
        <v>281</v>
      </c>
      <c r="D57" s="102"/>
      <c r="E57" s="102"/>
      <c r="F57" s="102"/>
      <c r="G57" s="102"/>
      <c r="H57" s="102"/>
      <c r="I57" s="102"/>
      <c r="J57" s="103"/>
    </row>
    <row r="58" spans="1:12" x14ac:dyDescent="0.3">
      <c r="A58" s="112" t="s">
        <v>235</v>
      </c>
      <c r="B58" s="112"/>
      <c r="C58" s="288" t="s">
        <v>282</v>
      </c>
      <c r="D58" s="288"/>
      <c r="E58" s="288"/>
      <c r="F58" s="288"/>
      <c r="G58" s="288"/>
      <c r="H58" s="288"/>
      <c r="I58" s="288"/>
      <c r="J58" s="289"/>
    </row>
    <row r="59" spans="1:12" x14ac:dyDescent="0.3">
      <c r="A59" s="112"/>
      <c r="B59" s="112"/>
      <c r="C59" s="288" t="s">
        <v>283</v>
      </c>
      <c r="D59" s="288"/>
      <c r="E59" s="288"/>
      <c r="F59" s="288"/>
      <c r="G59" s="288"/>
      <c r="H59" s="288"/>
      <c r="I59" s="288"/>
      <c r="J59" s="289"/>
    </row>
    <row r="60" spans="1:12" x14ac:dyDescent="0.3">
      <c r="A60" s="112"/>
      <c r="B60" s="112"/>
      <c r="C60" s="288" t="s">
        <v>284</v>
      </c>
      <c r="D60" s="288"/>
      <c r="E60" s="288"/>
      <c r="F60" s="288"/>
      <c r="G60" s="288"/>
      <c r="H60" s="288"/>
      <c r="I60" s="288"/>
      <c r="J60" s="289"/>
    </row>
    <row r="61" spans="1:12" x14ac:dyDescent="0.3">
      <c r="A61" s="112"/>
      <c r="B61" s="112"/>
      <c r="C61" s="288" t="s">
        <v>285</v>
      </c>
      <c r="D61" s="288"/>
      <c r="E61" s="288"/>
      <c r="F61" s="288"/>
      <c r="G61" s="288"/>
      <c r="H61" s="288"/>
      <c r="I61" s="288"/>
      <c r="J61" s="289"/>
    </row>
    <row r="62" spans="1:12" ht="15" customHeight="1" x14ac:dyDescent="0.3">
      <c r="A62" s="128" t="s">
        <v>43</v>
      </c>
      <c r="B62" s="129"/>
      <c r="C62" s="129"/>
      <c r="D62" s="130"/>
      <c r="E62" s="176" t="s">
        <v>223</v>
      </c>
      <c r="F62" s="102"/>
      <c r="G62" s="102"/>
      <c r="H62" s="102"/>
      <c r="I62" s="102"/>
      <c r="J62" s="103"/>
    </row>
    <row r="63" spans="1:12" ht="15" customHeight="1" thickBot="1" x14ac:dyDescent="0.35">
      <c r="A63" s="128" t="s">
        <v>49</v>
      </c>
      <c r="B63" s="129"/>
      <c r="C63" s="129"/>
      <c r="D63" s="129"/>
      <c r="E63" s="129"/>
      <c r="F63" s="129"/>
      <c r="G63" s="129"/>
      <c r="H63" s="129"/>
      <c r="I63" s="129"/>
      <c r="J63" s="130"/>
    </row>
    <row r="64" spans="1:12" ht="15" customHeight="1" x14ac:dyDescent="0.3">
      <c r="A64" s="201" t="s">
        <v>188</v>
      </c>
      <c r="B64" s="202"/>
      <c r="C64" s="293" t="str">
        <f>C58</f>
        <v>Phase II (Wing A) =  Stilt + 1st to 14th + 15th Floor (Pt) Mhada</v>
      </c>
      <c r="D64" s="294"/>
      <c r="E64" s="294"/>
      <c r="F64" s="294"/>
      <c r="G64" s="294"/>
      <c r="H64" s="294"/>
      <c r="I64" s="294"/>
      <c r="J64" s="295"/>
      <c r="K64" s="50" t="e">
        <f>(IF(#REF!&gt;99%,"All work completed. Please provide OC.",IF(#REF!&gt;89.8%,"Plinth, RCC, Brick, Plaster, Flooring, Painting work Completed. Finishing work is in process.",IF(#REF!&lt;94%,(IF(#REF!=0,"Work not yet Started.",IF(#REF!=25%,"Piling work in process",IF(#REF!=50%,"Excavation work in process",IF(#REF!=100%,"Excavation work Completed. ","0")))&amp;(IF(#REF!=0%,"",IF(#REF!=#REF!,"Footing work is process",IF(#REF!=#REF!,"Footing work Completed",IF(#REF!=#REF!,"1st Basement Completed",IF(#REF!=#REF!,"1st &amp; 2nd Basement Completed",IF(#REF!=#REF!,"1st to 3rd Basement Completed",IF(#REF!=#REF!,"1st to 4th Basement Completed",IF(#REF!=#REF!,"Plinth work is process",IF(#REF!=#REF!,"Plinth work completed","0")))))))))))&amp;(IF(#REF!=(D65+G65+I65),", RCC Slab",IF(#REF!&gt;0,", RCC upto "&amp;#REF!&amp;" Slab",""))&amp;(IF(#REF!=I65,", Brickwork",IF(#REF!&gt;0,", Brickwork upto "&amp;#REF!&amp;" Floor",""))&amp;(IF(#REF!=I65,", Internal Plaster",IF(#REF!&gt;0,", Internal Plaster upto "&amp;#REF!&amp;" Floor",""))&amp;(IF(#REF!=I65,", External Plaster",IF(#REF!&gt;0,", External Plaster upto "&amp;#REF!&amp;" Floor",""))&amp;(IF(#REF!=I65,", Flooring",IF(#REF!&gt;0,", Flooring upto "&amp;#REF!&amp;" Floor",""))&amp;(IF(#REF!=I65,", Painting",IF(#REF!&gt;0,", Painting upto "&amp;#REF!&amp;" Floor",""))&amp;(IF(#REF!&gt;0,", Finishing upto "&amp;#REF!&amp;" Floor","")&amp;(IF(#REF!&gt;0.5," Completed",""))))))))))))))</f>
        <v>#REF!</v>
      </c>
      <c r="L64" s="59"/>
    </row>
    <row r="65" spans="1:12" ht="15" customHeight="1" x14ac:dyDescent="0.3">
      <c r="A65" s="54" t="s">
        <v>189</v>
      </c>
      <c r="B65" s="55">
        <v>0</v>
      </c>
      <c r="C65" s="55" t="s">
        <v>156</v>
      </c>
      <c r="D65" s="55">
        <v>1</v>
      </c>
      <c r="E65" s="185" t="s">
        <v>190</v>
      </c>
      <c r="F65" s="206"/>
      <c r="G65" s="55">
        <v>0</v>
      </c>
      <c r="H65" s="55" t="s">
        <v>191</v>
      </c>
      <c r="I65" s="185">
        <v>15</v>
      </c>
      <c r="J65" s="186"/>
      <c r="K65" s="51"/>
      <c r="L65" s="60"/>
    </row>
    <row r="66" spans="1:12" ht="15.6" x14ac:dyDescent="0.3">
      <c r="A66" s="207" t="s">
        <v>192</v>
      </c>
      <c r="B66" s="208"/>
      <c r="C66" s="189" t="str">
        <f>K66</f>
        <v>All work Completed. OC Received.</v>
      </c>
      <c r="D66" s="190"/>
      <c r="E66" s="190"/>
      <c r="F66" s="190"/>
      <c r="G66" s="190"/>
      <c r="H66" s="190"/>
      <c r="I66" s="190"/>
      <c r="J66" s="191"/>
      <c r="K66" s="51" t="s">
        <v>193</v>
      </c>
      <c r="L66" s="60"/>
    </row>
    <row r="67" spans="1:12" ht="15" customHeight="1" x14ac:dyDescent="0.3">
      <c r="A67" s="192" t="s">
        <v>196</v>
      </c>
      <c r="B67" s="193"/>
      <c r="C67" s="196">
        <v>1</v>
      </c>
      <c r="D67" s="197"/>
      <c r="E67" s="197" t="s">
        <v>197</v>
      </c>
      <c r="F67" s="197"/>
      <c r="G67" s="197"/>
      <c r="H67" s="196">
        <v>1</v>
      </c>
      <c r="I67" s="197"/>
      <c r="J67" s="199"/>
      <c r="K67" s="51"/>
      <c r="L67" s="60"/>
    </row>
    <row r="68" spans="1:12" ht="15" customHeight="1" thickBot="1" x14ac:dyDescent="0.35">
      <c r="A68" s="194"/>
      <c r="B68" s="195"/>
      <c r="C68" s="198"/>
      <c r="D68" s="198"/>
      <c r="E68" s="198"/>
      <c r="F68" s="198"/>
      <c r="G68" s="198"/>
      <c r="H68" s="198"/>
      <c r="I68" s="198"/>
      <c r="J68" s="200"/>
      <c r="K68" s="51"/>
      <c r="L68" s="60"/>
    </row>
    <row r="69" spans="1:12" ht="15" customHeight="1" x14ac:dyDescent="0.3">
      <c r="A69" s="201" t="s">
        <v>188</v>
      </c>
      <c r="B69" s="202"/>
      <c r="C69" s="203" t="str">
        <f>C59</f>
        <v>Phase I (Wing B &amp; C) = Stilt + 1st to 14th Floor</v>
      </c>
      <c r="D69" s="204"/>
      <c r="E69" s="204"/>
      <c r="F69" s="204"/>
      <c r="G69" s="204"/>
      <c r="H69" s="204"/>
      <c r="I69" s="204"/>
      <c r="J69" s="205"/>
      <c r="K69" s="50" t="e">
        <f>(IF(#REF!&gt;99%,"All work completed. Please provide OC.",IF(#REF!&gt;89.8%,"Plinth, RCC, Brick, Plaster, Flooring, Painting work Completed. Finishing work is in process.",IF(#REF!&lt;94%,(IF(#REF!=0,"Work not yet Started.",IF(#REF!=25%,"Piling work in process",IF(#REF!=50%,"Excavation work in process",IF(#REF!=100%,"Excavation work Completed. ","0")))&amp;(IF(#REF!=0%,"",IF(#REF!=#REF!,"Footing work is process",IF(#REF!=#REF!,"Footing work Completed",IF(#REF!=#REF!,"1st Basement Completed",IF(#REF!=#REF!,"1st &amp; 2nd Basement Completed",IF(#REF!=#REF!,"1st to 3rd Basement Completed",IF(#REF!=#REF!,"1st to 4th Basement Completed",IF(#REF!=#REF!,"Plinth work is process",IF(#REF!=#REF!,"Plinth work completed","0")))))))))))&amp;(IF(#REF!=(D70+G70+I70),", RCC Slab",IF(#REF!&gt;0,", RCC upto "&amp;#REF!&amp;" Slab",""))&amp;(IF(#REF!=I70,", Brickwork",IF(#REF!&gt;0,", Brickwork upto "&amp;#REF!&amp;" Floor",""))&amp;(IF(#REF!=I70,", Internal Plaster",IF(#REF!&gt;0,", Internal Plaster upto "&amp;#REF!&amp;" Floor",""))&amp;(IF(#REF!=I70,", External Plaster",IF(#REF!&gt;0,", External Plaster upto "&amp;#REF!&amp;" Floor",""))&amp;(IF(#REF!=I70,", Flooring",IF(#REF!&gt;0,", Flooring upto "&amp;#REF!&amp;" Floor",""))&amp;(IF(#REF!=I70,", Painting",IF(#REF!&gt;0,", Painting upto "&amp;#REF!&amp;" Floor",""))&amp;(IF(#REF!&gt;0,", Finishing upto "&amp;#REF!&amp;" Floor","")&amp;(IF(#REF!&gt;0.5," Completed",""))))))))))))))</f>
        <v>#REF!</v>
      </c>
      <c r="L69" s="59"/>
    </row>
    <row r="70" spans="1:12" ht="15" customHeight="1" x14ac:dyDescent="0.3">
      <c r="A70" s="54" t="s">
        <v>189</v>
      </c>
      <c r="B70" s="55">
        <v>0</v>
      </c>
      <c r="C70" s="55" t="s">
        <v>156</v>
      </c>
      <c r="D70" s="55">
        <v>1</v>
      </c>
      <c r="E70" s="185" t="s">
        <v>190</v>
      </c>
      <c r="F70" s="206"/>
      <c r="G70" s="55">
        <v>0</v>
      </c>
      <c r="H70" s="55" t="s">
        <v>191</v>
      </c>
      <c r="I70" s="185">
        <f ca="1">--TRIM(RIGHT(SUBSTITUTE(LEFT(C69,_xlfn.AGGREGATE(16,6,FIND({0,1,2,3,4,5,6,7,8,9},C69,ROW(INDIRECT("1:"&amp;LEN(C69)))),1))," ",REPT(" ",LEN(C69))),LEN(C69)))</f>
        <v>14</v>
      </c>
      <c r="J70" s="186"/>
      <c r="K70" s="51"/>
      <c r="L70" s="60"/>
    </row>
    <row r="71" spans="1:12" ht="15" customHeight="1" x14ac:dyDescent="0.3">
      <c r="A71" s="187" t="s">
        <v>222</v>
      </c>
      <c r="B71" s="188"/>
      <c r="C71" s="189" t="str">
        <f>K71</f>
        <v>All work Completed. OC Received.</v>
      </c>
      <c r="D71" s="190"/>
      <c r="E71" s="190"/>
      <c r="F71" s="190"/>
      <c r="G71" s="190"/>
      <c r="H71" s="190"/>
      <c r="I71" s="190"/>
      <c r="J71" s="191"/>
      <c r="K71" s="51" t="s">
        <v>193</v>
      </c>
      <c r="L71" s="60"/>
    </row>
    <row r="72" spans="1:12" ht="15" customHeight="1" x14ac:dyDescent="0.3">
      <c r="A72" s="192" t="s">
        <v>196</v>
      </c>
      <c r="B72" s="193"/>
      <c r="C72" s="196">
        <v>1</v>
      </c>
      <c r="D72" s="197"/>
      <c r="E72" s="197" t="s">
        <v>197</v>
      </c>
      <c r="F72" s="197"/>
      <c r="G72" s="197"/>
      <c r="H72" s="196">
        <v>1</v>
      </c>
      <c r="I72" s="197"/>
      <c r="J72" s="199"/>
      <c r="K72" s="51"/>
      <c r="L72" s="60"/>
    </row>
    <row r="73" spans="1:12" ht="15" customHeight="1" thickBot="1" x14ac:dyDescent="0.35">
      <c r="A73" s="194"/>
      <c r="B73" s="195"/>
      <c r="C73" s="198"/>
      <c r="D73" s="198"/>
      <c r="E73" s="198"/>
      <c r="F73" s="198"/>
      <c r="G73" s="198"/>
      <c r="H73" s="198"/>
      <c r="I73" s="198"/>
      <c r="J73" s="200"/>
      <c r="K73" s="51"/>
      <c r="L73" s="60"/>
    </row>
    <row r="74" spans="1:12" ht="57" hidden="1" customHeight="1" x14ac:dyDescent="0.3">
      <c r="A74" s="231" t="s">
        <v>187</v>
      </c>
      <c r="B74" s="232"/>
      <c r="C74" s="232"/>
      <c r="D74" s="232"/>
      <c r="E74" s="232"/>
      <c r="F74" s="232"/>
      <c r="G74" s="232"/>
      <c r="H74" s="232"/>
      <c r="I74" s="232"/>
      <c r="J74" s="233"/>
      <c r="K74" s="29"/>
    </row>
    <row r="75" spans="1:12" ht="15.75" hidden="1" customHeight="1" x14ac:dyDescent="0.3">
      <c r="A75" s="136"/>
      <c r="B75" s="138"/>
      <c r="C75" s="228" t="s">
        <v>30</v>
      </c>
      <c r="D75" s="229"/>
      <c r="E75" s="230"/>
      <c r="F75" s="228" t="s">
        <v>31</v>
      </c>
      <c r="G75" s="230"/>
      <c r="H75" s="136"/>
      <c r="I75" s="137"/>
      <c r="J75" s="138"/>
      <c r="K75" s="56"/>
    </row>
    <row r="76" spans="1:12" ht="15.75" hidden="1" customHeight="1" x14ac:dyDescent="0.3">
      <c r="A76" s="139"/>
      <c r="B76" s="141"/>
      <c r="C76" s="228" t="s">
        <v>32</v>
      </c>
      <c r="D76" s="229"/>
      <c r="E76" s="230"/>
      <c r="F76" s="145">
        <f>'Construction % C'!E4</f>
        <v>100</v>
      </c>
      <c r="G76" s="146"/>
      <c r="H76" s="139"/>
      <c r="I76" s="140"/>
      <c r="J76" s="141"/>
      <c r="K76" s="56"/>
    </row>
    <row r="77" spans="1:12" ht="15.75" hidden="1" customHeight="1" x14ac:dyDescent="0.3">
      <c r="A77" s="139"/>
      <c r="B77" s="141"/>
      <c r="C77" s="228" t="s">
        <v>33</v>
      </c>
      <c r="D77" s="229"/>
      <c r="E77" s="230"/>
      <c r="F77" s="145">
        <f>'Construction % C'!E5</f>
        <v>100</v>
      </c>
      <c r="G77" s="146"/>
      <c r="H77" s="139"/>
      <c r="I77" s="140"/>
      <c r="J77" s="141"/>
      <c r="K77" s="56"/>
    </row>
    <row r="78" spans="1:12" hidden="1" x14ac:dyDescent="0.3">
      <c r="A78" s="139"/>
      <c r="B78" s="141"/>
      <c r="C78" s="228" t="s">
        <v>34</v>
      </c>
      <c r="D78" s="229"/>
      <c r="E78" s="230"/>
      <c r="F78" s="145">
        <f>'Construction % C'!E6</f>
        <v>100</v>
      </c>
      <c r="G78" s="146"/>
      <c r="H78" s="139"/>
      <c r="I78" s="140"/>
      <c r="J78" s="141"/>
      <c r="K78" s="56"/>
    </row>
    <row r="79" spans="1:12" hidden="1" x14ac:dyDescent="0.3">
      <c r="A79" s="139"/>
      <c r="B79" s="141"/>
      <c r="C79" s="228" t="s">
        <v>35</v>
      </c>
      <c r="D79" s="229"/>
      <c r="E79" s="230"/>
      <c r="F79" s="145">
        <f>'Construction % C'!E7</f>
        <v>100</v>
      </c>
      <c r="G79" s="146"/>
      <c r="H79" s="139"/>
      <c r="I79" s="140"/>
      <c r="J79" s="141"/>
      <c r="K79" s="56"/>
    </row>
    <row r="80" spans="1:12" hidden="1" x14ac:dyDescent="0.3">
      <c r="A80" s="139"/>
      <c r="B80" s="141"/>
      <c r="C80" s="228" t="s">
        <v>37</v>
      </c>
      <c r="D80" s="229"/>
      <c r="E80" s="230"/>
      <c r="F80" s="145">
        <f>'Construction % C'!E8</f>
        <v>100</v>
      </c>
      <c r="G80" s="146"/>
      <c r="H80" s="139"/>
      <c r="I80" s="140"/>
      <c r="J80" s="141"/>
      <c r="K80" s="56"/>
    </row>
    <row r="81" spans="1:14" hidden="1" x14ac:dyDescent="0.3">
      <c r="A81" s="139"/>
      <c r="B81" s="141"/>
      <c r="C81" s="228" t="s">
        <v>38</v>
      </c>
      <c r="D81" s="229"/>
      <c r="E81" s="230"/>
      <c r="F81" s="145">
        <f>'Construction % C'!E9</f>
        <v>64.285714285714292</v>
      </c>
      <c r="G81" s="146"/>
      <c r="H81" s="139"/>
      <c r="I81" s="140"/>
      <c r="J81" s="141"/>
      <c r="K81" s="56"/>
    </row>
    <row r="82" spans="1:14" hidden="1" x14ac:dyDescent="0.3">
      <c r="A82" s="142"/>
      <c r="B82" s="144"/>
      <c r="C82" s="228" t="s">
        <v>39</v>
      </c>
      <c r="D82" s="229"/>
      <c r="E82" s="230"/>
      <c r="F82" s="145">
        <f>'Construction % C'!E10</f>
        <v>0</v>
      </c>
      <c r="G82" s="146"/>
      <c r="H82" s="142"/>
      <c r="I82" s="143"/>
      <c r="J82" s="144"/>
      <c r="K82" s="56"/>
    </row>
    <row r="83" spans="1:14" ht="15" hidden="1" thickBot="1" x14ac:dyDescent="0.35">
      <c r="A83" s="133" t="s">
        <v>28</v>
      </c>
      <c r="B83" s="134"/>
      <c r="C83" s="135"/>
      <c r="D83" s="131">
        <f>'Construction % C'!G20</f>
        <v>88.214285714285708</v>
      </c>
      <c r="E83" s="132"/>
      <c r="F83" s="133" t="s">
        <v>29</v>
      </c>
      <c r="G83" s="134"/>
      <c r="H83" s="135"/>
      <c r="I83" s="131">
        <f>'Construction % C'!H20</f>
        <v>93.214285714285708</v>
      </c>
      <c r="J83" s="132"/>
      <c r="K83" s="69"/>
    </row>
    <row r="84" spans="1:14" ht="15.6" x14ac:dyDescent="0.3">
      <c r="A84" s="201" t="s">
        <v>188</v>
      </c>
      <c r="B84" s="202"/>
      <c r="C84" s="203" t="str">
        <f>C60</f>
        <v>Phase I (Wing D) = Gr + 1st to 6th Floor</v>
      </c>
      <c r="D84" s="204"/>
      <c r="E84" s="204"/>
      <c r="F84" s="204"/>
      <c r="G84" s="204"/>
      <c r="H84" s="204"/>
      <c r="I84" s="204"/>
      <c r="J84" s="205"/>
      <c r="K84" s="50" t="str">
        <f ca="1">(IF(F104&gt;99%,"All work completed. Please provide OC.",IF(F104&gt;89.8%,"Plinth, RCC, Brick, Plaster, Flooring, Painting work Completed. Finishing work is in process.",IF(F104&lt;94%,(IF(C104=0,"Work not yet Started.",IF(D104=25%,"Piling work in process",IF(D104=50%,"Excavation work in process",IF(D104=100%,"Excavation work Completed. ","0")))&amp;(IF(C105=0%,"",IF(C105=#REF!,"Footing work is process",IF(C105=#REF!,"Footing work Completed",IF(C105=#REF!,"1st Basement Completed",IF(C105=#REF!,"1st &amp; 2nd Basement Completed",IF(C105=#REF!,"1st to 3rd Basement Completed",IF(C105=#REF!,"1st to 4th Basement Completed",IF(C105=#REF!,"Plinth work is process",IF(C105=L88,"Plinth work completed","0")))))))))))&amp;(IF(C106=(D85+G85+I85),", RCC Slab",IF(C106&gt;0,", RCC upto "&amp;C106&amp;" Slab",""))&amp;(IF(C107=I85,", Brickwork",IF(C107&gt;0,", Brickwork upto "&amp;C107&amp;" Floor",""))&amp;(IF(C109=I85,", Internal Plaster",IF(C109&gt;0,", Internal Plaster upto "&amp;C109&amp;" Floor",""))&amp;(IF(C110=I85,", External Plaster",IF(C110&gt;0,", External Plaster upto "&amp;C110&amp;" Floor",""))&amp;(IF(C111=I85,", Flooring",IF(C111&gt;0,", Flooring upto "&amp;C111&amp;" Floor",""))&amp;(IF(C112=I85,", Painting",IF(C112&gt;0,", Painting upto "&amp;C112&amp;" Floor",""))&amp;(IF(C117&gt;0,", Finishing upto "&amp;C117&amp;" Floor","")&amp;(IF(C106&gt;0.5," Completed",""))))))))))))))</f>
        <v>Work not yet Started.</v>
      </c>
      <c r="L84" s="59"/>
    </row>
    <row r="85" spans="1:14" ht="15.6" x14ac:dyDescent="0.3">
      <c r="A85" s="54" t="s">
        <v>189</v>
      </c>
      <c r="B85" s="55">
        <v>0</v>
      </c>
      <c r="C85" s="55" t="s">
        <v>156</v>
      </c>
      <c r="D85" s="55">
        <v>1</v>
      </c>
      <c r="E85" s="185" t="s">
        <v>190</v>
      </c>
      <c r="F85" s="206"/>
      <c r="G85" s="55">
        <v>0</v>
      </c>
      <c r="H85" s="55" t="s">
        <v>191</v>
      </c>
      <c r="I85" s="185">
        <f ca="1">--TRIM(RIGHT(SUBSTITUTE(LEFT(C84,_xlfn.AGGREGATE(16,6,FIND({0,1,2,3,4,5,6,7,8,9},C84,ROW(INDIRECT("1:"&amp;LEN(C84)))),1))," ",REPT(" ",LEN(C84))),LEN(C84)))</f>
        <v>6</v>
      </c>
      <c r="J85" s="186"/>
      <c r="K85" s="51"/>
      <c r="L85" s="60"/>
    </row>
    <row r="86" spans="1:14" s="70" customFormat="1" ht="14.4" customHeight="1" x14ac:dyDescent="0.3">
      <c r="A86" s="187" t="s">
        <v>222</v>
      </c>
      <c r="B86" s="188"/>
      <c r="C86" s="189" t="str">
        <f>K86</f>
        <v>All work Completed. OC Received.</v>
      </c>
      <c r="D86" s="190"/>
      <c r="E86" s="190"/>
      <c r="F86" s="190"/>
      <c r="G86" s="190"/>
      <c r="H86" s="190"/>
      <c r="I86" s="190"/>
      <c r="J86" s="191"/>
      <c r="K86" s="51" t="s">
        <v>193</v>
      </c>
      <c r="L86" s="60"/>
      <c r="M86"/>
    </row>
    <row r="87" spans="1:14" s="72" customFormat="1" ht="15.75" customHeight="1" x14ac:dyDescent="0.3">
      <c r="A87" s="192" t="s">
        <v>196</v>
      </c>
      <c r="B87" s="193"/>
      <c r="C87" s="196">
        <v>1</v>
      </c>
      <c r="D87" s="197"/>
      <c r="E87" s="197" t="s">
        <v>197</v>
      </c>
      <c r="F87" s="197"/>
      <c r="G87" s="197"/>
      <c r="H87" s="196">
        <v>1</v>
      </c>
      <c r="I87" s="197"/>
      <c r="J87" s="199"/>
      <c r="K87" s="51"/>
      <c r="L87" s="60"/>
      <c r="M87"/>
    </row>
    <row r="88" spans="1:14" s="72" customFormat="1" ht="15.75" customHeight="1" thickBot="1" x14ac:dyDescent="0.35">
      <c r="A88" s="194"/>
      <c r="B88" s="195"/>
      <c r="C88" s="198"/>
      <c r="D88" s="198"/>
      <c r="E88" s="198"/>
      <c r="F88" s="198"/>
      <c r="G88" s="198"/>
      <c r="H88" s="198"/>
      <c r="I88" s="198"/>
      <c r="J88" s="200"/>
      <c r="K88" s="71"/>
    </row>
    <row r="89" spans="1:14" ht="15" customHeight="1" x14ac:dyDescent="0.3">
      <c r="A89" s="201" t="s">
        <v>188</v>
      </c>
      <c r="B89" s="202"/>
      <c r="C89" s="203" t="str">
        <f>C61</f>
        <v>Phase III (Wing E) = Gr/St + 1st to 16th Floor</v>
      </c>
      <c r="D89" s="204"/>
      <c r="E89" s="204"/>
      <c r="F89" s="204"/>
      <c r="G89" s="204"/>
      <c r="H89" s="204"/>
      <c r="I89" s="204"/>
      <c r="J89" s="205"/>
      <c r="K89" s="50" t="str">
        <f ca="1">(IF(F93&gt;99%,"All work completed. Please provide OC.",IF(F93&gt;89.8%,"Plinth, RCC, Brick, Plaster, Flooring, Painting work Completed. Finishing work is in process.",IF(F93&lt;94%,(IF(C93=0,"Work not yet Started.",IF(D93=25%,"Piling work in process",IF(D93=50%,"Excavation work in process",IF(D93=100%,"Excavation work Completed. ","0")))&amp;(IF(C94=0%,"",IF(C94=L95,"Footing work is process",IF(C94=L96,"Footing work Completed",IF(C94=L97,"1st Basement Completed",IF(C94=L98,"1st &amp; 2nd Basement Completed",IF(C94=L99,"1st to 3rd Basement Completed",IF(C94=L100,"1st to 4th Basement Completed",IF(C94=L101,"Plinth work is process",IF(C94=L102,"Plinth work completed","0")))))))))))&amp;(IF(C95=(D90+G90+I90),", RCC Slab",IF(C95&gt;0,", RCC upto "&amp;C95&amp;" Slab",""))&amp;(IF(C96=I90,", Brickwork",IF(C96&gt;0,", Brickwork upto "&amp;C96&amp;" Floor",""))&amp;(IF(C97=I90,", Internal Plaster",IF(C97&gt;0,", Internal Plaster upto "&amp;C97&amp;" Floor",""))&amp;(IF(C98=I90,", External Plaster",IF(C98&gt;0,", External Plaster upto "&amp;C98&amp;" Floor",""))&amp;(IF(C99=I90,", Flooring",IF(C99&gt;0,", Flooring upto "&amp;C99&amp;" Floor",""))&amp;(IF(C100=I90,", Painting",IF(C100&gt;0,", Painting upto "&amp;C100&amp;" Floor",""))&amp;(IF(C101&gt;0,", Finishing upto "&amp;C101&amp;" Floor","")&amp;(IF(C95&gt;0.5," Completed",""))))))))))))))</f>
        <v>Excavation work Completed. Plinth work completed, RCC Slab, Brickwork upto 14 Floor, Internal Plaster upto 10 Floor Completed</v>
      </c>
      <c r="L89" s="59"/>
    </row>
    <row r="90" spans="1:14" ht="15" customHeight="1" x14ac:dyDescent="0.3">
      <c r="A90" s="54" t="s">
        <v>189</v>
      </c>
      <c r="B90" s="55">
        <v>0</v>
      </c>
      <c r="C90" s="55" t="s">
        <v>156</v>
      </c>
      <c r="D90" s="55">
        <v>1</v>
      </c>
      <c r="E90" s="185" t="s">
        <v>190</v>
      </c>
      <c r="F90" s="206"/>
      <c r="G90" s="55">
        <v>0</v>
      </c>
      <c r="H90" s="55" t="s">
        <v>191</v>
      </c>
      <c r="I90" s="185">
        <f ca="1">--TRIM(RIGHT(SUBSTITUTE(LEFT(C89,_xlfn.AGGREGATE(16,6,FIND({0,1,2,3,4,5,6,7,8,9},C89,ROW(INDIRECT("1:"&amp;LEN(C89)))),1))," ",REPT(" ",LEN(C89))),LEN(C89)))</f>
        <v>16</v>
      </c>
      <c r="J90" s="186"/>
      <c r="K90" s="51"/>
      <c r="L90" s="60"/>
    </row>
    <row r="91" spans="1:14" ht="36.6" customHeight="1" x14ac:dyDescent="0.3">
      <c r="A91" s="207" t="s">
        <v>222</v>
      </c>
      <c r="B91" s="208"/>
      <c r="C91" s="189" t="str">
        <f ca="1">K89</f>
        <v>Excavation work Completed. Plinth work completed, RCC Slab, Brickwork upto 14 Floor, Internal Plaster upto 10 Floor Completed</v>
      </c>
      <c r="D91" s="190"/>
      <c r="E91" s="190"/>
      <c r="F91" s="190"/>
      <c r="G91" s="190"/>
      <c r="H91" s="190"/>
      <c r="I91" s="190"/>
      <c r="J91" s="191"/>
      <c r="K91" s="51" t="s">
        <v>193</v>
      </c>
      <c r="L91" s="60"/>
    </row>
    <row r="92" spans="1:14" ht="15.6" x14ac:dyDescent="0.3">
      <c r="A92" s="209" t="s">
        <v>30</v>
      </c>
      <c r="B92" s="210"/>
      <c r="C92" s="84" t="s">
        <v>194</v>
      </c>
      <c r="D92" s="211" t="s">
        <v>195</v>
      </c>
      <c r="E92" s="211"/>
      <c r="F92" s="211" t="s">
        <v>196</v>
      </c>
      <c r="G92" s="211"/>
      <c r="H92" s="211" t="s">
        <v>197</v>
      </c>
      <c r="I92" s="211"/>
      <c r="J92" s="212"/>
      <c r="K92" s="52" t="s">
        <v>198</v>
      </c>
      <c r="L92" s="61">
        <f ca="1">I90*25%</f>
        <v>4</v>
      </c>
    </row>
    <row r="93" spans="1:14" ht="15" customHeight="1" x14ac:dyDescent="0.3">
      <c r="A93" s="222" t="s">
        <v>199</v>
      </c>
      <c r="B93" s="223"/>
      <c r="C93" s="62">
        <f ca="1">L94</f>
        <v>16</v>
      </c>
      <c r="D93" s="224">
        <f ca="1">((100/I90)*C93)/100</f>
        <v>1</v>
      </c>
      <c r="E93" s="225"/>
      <c r="F93" s="226">
        <f ca="1">(((C94/I90*10)+(40/(D90+G90+I90)*C95)+(7.5/(I90)*C96)+(7.5/(I90)*C97)+(10/I90*C98)+(10/I90*C99)+(5/I90*C100)+(5/I90*C101)+(5/I90*C102))/100)</f>
        <v>0.61250000000000004</v>
      </c>
      <c r="G93" s="226"/>
      <c r="H93" s="213">
        <f ca="1">((((C93/I90)*20)+((C94/I90)*25)+(30/(I90+G90+D90)*C95)+(5/I90*C96)+(5/I90*C97)+(5/I90*C98)+(5/I90*C99)+(0/I90*C100)+(0/I90*C101)+(5/I90*C102))/100)</f>
        <v>0.82499999999999996</v>
      </c>
      <c r="I93" s="214"/>
      <c r="J93" s="215"/>
      <c r="K93" s="52" t="s">
        <v>165</v>
      </c>
      <c r="L93" s="63">
        <f ca="1">I90*50%</f>
        <v>8</v>
      </c>
    </row>
    <row r="94" spans="1:14" ht="15.6" x14ac:dyDescent="0.3">
      <c r="A94" s="222" t="s">
        <v>32</v>
      </c>
      <c r="B94" s="223"/>
      <c r="C94" s="64">
        <f ca="1">L102</f>
        <v>16</v>
      </c>
      <c r="D94" s="224">
        <f ca="1">((100/I90)*C94)/100</f>
        <v>1</v>
      </c>
      <c r="E94" s="225"/>
      <c r="F94" s="226"/>
      <c r="G94" s="226"/>
      <c r="H94" s="216"/>
      <c r="I94" s="217"/>
      <c r="J94" s="218"/>
      <c r="K94" s="52" t="s">
        <v>166</v>
      </c>
      <c r="L94" s="63">
        <f ca="1">I90</f>
        <v>16</v>
      </c>
      <c r="N94" s="96"/>
    </row>
    <row r="95" spans="1:14" ht="15.6" x14ac:dyDescent="0.3">
      <c r="A95" s="222" t="s">
        <v>200</v>
      </c>
      <c r="B95" s="223"/>
      <c r="C95" s="64">
        <v>17</v>
      </c>
      <c r="D95" s="224">
        <f ca="1">((100/(D90+G90+I90))*C95)/100</f>
        <v>1</v>
      </c>
      <c r="E95" s="225"/>
      <c r="F95" s="226"/>
      <c r="G95" s="226"/>
      <c r="H95" s="216"/>
      <c r="I95" s="217"/>
      <c r="J95" s="218"/>
      <c r="K95" s="52" t="s">
        <v>167</v>
      </c>
      <c r="L95" s="65">
        <f ca="1">(IF(B90&gt;1,(I90/(B90+2)),I90/4))</f>
        <v>4</v>
      </c>
    </row>
    <row r="96" spans="1:14" ht="15.6" x14ac:dyDescent="0.3">
      <c r="A96" s="222" t="s">
        <v>201</v>
      </c>
      <c r="B96" s="223" t="s">
        <v>202</v>
      </c>
      <c r="C96" s="62">
        <v>14</v>
      </c>
      <c r="D96" s="224">
        <f ca="1">((100/I90)*C96)/100</f>
        <v>0.875</v>
      </c>
      <c r="E96" s="225"/>
      <c r="F96" s="226"/>
      <c r="G96" s="226"/>
      <c r="H96" s="216"/>
      <c r="I96" s="217"/>
      <c r="J96" s="218"/>
      <c r="K96" s="52" t="s">
        <v>168</v>
      </c>
      <c r="L96" s="65">
        <f ca="1">(IF(B90&gt;1,(I90/(B90+2)+L95),I90/4+L95))</f>
        <v>8</v>
      </c>
    </row>
    <row r="97" spans="1:16" ht="15.6" x14ac:dyDescent="0.3">
      <c r="A97" s="222" t="s">
        <v>203</v>
      </c>
      <c r="B97" s="223" t="s">
        <v>202</v>
      </c>
      <c r="C97" s="62">
        <v>10</v>
      </c>
      <c r="D97" s="224">
        <f ca="1">((100/I90)*C97)/100</f>
        <v>0.625</v>
      </c>
      <c r="E97" s="225"/>
      <c r="F97" s="226"/>
      <c r="G97" s="226"/>
      <c r="H97" s="216"/>
      <c r="I97" s="217"/>
      <c r="J97" s="218"/>
      <c r="K97" s="52" t="s">
        <v>204</v>
      </c>
      <c r="L97" s="65">
        <f>(IF(B90&gt;1,(I90/(B90+2)+L96),0))</f>
        <v>0</v>
      </c>
    </row>
    <row r="98" spans="1:16" ht="15.6" x14ac:dyDescent="0.3">
      <c r="A98" s="222" t="s">
        <v>205</v>
      </c>
      <c r="B98" s="223" t="s">
        <v>206</v>
      </c>
      <c r="C98" s="62">
        <v>0</v>
      </c>
      <c r="D98" s="224">
        <f ca="1">((100/(I90))*C98)/100</f>
        <v>0</v>
      </c>
      <c r="E98" s="225"/>
      <c r="F98" s="226"/>
      <c r="G98" s="226"/>
      <c r="H98" s="216"/>
      <c r="I98" s="217"/>
      <c r="J98" s="218"/>
      <c r="K98" s="52" t="s">
        <v>207</v>
      </c>
      <c r="L98" s="65">
        <f>(IF(B90&gt;2,(I90/(B90+2)+L97),0))</f>
        <v>0</v>
      </c>
    </row>
    <row r="99" spans="1:16" ht="15" customHeight="1" x14ac:dyDescent="0.3">
      <c r="A99" s="222" t="s">
        <v>208</v>
      </c>
      <c r="B99" s="223" t="s">
        <v>208</v>
      </c>
      <c r="C99" s="62">
        <v>0</v>
      </c>
      <c r="D99" s="224">
        <f ca="1">((100/I90)*C99)/100</f>
        <v>0</v>
      </c>
      <c r="E99" s="225"/>
      <c r="F99" s="226"/>
      <c r="G99" s="226"/>
      <c r="H99" s="216"/>
      <c r="I99" s="217"/>
      <c r="J99" s="218"/>
      <c r="K99" s="52" t="s">
        <v>209</v>
      </c>
      <c r="L99" s="66">
        <f>(IF(B90&gt;3,(I90/(B90+2)+L98),0))</f>
        <v>0</v>
      </c>
    </row>
    <row r="100" spans="1:16" ht="15.6" x14ac:dyDescent="0.3">
      <c r="A100" s="222" t="s">
        <v>210</v>
      </c>
      <c r="B100" s="223"/>
      <c r="C100" s="62">
        <v>0</v>
      </c>
      <c r="D100" s="224">
        <f ca="1">((100/I90)*C100)/100</f>
        <v>0</v>
      </c>
      <c r="E100" s="225"/>
      <c r="F100" s="226"/>
      <c r="G100" s="226"/>
      <c r="H100" s="216"/>
      <c r="I100" s="217"/>
      <c r="J100" s="218"/>
      <c r="K100" s="52" t="s">
        <v>211</v>
      </c>
      <c r="L100" s="65">
        <f>(IF(B90&gt;4,(I90/(B90+2)+L99),0))</f>
        <v>0</v>
      </c>
    </row>
    <row r="101" spans="1:16" ht="15.6" x14ac:dyDescent="0.3">
      <c r="A101" s="222" t="s">
        <v>212</v>
      </c>
      <c r="B101" s="223" t="s">
        <v>212</v>
      </c>
      <c r="C101" s="62">
        <v>0</v>
      </c>
      <c r="D101" s="224">
        <f ca="1">((100/(I90))*C101)/100</f>
        <v>0</v>
      </c>
      <c r="E101" s="225"/>
      <c r="F101" s="226"/>
      <c r="G101" s="226"/>
      <c r="H101" s="216"/>
      <c r="I101" s="217"/>
      <c r="J101" s="218"/>
      <c r="K101" s="52" t="s">
        <v>169</v>
      </c>
      <c r="L101" s="65">
        <f ca="1">(IF(B90=1,(I90/(B90+3)+L96),IF(B90=0,(I90/4+L96),IF(B90&gt;1,0))))</f>
        <v>12</v>
      </c>
    </row>
    <row r="102" spans="1:16" ht="16.2" thickBot="1" x14ac:dyDescent="0.35">
      <c r="A102" s="312" t="s">
        <v>213</v>
      </c>
      <c r="B102" s="313"/>
      <c r="C102" s="67">
        <v>0</v>
      </c>
      <c r="D102" s="314">
        <f ca="1">((100/(I90))*C102)/100</f>
        <v>0</v>
      </c>
      <c r="E102" s="315"/>
      <c r="F102" s="227"/>
      <c r="G102" s="227"/>
      <c r="H102" s="219"/>
      <c r="I102" s="220"/>
      <c r="J102" s="221"/>
      <c r="K102" s="53" t="s">
        <v>170</v>
      </c>
      <c r="L102" s="68">
        <f ca="1">(IF(B90&gt;1.5,(I90/(B90+2)+L96+MAX(0,L97-L96)+MAX(0,L98-L97)+MAX(0,L99-L98)+MAX(0,L100-L99)+MAX(0,L101-L100)),IF(B90=1,(I90/(B90+3)+L101),IF(B90=0,I90/4+L101))))</f>
        <v>16</v>
      </c>
    </row>
    <row r="103" spans="1:16" s="72" customFormat="1" ht="15.6" x14ac:dyDescent="0.3">
      <c r="A103" s="128" t="s">
        <v>50</v>
      </c>
      <c r="B103" s="129"/>
      <c r="C103" s="272"/>
      <c r="D103" s="129"/>
      <c r="E103" s="129"/>
      <c r="F103" s="129"/>
      <c r="G103" s="129"/>
      <c r="H103" s="129"/>
      <c r="I103" s="129"/>
      <c r="J103" s="130"/>
      <c r="K103" s="71"/>
    </row>
    <row r="104" spans="1:16" s="72" customFormat="1" ht="15.6" x14ac:dyDescent="0.3">
      <c r="A104" s="128" t="s">
        <v>44</v>
      </c>
      <c r="B104" s="129"/>
      <c r="C104" s="129"/>
      <c r="D104" s="129"/>
      <c r="E104" s="129"/>
      <c r="F104" s="129"/>
      <c r="G104" s="129"/>
      <c r="H104" s="129"/>
      <c r="I104" s="129"/>
      <c r="J104" s="130"/>
      <c r="K104" s="71"/>
    </row>
    <row r="105" spans="1:16" s="72" customFormat="1" ht="44.25" customHeight="1" x14ac:dyDescent="0.3">
      <c r="A105" s="318" t="s">
        <v>271</v>
      </c>
      <c r="B105" s="318"/>
      <c r="C105" s="318"/>
      <c r="D105" s="318"/>
      <c r="E105" s="318"/>
      <c r="F105" s="318"/>
      <c r="G105" s="318"/>
      <c r="H105" s="318"/>
      <c r="I105" s="318"/>
      <c r="J105" s="318"/>
      <c r="K105" s="93" t="s">
        <v>270</v>
      </c>
    </row>
    <row r="106" spans="1:16" s="72" customFormat="1" ht="15.6" x14ac:dyDescent="0.3">
      <c r="A106" s="319" t="s">
        <v>23</v>
      </c>
      <c r="B106" s="320"/>
      <c r="C106" s="320"/>
      <c r="D106" s="320"/>
      <c r="E106" s="320"/>
      <c r="F106" s="320"/>
      <c r="G106" s="320"/>
      <c r="H106" s="320"/>
      <c r="I106" s="320"/>
      <c r="J106" s="320"/>
      <c r="K106" s="76" t="s">
        <v>304</v>
      </c>
      <c r="L106" s="77" t="s">
        <v>305</v>
      </c>
      <c r="M106" s="99">
        <v>45322</v>
      </c>
      <c r="N106" s="77" t="s">
        <v>306</v>
      </c>
    </row>
    <row r="107" spans="1:16" s="77" customFormat="1" ht="15.6" x14ac:dyDescent="0.3">
      <c r="A107" s="128" t="s">
        <v>151</v>
      </c>
      <c r="B107" s="110"/>
      <c r="C107" s="110"/>
      <c r="D107" s="110"/>
      <c r="E107" s="110"/>
      <c r="F107" s="111"/>
      <c r="G107" s="316">
        <v>4300</v>
      </c>
      <c r="H107" s="317"/>
      <c r="I107" s="317"/>
      <c r="J107" s="317"/>
      <c r="K107" s="77" t="s">
        <v>309</v>
      </c>
      <c r="L107" s="99">
        <v>45461</v>
      </c>
      <c r="M107" s="77" t="s">
        <v>305</v>
      </c>
    </row>
    <row r="108" spans="1:16" s="70" customFormat="1" ht="17.25" customHeight="1" x14ac:dyDescent="0.3">
      <c r="A108" s="128" t="s">
        <v>311</v>
      </c>
      <c r="B108" s="110"/>
      <c r="C108" s="110"/>
      <c r="D108" s="110"/>
      <c r="E108" s="110"/>
      <c r="F108" s="111"/>
      <c r="G108" s="176" t="s">
        <v>312</v>
      </c>
      <c r="H108" s="102"/>
      <c r="I108" s="102"/>
      <c r="J108" s="102"/>
      <c r="K108" s="30"/>
    </row>
    <row r="109" spans="1:16" s="70" customFormat="1" ht="17.25" customHeight="1" x14ac:dyDescent="0.3">
      <c r="A109" s="128" t="s">
        <v>88</v>
      </c>
      <c r="B109" s="110"/>
      <c r="C109" s="110"/>
      <c r="D109" s="110"/>
      <c r="E109" s="110"/>
      <c r="F109" s="111"/>
      <c r="G109" s="176" t="s">
        <v>298</v>
      </c>
      <c r="H109" s="102"/>
      <c r="I109" s="102"/>
      <c r="J109" s="102"/>
      <c r="K109" s="30"/>
    </row>
    <row r="110" spans="1:16" x14ac:dyDescent="0.3">
      <c r="A110" s="128" t="s">
        <v>163</v>
      </c>
      <c r="B110" s="129"/>
      <c r="C110" s="129"/>
      <c r="D110" s="129"/>
      <c r="E110" s="129"/>
      <c r="F110" s="130"/>
      <c r="G110" s="176" t="s">
        <v>298</v>
      </c>
      <c r="H110" s="102"/>
      <c r="I110" s="102"/>
      <c r="J110" s="103"/>
      <c r="K110" s="31" t="s">
        <v>310</v>
      </c>
    </row>
    <row r="111" spans="1:16" ht="15.6" x14ac:dyDescent="0.3">
      <c r="A111" s="128" t="s">
        <v>158</v>
      </c>
      <c r="B111" s="129"/>
      <c r="C111" s="129"/>
      <c r="D111" s="129"/>
      <c r="E111" s="129"/>
      <c r="F111" s="130"/>
      <c r="G111" s="176" t="s">
        <v>157</v>
      </c>
      <c r="H111" s="102"/>
      <c r="I111" s="102"/>
      <c r="J111" s="103"/>
      <c r="K111" s="32"/>
    </row>
    <row r="112" spans="1:16" s="15" customFormat="1" ht="15.6" x14ac:dyDescent="0.3">
      <c r="A112" s="243" t="s">
        <v>98</v>
      </c>
      <c r="B112" s="320"/>
      <c r="C112" s="320"/>
      <c r="D112" s="320"/>
      <c r="E112" s="320"/>
      <c r="F112" s="321"/>
      <c r="G112" s="128">
        <f>G107*0.8</f>
        <v>3440</v>
      </c>
      <c r="H112" s="129"/>
      <c r="I112" s="129"/>
      <c r="J112" s="130"/>
      <c r="K112" s="33"/>
      <c r="L112" s="14"/>
      <c r="M112" s="14"/>
      <c r="N112" s="14"/>
      <c r="O112" s="14"/>
      <c r="P112" s="14"/>
    </row>
    <row r="113" spans="1:17" s="15" customFormat="1" ht="15.6" x14ac:dyDescent="0.3">
      <c r="A113" s="150" t="s">
        <v>277</v>
      </c>
      <c r="B113" s="151"/>
      <c r="C113" s="151"/>
      <c r="D113" s="151"/>
      <c r="E113" s="151"/>
      <c r="F113" s="151"/>
      <c r="G113" s="151"/>
      <c r="H113" s="151"/>
      <c r="I113" s="151"/>
      <c r="J113" s="152"/>
      <c r="K113" s="33"/>
      <c r="L113" s="14"/>
      <c r="M113" s="14"/>
      <c r="N113" s="14"/>
      <c r="O113" s="14"/>
      <c r="P113" s="14"/>
    </row>
    <row r="114" spans="1:17" s="15" customFormat="1" ht="15.6" x14ac:dyDescent="0.3">
      <c r="A114" s="153" t="s">
        <v>215</v>
      </c>
      <c r="B114" s="153"/>
      <c r="C114" s="73" t="s">
        <v>216</v>
      </c>
      <c r="D114" s="154" t="s">
        <v>217</v>
      </c>
      <c r="E114" s="155"/>
      <c r="F114" s="156"/>
      <c r="G114" s="157" t="s">
        <v>218</v>
      </c>
      <c r="H114" s="158"/>
      <c r="I114" s="158"/>
      <c r="J114" s="159"/>
      <c r="K114" s="33"/>
      <c r="L114" s="14"/>
      <c r="M114" s="14"/>
      <c r="N114" s="14"/>
      <c r="O114" s="14"/>
      <c r="P114" s="14"/>
    </row>
    <row r="115" spans="1:17" s="15" customFormat="1" ht="15.75" customHeight="1" x14ac:dyDescent="0.3">
      <c r="A115" s="160" t="s">
        <v>247</v>
      </c>
      <c r="B115" s="160"/>
      <c r="C115" s="74">
        <f>COUNT(D135:E148)</f>
        <v>14</v>
      </c>
      <c r="D115" s="178">
        <f>SUM(D135:E148)</f>
        <v>3225.2173200000002</v>
      </c>
      <c r="E115" s="179"/>
      <c r="F115" s="180"/>
      <c r="G115" s="179">
        <f>SUM(G135:G148)</f>
        <v>4999.0868459999992</v>
      </c>
      <c r="H115" s="179"/>
      <c r="I115" s="179"/>
      <c r="J115" s="179"/>
      <c r="K115" s="33"/>
      <c r="L115" s="14"/>
      <c r="M115" s="14"/>
      <c r="N115" s="14"/>
      <c r="O115" s="14"/>
      <c r="P115" s="14"/>
    </row>
    <row r="116" spans="1:17" s="15" customFormat="1" ht="15.6" x14ac:dyDescent="0.3">
      <c r="A116" s="184" t="s">
        <v>85</v>
      </c>
      <c r="B116" s="184"/>
      <c r="C116" s="75">
        <f t="shared" ref="C116:G116" si="1">SUM(C115)</f>
        <v>14</v>
      </c>
      <c r="D116" s="157">
        <f t="shared" si="1"/>
        <v>3225.2173200000002</v>
      </c>
      <c r="E116" s="158"/>
      <c r="F116" s="159"/>
      <c r="G116" s="158">
        <f t="shared" si="1"/>
        <v>4999.0868459999992</v>
      </c>
      <c r="H116" s="158"/>
      <c r="I116" s="158"/>
      <c r="J116" s="158"/>
      <c r="K116" s="33"/>
      <c r="L116" s="14"/>
      <c r="M116" s="14"/>
      <c r="N116" s="14"/>
      <c r="O116" s="14"/>
      <c r="P116" s="14"/>
    </row>
    <row r="117" spans="1:17" s="15" customFormat="1" ht="15.6" x14ac:dyDescent="0.3">
      <c r="A117" s="150" t="s">
        <v>278</v>
      </c>
      <c r="B117" s="151"/>
      <c r="C117" s="151"/>
      <c r="D117" s="151"/>
      <c r="E117" s="151"/>
      <c r="F117" s="151"/>
      <c r="G117" s="151"/>
      <c r="H117" s="151"/>
      <c r="I117" s="151"/>
      <c r="J117" s="152"/>
      <c r="K117" s="33"/>
      <c r="L117" s="14"/>
      <c r="M117" s="14"/>
      <c r="N117" s="14"/>
      <c r="O117" s="14"/>
      <c r="P117" s="14"/>
    </row>
    <row r="118" spans="1:17" s="15" customFormat="1" ht="15.6" x14ac:dyDescent="0.3">
      <c r="A118" s="153" t="s">
        <v>215</v>
      </c>
      <c r="B118" s="153"/>
      <c r="C118" s="73" t="s">
        <v>216</v>
      </c>
      <c r="D118" s="154" t="s">
        <v>217</v>
      </c>
      <c r="E118" s="155"/>
      <c r="F118" s="156"/>
      <c r="G118" s="157" t="s">
        <v>218</v>
      </c>
      <c r="H118" s="158"/>
      <c r="I118" s="158"/>
      <c r="J118" s="159"/>
      <c r="K118" s="33"/>
      <c r="L118" s="14"/>
      <c r="M118" s="14"/>
      <c r="N118" s="14"/>
      <c r="O118" s="14"/>
      <c r="P118" s="14"/>
    </row>
    <row r="119" spans="1:17" ht="15.6" x14ac:dyDescent="0.3">
      <c r="A119" s="160" t="s">
        <v>227</v>
      </c>
      <c r="B119" s="160"/>
      <c r="C119" s="74">
        <f>COUNT(D154:E161)*6+COUNT(D163:E170)*5+COUNT(D172:E179)+COUNT(D181:E188)+COUNT(D190:E197)+COUNT(D199:E200,D206)</f>
        <v>115</v>
      </c>
      <c r="D119" s="178">
        <f>SUM(D154:E161)*6+SUM(D163:E170)*5+SUM(D172:E179)+SUM(D181:E188)+SUM(D190:E197)+SUM(D199:E200,D206)</f>
        <v>49951.628297999989</v>
      </c>
      <c r="E119" s="179"/>
      <c r="F119" s="180"/>
      <c r="G119" s="179">
        <f>SUM(G154:G161)*6+SUM(G163:G170)*5+SUM(G172:G179)+SUM(G181:G188)+SUM(G190:G197)+SUM(G199:G200,G206)</f>
        <v>80392.648167000007</v>
      </c>
      <c r="H119" s="179"/>
      <c r="I119" s="179"/>
      <c r="J119" s="179"/>
      <c r="K119" s="34">
        <f>G154*5300</f>
        <v>3363135.9137999993</v>
      </c>
      <c r="L119">
        <f>6*8</f>
        <v>48</v>
      </c>
      <c r="M119">
        <f>28.873+3.938+1.44+3*0.75</f>
        <v>36.500999999999998</v>
      </c>
      <c r="N119">
        <v>10.763999999999999</v>
      </c>
      <c r="O119">
        <f>2.8*1.5</f>
        <v>4.1999999999999993</v>
      </c>
      <c r="Q119">
        <f>660/D154</f>
        <v>1.6798305826718392</v>
      </c>
    </row>
    <row r="120" spans="1:17" ht="15.75" customHeight="1" x14ac:dyDescent="0.3">
      <c r="A120" s="324" t="s">
        <v>260</v>
      </c>
      <c r="B120" s="92" t="s">
        <v>259</v>
      </c>
      <c r="C120" s="74">
        <f>COUNT(D210:D215)*7+COUNT(D217:D222)*7</f>
        <v>84</v>
      </c>
      <c r="D120" s="178">
        <f>SUM(D210:E215)*7+SUM(D217:E222)*7</f>
        <v>38055.712967999993</v>
      </c>
      <c r="E120" s="179"/>
      <c r="F120" s="180"/>
      <c r="G120" s="179">
        <f>SUM(G210:G215)*7+SUM(G217:G222)*7</f>
        <v>61078.89715199999</v>
      </c>
      <c r="H120" s="179"/>
      <c r="I120" s="179"/>
      <c r="J120" s="179"/>
      <c r="K120" s="34">
        <f>G155*5300</f>
        <v>4679346.5315999994</v>
      </c>
      <c r="M120">
        <f>42.097+2.88+2.58+3*0.7+2.7*0.75</f>
        <v>51.682000000000002</v>
      </c>
      <c r="N120">
        <v>10.763999999999999</v>
      </c>
      <c r="O120">
        <f>3*1.5</f>
        <v>4.5</v>
      </c>
    </row>
    <row r="121" spans="1:17" ht="15.75" customHeight="1" x14ac:dyDescent="0.3">
      <c r="A121" s="325"/>
      <c r="B121" s="92" t="s">
        <v>261</v>
      </c>
      <c r="C121" s="74">
        <f>COUNT(D226:D230)*7+COUNT(D232:D236)*7</f>
        <v>70</v>
      </c>
      <c r="D121" s="178">
        <f>SUM(D226:E230)*7+SUM(D232:E236)*7</f>
        <v>32928.281567999991</v>
      </c>
      <c r="E121" s="179"/>
      <c r="F121" s="180"/>
      <c r="G121" s="179">
        <f>SUM(G226:G230)*7+SUM(G232:G236)*7</f>
        <v>52743.524651999993</v>
      </c>
      <c r="H121" s="179"/>
      <c r="I121" s="179"/>
      <c r="J121" s="179"/>
      <c r="K121" s="34">
        <f>G156*5300</f>
        <v>3387610.0205999995</v>
      </c>
      <c r="M121">
        <f>29.743+3.938+1.031+2.9*0.75</f>
        <v>36.886999999999993</v>
      </c>
      <c r="N121">
        <v>10.763999999999999</v>
      </c>
      <c r="O121">
        <f>2.7*1.5</f>
        <v>4.0500000000000007</v>
      </c>
    </row>
    <row r="122" spans="1:17" ht="15.75" customHeight="1" x14ac:dyDescent="0.3">
      <c r="A122" s="326"/>
      <c r="B122" s="92" t="s">
        <v>262</v>
      </c>
      <c r="C122" s="74">
        <f>COUNT(D253:D254)+COUNT(D256:D259)*5+COUNT(D261:D264)</f>
        <v>26</v>
      </c>
      <c r="D122" s="178">
        <f>SUM(D253:E254)+SUM(D256:E259)*5+SUM(D261:E264)</f>
        <v>10984.827912000001</v>
      </c>
      <c r="E122" s="179"/>
      <c r="F122" s="180"/>
      <c r="G122" s="179">
        <f>SUM(E253:G254)+SUM(E256:G259)*5+SUM(E261:G264)</f>
        <v>16474.241867999997</v>
      </c>
      <c r="H122" s="179"/>
      <c r="I122" s="179"/>
      <c r="J122" s="179"/>
      <c r="K122" s="34">
        <f>G157*5300</f>
        <v>3387610.0205999995</v>
      </c>
      <c r="M122">
        <f>29.743+3.938+1.031+2.9*0.75</f>
        <v>36.886999999999993</v>
      </c>
      <c r="N122">
        <v>10.763999999999999</v>
      </c>
      <c r="O122">
        <f>2.7*1.5</f>
        <v>4.0500000000000007</v>
      </c>
    </row>
    <row r="123" spans="1:17" ht="15.75" customHeight="1" x14ac:dyDescent="0.3">
      <c r="A123" s="160" t="s">
        <v>247</v>
      </c>
      <c r="B123" s="160"/>
      <c r="C123" s="74">
        <f>COUNT(D267:E281)+COUNT(D283:E297)*11+COUNT(D299:E304,D306:E313)*3+COUNT(D315:E329)</f>
        <v>237</v>
      </c>
      <c r="D123" s="178">
        <f>SUM(D267:E281)+SUM(D283:E297)*11+SUM(D299:E304,D306:E313)*3+SUM(D315:E329)</f>
        <v>118652.97993119998</v>
      </c>
      <c r="E123" s="179"/>
      <c r="F123" s="180"/>
      <c r="G123" s="179">
        <f>SUM(G267:G281)+SUM(G283:G297)*11+SUM(G299:G304,G306:G313)*3+SUM(G315:G329)</f>
        <v>177695</v>
      </c>
      <c r="H123" s="179"/>
      <c r="I123" s="179"/>
      <c r="J123" s="179"/>
      <c r="K123" s="34"/>
    </row>
    <row r="124" spans="1:17" ht="15.75" customHeight="1" x14ac:dyDescent="0.3">
      <c r="A124" s="184" t="s">
        <v>85</v>
      </c>
      <c r="B124" s="184"/>
      <c r="C124" s="75">
        <f>SUM(C119:C123)</f>
        <v>532</v>
      </c>
      <c r="D124" s="157">
        <f>SUM(D119:D123)</f>
        <v>250573.43067719994</v>
      </c>
      <c r="E124" s="158"/>
      <c r="F124" s="159"/>
      <c r="G124" s="158">
        <f>SUM(G119:G123)</f>
        <v>388384.31183899997</v>
      </c>
      <c r="H124" s="158"/>
      <c r="I124" s="158"/>
      <c r="J124" s="158"/>
      <c r="K124" s="34"/>
    </row>
    <row r="125" spans="1:17" ht="15.75" customHeight="1" x14ac:dyDescent="0.3">
      <c r="A125" s="150" t="s">
        <v>279</v>
      </c>
      <c r="B125" s="151"/>
      <c r="C125" s="151"/>
      <c r="D125" s="151"/>
      <c r="E125" s="151"/>
      <c r="F125" s="151"/>
      <c r="G125" s="151"/>
      <c r="H125" s="151"/>
      <c r="I125" s="151"/>
      <c r="J125" s="152"/>
      <c r="K125" s="34"/>
    </row>
    <row r="126" spans="1:17" ht="15.75" customHeight="1" x14ac:dyDescent="0.3">
      <c r="A126" s="153" t="s">
        <v>215</v>
      </c>
      <c r="B126" s="153"/>
      <c r="C126" s="73" t="s">
        <v>216</v>
      </c>
      <c r="D126" s="154" t="s">
        <v>217</v>
      </c>
      <c r="E126" s="155"/>
      <c r="F126" s="156"/>
      <c r="G126" s="157" t="s">
        <v>218</v>
      </c>
      <c r="H126" s="158"/>
      <c r="I126" s="158"/>
      <c r="J126" s="159"/>
      <c r="K126" s="34"/>
    </row>
    <row r="127" spans="1:17" ht="15.75" customHeight="1" x14ac:dyDescent="0.3">
      <c r="A127" s="160" t="s">
        <v>227</v>
      </c>
      <c r="B127" s="160"/>
      <c r="C127" s="74">
        <f>COUNT(D201:E205)</f>
        <v>5</v>
      </c>
      <c r="D127" s="178">
        <f>SUM(D201:E205)</f>
        <v>2129.7704220000001</v>
      </c>
      <c r="E127" s="179"/>
      <c r="F127" s="180"/>
      <c r="G127" s="179">
        <f>SUM(G201:G205)</f>
        <v>3442.6581930000002</v>
      </c>
      <c r="H127" s="179"/>
      <c r="I127" s="179"/>
      <c r="J127" s="179"/>
      <c r="K127" s="34"/>
    </row>
    <row r="128" spans="1:17" ht="15.6" x14ac:dyDescent="0.3">
      <c r="A128" s="184" t="s">
        <v>85</v>
      </c>
      <c r="B128" s="184"/>
      <c r="C128" s="75">
        <f>SUM(C127)</f>
        <v>5</v>
      </c>
      <c r="D128" s="157">
        <f>SUM(D127)</f>
        <v>2129.7704220000001</v>
      </c>
      <c r="E128" s="158"/>
      <c r="F128" s="159"/>
      <c r="G128" s="158">
        <f>SUM(G127)</f>
        <v>3442.6581930000002</v>
      </c>
      <c r="H128" s="158"/>
      <c r="I128" s="158"/>
      <c r="J128" s="158"/>
      <c r="K128" s="34">
        <f>G158*5300</f>
        <v>4679346.5315999994</v>
      </c>
      <c r="M128">
        <f>42.097+2.88+2.58+3*0.7+2.7*0.75</f>
        <v>51.682000000000002</v>
      </c>
      <c r="N128">
        <v>10.763999999999999</v>
      </c>
      <c r="O128">
        <f>3*1.5</f>
        <v>4.5</v>
      </c>
    </row>
    <row r="129" spans="1:15" ht="15.6" x14ac:dyDescent="0.3">
      <c r="A129" s="184" t="s">
        <v>263</v>
      </c>
      <c r="B129" s="184"/>
      <c r="C129" s="75">
        <f>C116+C124+C128</f>
        <v>551</v>
      </c>
      <c r="D129" s="157">
        <f>D116+D124+D128</f>
        <v>255928.41841919994</v>
      </c>
      <c r="E129" s="158"/>
      <c r="F129" s="159"/>
      <c r="G129" s="158">
        <f>G116+G124+G128</f>
        <v>396826.05687799997</v>
      </c>
      <c r="H129" s="158"/>
      <c r="I129" s="158"/>
      <c r="J129" s="158"/>
      <c r="K129" s="34"/>
      <c r="L129">
        <f>15*16</f>
        <v>240</v>
      </c>
    </row>
    <row r="130" spans="1:15" ht="15.6" x14ac:dyDescent="0.3">
      <c r="A130" s="181" t="s">
        <v>249</v>
      </c>
      <c r="B130" s="182"/>
      <c r="C130" s="182"/>
      <c r="D130" s="182"/>
      <c r="E130" s="182"/>
      <c r="F130" s="182"/>
      <c r="G130" s="182"/>
      <c r="H130" s="182"/>
      <c r="I130" s="182"/>
      <c r="J130" s="183"/>
      <c r="K130" s="34">
        <f>G159*5300</f>
        <v>3363135.9137999993</v>
      </c>
      <c r="M130">
        <f>28.873+3.938+1.44+3*0.75</f>
        <v>36.500999999999998</v>
      </c>
      <c r="N130">
        <v>10.763999999999999</v>
      </c>
      <c r="O130">
        <f>2.8*1.5</f>
        <v>4.1999999999999993</v>
      </c>
    </row>
    <row r="131" spans="1:15" ht="15.6" x14ac:dyDescent="0.3">
      <c r="A131" s="181" t="s">
        <v>250</v>
      </c>
      <c r="B131" s="182"/>
      <c r="C131" s="182"/>
      <c r="D131" s="182"/>
      <c r="E131" s="182"/>
      <c r="F131" s="182"/>
      <c r="G131" s="182"/>
      <c r="H131" s="182"/>
      <c r="I131" s="182"/>
      <c r="J131" s="183"/>
      <c r="K131" s="34">
        <f>G160*5300</f>
        <v>3345250.9895999995</v>
      </c>
      <c r="M131">
        <f>28.498+3.938+1.031+3.9*0.75</f>
        <v>36.391999999999996</v>
      </c>
      <c r="N131">
        <v>10.763999999999999</v>
      </c>
      <c r="O131">
        <f>2.7*1.5</f>
        <v>4.0500000000000007</v>
      </c>
    </row>
    <row r="132" spans="1:15" ht="39.6" x14ac:dyDescent="0.3">
      <c r="A132" s="297" t="s">
        <v>267</v>
      </c>
      <c r="B132" s="298"/>
      <c r="C132" s="2" t="s">
        <v>25</v>
      </c>
      <c r="D132" s="299" t="s">
        <v>66</v>
      </c>
      <c r="E132" s="300"/>
      <c r="F132" s="9" t="s">
        <v>26</v>
      </c>
      <c r="G132" s="2" t="s">
        <v>159</v>
      </c>
      <c r="H132" s="2" t="s">
        <v>27</v>
      </c>
      <c r="I132" s="297" t="s">
        <v>99</v>
      </c>
      <c r="J132" s="298"/>
      <c r="K132" s="34"/>
    </row>
    <row r="133" spans="1:15" ht="15.6" x14ac:dyDescent="0.3">
      <c r="A133" s="175" t="s">
        <v>286</v>
      </c>
      <c r="B133" s="175"/>
      <c r="C133" s="175"/>
      <c r="D133" s="175"/>
      <c r="E133" s="175"/>
      <c r="F133" s="175"/>
      <c r="G133" s="175"/>
      <c r="H133" s="175"/>
      <c r="I133" s="175"/>
      <c r="J133" s="175"/>
      <c r="K133" s="34"/>
    </row>
    <row r="134" spans="1:15" ht="15.75" customHeight="1" x14ac:dyDescent="0.3">
      <c r="A134" s="147" t="s">
        <v>252</v>
      </c>
      <c r="B134" s="148"/>
      <c r="C134" s="148"/>
      <c r="D134" s="148"/>
      <c r="E134" s="148"/>
      <c r="F134" s="148"/>
      <c r="G134" s="148"/>
      <c r="H134" s="148"/>
      <c r="I134" s="148"/>
      <c r="J134" s="149"/>
      <c r="K134" s="177">
        <v>10.763999999999999</v>
      </c>
      <c r="L134" s="177"/>
    </row>
    <row r="135" spans="1:15" ht="15.6" x14ac:dyDescent="0.3">
      <c r="A135" s="126">
        <v>1</v>
      </c>
      <c r="B135" s="127"/>
      <c r="C135" s="8" t="s">
        <v>251</v>
      </c>
      <c r="D135" s="177">
        <f>(22.825)*10.764</f>
        <v>245.68829999999997</v>
      </c>
      <c r="E135" s="177"/>
      <c r="F135" s="8">
        <v>0</v>
      </c>
      <c r="G135" s="8">
        <f>1.55*D135+F135</f>
        <v>380.81686499999995</v>
      </c>
      <c r="H135" s="8" t="s">
        <v>132</v>
      </c>
      <c r="I135" s="177" t="str">
        <f>A134</f>
        <v>Ground Floor For Commercial &amp; Parking</v>
      </c>
      <c r="J135" s="177"/>
      <c r="K135" s="91">
        <f>8.3*2.75</f>
        <v>22.825000000000003</v>
      </c>
    </row>
    <row r="136" spans="1:15" ht="15.6" x14ac:dyDescent="0.3">
      <c r="A136" s="126">
        <v>2</v>
      </c>
      <c r="B136" s="127"/>
      <c r="C136" s="8" t="s">
        <v>251</v>
      </c>
      <c r="D136" s="177">
        <f>(18.675)*10.764</f>
        <v>201.01769999999999</v>
      </c>
      <c r="E136" s="177"/>
      <c r="F136" s="8">
        <v>0</v>
      </c>
      <c r="G136" s="8">
        <f t="shared" ref="G136:G148" si="2">1.55*D136+F136</f>
        <v>311.57743499999998</v>
      </c>
      <c r="H136" s="8" t="s">
        <v>132</v>
      </c>
      <c r="I136" s="177"/>
      <c r="J136" s="177"/>
      <c r="K136" s="34"/>
      <c r="M136">
        <v>10</v>
      </c>
    </row>
    <row r="137" spans="1:15" ht="15.6" x14ac:dyDescent="0.3">
      <c r="A137" s="126">
        <v>3</v>
      </c>
      <c r="B137" s="127"/>
      <c r="C137" s="8" t="s">
        <v>251</v>
      </c>
      <c r="D137" s="177">
        <f>(24.07)*10.764</f>
        <v>259.08947999999998</v>
      </c>
      <c r="E137" s="177"/>
      <c r="F137" s="8">
        <v>0</v>
      </c>
      <c r="G137" s="8">
        <f t="shared" si="2"/>
        <v>401.58869399999998</v>
      </c>
      <c r="H137" s="8" t="s">
        <v>132</v>
      </c>
      <c r="I137" s="177"/>
      <c r="J137" s="177"/>
      <c r="K137" s="34"/>
    </row>
    <row r="138" spans="1:15" ht="15.6" x14ac:dyDescent="0.3">
      <c r="A138" s="126">
        <v>4</v>
      </c>
      <c r="B138" s="127"/>
      <c r="C138" s="8" t="s">
        <v>251</v>
      </c>
      <c r="D138" s="177">
        <f>(22.825)*10.764</f>
        <v>245.68829999999997</v>
      </c>
      <c r="E138" s="177"/>
      <c r="F138" s="8">
        <v>0</v>
      </c>
      <c r="G138" s="8">
        <f t="shared" si="2"/>
        <v>380.81686499999995</v>
      </c>
      <c r="H138" s="8" t="s">
        <v>132</v>
      </c>
      <c r="I138" s="177"/>
      <c r="J138" s="177"/>
      <c r="K138" s="34"/>
    </row>
    <row r="139" spans="1:15" ht="15.6" x14ac:dyDescent="0.3">
      <c r="A139" s="126">
        <v>5</v>
      </c>
      <c r="B139" s="127"/>
      <c r="C139" s="8" t="s">
        <v>251</v>
      </c>
      <c r="D139" s="177">
        <f>(17.43)*10.764</f>
        <v>187.61651999999998</v>
      </c>
      <c r="E139" s="177"/>
      <c r="F139" s="8">
        <v>0</v>
      </c>
      <c r="G139" s="8">
        <f t="shared" si="2"/>
        <v>290.80560599999995</v>
      </c>
      <c r="H139" s="8" t="s">
        <v>132</v>
      </c>
      <c r="I139" s="177"/>
      <c r="J139" s="177"/>
      <c r="K139" s="34"/>
    </row>
    <row r="140" spans="1:15" ht="15.6" x14ac:dyDescent="0.3">
      <c r="A140" s="126">
        <v>6</v>
      </c>
      <c r="B140" s="127"/>
      <c r="C140" s="8" t="s">
        <v>251</v>
      </c>
      <c r="D140" s="177">
        <f>(24.07)*10.764</f>
        <v>259.08947999999998</v>
      </c>
      <c r="E140" s="177"/>
      <c r="F140" s="8">
        <v>0</v>
      </c>
      <c r="G140" s="8">
        <f t="shared" si="2"/>
        <v>401.58869399999998</v>
      </c>
      <c r="H140" s="8" t="s">
        <v>132</v>
      </c>
      <c r="I140" s="177"/>
      <c r="J140" s="177"/>
      <c r="K140" s="34"/>
    </row>
    <row r="141" spans="1:15" ht="15.6" x14ac:dyDescent="0.3">
      <c r="A141" s="126">
        <v>7</v>
      </c>
      <c r="B141" s="127"/>
      <c r="C141" s="8" t="s">
        <v>251</v>
      </c>
      <c r="D141" s="177">
        <f>(24.07)*10.764</f>
        <v>259.08947999999998</v>
      </c>
      <c r="E141" s="177"/>
      <c r="F141" s="8">
        <v>0</v>
      </c>
      <c r="G141" s="8">
        <f t="shared" si="2"/>
        <v>401.58869399999998</v>
      </c>
      <c r="H141" s="8" t="s">
        <v>132</v>
      </c>
      <c r="I141" s="177"/>
      <c r="J141" s="177"/>
      <c r="K141" s="34"/>
    </row>
    <row r="142" spans="1:15" ht="15.6" x14ac:dyDescent="0.3">
      <c r="A142" s="126">
        <v>8</v>
      </c>
      <c r="B142" s="127"/>
      <c r="C142" s="8" t="s">
        <v>251</v>
      </c>
      <c r="D142" s="177">
        <f>(17.43)*10.764</f>
        <v>187.61651999999998</v>
      </c>
      <c r="E142" s="177"/>
      <c r="F142" s="8">
        <v>0</v>
      </c>
      <c r="G142" s="8">
        <f t="shared" si="2"/>
        <v>290.80560599999995</v>
      </c>
      <c r="H142" s="8" t="s">
        <v>132</v>
      </c>
      <c r="I142" s="177"/>
      <c r="J142" s="177"/>
      <c r="K142" s="34"/>
    </row>
    <row r="143" spans="1:15" ht="15.6" x14ac:dyDescent="0.3">
      <c r="A143" s="126">
        <v>9</v>
      </c>
      <c r="B143" s="127"/>
      <c r="C143" s="8" t="s">
        <v>251</v>
      </c>
      <c r="D143" s="177">
        <f>(22.825)*10.764</f>
        <v>245.68829999999997</v>
      </c>
      <c r="E143" s="177"/>
      <c r="F143" s="8">
        <v>0</v>
      </c>
      <c r="G143" s="8">
        <f t="shared" si="2"/>
        <v>380.81686499999995</v>
      </c>
      <c r="H143" s="8" t="s">
        <v>132</v>
      </c>
      <c r="I143" s="177"/>
      <c r="J143" s="177"/>
      <c r="K143" s="34"/>
    </row>
    <row r="144" spans="1:15" ht="15.6" x14ac:dyDescent="0.3">
      <c r="A144" s="126">
        <v>10</v>
      </c>
      <c r="B144" s="127"/>
      <c r="C144" s="8" t="s">
        <v>251</v>
      </c>
      <c r="D144" s="177">
        <f>(22.825)*10.764</f>
        <v>245.68829999999997</v>
      </c>
      <c r="E144" s="177"/>
      <c r="F144" s="8">
        <v>0</v>
      </c>
      <c r="G144" s="8">
        <f t="shared" si="2"/>
        <v>380.81686499999995</v>
      </c>
      <c r="H144" s="8" t="s">
        <v>132</v>
      </c>
      <c r="I144" s="177"/>
      <c r="J144" s="177"/>
      <c r="K144" s="34"/>
    </row>
    <row r="145" spans="1:16" ht="15.6" x14ac:dyDescent="0.3">
      <c r="A145" s="126">
        <v>11</v>
      </c>
      <c r="B145" s="127"/>
      <c r="C145" s="8" t="s">
        <v>251</v>
      </c>
      <c r="D145" s="177">
        <f>(17.43)*10.764</f>
        <v>187.61651999999998</v>
      </c>
      <c r="E145" s="177"/>
      <c r="F145" s="8">
        <v>0</v>
      </c>
      <c r="G145" s="8">
        <f t="shared" si="2"/>
        <v>290.80560599999995</v>
      </c>
      <c r="H145" s="8" t="s">
        <v>132</v>
      </c>
      <c r="I145" s="177"/>
      <c r="J145" s="177"/>
      <c r="K145" s="34"/>
    </row>
    <row r="146" spans="1:16" ht="15.6" x14ac:dyDescent="0.3">
      <c r="A146" s="126">
        <v>12</v>
      </c>
      <c r="B146" s="127"/>
      <c r="C146" s="8" t="s">
        <v>251</v>
      </c>
      <c r="D146" s="177">
        <f>(24.07)*10.764</f>
        <v>259.08947999999998</v>
      </c>
      <c r="E146" s="177"/>
      <c r="F146" s="8">
        <v>0</v>
      </c>
      <c r="G146" s="8">
        <f t="shared" si="2"/>
        <v>401.58869399999998</v>
      </c>
      <c r="H146" s="8" t="s">
        <v>132</v>
      </c>
      <c r="I146" s="177"/>
      <c r="J146" s="177"/>
      <c r="K146" s="34"/>
    </row>
    <row r="147" spans="1:16" ht="15.6" x14ac:dyDescent="0.3">
      <c r="A147" s="126">
        <v>13</v>
      </c>
      <c r="B147" s="127"/>
      <c r="C147" s="8" t="s">
        <v>251</v>
      </c>
      <c r="D147" s="177">
        <f>(23.655)*10.764</f>
        <v>254.62242000000001</v>
      </c>
      <c r="E147" s="177"/>
      <c r="F147" s="8">
        <v>0</v>
      </c>
      <c r="G147" s="8">
        <f t="shared" si="2"/>
        <v>394.66475100000002</v>
      </c>
      <c r="H147" s="8" t="s">
        <v>132</v>
      </c>
      <c r="I147" s="177"/>
      <c r="J147" s="177"/>
      <c r="K147" s="34"/>
    </row>
    <row r="148" spans="1:16" ht="15.6" x14ac:dyDescent="0.3">
      <c r="A148" s="126">
        <v>14</v>
      </c>
      <c r="B148" s="127"/>
      <c r="C148" s="8" t="s">
        <v>251</v>
      </c>
      <c r="D148" s="177">
        <f>(17.43)*10.764</f>
        <v>187.61651999999998</v>
      </c>
      <c r="E148" s="177"/>
      <c r="F148" s="8">
        <v>0</v>
      </c>
      <c r="G148" s="8">
        <f t="shared" si="2"/>
        <v>290.80560599999995</v>
      </c>
      <c r="H148" s="8" t="s">
        <v>132</v>
      </c>
      <c r="I148" s="177"/>
      <c r="J148" s="177"/>
      <c r="K148" s="91">
        <f>8.3*2.1</f>
        <v>17.430000000000003</v>
      </c>
    </row>
    <row r="149" spans="1:16" ht="15.6" x14ac:dyDescent="0.3">
      <c r="A149" s="126"/>
      <c r="B149" s="323"/>
      <c r="C149" s="323"/>
      <c r="D149" s="323"/>
      <c r="E149" s="323"/>
      <c r="F149" s="323"/>
      <c r="G149" s="323"/>
      <c r="H149" s="323"/>
      <c r="I149" s="323"/>
      <c r="J149" s="127"/>
      <c r="K149" s="34"/>
      <c r="N149" t="s">
        <v>253</v>
      </c>
    </row>
    <row r="150" spans="1:16" ht="39.6" x14ac:dyDescent="0.3">
      <c r="A150" s="297" t="s">
        <v>266</v>
      </c>
      <c r="B150" s="298"/>
      <c r="C150" s="2" t="s">
        <v>25</v>
      </c>
      <c r="D150" s="297" t="s">
        <v>66</v>
      </c>
      <c r="E150" s="298"/>
      <c r="F150" s="9" t="s">
        <v>26</v>
      </c>
      <c r="G150" s="2" t="s">
        <v>159</v>
      </c>
      <c r="H150" s="2" t="s">
        <v>27</v>
      </c>
      <c r="I150" s="297" t="s">
        <v>99</v>
      </c>
      <c r="J150" s="298"/>
      <c r="K150" s="34">
        <f>G161*5300</f>
        <v>3345250.9895999995</v>
      </c>
      <c r="M150">
        <f>28.498+3.938+1.031+3.9*0.75</f>
        <v>36.391999999999996</v>
      </c>
      <c r="N150">
        <v>10.763999999999999</v>
      </c>
      <c r="O150">
        <f>2.7*1.5</f>
        <v>4.0500000000000007</v>
      </c>
    </row>
    <row r="151" spans="1:16" s="15" customFormat="1" ht="15.6" x14ac:dyDescent="0.3">
      <c r="A151" s="175" t="s">
        <v>287</v>
      </c>
      <c r="B151" s="175"/>
      <c r="C151" s="175"/>
      <c r="D151" s="175"/>
      <c r="E151" s="175"/>
      <c r="F151" s="175"/>
      <c r="G151" s="175"/>
      <c r="H151" s="175"/>
      <c r="I151" s="175"/>
      <c r="J151" s="175"/>
      <c r="K151" s="33"/>
      <c r="L151" s="14"/>
      <c r="M151" s="14"/>
      <c r="N151" s="14"/>
      <c r="O151" s="14"/>
      <c r="P151" s="14"/>
    </row>
    <row r="152" spans="1:16" ht="15.6" x14ac:dyDescent="0.3">
      <c r="A152" s="175" t="s">
        <v>152</v>
      </c>
      <c r="B152" s="175"/>
      <c r="C152" s="175"/>
      <c r="D152" s="175"/>
      <c r="E152" s="175"/>
      <c r="F152" s="175"/>
      <c r="G152" s="175"/>
      <c r="H152" s="175"/>
      <c r="I152" s="175"/>
      <c r="J152" s="175"/>
      <c r="K152" s="34"/>
      <c r="L152">
        <f>5*8</f>
        <v>40</v>
      </c>
      <c r="M152">
        <f>28.873+3.938+1.44+2.7*0.75</f>
        <v>36.275999999999996</v>
      </c>
      <c r="N152">
        <v>10.763999999999999</v>
      </c>
      <c r="O152">
        <f>3.25*1.5</f>
        <v>4.875</v>
      </c>
    </row>
    <row r="153" spans="1:16" ht="15.6" x14ac:dyDescent="0.3">
      <c r="A153" s="175" t="s">
        <v>295</v>
      </c>
      <c r="B153" s="175"/>
      <c r="C153" s="175"/>
      <c r="D153" s="175"/>
      <c r="E153" s="175"/>
      <c r="F153" s="175"/>
      <c r="G153" s="175"/>
      <c r="H153" s="175"/>
      <c r="I153" s="175"/>
      <c r="J153" s="175"/>
      <c r="K153" s="34"/>
      <c r="M153">
        <f>42.097+2.88+2.58+4.8*0.75+3*0.75</f>
        <v>53.407000000000004</v>
      </c>
      <c r="N153">
        <v>10.763999999999999</v>
      </c>
      <c r="O153">
        <f>3.1*1.5</f>
        <v>4.6500000000000004</v>
      </c>
    </row>
    <row r="154" spans="1:16" ht="15.6" x14ac:dyDescent="0.3">
      <c r="A154" s="8">
        <v>1</v>
      </c>
      <c r="B154" s="8" t="s">
        <v>268</v>
      </c>
      <c r="C154" s="8" t="s">
        <v>130</v>
      </c>
      <c r="D154" s="126">
        <f>M119*N119</f>
        <v>392.89676399999996</v>
      </c>
      <c r="E154" s="127"/>
      <c r="F154" s="8">
        <f>O119*N119</f>
        <v>45.208799999999989</v>
      </c>
      <c r="G154" s="8">
        <f>1.5*D154+F154</f>
        <v>634.55394599999988</v>
      </c>
      <c r="H154" s="8" t="s">
        <v>132</v>
      </c>
      <c r="I154" s="118" t="str">
        <f>A153</f>
        <v>1st, 3rd, 5th, 7th, 9th &amp; 11th floor (Refuge Area @5th Floor)</v>
      </c>
      <c r="J154" s="119"/>
      <c r="K154" s="116">
        <f>(29.45+6.953)*10.764</f>
        <v>391.84189199999997</v>
      </c>
      <c r="L154" s="116"/>
      <c r="M154" s="90">
        <f>(3.675)*10.764</f>
        <v>39.557699999999997</v>
      </c>
      <c r="N154">
        <v>10.763999999999999</v>
      </c>
      <c r="O154">
        <f t="shared" ref="O154:O159" si="3">3.125*1.5</f>
        <v>4.6875</v>
      </c>
    </row>
    <row r="155" spans="1:16" ht="15.6" x14ac:dyDescent="0.3">
      <c r="A155" s="8">
        <v>2</v>
      </c>
      <c r="B155" s="8" t="s">
        <v>268</v>
      </c>
      <c r="C155" s="8" t="s">
        <v>131</v>
      </c>
      <c r="D155" s="126">
        <f>M120*N120</f>
        <v>556.30504799999994</v>
      </c>
      <c r="E155" s="127"/>
      <c r="F155" s="8">
        <f>O120*N120</f>
        <v>48.437999999999995</v>
      </c>
      <c r="G155" s="8">
        <f t="shared" ref="G155:G161" si="4">1.5*D155+F155</f>
        <v>882.8955719999999</v>
      </c>
      <c r="H155" s="8" t="s">
        <v>132</v>
      </c>
      <c r="I155" s="120"/>
      <c r="J155" s="121"/>
      <c r="K155" s="116">
        <f>(48.817)*10.764</f>
        <v>525.46618799999999</v>
      </c>
      <c r="L155" s="116"/>
      <c r="M155" s="90">
        <f>(3.879)*10.764</f>
        <v>41.753555999999996</v>
      </c>
      <c r="N155">
        <v>10.763999999999999</v>
      </c>
      <c r="O155">
        <f t="shared" si="3"/>
        <v>4.6875</v>
      </c>
    </row>
    <row r="156" spans="1:16" ht="15.6" x14ac:dyDescent="0.3">
      <c r="A156" s="8">
        <v>3</v>
      </c>
      <c r="B156" s="8" t="s">
        <v>268</v>
      </c>
      <c r="C156" s="8" t="s">
        <v>130</v>
      </c>
      <c r="D156" s="126">
        <f>M121*N121</f>
        <v>397.05166799999989</v>
      </c>
      <c r="E156" s="127"/>
      <c r="F156" s="8">
        <f>O121*N121</f>
        <v>43.594200000000008</v>
      </c>
      <c r="G156" s="8">
        <f t="shared" si="4"/>
        <v>639.17170199999987</v>
      </c>
      <c r="H156" s="8" t="s">
        <v>132</v>
      </c>
      <c r="I156" s="120"/>
      <c r="J156" s="121"/>
      <c r="K156" s="116">
        <f>(29.925+6.598)*10.764</f>
        <v>393.13357200000002</v>
      </c>
      <c r="L156" s="116"/>
      <c r="M156" s="90">
        <f>(4.725)*10.764</f>
        <v>50.859899999999996</v>
      </c>
      <c r="N156">
        <v>10.763999999999999</v>
      </c>
      <c r="O156">
        <f t="shared" si="3"/>
        <v>4.6875</v>
      </c>
    </row>
    <row r="157" spans="1:16" ht="15.6" x14ac:dyDescent="0.3">
      <c r="A157" s="8">
        <v>4</v>
      </c>
      <c r="B157" s="8" t="s">
        <v>268</v>
      </c>
      <c r="C157" s="8" t="s">
        <v>130</v>
      </c>
      <c r="D157" s="126">
        <f>M122*N122</f>
        <v>397.05166799999989</v>
      </c>
      <c r="E157" s="127"/>
      <c r="F157" s="8">
        <f>O122*N122</f>
        <v>43.594200000000008</v>
      </c>
      <c r="G157" s="8">
        <f t="shared" si="4"/>
        <v>639.17170199999987</v>
      </c>
      <c r="H157" s="8" t="s">
        <v>132</v>
      </c>
      <c r="I157" s="120"/>
      <c r="J157" s="121"/>
      <c r="K157" s="116">
        <f>(29.925+6.598)*10.764</f>
        <v>393.13357200000002</v>
      </c>
      <c r="L157" s="116"/>
      <c r="M157" s="90">
        <f>(4.725)*10.764</f>
        <v>50.859899999999996</v>
      </c>
      <c r="N157">
        <v>10.763999999999999</v>
      </c>
      <c r="O157">
        <f t="shared" si="3"/>
        <v>4.6875</v>
      </c>
    </row>
    <row r="158" spans="1:16" ht="15.6" x14ac:dyDescent="0.3">
      <c r="A158" s="8">
        <v>5</v>
      </c>
      <c r="B158" s="8" t="s">
        <v>268</v>
      </c>
      <c r="C158" s="8" t="s">
        <v>131</v>
      </c>
      <c r="D158" s="126">
        <f>M128*N128</f>
        <v>556.30504799999994</v>
      </c>
      <c r="E158" s="127"/>
      <c r="F158" s="8">
        <f>O128*N128</f>
        <v>48.437999999999995</v>
      </c>
      <c r="G158" s="8">
        <f t="shared" si="4"/>
        <v>882.8955719999999</v>
      </c>
      <c r="H158" s="8" t="s">
        <v>132</v>
      </c>
      <c r="I158" s="120"/>
      <c r="J158" s="121"/>
      <c r="K158" s="116">
        <f>(48.817)*10.764</f>
        <v>525.46618799999999</v>
      </c>
      <c r="L158" s="116"/>
      <c r="M158" s="90">
        <f>(4.815)*10.764</f>
        <v>51.828659999999999</v>
      </c>
      <c r="N158">
        <v>10.763999999999999</v>
      </c>
      <c r="O158">
        <f t="shared" si="3"/>
        <v>4.6875</v>
      </c>
    </row>
    <row r="159" spans="1:16" ht="15.6" x14ac:dyDescent="0.3">
      <c r="A159" s="8">
        <v>6</v>
      </c>
      <c r="B159" s="8" t="s">
        <v>268</v>
      </c>
      <c r="C159" s="8" t="s">
        <v>130</v>
      </c>
      <c r="D159" s="126">
        <f>M130*N130</f>
        <v>392.89676399999996</v>
      </c>
      <c r="E159" s="127"/>
      <c r="F159" s="8">
        <f>O130*N130</f>
        <v>45.208799999999989</v>
      </c>
      <c r="G159" s="8">
        <f t="shared" si="4"/>
        <v>634.55394599999988</v>
      </c>
      <c r="H159" s="8" t="s">
        <v>132</v>
      </c>
      <c r="I159" s="120"/>
      <c r="J159" s="121"/>
      <c r="K159" s="116">
        <f>(29.45+6.953)*10.764</f>
        <v>391.84189199999997</v>
      </c>
      <c r="L159" s="116"/>
      <c r="M159" s="90">
        <f>(4.05)*10.764</f>
        <v>43.594199999999994</v>
      </c>
      <c r="N159">
        <v>10.763999999999999</v>
      </c>
      <c r="O159">
        <f t="shared" si="3"/>
        <v>4.6875</v>
      </c>
    </row>
    <row r="160" spans="1:16" s="15" customFormat="1" ht="15.6" x14ac:dyDescent="0.3">
      <c r="A160" s="8">
        <v>7</v>
      </c>
      <c r="B160" s="8" t="s">
        <v>268</v>
      </c>
      <c r="C160" s="8" t="s">
        <v>130</v>
      </c>
      <c r="D160" s="126">
        <f>M131*N131</f>
        <v>391.72348799999992</v>
      </c>
      <c r="E160" s="127"/>
      <c r="F160" s="8">
        <f>O131*N131</f>
        <v>43.594200000000008</v>
      </c>
      <c r="G160" s="8">
        <f t="shared" si="4"/>
        <v>631.17943199999991</v>
      </c>
      <c r="H160" s="8" t="s">
        <v>132</v>
      </c>
      <c r="I160" s="120"/>
      <c r="J160" s="121"/>
      <c r="K160" s="116">
        <f>(29.45+5.832)*10.764</f>
        <v>379.77544799999993</v>
      </c>
      <c r="L160" s="116"/>
      <c r="M160" s="90">
        <f>(4.725)*10.764</f>
        <v>50.859899999999996</v>
      </c>
      <c r="N160" s="14"/>
      <c r="O160" s="14"/>
      <c r="P160" s="14"/>
    </row>
    <row r="161" spans="1:16" ht="15.6" x14ac:dyDescent="0.3">
      <c r="A161" s="8">
        <v>8</v>
      </c>
      <c r="B161" s="8" t="s">
        <v>268</v>
      </c>
      <c r="C161" s="8" t="s">
        <v>130</v>
      </c>
      <c r="D161" s="126">
        <f t="shared" ref="D161" si="5">M150*N150</f>
        <v>391.72348799999992</v>
      </c>
      <c r="E161" s="127"/>
      <c r="F161" s="8">
        <f t="shared" ref="F161" si="6">O150*N150</f>
        <v>43.594200000000008</v>
      </c>
      <c r="G161" s="8">
        <f t="shared" si="4"/>
        <v>631.17943199999991</v>
      </c>
      <c r="H161" s="8" t="s">
        <v>132</v>
      </c>
      <c r="I161" s="122"/>
      <c r="J161" s="123"/>
      <c r="K161" s="116">
        <f>(29.45+5.832)*10.764</f>
        <v>379.77544799999993</v>
      </c>
      <c r="L161" s="116"/>
      <c r="M161" s="90">
        <f>(3.675)*10.764</f>
        <v>39.557699999999997</v>
      </c>
      <c r="N161">
        <v>10.763999999999999</v>
      </c>
      <c r="O161">
        <f>3.25*1.5</f>
        <v>4.875</v>
      </c>
    </row>
    <row r="162" spans="1:16" ht="15.6" x14ac:dyDescent="0.3">
      <c r="A162" s="175" t="s">
        <v>296</v>
      </c>
      <c r="B162" s="175"/>
      <c r="C162" s="175"/>
      <c r="D162" s="175"/>
      <c r="E162" s="175"/>
      <c r="F162" s="175"/>
      <c r="G162" s="175"/>
      <c r="H162" s="175"/>
      <c r="I162" s="175"/>
      <c r="J162" s="175"/>
      <c r="K162" s="34">
        <v>4000</v>
      </c>
      <c r="M162">
        <f>28.873+3.262+1.44+2.7*0.75</f>
        <v>35.599999999999994</v>
      </c>
      <c r="N162">
        <v>10.763999999999999</v>
      </c>
      <c r="O162">
        <f>3.25*1.5</f>
        <v>4.875</v>
      </c>
    </row>
    <row r="163" spans="1:16" ht="15.6" x14ac:dyDescent="0.3">
      <c r="A163" s="8">
        <v>1</v>
      </c>
      <c r="B163" s="8" t="s">
        <v>268</v>
      </c>
      <c r="C163" s="8" t="s">
        <v>130</v>
      </c>
      <c r="D163" s="126">
        <f>M163*N163</f>
        <v>390.47486399999991</v>
      </c>
      <c r="E163" s="127"/>
      <c r="F163" s="8">
        <f>O163*N163</f>
        <v>52.474499999999999</v>
      </c>
      <c r="G163" s="8">
        <f>1.5*D163+F163</f>
        <v>638.18679599999996</v>
      </c>
      <c r="H163" s="8" t="s">
        <v>132</v>
      </c>
      <c r="I163" s="118" t="str">
        <f>A162</f>
        <v>2nd, 4th, 6th, 8th &amp; 10th floor (Refuge Area @ 8th Floor)</v>
      </c>
      <c r="J163" s="119"/>
      <c r="K163" s="34">
        <f>K$162*G163</f>
        <v>2552747.1839999999</v>
      </c>
      <c r="M163">
        <f>28.873+3.938+1.44+2.7*0.75</f>
        <v>36.275999999999996</v>
      </c>
      <c r="N163">
        <v>10.763999999999999</v>
      </c>
      <c r="O163">
        <f>3.25*1.5</f>
        <v>4.875</v>
      </c>
    </row>
    <row r="164" spans="1:16" ht="15.6" x14ac:dyDescent="0.3">
      <c r="A164" s="8">
        <v>2</v>
      </c>
      <c r="B164" s="8" t="s">
        <v>268</v>
      </c>
      <c r="C164" s="8" t="s">
        <v>131</v>
      </c>
      <c r="D164" s="126">
        <f t="shared" ref="D164:D170" si="7">M164*N164</f>
        <v>574.87294799999995</v>
      </c>
      <c r="E164" s="127"/>
      <c r="F164" s="8">
        <f t="shared" ref="F164:F170" si="8">O164*N164</f>
        <v>50.052599999999998</v>
      </c>
      <c r="G164" s="8">
        <f t="shared" ref="G164:G170" si="9">1.5*D164+F164</f>
        <v>912.36202199999991</v>
      </c>
      <c r="H164" s="8" t="s">
        <v>132</v>
      </c>
      <c r="I164" s="120"/>
      <c r="J164" s="121"/>
      <c r="K164" s="34">
        <f t="shared" ref="K164:K170" si="10">K$162*G164</f>
        <v>3649448.0879999995</v>
      </c>
      <c r="M164">
        <f>42.097+2.88+2.58+4.8*0.75+3*0.75</f>
        <v>53.407000000000004</v>
      </c>
      <c r="N164">
        <v>10.763999999999999</v>
      </c>
      <c r="O164">
        <f>3.1*1.5</f>
        <v>4.6500000000000004</v>
      </c>
    </row>
    <row r="165" spans="1:16" s="15" customFormat="1" ht="15.6" x14ac:dyDescent="0.3">
      <c r="A165" s="8">
        <v>3</v>
      </c>
      <c r="B165" s="8" t="s">
        <v>268</v>
      </c>
      <c r="C165" s="8" t="s">
        <v>130</v>
      </c>
      <c r="D165" s="126">
        <f t="shared" si="7"/>
        <v>395.4370679999999</v>
      </c>
      <c r="E165" s="127"/>
      <c r="F165" s="8">
        <f t="shared" si="8"/>
        <v>50.456249999999997</v>
      </c>
      <c r="G165" s="8">
        <f t="shared" si="9"/>
        <v>643.61185199999977</v>
      </c>
      <c r="H165" s="8" t="s">
        <v>132</v>
      </c>
      <c r="I165" s="120"/>
      <c r="J165" s="121"/>
      <c r="K165" s="34">
        <f t="shared" si="10"/>
        <v>2574447.4079999989</v>
      </c>
      <c r="L165" s="14"/>
      <c r="M165">
        <f>29.743+3.938+1.031+2.7*0.75</f>
        <v>36.736999999999995</v>
      </c>
      <c r="N165">
        <v>10.763999999999999</v>
      </c>
      <c r="O165">
        <f t="shared" ref="O165:O170" si="11">3.125*1.5</f>
        <v>4.6875</v>
      </c>
      <c r="P165" s="14"/>
    </row>
    <row r="166" spans="1:16" ht="15.6" x14ac:dyDescent="0.3">
      <c r="A166" s="8">
        <v>4</v>
      </c>
      <c r="B166" s="8" t="s">
        <v>268</v>
      </c>
      <c r="C166" s="8" t="s">
        <v>130</v>
      </c>
      <c r="D166" s="126">
        <f t="shared" si="7"/>
        <v>395.4370679999999</v>
      </c>
      <c r="E166" s="127"/>
      <c r="F166" s="8">
        <f t="shared" si="8"/>
        <v>50.456249999999997</v>
      </c>
      <c r="G166" s="8">
        <f t="shared" si="9"/>
        <v>643.61185199999977</v>
      </c>
      <c r="H166" s="8" t="s">
        <v>132</v>
      </c>
      <c r="I166" s="120"/>
      <c r="J166" s="121"/>
      <c r="K166" s="34">
        <f t="shared" si="10"/>
        <v>2574447.4079999989</v>
      </c>
      <c r="L166">
        <v>4</v>
      </c>
      <c r="M166">
        <f>29.743+3.938+1.031+2.7*0.75</f>
        <v>36.736999999999995</v>
      </c>
      <c r="N166">
        <v>10.763999999999999</v>
      </c>
      <c r="O166">
        <f t="shared" si="11"/>
        <v>4.6875</v>
      </c>
    </row>
    <row r="167" spans="1:16" ht="15.6" x14ac:dyDescent="0.3">
      <c r="A167" s="8">
        <v>5</v>
      </c>
      <c r="B167" s="8" t="s">
        <v>268</v>
      </c>
      <c r="C167" s="8" t="s">
        <v>131</v>
      </c>
      <c r="D167" s="126">
        <f t="shared" si="7"/>
        <v>572.45104800000001</v>
      </c>
      <c r="E167" s="127"/>
      <c r="F167" s="8">
        <f t="shared" si="8"/>
        <v>50.456249999999997</v>
      </c>
      <c r="G167" s="8">
        <f t="shared" si="9"/>
        <v>909.13282200000003</v>
      </c>
      <c r="H167" s="8" t="s">
        <v>132</v>
      </c>
      <c r="I167" s="120"/>
      <c r="J167" s="121"/>
      <c r="K167" s="34">
        <f t="shared" si="10"/>
        <v>3636531.2880000002</v>
      </c>
      <c r="M167">
        <f>42.097+2.88+2.58+4.8*0.75+2.7*0.75</f>
        <v>53.182000000000002</v>
      </c>
      <c r="N167">
        <v>10.763999999999999</v>
      </c>
      <c r="O167">
        <f t="shared" si="11"/>
        <v>4.6875</v>
      </c>
    </row>
    <row r="168" spans="1:16" ht="15.6" x14ac:dyDescent="0.3">
      <c r="A168" s="8">
        <v>6</v>
      </c>
      <c r="B168" s="8" t="s">
        <v>268</v>
      </c>
      <c r="C168" s="8" t="s">
        <v>130</v>
      </c>
      <c r="D168" s="126">
        <f t="shared" si="7"/>
        <v>390.47486399999991</v>
      </c>
      <c r="E168" s="127"/>
      <c r="F168" s="8">
        <f t="shared" si="8"/>
        <v>50.456249999999997</v>
      </c>
      <c r="G168" s="8">
        <f t="shared" si="9"/>
        <v>636.16854599999988</v>
      </c>
      <c r="H168" s="8" t="s">
        <v>132</v>
      </c>
      <c r="I168" s="120"/>
      <c r="J168" s="121"/>
      <c r="K168" s="34">
        <f t="shared" si="10"/>
        <v>2544674.1839999994</v>
      </c>
      <c r="M168">
        <f>28.873+3.938+1.44+2.7*0.75</f>
        <v>36.275999999999996</v>
      </c>
      <c r="N168">
        <v>10.763999999999999</v>
      </c>
      <c r="O168">
        <f t="shared" si="11"/>
        <v>4.6875</v>
      </c>
    </row>
    <row r="169" spans="1:16" ht="15.6" x14ac:dyDescent="0.3">
      <c r="A169" s="8">
        <v>7</v>
      </c>
      <c r="B169" s="8" t="s">
        <v>268</v>
      </c>
      <c r="C169" s="8" t="s">
        <v>130</v>
      </c>
      <c r="D169" s="126">
        <f t="shared" si="7"/>
        <v>382.03588799999994</v>
      </c>
      <c r="E169" s="127"/>
      <c r="F169" s="8">
        <f t="shared" si="8"/>
        <v>50.456249999999997</v>
      </c>
      <c r="G169" s="8">
        <f t="shared" si="9"/>
        <v>623.5100819999999</v>
      </c>
      <c r="H169" s="8" t="s">
        <v>132</v>
      </c>
      <c r="I169" s="120"/>
      <c r="J169" s="121"/>
      <c r="K169" s="34">
        <f t="shared" si="10"/>
        <v>2494040.3279999997</v>
      </c>
      <c r="M169">
        <f>28.498+3.938+1.031+2.7*0.75</f>
        <v>35.491999999999997</v>
      </c>
      <c r="N169">
        <v>10.763999999999999</v>
      </c>
      <c r="O169">
        <f t="shared" si="11"/>
        <v>4.6875</v>
      </c>
    </row>
    <row r="170" spans="1:16" s="15" customFormat="1" ht="15.6" x14ac:dyDescent="0.3">
      <c r="A170" s="8">
        <v>8</v>
      </c>
      <c r="B170" s="8" t="s">
        <v>268</v>
      </c>
      <c r="C170" s="8" t="s">
        <v>130</v>
      </c>
      <c r="D170" s="126">
        <f t="shared" si="7"/>
        <v>382.03588799999994</v>
      </c>
      <c r="E170" s="127"/>
      <c r="F170" s="8">
        <f t="shared" si="8"/>
        <v>50.456249999999997</v>
      </c>
      <c r="G170" s="8">
        <f t="shared" si="9"/>
        <v>623.5100819999999</v>
      </c>
      <c r="H170" s="8" t="s">
        <v>132</v>
      </c>
      <c r="I170" s="122"/>
      <c r="J170" s="123"/>
      <c r="K170" s="34">
        <f t="shared" si="10"/>
        <v>2494040.3279999997</v>
      </c>
      <c r="L170" s="14"/>
      <c r="M170">
        <f>28.498+3.938+1.031+2.7*0.75</f>
        <v>35.491999999999997</v>
      </c>
      <c r="N170">
        <v>10.763999999999999</v>
      </c>
      <c r="O170">
        <f t="shared" si="11"/>
        <v>4.6875</v>
      </c>
      <c r="P170" s="14"/>
    </row>
    <row r="171" spans="1:16" ht="15.6" x14ac:dyDescent="0.3">
      <c r="A171" s="175" t="s">
        <v>297</v>
      </c>
      <c r="B171" s="175"/>
      <c r="C171" s="175"/>
      <c r="D171" s="175"/>
      <c r="E171" s="175"/>
      <c r="F171" s="175"/>
      <c r="G171" s="175"/>
      <c r="H171" s="175"/>
      <c r="I171" s="175"/>
      <c r="J171" s="175"/>
      <c r="K171" s="34"/>
      <c r="L171">
        <v>2</v>
      </c>
      <c r="M171">
        <f>28.498+3.262+1.031+2.7*0.75</f>
        <v>34.816000000000003</v>
      </c>
      <c r="N171">
        <v>10.763999999999999</v>
      </c>
      <c r="O171">
        <f>3.125*1.5</f>
        <v>4.6875</v>
      </c>
    </row>
    <row r="172" spans="1:16" ht="15.75" customHeight="1" x14ac:dyDescent="0.3">
      <c r="A172" s="8">
        <v>1</v>
      </c>
      <c r="B172" s="8" t="s">
        <v>268</v>
      </c>
      <c r="C172" s="8" t="s">
        <v>130</v>
      </c>
      <c r="D172" s="117">
        <f>(28.873+3.262+1.44+0.75*(2.75))*10.764</f>
        <v>383.60204999999991</v>
      </c>
      <c r="E172" s="117"/>
      <c r="F172" s="8">
        <f>(3.25*1.5)*10.764</f>
        <v>52.474499999999999</v>
      </c>
      <c r="G172" s="8">
        <f>1.5*D172+F172</f>
        <v>627.87757499999987</v>
      </c>
      <c r="H172" s="8" t="s">
        <v>132</v>
      </c>
      <c r="I172" s="118" t="str">
        <f>A171</f>
        <v>12th floor (Part Refuge Area)</v>
      </c>
      <c r="J172" s="119"/>
      <c r="K172" s="34">
        <f>4.65*10.764</f>
        <v>50.052599999999998</v>
      </c>
      <c r="L172" s="97">
        <v>10.763999999999999</v>
      </c>
      <c r="M172">
        <f>28.498+3.262+1.031+2.7*0.75</f>
        <v>34.816000000000003</v>
      </c>
      <c r="N172">
        <v>10.763999999999999</v>
      </c>
      <c r="O172">
        <f>3.125*1.5</f>
        <v>4.6875</v>
      </c>
    </row>
    <row r="173" spans="1:16" s="15" customFormat="1" ht="15.6" x14ac:dyDescent="0.3">
      <c r="A173" s="8">
        <v>2</v>
      </c>
      <c r="B173" s="8" t="s">
        <v>268</v>
      </c>
      <c r="C173" s="8" t="s">
        <v>131</v>
      </c>
      <c r="D173" s="117">
        <f>(48.817+0.75*(2.75+2.74))*10.764</f>
        <v>569.78695799999991</v>
      </c>
      <c r="E173" s="117"/>
      <c r="F173" s="8">
        <f>4.275*10.764</f>
        <v>46.016100000000002</v>
      </c>
      <c r="G173" s="8">
        <f>1.5*D173+F173</f>
        <v>900.69653699999992</v>
      </c>
      <c r="H173" s="8" t="s">
        <v>132</v>
      </c>
      <c r="I173" s="120"/>
      <c r="J173" s="121"/>
      <c r="K173" s="33"/>
      <c r="L173" s="124">
        <v>10.763999999999999</v>
      </c>
      <c r="M173" s="125"/>
      <c r="N173" s="14"/>
      <c r="O173" s="14"/>
      <c r="P173" s="14"/>
    </row>
    <row r="174" spans="1:16" s="15" customFormat="1" ht="15.6" x14ac:dyDescent="0.3">
      <c r="A174" s="8">
        <v>3</v>
      </c>
      <c r="B174" s="8" t="s">
        <v>268</v>
      </c>
      <c r="C174" s="8" t="s">
        <v>130</v>
      </c>
      <c r="D174" s="117">
        <f>(29.832+6.832)*10.764</f>
        <v>394.651296</v>
      </c>
      <c r="E174" s="117"/>
      <c r="F174" s="8">
        <f>4.463*10.764</f>
        <v>48.039732000000001</v>
      </c>
      <c r="G174" s="8">
        <f>1.5*D174+F174</f>
        <v>640.01667599999996</v>
      </c>
      <c r="H174" s="8" t="s">
        <v>132</v>
      </c>
      <c r="I174" s="120"/>
      <c r="J174" s="121"/>
      <c r="K174" s="33"/>
      <c r="L174" s="14"/>
      <c r="M174" s="14"/>
      <c r="N174" s="14"/>
      <c r="O174" s="14"/>
      <c r="P174" s="14"/>
    </row>
    <row r="175" spans="1:16" s="15" customFormat="1" ht="15.6" x14ac:dyDescent="0.3">
      <c r="A175" s="8">
        <v>4</v>
      </c>
      <c r="B175" s="8" t="s">
        <v>268</v>
      </c>
      <c r="C175" s="8" t="s">
        <v>130</v>
      </c>
      <c r="D175" s="117">
        <f>(29.832+6.832)*10.764</f>
        <v>394.651296</v>
      </c>
      <c r="E175" s="117"/>
      <c r="F175" s="8">
        <f>4.463*10.764</f>
        <v>48.039732000000001</v>
      </c>
      <c r="G175" s="8">
        <f>1.5*D175+F175</f>
        <v>640.01667599999996</v>
      </c>
      <c r="H175" s="8" t="s">
        <v>132</v>
      </c>
      <c r="I175" s="120"/>
      <c r="J175" s="121"/>
      <c r="K175" s="33"/>
      <c r="L175" s="14"/>
      <c r="M175" s="14"/>
      <c r="N175" s="14"/>
      <c r="O175" s="14"/>
      <c r="P175" s="14"/>
    </row>
    <row r="176" spans="1:16" s="15" customFormat="1" ht="15.6" x14ac:dyDescent="0.3">
      <c r="A176" s="8">
        <v>5</v>
      </c>
      <c r="B176" s="8" t="s">
        <v>268</v>
      </c>
      <c r="C176" s="8" t="s">
        <v>131</v>
      </c>
      <c r="D176" s="117">
        <f>(48.817+0.75*(2.75+2.75))*10.764</f>
        <v>569.86768799999993</v>
      </c>
      <c r="E176" s="117"/>
      <c r="F176" s="8">
        <f>4.65*10.764</f>
        <v>50.052599999999998</v>
      </c>
      <c r="G176" s="8">
        <f t="shared" ref="G176:G179" si="12">1.5*D176+F176</f>
        <v>904.85413199999994</v>
      </c>
      <c r="H176" s="8" t="s">
        <v>132</v>
      </c>
      <c r="I176" s="120"/>
      <c r="J176" s="121"/>
      <c r="K176" s="33"/>
      <c r="L176" s="14"/>
      <c r="M176" s="14"/>
      <c r="N176" s="14"/>
      <c r="O176" s="14"/>
      <c r="P176" s="14"/>
    </row>
    <row r="177" spans="1:19" s="15" customFormat="1" ht="15.6" x14ac:dyDescent="0.3">
      <c r="A177" s="8">
        <v>6</v>
      </c>
      <c r="B177" s="8" t="s">
        <v>268</v>
      </c>
      <c r="C177" s="8" t="s">
        <v>130</v>
      </c>
      <c r="D177" s="117">
        <f>(28.873+3.262+1.44+2.75*0.75)*10.764</f>
        <v>383.60204999999991</v>
      </c>
      <c r="E177" s="117"/>
      <c r="F177" s="8">
        <f>(3.25*1.5)*10.764</f>
        <v>52.474499999999999</v>
      </c>
      <c r="G177" s="8">
        <f t="shared" si="12"/>
        <v>627.87757499999987</v>
      </c>
      <c r="H177" s="8" t="s">
        <v>132</v>
      </c>
      <c r="I177" s="120"/>
      <c r="J177" s="121"/>
      <c r="K177" s="98">
        <f>0.75*2.75</f>
        <v>2.0625</v>
      </c>
      <c r="L177" s="14"/>
      <c r="M177" s="14"/>
      <c r="N177" s="14"/>
      <c r="O177" s="14"/>
      <c r="P177" s="14"/>
    </row>
    <row r="178" spans="1:19" s="15" customFormat="1" ht="15.6" x14ac:dyDescent="0.3">
      <c r="A178" s="8">
        <v>7</v>
      </c>
      <c r="B178" s="8" t="s">
        <v>268</v>
      </c>
      <c r="C178" s="8" t="s">
        <v>130</v>
      </c>
      <c r="D178" s="117">
        <f>(28.498+3.262+1.031+0.75*2.75)*10.764</f>
        <v>375.16307399999999</v>
      </c>
      <c r="E178" s="117"/>
      <c r="F178" s="8">
        <f>(3.125*1.5)*10.764</f>
        <v>50.456249999999997</v>
      </c>
      <c r="G178" s="8">
        <f t="shared" si="12"/>
        <v>613.20086099999992</v>
      </c>
      <c r="H178" s="8" t="s">
        <v>132</v>
      </c>
      <c r="I178" s="120"/>
      <c r="J178" s="121"/>
      <c r="K178" s="33"/>
      <c r="L178" s="14"/>
      <c r="M178" s="14"/>
      <c r="N178" s="14"/>
      <c r="O178" s="14"/>
      <c r="P178" s="14"/>
    </row>
    <row r="179" spans="1:19" ht="15.6" x14ac:dyDescent="0.3">
      <c r="A179" s="8">
        <v>8</v>
      </c>
      <c r="B179" s="8" t="s">
        <v>268</v>
      </c>
      <c r="C179" s="8" t="s">
        <v>130</v>
      </c>
      <c r="D179" s="117">
        <f>(28.498+3.262+1.031+2.75*0.75)*10.764</f>
        <v>375.16307399999999</v>
      </c>
      <c r="E179" s="117"/>
      <c r="F179" s="8">
        <f>(3.125*1.5)*10.764</f>
        <v>50.456249999999997</v>
      </c>
      <c r="G179" s="8">
        <f t="shared" si="12"/>
        <v>613.20086099999992</v>
      </c>
      <c r="H179" s="8" t="s">
        <v>132</v>
      </c>
      <c r="I179" s="122"/>
      <c r="J179" s="123"/>
      <c r="K179" s="34"/>
      <c r="L179">
        <f>7*5</f>
        <v>35</v>
      </c>
      <c r="M179">
        <f>29.187+2.925+1.29+0.75*3</f>
        <v>35.652000000000001</v>
      </c>
      <c r="N179">
        <v>10.763999999999999</v>
      </c>
      <c r="O179">
        <f>2.7*1.5</f>
        <v>4.0500000000000007</v>
      </c>
    </row>
    <row r="180" spans="1:19" ht="15.6" x14ac:dyDescent="0.3">
      <c r="A180" s="175" t="s">
        <v>133</v>
      </c>
      <c r="B180" s="175"/>
      <c r="C180" s="175"/>
      <c r="D180" s="175"/>
      <c r="E180" s="175"/>
      <c r="F180" s="175"/>
      <c r="G180" s="175"/>
      <c r="H180" s="175"/>
      <c r="I180" s="175"/>
      <c r="J180" s="175"/>
      <c r="K180" s="34"/>
      <c r="L180">
        <f>7*6</f>
        <v>42</v>
      </c>
      <c r="M180">
        <f>28.183+3.41+2.37+3.1*0.75</f>
        <v>36.288000000000004</v>
      </c>
      <c r="N180">
        <v>10.763999999999999</v>
      </c>
      <c r="O180">
        <f>2.8*1.5</f>
        <v>4.1999999999999993</v>
      </c>
    </row>
    <row r="181" spans="1:19" ht="15.75" customHeight="1" x14ac:dyDescent="0.3">
      <c r="A181" s="8">
        <v>1</v>
      </c>
      <c r="B181" s="8" t="s">
        <v>268</v>
      </c>
      <c r="C181" s="8" t="s">
        <v>130</v>
      </c>
      <c r="D181" s="117">
        <f>(28.873+3.262+1.44+0.75*(2.75))*10.764</f>
        <v>383.60204999999991</v>
      </c>
      <c r="E181" s="117"/>
      <c r="F181" s="90">
        <f>(2.8*1.5)*10.764</f>
        <v>45.208799999999989</v>
      </c>
      <c r="G181" s="8">
        <f>1.5*D181+F181</f>
        <v>620.61187499999983</v>
      </c>
      <c r="H181" s="8" t="s">
        <v>132</v>
      </c>
      <c r="I181" s="118" t="str">
        <f>A180</f>
        <v>13th floor</v>
      </c>
      <c r="J181" s="119"/>
      <c r="K181" s="91">
        <f>2.8*1.5</f>
        <v>4.1999999999999993</v>
      </c>
      <c r="M181">
        <f>28.785+3.938+2.37+0.75*3</f>
        <v>37.342999999999996</v>
      </c>
      <c r="N181">
        <v>10.763999999999999</v>
      </c>
      <c r="O181">
        <f>2.8*1.5</f>
        <v>4.1999999999999993</v>
      </c>
    </row>
    <row r="182" spans="1:19" ht="15.6" x14ac:dyDescent="0.3">
      <c r="A182" s="8">
        <v>2</v>
      </c>
      <c r="B182" s="8" t="s">
        <v>268</v>
      </c>
      <c r="C182" s="8" t="s">
        <v>130</v>
      </c>
      <c r="D182" s="117">
        <f>(48.817+0.75*(2.75+2.74))*10.764</f>
        <v>569.78695799999991</v>
      </c>
      <c r="E182" s="117"/>
      <c r="F182" s="90">
        <f>(2.85*1.5)*10.764</f>
        <v>46.016100000000002</v>
      </c>
      <c r="G182" s="8">
        <f>1.5*D182+F182</f>
        <v>900.69653699999992</v>
      </c>
      <c r="H182" s="8" t="s">
        <v>132</v>
      </c>
      <c r="I182" s="120"/>
      <c r="J182" s="121"/>
      <c r="K182" s="34"/>
      <c r="M182">
        <f>42.618+3.938+1.8+0.75*3.1+0.75*2.7</f>
        <v>52.706000000000003</v>
      </c>
      <c r="N182">
        <v>10.763999999999999</v>
      </c>
      <c r="O182">
        <f>2.8*1.5</f>
        <v>4.1999999999999993</v>
      </c>
    </row>
    <row r="183" spans="1:19" ht="15.6" x14ac:dyDescent="0.3">
      <c r="A183" s="8">
        <v>3</v>
      </c>
      <c r="B183" s="8" t="s">
        <v>268</v>
      </c>
      <c r="C183" s="8" t="s">
        <v>130</v>
      </c>
      <c r="D183" s="117">
        <f>(29.832+6.598)*10.764</f>
        <v>392.13252</v>
      </c>
      <c r="E183" s="117"/>
      <c r="F183" s="90">
        <f>(2.7*1.5)*10.764</f>
        <v>43.594200000000008</v>
      </c>
      <c r="G183" s="8">
        <f>1.5*D183+F183</f>
        <v>631.79297999999994</v>
      </c>
      <c r="H183" s="8" t="s">
        <v>132</v>
      </c>
      <c r="I183" s="120"/>
      <c r="J183" s="121"/>
      <c r="K183" s="34"/>
      <c r="M183">
        <f>41.726+2.363+1.89+0.75*3.1+0.75*2.7</f>
        <v>50.329000000000001</v>
      </c>
      <c r="N183">
        <v>10.763999999999999</v>
      </c>
      <c r="O183">
        <f>2.8*1.5</f>
        <v>4.1999999999999993</v>
      </c>
    </row>
    <row r="184" spans="1:19" ht="15.6" x14ac:dyDescent="0.3">
      <c r="A184" s="8">
        <v>4</v>
      </c>
      <c r="B184" s="8" t="s">
        <v>268</v>
      </c>
      <c r="C184" s="8" t="s">
        <v>130</v>
      </c>
      <c r="D184" s="117">
        <f>(29.832+6.598)*10.764</f>
        <v>392.13252</v>
      </c>
      <c r="E184" s="117"/>
      <c r="F184" s="90">
        <f>(2.7*1.5)*10.764</f>
        <v>43.594200000000008</v>
      </c>
      <c r="G184" s="8">
        <f>1.5*D184+F184</f>
        <v>631.79297999999994</v>
      </c>
      <c r="H184" s="8" t="s">
        <v>132</v>
      </c>
      <c r="I184" s="120"/>
      <c r="J184" s="121"/>
      <c r="K184" s="34"/>
      <c r="M184">
        <f>28.483+3.938+2.4+0.75*2.9</f>
        <v>36.995999999999995</v>
      </c>
      <c r="N184">
        <v>10.763999999999999</v>
      </c>
      <c r="O184">
        <f>2.05*1.5</f>
        <v>3.0749999999999997</v>
      </c>
    </row>
    <row r="185" spans="1:19" s="15" customFormat="1" ht="15.6" x14ac:dyDescent="0.3">
      <c r="A185" s="8">
        <v>5</v>
      </c>
      <c r="B185" s="8" t="s">
        <v>268</v>
      </c>
      <c r="C185" s="8" t="s">
        <v>131</v>
      </c>
      <c r="D185" s="117">
        <f>(48.817+0.75*(2.75+2.75))*10.764</f>
        <v>569.86768799999993</v>
      </c>
      <c r="E185" s="117"/>
      <c r="F185" s="90">
        <f>(2.85*1.5)*10.764</f>
        <v>46.016100000000002</v>
      </c>
      <c r="G185" s="8">
        <f t="shared" ref="G185:G188" si="13">1.5*D185+F185</f>
        <v>900.817632</v>
      </c>
      <c r="H185" s="8" t="s">
        <v>132</v>
      </c>
      <c r="I185" s="120"/>
      <c r="J185" s="121"/>
      <c r="K185" s="33"/>
      <c r="L185" s="14"/>
      <c r="M185" s="14"/>
      <c r="N185" s="14"/>
      <c r="O185" s="14"/>
      <c r="P185" s="14"/>
    </row>
    <row r="186" spans="1:19" s="15" customFormat="1" ht="15.6" x14ac:dyDescent="0.3">
      <c r="A186" s="8">
        <v>6</v>
      </c>
      <c r="B186" s="8" t="s">
        <v>268</v>
      </c>
      <c r="C186" s="8" t="s">
        <v>130</v>
      </c>
      <c r="D186" s="117">
        <f>(28.873+3.262+1.44+2.75*0.75)*10.764</f>
        <v>383.60204999999991</v>
      </c>
      <c r="E186" s="117"/>
      <c r="F186" s="90">
        <f>(2.8*1.5)*10.764</f>
        <v>45.208799999999989</v>
      </c>
      <c r="G186" s="8">
        <f t="shared" si="13"/>
        <v>620.61187499999983</v>
      </c>
      <c r="H186" s="8" t="s">
        <v>132</v>
      </c>
      <c r="I186" s="120"/>
      <c r="J186" s="121"/>
      <c r="K186" s="33"/>
      <c r="L186" s="14"/>
      <c r="M186" s="14"/>
      <c r="N186" s="14"/>
      <c r="O186" s="14"/>
      <c r="P186" s="14"/>
    </row>
    <row r="187" spans="1:19" s="15" customFormat="1" ht="15.6" x14ac:dyDescent="0.3">
      <c r="A187" s="8">
        <v>7</v>
      </c>
      <c r="B187" s="8" t="s">
        <v>268</v>
      </c>
      <c r="C187" s="8" t="s">
        <v>130</v>
      </c>
      <c r="D187" s="117">
        <f>(28.498+3.262+1.031+0.75*2.75)*10.764</f>
        <v>375.16307399999999</v>
      </c>
      <c r="E187" s="117"/>
      <c r="F187" s="90">
        <f>(2.7*1.5)*10.764</f>
        <v>43.594200000000008</v>
      </c>
      <c r="G187" s="8">
        <f t="shared" si="13"/>
        <v>606.33881099999996</v>
      </c>
      <c r="H187" s="8" t="s">
        <v>132</v>
      </c>
      <c r="I187" s="120"/>
      <c r="J187" s="121"/>
      <c r="K187" s="33"/>
      <c r="L187" s="14"/>
      <c r="M187" s="14"/>
      <c r="N187" s="14"/>
      <c r="O187" s="14"/>
      <c r="P187" s="14"/>
    </row>
    <row r="188" spans="1:19" ht="15.6" x14ac:dyDescent="0.3">
      <c r="A188" s="8">
        <v>8</v>
      </c>
      <c r="B188" s="8" t="s">
        <v>268</v>
      </c>
      <c r="C188" s="8" t="s">
        <v>130</v>
      </c>
      <c r="D188" s="117">
        <f>(28.498+3.262+1.031+2.75*0.75)*10.764</f>
        <v>375.16307399999999</v>
      </c>
      <c r="E188" s="117"/>
      <c r="F188" s="90">
        <f>(2.7*1.5)*10.764</f>
        <v>43.594200000000008</v>
      </c>
      <c r="G188" s="8">
        <f t="shared" si="13"/>
        <v>606.33881099999996</v>
      </c>
      <c r="H188" s="8" t="s">
        <v>132</v>
      </c>
      <c r="I188" s="122"/>
      <c r="J188" s="123"/>
      <c r="K188" s="34"/>
      <c r="L188">
        <f>7*5</f>
        <v>35</v>
      </c>
      <c r="M188">
        <f>29.187+2.925+1.29+0.75*3</f>
        <v>35.652000000000001</v>
      </c>
      <c r="N188">
        <v>10.763999999999999</v>
      </c>
      <c r="O188">
        <f>2.7*1.5</f>
        <v>4.0500000000000007</v>
      </c>
    </row>
    <row r="189" spans="1:19" ht="15.6" x14ac:dyDescent="0.3">
      <c r="A189" s="175" t="s">
        <v>294</v>
      </c>
      <c r="B189" s="175"/>
      <c r="C189" s="175"/>
      <c r="D189" s="175"/>
      <c r="E189" s="175"/>
      <c r="F189" s="175"/>
      <c r="G189" s="175"/>
      <c r="H189" s="175"/>
      <c r="I189" s="175"/>
      <c r="J189" s="175"/>
      <c r="K189" s="34"/>
      <c r="M189">
        <f>28.483+3.938+2.4+0.75*2.9</f>
        <v>36.995999999999995</v>
      </c>
      <c r="N189">
        <v>10.763999999999999</v>
      </c>
      <c r="O189">
        <f>3*1.5</f>
        <v>4.5</v>
      </c>
    </row>
    <row r="190" spans="1:19" s="15" customFormat="1" ht="15.75" customHeight="1" x14ac:dyDescent="0.3">
      <c r="A190" s="8">
        <v>1</v>
      </c>
      <c r="B190" s="8" t="s">
        <v>268</v>
      </c>
      <c r="C190" s="8" t="s">
        <v>130</v>
      </c>
      <c r="D190" s="116">
        <f>(29.45+6.037)*10.764</f>
        <v>381.98206799999997</v>
      </c>
      <c r="E190" s="116"/>
      <c r="F190" s="90">
        <f>(3.1*1.5)*10.764</f>
        <v>50.052599999999998</v>
      </c>
      <c r="G190" s="8">
        <f>1.5*D190+F190</f>
        <v>623.02570199999991</v>
      </c>
      <c r="H190" s="8" t="s">
        <v>132</v>
      </c>
      <c r="I190" s="118" t="str">
        <f>A189</f>
        <v>14th floor</v>
      </c>
      <c r="J190" s="119"/>
      <c r="K190" s="33"/>
      <c r="L190" s="14"/>
      <c r="M190" s="14"/>
      <c r="N190" s="14"/>
      <c r="O190" s="14"/>
      <c r="P190" s="14"/>
    </row>
    <row r="191" spans="1:19" ht="15.6" x14ac:dyDescent="0.3">
      <c r="A191" s="8">
        <v>2</v>
      </c>
      <c r="B191" s="8" t="s">
        <v>268</v>
      </c>
      <c r="C191" s="8" t="s">
        <v>131</v>
      </c>
      <c r="D191" s="116">
        <f>(48.817+0.75*(2.75+3))*10.764</f>
        <v>571.88593800000001</v>
      </c>
      <c r="E191" s="116"/>
      <c r="F191" s="90">
        <f>(3.1*1.5)*10.764</f>
        <v>50.052599999999998</v>
      </c>
      <c r="G191" s="8">
        <f>1.5*D191+F191</f>
        <v>907.88150700000006</v>
      </c>
      <c r="H191" s="8" t="s">
        <v>132</v>
      </c>
      <c r="I191" s="120"/>
      <c r="J191" s="121"/>
      <c r="K191" s="34"/>
      <c r="L191">
        <f>7*6</f>
        <v>42</v>
      </c>
      <c r="M191">
        <f>28.183+3.41+2.37+0.75*3.7</f>
        <v>36.738</v>
      </c>
      <c r="N191">
        <v>10.763999999999999</v>
      </c>
      <c r="O191">
        <f>3.2*1.5</f>
        <v>4.8000000000000007</v>
      </c>
      <c r="Q191" s="116">
        <v>10.763999999999999</v>
      </c>
      <c r="R191" s="116"/>
      <c r="S191" s="90">
        <v>10.763999999999999</v>
      </c>
    </row>
    <row r="192" spans="1:19" ht="15.6" x14ac:dyDescent="0.3">
      <c r="A192" s="8">
        <v>3</v>
      </c>
      <c r="B192" s="8" t="s">
        <v>268</v>
      </c>
      <c r="C192" s="8" t="s">
        <v>130</v>
      </c>
      <c r="D192" s="116">
        <f>(29.925+6.832)*10.764</f>
        <v>395.65234799999996</v>
      </c>
      <c r="E192" s="116"/>
      <c r="F192" s="90">
        <f>(2.975*1.5)*10.764</f>
        <v>48.034350000000003</v>
      </c>
      <c r="G192" s="8">
        <f>1.5*D192+F192</f>
        <v>641.5128719999999</v>
      </c>
      <c r="H192" s="8" t="s">
        <v>132</v>
      </c>
      <c r="I192" s="120"/>
      <c r="J192" s="121"/>
      <c r="K192" s="34"/>
      <c r="M192">
        <f>41.726+2.363+1.89+0.75*3.1+0.75*2.7</f>
        <v>50.329000000000001</v>
      </c>
      <c r="N192">
        <v>10.763999999999999</v>
      </c>
      <c r="O192">
        <f>2.8*1.5</f>
        <v>4.1999999999999993</v>
      </c>
    </row>
    <row r="193" spans="1:20" ht="15.6" x14ac:dyDescent="0.3">
      <c r="A193" s="8">
        <v>4</v>
      </c>
      <c r="B193" s="8" t="s">
        <v>268</v>
      </c>
      <c r="C193" s="8" t="s">
        <v>130</v>
      </c>
      <c r="D193" s="116">
        <f>(29.832+6.832)*10.764</f>
        <v>394.651296</v>
      </c>
      <c r="E193" s="116"/>
      <c r="F193" s="90">
        <f>(2.975*1.5)*10.764</f>
        <v>48.034350000000003</v>
      </c>
      <c r="G193" s="8">
        <f>1.5*D193+F193</f>
        <v>640.01129400000002</v>
      </c>
      <c r="H193" s="8" t="s">
        <v>132</v>
      </c>
      <c r="I193" s="120"/>
      <c r="J193" s="121"/>
      <c r="K193" s="34"/>
      <c r="M193">
        <f>28.483+3.938+2.4+0.75*2.9</f>
        <v>36.995999999999995</v>
      </c>
      <c r="N193">
        <v>10.763999999999999</v>
      </c>
      <c r="O193">
        <f>2.05*1.5</f>
        <v>3.0749999999999997</v>
      </c>
    </row>
    <row r="194" spans="1:20" s="15" customFormat="1" ht="15.6" x14ac:dyDescent="0.3">
      <c r="A194" s="8">
        <v>5</v>
      </c>
      <c r="B194" s="8" t="s">
        <v>268</v>
      </c>
      <c r="C194" s="8" t="s">
        <v>131</v>
      </c>
      <c r="D194" s="116">
        <f>(48.817+0.75*(2.75+3))*10.764</f>
        <v>571.88593800000001</v>
      </c>
      <c r="E194" s="116"/>
      <c r="F194" s="90">
        <f>(2.85*1.5)*10.764</f>
        <v>46.016100000000002</v>
      </c>
      <c r="G194" s="8">
        <f t="shared" ref="G194:G197" si="14">1.5*D194+F194</f>
        <v>903.84500700000012</v>
      </c>
      <c r="H194" s="8" t="s">
        <v>132</v>
      </c>
      <c r="I194" s="120"/>
      <c r="J194" s="121"/>
      <c r="K194" s="33"/>
      <c r="L194" s="14"/>
      <c r="M194" s="14"/>
      <c r="N194" s="14"/>
      <c r="O194" s="14"/>
      <c r="P194" s="14"/>
    </row>
    <row r="195" spans="1:20" s="15" customFormat="1" ht="15.6" x14ac:dyDescent="0.3">
      <c r="A195" s="8">
        <v>6</v>
      </c>
      <c r="B195" s="8" t="s">
        <v>268</v>
      </c>
      <c r="C195" s="8" t="s">
        <v>130</v>
      </c>
      <c r="D195" s="116">
        <f>(29.45+6.037)*10.764</f>
        <v>381.98206799999997</v>
      </c>
      <c r="E195" s="116"/>
      <c r="F195" s="90">
        <f>(3.1*1.5)*10.764</f>
        <v>50.052599999999998</v>
      </c>
      <c r="G195" s="8">
        <f t="shared" si="14"/>
        <v>623.02570199999991</v>
      </c>
      <c r="H195" s="8" t="s">
        <v>132</v>
      </c>
      <c r="I195" s="120"/>
      <c r="J195" s="121"/>
      <c r="K195" s="33"/>
      <c r="L195" s="14"/>
      <c r="M195" s="14"/>
      <c r="N195" s="14"/>
      <c r="O195" s="14"/>
      <c r="P195" s="14"/>
    </row>
    <row r="196" spans="1:20" s="15" customFormat="1" ht="15.6" x14ac:dyDescent="0.3">
      <c r="A196" s="8">
        <v>7</v>
      </c>
      <c r="B196" s="8" t="s">
        <v>268</v>
      </c>
      <c r="C196" s="8" t="s">
        <v>130</v>
      </c>
      <c r="D196" s="117">
        <f>(28.498+3.262+1.031+0.75*2.75)*10.764</f>
        <v>375.16307399999999</v>
      </c>
      <c r="E196" s="117"/>
      <c r="F196" s="90">
        <f>(3.125*1.5)*10.764</f>
        <v>50.456249999999997</v>
      </c>
      <c r="G196" s="8">
        <f t="shared" si="14"/>
        <v>613.20086099999992</v>
      </c>
      <c r="H196" s="8" t="s">
        <v>132</v>
      </c>
      <c r="I196" s="120"/>
      <c r="J196" s="121"/>
      <c r="K196" s="33"/>
      <c r="L196" s="14"/>
      <c r="M196" s="14"/>
      <c r="N196" s="14"/>
      <c r="O196" s="14"/>
      <c r="P196" s="14"/>
    </row>
    <row r="197" spans="1:20" ht="15.6" x14ac:dyDescent="0.3">
      <c r="A197" s="8">
        <v>8</v>
      </c>
      <c r="B197" s="8" t="s">
        <v>268</v>
      </c>
      <c r="C197" s="8" t="s">
        <v>130</v>
      </c>
      <c r="D197" s="117">
        <f>(28.498+3.262+1.031+2.75*0.75)*10.764</f>
        <v>375.16307399999999</v>
      </c>
      <c r="E197" s="117"/>
      <c r="F197" s="90">
        <f>(3.125*1.5)*10.764</f>
        <v>50.456249999999997</v>
      </c>
      <c r="G197" s="8">
        <f t="shared" si="14"/>
        <v>613.20086099999992</v>
      </c>
      <c r="H197" s="8" t="s">
        <v>132</v>
      </c>
      <c r="I197" s="122"/>
      <c r="J197" s="123"/>
      <c r="K197" s="34"/>
      <c r="L197">
        <f>7*5</f>
        <v>35</v>
      </c>
      <c r="M197">
        <f>29.187+2.925+1.29+0.75*3</f>
        <v>35.652000000000001</v>
      </c>
      <c r="N197">
        <v>10.763999999999999</v>
      </c>
      <c r="O197">
        <f>2.7*1.5</f>
        <v>4.0500000000000007</v>
      </c>
    </row>
    <row r="198" spans="1:20" ht="15.6" x14ac:dyDescent="0.3">
      <c r="A198" s="175" t="s">
        <v>248</v>
      </c>
      <c r="B198" s="175"/>
      <c r="C198" s="175"/>
      <c r="D198" s="175"/>
      <c r="E198" s="175"/>
      <c r="F198" s="175"/>
      <c r="G198" s="175"/>
      <c r="H198" s="175"/>
      <c r="I198" s="175"/>
      <c r="J198" s="175"/>
      <c r="K198" s="34"/>
      <c r="M198">
        <f>28.785+3.938+2.37+0.75*3.7</f>
        <v>37.867999999999995</v>
      </c>
      <c r="N198">
        <v>10.763999999999999</v>
      </c>
      <c r="O198">
        <f>3.2*1.5</f>
        <v>4.8000000000000007</v>
      </c>
    </row>
    <row r="199" spans="1:20" ht="15.6" x14ac:dyDescent="0.3">
      <c r="A199" s="8">
        <v>1</v>
      </c>
      <c r="B199" s="8" t="s">
        <v>268</v>
      </c>
      <c r="C199" s="8" t="s">
        <v>130</v>
      </c>
      <c r="D199" s="116">
        <f>(29.45+6.953)*10.764</f>
        <v>391.84189199999997</v>
      </c>
      <c r="E199" s="116"/>
      <c r="F199" s="90">
        <f>(3.675)*10.764</f>
        <v>39.557699999999997</v>
      </c>
      <c r="G199" s="8">
        <f>1.5*D199+F199</f>
        <v>627.32053799999994</v>
      </c>
      <c r="H199" s="8" t="s">
        <v>132</v>
      </c>
      <c r="I199" s="118" t="str">
        <f>A198</f>
        <v>15th floor</v>
      </c>
      <c r="J199" s="119"/>
      <c r="K199" s="34"/>
      <c r="M199">
        <f>42.618+3.938+1.8+0.75*5.1+0.75*2.7</f>
        <v>54.206000000000003</v>
      </c>
      <c r="N199">
        <v>10.763999999999999</v>
      </c>
      <c r="O199">
        <f>3.2*1.5</f>
        <v>4.8000000000000007</v>
      </c>
      <c r="Q199" s="322">
        <f>2.74*4+2.25*2.9+3*2.1+1.8*1.2*2</f>
        <v>28.105</v>
      </c>
      <c r="R199" s="322"/>
      <c r="S199" s="87">
        <f>2.25*1.45+3.2*1.05</f>
        <v>6.6225000000000005</v>
      </c>
      <c r="T199" s="87">
        <f>2.7*1.361</f>
        <v>3.6747000000000001</v>
      </c>
    </row>
    <row r="200" spans="1:20" ht="15.6" x14ac:dyDescent="0.3">
      <c r="A200" s="8">
        <v>2</v>
      </c>
      <c r="B200" s="8" t="s">
        <v>268</v>
      </c>
      <c r="C200" s="8" t="s">
        <v>131</v>
      </c>
      <c r="D200" s="116">
        <f>(48.817+0.75*(2.75+3))*10.764</f>
        <v>571.88593800000001</v>
      </c>
      <c r="E200" s="116"/>
      <c r="F200" s="90">
        <f>(3.879)*10.764</f>
        <v>41.753555999999996</v>
      </c>
      <c r="G200" s="8">
        <f t="shared" ref="G200:G206" si="15">1.5*D200+F200</f>
        <v>899.58246300000008</v>
      </c>
      <c r="H200" s="8" t="s">
        <v>132</v>
      </c>
      <c r="I200" s="120"/>
      <c r="J200" s="121"/>
      <c r="K200" s="34"/>
      <c r="M200">
        <f>41.726+2.363+1.89+0.75*3.2+0.75*2.7</f>
        <v>50.403999999999996</v>
      </c>
      <c r="N200">
        <v>10.763999999999999</v>
      </c>
      <c r="O200">
        <f>3.2*1.5</f>
        <v>4.8000000000000007</v>
      </c>
      <c r="Q200" s="89">
        <f>2.74*4+2.45*2.1+2.4*3+2.75*2.75+3*3+1.8*1.2+1.8*1.2+3.6*0.9</f>
        <v>47.427500000000002</v>
      </c>
      <c r="R200" s="89"/>
      <c r="S200" s="88"/>
      <c r="T200" s="87">
        <f>2.74*1.361</f>
        <v>3.7291400000000001</v>
      </c>
    </row>
    <row r="201" spans="1:20" ht="15.6" x14ac:dyDescent="0.3">
      <c r="A201" s="8">
        <v>3</v>
      </c>
      <c r="B201" s="8" t="s">
        <v>269</v>
      </c>
      <c r="C201" s="8" t="s">
        <v>130</v>
      </c>
      <c r="D201" s="116">
        <f>(29.925+6.598)*10.764</f>
        <v>393.13357200000002</v>
      </c>
      <c r="E201" s="116"/>
      <c r="F201" s="90">
        <f>(4.725)*10.764</f>
        <v>50.859899999999996</v>
      </c>
      <c r="G201" s="8">
        <f t="shared" si="15"/>
        <v>640.56025800000009</v>
      </c>
      <c r="H201" s="8" t="s">
        <v>132</v>
      </c>
      <c r="I201" s="120"/>
      <c r="J201" s="121"/>
      <c r="K201" s="34"/>
      <c r="M201">
        <f>28.483+3.938+2.4+0.75*3.7</f>
        <v>37.595999999999997</v>
      </c>
      <c r="N201">
        <v>10.763999999999999</v>
      </c>
      <c r="O201">
        <f>3.15*1.5</f>
        <v>4.7249999999999996</v>
      </c>
    </row>
    <row r="202" spans="1:20" ht="15.6" x14ac:dyDescent="0.3">
      <c r="A202" s="8">
        <v>4</v>
      </c>
      <c r="B202" s="8" t="s">
        <v>269</v>
      </c>
      <c r="C202" s="8" t="s">
        <v>130</v>
      </c>
      <c r="D202" s="116">
        <f>(29.925+6.598)*10.764</f>
        <v>393.13357200000002</v>
      </c>
      <c r="E202" s="116"/>
      <c r="F202" s="90">
        <f>(4.725)*10.764</f>
        <v>50.859899999999996</v>
      </c>
      <c r="G202" s="8">
        <f t="shared" si="15"/>
        <v>640.56025800000009</v>
      </c>
      <c r="H202" s="8" t="s">
        <v>132</v>
      </c>
      <c r="I202" s="120"/>
      <c r="J202" s="121"/>
      <c r="K202" s="34"/>
      <c r="M202">
        <f>28.483+3.938+2.4+0.75*3.7</f>
        <v>37.595999999999997</v>
      </c>
      <c r="N202">
        <v>10.763999999999999</v>
      </c>
      <c r="O202">
        <f>3.15*1.5</f>
        <v>4.7249999999999996</v>
      </c>
    </row>
    <row r="203" spans="1:20" s="15" customFormat="1" ht="15.6" x14ac:dyDescent="0.3">
      <c r="A203" s="8">
        <v>5</v>
      </c>
      <c r="B203" s="8" t="s">
        <v>269</v>
      </c>
      <c r="C203" s="8" t="s">
        <v>131</v>
      </c>
      <c r="D203" s="116">
        <f>(48.817+0.75*(2.75+3))*10.764</f>
        <v>571.88593800000001</v>
      </c>
      <c r="E203" s="116"/>
      <c r="F203" s="90">
        <f>(4.815)*10.764</f>
        <v>51.828659999999999</v>
      </c>
      <c r="G203" s="8">
        <f t="shared" si="15"/>
        <v>909.65756700000009</v>
      </c>
      <c r="H203" s="8" t="s">
        <v>132</v>
      </c>
      <c r="I203" s="120"/>
      <c r="J203" s="121"/>
      <c r="K203" s="33"/>
      <c r="L203" s="14"/>
      <c r="M203" s="14"/>
      <c r="N203" s="14"/>
      <c r="O203" s="14"/>
      <c r="P203" s="14"/>
    </row>
    <row r="204" spans="1:20" s="15" customFormat="1" ht="15.6" x14ac:dyDescent="0.3">
      <c r="A204" s="8">
        <v>6</v>
      </c>
      <c r="B204" s="8" t="s">
        <v>269</v>
      </c>
      <c r="C204" s="8" t="s">
        <v>130</v>
      </c>
      <c r="D204" s="116">
        <f>(29.45+6.953)*10.764</f>
        <v>391.84189199999997</v>
      </c>
      <c r="E204" s="116"/>
      <c r="F204" s="90">
        <f>(4.05)*10.764</f>
        <v>43.594199999999994</v>
      </c>
      <c r="G204" s="8">
        <f t="shared" si="15"/>
        <v>631.35703799999999</v>
      </c>
      <c r="H204" s="8" t="s">
        <v>132</v>
      </c>
      <c r="I204" s="120"/>
      <c r="J204" s="121"/>
      <c r="K204" s="33"/>
      <c r="L204" s="14"/>
      <c r="M204" s="14"/>
      <c r="N204" s="14"/>
      <c r="O204" s="14"/>
      <c r="P204" s="14"/>
    </row>
    <row r="205" spans="1:20" s="15" customFormat="1" ht="15.6" x14ac:dyDescent="0.3">
      <c r="A205" s="8">
        <v>7</v>
      </c>
      <c r="B205" s="8" t="s">
        <v>269</v>
      </c>
      <c r="C205" s="8" t="s">
        <v>130</v>
      </c>
      <c r="D205" s="116">
        <f>(29.45+5.832)*10.764</f>
        <v>379.77544799999993</v>
      </c>
      <c r="E205" s="116"/>
      <c r="F205" s="90">
        <f>(4.725)*10.764</f>
        <v>50.859899999999996</v>
      </c>
      <c r="G205" s="8">
        <f t="shared" si="15"/>
        <v>620.52307199999996</v>
      </c>
      <c r="H205" s="8" t="s">
        <v>132</v>
      </c>
      <c r="I205" s="120"/>
      <c r="J205" s="121"/>
      <c r="K205" s="33"/>
      <c r="L205" s="14"/>
      <c r="M205" s="14"/>
      <c r="N205" s="14"/>
      <c r="O205" s="14"/>
      <c r="P205" s="14"/>
    </row>
    <row r="206" spans="1:20" ht="15.6" x14ac:dyDescent="0.3">
      <c r="A206" s="8">
        <v>8</v>
      </c>
      <c r="B206" s="8" t="s">
        <v>268</v>
      </c>
      <c r="C206" s="8" t="s">
        <v>130</v>
      </c>
      <c r="D206" s="116">
        <f>(29.45+5.832)*10.764</f>
        <v>379.77544799999993</v>
      </c>
      <c r="E206" s="116"/>
      <c r="F206" s="90">
        <f>(3.675)*10.764</f>
        <v>39.557699999999997</v>
      </c>
      <c r="G206" s="8">
        <f t="shared" si="15"/>
        <v>609.22087199999987</v>
      </c>
      <c r="H206" s="8" t="s">
        <v>132</v>
      </c>
      <c r="I206" s="122"/>
      <c r="J206" s="123"/>
      <c r="K206" s="34"/>
      <c r="L206">
        <f>7*5</f>
        <v>35</v>
      </c>
      <c r="M206">
        <f>29.187+2.925+1.29+0.75*3</f>
        <v>35.652000000000001</v>
      </c>
      <c r="N206">
        <v>10.763999999999999</v>
      </c>
      <c r="O206">
        <f>2.7*1.5</f>
        <v>4.0500000000000007</v>
      </c>
    </row>
    <row r="207" spans="1:20" ht="15.6" x14ac:dyDescent="0.3">
      <c r="A207" s="175" t="s">
        <v>288</v>
      </c>
      <c r="B207" s="175"/>
      <c r="C207" s="175"/>
      <c r="D207" s="175"/>
      <c r="E207" s="175"/>
      <c r="F207" s="175"/>
      <c r="G207" s="175"/>
      <c r="H207" s="175"/>
      <c r="I207" s="175"/>
      <c r="J207" s="175"/>
      <c r="K207" s="34"/>
      <c r="M207">
        <f>42.732+4.5+3.33+0.75*2.7+0.75*3</f>
        <v>54.836999999999996</v>
      </c>
      <c r="N207">
        <v>10.763999999999999</v>
      </c>
      <c r="O207">
        <v>4.05</v>
      </c>
    </row>
    <row r="208" spans="1:20" ht="15.6" x14ac:dyDescent="0.3">
      <c r="A208" s="147" t="s">
        <v>152</v>
      </c>
      <c r="B208" s="148"/>
      <c r="C208" s="148"/>
      <c r="D208" s="148"/>
      <c r="E208" s="148"/>
      <c r="F208" s="148"/>
      <c r="G208" s="148"/>
      <c r="H208" s="148"/>
      <c r="I208" s="148"/>
      <c r="J208" s="149"/>
      <c r="K208" s="34"/>
      <c r="M208">
        <f>42.732+4.5+3.33+0.75*3+0.75*2.7</f>
        <v>54.836999999999996</v>
      </c>
      <c r="N208">
        <v>10.763999999999999</v>
      </c>
      <c r="O208">
        <v>4.05</v>
      </c>
    </row>
    <row r="209" spans="1:16" ht="15.6" x14ac:dyDescent="0.3">
      <c r="A209" s="175" t="s">
        <v>134</v>
      </c>
      <c r="B209" s="175"/>
      <c r="C209" s="175"/>
      <c r="D209" s="175"/>
      <c r="E209" s="175"/>
      <c r="F209" s="175"/>
      <c r="G209" s="175"/>
      <c r="H209" s="175"/>
      <c r="I209" s="175"/>
      <c r="J209" s="175"/>
      <c r="K209" s="34"/>
      <c r="M209">
        <f>29.187+2.925+1.29+0.75*3</f>
        <v>35.652000000000001</v>
      </c>
      <c r="N209">
        <v>10.763999999999999</v>
      </c>
      <c r="O209">
        <v>4.05</v>
      </c>
    </row>
    <row r="210" spans="1:16" ht="15.6" x14ac:dyDescent="0.3">
      <c r="A210" s="8">
        <v>1</v>
      </c>
      <c r="B210" s="8" t="s">
        <v>268</v>
      </c>
      <c r="C210" s="8" t="s">
        <v>130</v>
      </c>
      <c r="D210" s="126">
        <f>M180*N180</f>
        <v>390.60403200000002</v>
      </c>
      <c r="E210" s="127"/>
      <c r="F210" s="8">
        <f>O180*N180</f>
        <v>45.208799999999989</v>
      </c>
      <c r="G210" s="8">
        <f t="shared" ref="G210:G215" si="16">1.5*D210+F210</f>
        <v>631.11484800000005</v>
      </c>
      <c r="H210" s="8" t="s">
        <v>132</v>
      </c>
      <c r="I210" s="118" t="str">
        <f>A209</f>
        <v xml:space="preserve">1st, 3rd, 5th, 7th, 9th, 11th &amp; 13th floor </v>
      </c>
      <c r="J210" s="119"/>
      <c r="K210" s="34"/>
      <c r="M210">
        <f>29.015+4.05+1.44+0.75*3.9</f>
        <v>37.429999999999993</v>
      </c>
      <c r="N210">
        <v>10.763999999999999</v>
      </c>
      <c r="O210">
        <f>3*1.5</f>
        <v>4.5</v>
      </c>
    </row>
    <row r="211" spans="1:16" s="15" customFormat="1" ht="15.6" x14ac:dyDescent="0.3">
      <c r="A211" s="8">
        <v>2</v>
      </c>
      <c r="B211" s="8" t="s">
        <v>268</v>
      </c>
      <c r="C211" s="8" t="s">
        <v>130</v>
      </c>
      <c r="D211" s="126">
        <f>M181*N181</f>
        <v>401.96005199999996</v>
      </c>
      <c r="E211" s="127"/>
      <c r="F211" s="8">
        <f>O181*N181</f>
        <v>45.208799999999989</v>
      </c>
      <c r="G211" s="8">
        <f t="shared" si="16"/>
        <v>648.14887799999997</v>
      </c>
      <c r="H211" s="8" t="s">
        <v>132</v>
      </c>
      <c r="I211" s="120"/>
      <c r="J211" s="121"/>
      <c r="K211" s="33"/>
      <c r="L211" s="14"/>
      <c r="M211" s="14"/>
      <c r="N211" s="14"/>
      <c r="O211" s="14"/>
      <c r="P211" s="14"/>
    </row>
    <row r="212" spans="1:16" ht="15.6" x14ac:dyDescent="0.3">
      <c r="A212" s="8">
        <v>3</v>
      </c>
      <c r="B212" s="8" t="s">
        <v>268</v>
      </c>
      <c r="C212" s="8" t="s">
        <v>131</v>
      </c>
      <c r="D212" s="126">
        <f>M182*N182</f>
        <v>567.32738400000005</v>
      </c>
      <c r="E212" s="127"/>
      <c r="F212" s="8">
        <f>O182*N182</f>
        <v>45.208799999999989</v>
      </c>
      <c r="G212" s="8">
        <f t="shared" si="16"/>
        <v>896.19987600000002</v>
      </c>
      <c r="H212" s="8" t="s">
        <v>132</v>
      </c>
      <c r="I212" s="120"/>
      <c r="J212" s="121"/>
      <c r="K212" s="34"/>
      <c r="L212">
        <f>7*5</f>
        <v>35</v>
      </c>
      <c r="M212">
        <f>29.187+2.925+1.29+0.75*2.7</f>
        <v>35.427</v>
      </c>
      <c r="N212">
        <v>10.763999999999999</v>
      </c>
      <c r="O212">
        <f>3.25*1.5</f>
        <v>4.875</v>
      </c>
    </row>
    <row r="213" spans="1:16" ht="15.6" x14ac:dyDescent="0.3">
      <c r="A213" s="8">
        <v>4</v>
      </c>
      <c r="B213" s="8" t="s">
        <v>268</v>
      </c>
      <c r="C213" s="8" t="s">
        <v>131</v>
      </c>
      <c r="D213" s="126">
        <f>M183*N183</f>
        <v>541.741356</v>
      </c>
      <c r="E213" s="127"/>
      <c r="F213" s="8">
        <f>O183*N183</f>
        <v>45.208799999999989</v>
      </c>
      <c r="G213" s="8">
        <f t="shared" si="16"/>
        <v>857.82083399999999</v>
      </c>
      <c r="H213" s="8" t="s">
        <v>132</v>
      </c>
      <c r="I213" s="120"/>
      <c r="J213" s="121"/>
      <c r="K213" s="34"/>
      <c r="L213">
        <f>SUM(L119:L212)</f>
        <v>614.52800000000002</v>
      </c>
      <c r="M213">
        <f>42.732+4.5+3.33+0.75*5.1+0.75*2.7</f>
        <v>56.411999999999999</v>
      </c>
      <c r="N213">
        <v>10.763999999999999</v>
      </c>
      <c r="O213">
        <f>3.1*1.5</f>
        <v>4.6500000000000004</v>
      </c>
    </row>
    <row r="214" spans="1:16" ht="15.6" x14ac:dyDescent="0.3">
      <c r="A214" s="8">
        <v>5</v>
      </c>
      <c r="B214" s="8" t="s">
        <v>268</v>
      </c>
      <c r="C214" s="8" t="s">
        <v>130</v>
      </c>
      <c r="D214" s="126">
        <f>M184*N184</f>
        <v>398.22494399999994</v>
      </c>
      <c r="E214" s="127"/>
      <c r="F214" s="8">
        <f>O184*N184</f>
        <v>33.099299999999992</v>
      </c>
      <c r="G214" s="8">
        <f t="shared" si="16"/>
        <v>630.43671599999982</v>
      </c>
      <c r="H214" s="8" t="s">
        <v>132</v>
      </c>
      <c r="I214" s="120"/>
      <c r="J214" s="121"/>
      <c r="K214" s="34"/>
      <c r="M214">
        <f>42.732+4.5+3.33+0.75*3+0.75*2.7</f>
        <v>54.836999999999996</v>
      </c>
      <c r="N214">
        <v>10.763999999999999</v>
      </c>
      <c r="O214">
        <f>3.1*1.5</f>
        <v>4.6500000000000004</v>
      </c>
    </row>
    <row r="215" spans="1:16" ht="15.6" x14ac:dyDescent="0.3">
      <c r="A215" s="8">
        <v>6</v>
      </c>
      <c r="B215" s="8" t="s">
        <v>268</v>
      </c>
      <c r="C215" s="8" t="s">
        <v>130</v>
      </c>
      <c r="D215" s="126">
        <f t="shared" ref="D215" si="17">M189*N189</f>
        <v>398.22494399999994</v>
      </c>
      <c r="E215" s="127"/>
      <c r="F215" s="8">
        <f t="shared" ref="F215" si="18">O189*N189</f>
        <v>48.437999999999995</v>
      </c>
      <c r="G215" s="8">
        <f t="shared" si="16"/>
        <v>645.77541599999984</v>
      </c>
      <c r="H215" s="8" t="s">
        <v>132</v>
      </c>
      <c r="I215" s="122"/>
      <c r="J215" s="123"/>
      <c r="K215" s="34"/>
      <c r="M215">
        <f>29.187+2.925+1.29+0.75*2.7</f>
        <v>35.427</v>
      </c>
      <c r="N215">
        <v>10.763999999999999</v>
      </c>
      <c r="O215">
        <f>3.25*1.5</f>
        <v>4.875</v>
      </c>
    </row>
    <row r="216" spans="1:16" ht="15.6" x14ac:dyDescent="0.3">
      <c r="A216" s="175" t="s">
        <v>161</v>
      </c>
      <c r="B216" s="175"/>
      <c r="C216" s="175"/>
      <c r="D216" s="175"/>
      <c r="E216" s="175"/>
      <c r="F216" s="175"/>
      <c r="G216" s="175"/>
      <c r="H216" s="175"/>
      <c r="I216" s="175"/>
      <c r="J216" s="175"/>
      <c r="K216" s="34"/>
      <c r="M216">
        <f>29.015+4.025+1.44+0.75*2.7</f>
        <v>36.504999999999995</v>
      </c>
      <c r="N216">
        <v>10.763999999999999</v>
      </c>
      <c r="O216">
        <f>3.15*1.5</f>
        <v>4.7249999999999996</v>
      </c>
    </row>
    <row r="217" spans="1:16" s="15" customFormat="1" ht="15.6" x14ac:dyDescent="0.3">
      <c r="A217" s="8">
        <v>1</v>
      </c>
      <c r="B217" s="8" t="s">
        <v>268</v>
      </c>
      <c r="C217" s="8" t="s">
        <v>130</v>
      </c>
      <c r="D217" s="126">
        <f>M191*N191</f>
        <v>395.44783199999995</v>
      </c>
      <c r="E217" s="127"/>
      <c r="F217" s="8">
        <f>O191*N191</f>
        <v>51.667200000000001</v>
      </c>
      <c r="G217" s="8">
        <f t="shared" ref="G217:G222" si="19">1.5*D217+F217</f>
        <v>644.83894799999996</v>
      </c>
      <c r="H217" s="8" t="s">
        <v>132</v>
      </c>
      <c r="I217" s="118" t="str">
        <f>A216</f>
        <v>2nd, 4th, 6th, 8th, 10th, 12th &amp; 14th floor</v>
      </c>
      <c r="J217" s="119"/>
      <c r="K217" s="33"/>
      <c r="L217" s="14"/>
      <c r="M217" s="14"/>
      <c r="N217" s="14"/>
      <c r="O217" s="14"/>
      <c r="P217" s="14"/>
    </row>
    <row r="218" spans="1:16" s="15" customFormat="1" ht="15.6" x14ac:dyDescent="0.3">
      <c r="A218" s="8">
        <v>2</v>
      </c>
      <c r="B218" s="8" t="s">
        <v>268</v>
      </c>
      <c r="C218" s="8" t="s">
        <v>130</v>
      </c>
      <c r="D218" s="126">
        <f t="shared" ref="D218:D222" si="20">M198*N198</f>
        <v>407.61115199999995</v>
      </c>
      <c r="E218" s="127"/>
      <c r="F218" s="8">
        <f t="shared" ref="F218:F222" si="21">O198*N198</f>
        <v>51.667200000000001</v>
      </c>
      <c r="G218" s="8">
        <f t="shared" si="19"/>
        <v>663.0839279999999</v>
      </c>
      <c r="H218" s="8" t="s">
        <v>132</v>
      </c>
      <c r="I218" s="120"/>
      <c r="J218" s="121"/>
      <c r="K218" s="33"/>
      <c r="L218" s="14"/>
      <c r="M218" s="14"/>
      <c r="N218" s="14"/>
      <c r="O218" s="14"/>
      <c r="P218" s="14"/>
    </row>
    <row r="219" spans="1:16" ht="15.6" x14ac:dyDescent="0.3">
      <c r="A219" s="8">
        <v>3</v>
      </c>
      <c r="B219" s="8" t="s">
        <v>268</v>
      </c>
      <c r="C219" s="8" t="s">
        <v>131</v>
      </c>
      <c r="D219" s="126">
        <f t="shared" si="20"/>
        <v>583.47338400000001</v>
      </c>
      <c r="E219" s="127"/>
      <c r="F219" s="8">
        <f t="shared" si="21"/>
        <v>51.667200000000001</v>
      </c>
      <c r="G219" s="8">
        <f t="shared" si="19"/>
        <v>926.87727600000005</v>
      </c>
      <c r="H219" s="8" t="s">
        <v>132</v>
      </c>
      <c r="I219" s="120"/>
      <c r="J219" s="121"/>
      <c r="K219" s="34"/>
      <c r="L219">
        <v>2</v>
      </c>
      <c r="M219">
        <f>33.126</f>
        <v>33.125999999999998</v>
      </c>
      <c r="N219">
        <v>10.763999999999999</v>
      </c>
      <c r="O219">
        <v>0</v>
      </c>
    </row>
    <row r="220" spans="1:16" ht="15.6" x14ac:dyDescent="0.3">
      <c r="A220" s="8">
        <v>4</v>
      </c>
      <c r="B220" s="8" t="s">
        <v>268</v>
      </c>
      <c r="C220" s="8" t="s">
        <v>131</v>
      </c>
      <c r="D220" s="126">
        <f t="shared" si="20"/>
        <v>542.54865599999994</v>
      </c>
      <c r="E220" s="127"/>
      <c r="F220" s="8">
        <f t="shared" si="21"/>
        <v>51.667200000000001</v>
      </c>
      <c r="G220" s="8">
        <f t="shared" si="19"/>
        <v>865.49018399999989</v>
      </c>
      <c r="H220" s="8" t="s">
        <v>132</v>
      </c>
      <c r="I220" s="120"/>
      <c r="J220" s="121"/>
      <c r="K220" s="34"/>
      <c r="M220">
        <v>33.125999999999998</v>
      </c>
      <c r="N220">
        <v>10.763999999999999</v>
      </c>
      <c r="O220">
        <v>0</v>
      </c>
    </row>
    <row r="221" spans="1:16" s="15" customFormat="1" ht="15.6" x14ac:dyDescent="0.3">
      <c r="A221" s="8">
        <v>5</v>
      </c>
      <c r="B221" s="8" t="s">
        <v>268</v>
      </c>
      <c r="C221" s="8" t="s">
        <v>130</v>
      </c>
      <c r="D221" s="126">
        <f t="shared" si="20"/>
        <v>404.68334399999992</v>
      </c>
      <c r="E221" s="127"/>
      <c r="F221" s="8">
        <f t="shared" si="21"/>
        <v>50.859899999999996</v>
      </c>
      <c r="G221" s="8">
        <f t="shared" si="19"/>
        <v>657.88491599999986</v>
      </c>
      <c r="H221" s="8" t="s">
        <v>132</v>
      </c>
      <c r="I221" s="120"/>
      <c r="J221" s="121"/>
      <c r="K221" s="33"/>
      <c r="L221" s="14"/>
      <c r="M221" s="14"/>
      <c r="N221" s="14"/>
      <c r="O221" s="14"/>
      <c r="P221" s="14"/>
    </row>
    <row r="222" spans="1:16" ht="15.6" x14ac:dyDescent="0.3">
      <c r="A222" s="8">
        <v>6</v>
      </c>
      <c r="B222" s="8" t="s">
        <v>268</v>
      </c>
      <c r="C222" s="8" t="s">
        <v>130</v>
      </c>
      <c r="D222" s="126">
        <f t="shared" si="20"/>
        <v>404.68334399999992</v>
      </c>
      <c r="E222" s="127"/>
      <c r="F222" s="8">
        <f t="shared" si="21"/>
        <v>50.859899999999996</v>
      </c>
      <c r="G222" s="8">
        <f t="shared" si="19"/>
        <v>657.88491599999986</v>
      </c>
      <c r="H222" s="8" t="s">
        <v>132</v>
      </c>
      <c r="I222" s="122"/>
      <c r="J222" s="123"/>
      <c r="K222" s="34"/>
      <c r="L222">
        <f>5*4</f>
        <v>20</v>
      </c>
      <c r="M222">
        <f>33.065+0.75*5.9</f>
        <v>37.489999999999995</v>
      </c>
      <c r="N222">
        <v>10.763999999999999</v>
      </c>
      <c r="O222">
        <v>0</v>
      </c>
    </row>
    <row r="223" spans="1:16" ht="15.6" x14ac:dyDescent="0.3">
      <c r="A223" s="147" t="s">
        <v>289</v>
      </c>
      <c r="B223" s="148"/>
      <c r="C223" s="148"/>
      <c r="D223" s="148"/>
      <c r="E223" s="148"/>
      <c r="F223" s="148"/>
      <c r="G223" s="148"/>
      <c r="H223" s="148"/>
      <c r="I223" s="148"/>
      <c r="J223" s="149"/>
      <c r="K223" s="34"/>
      <c r="M223">
        <f>33.278+0.75*11.9</f>
        <v>42.203000000000003</v>
      </c>
      <c r="N223">
        <v>10.763999999999999</v>
      </c>
      <c r="O223">
        <v>0</v>
      </c>
    </row>
    <row r="224" spans="1:16" ht="15.6" x14ac:dyDescent="0.3">
      <c r="A224" s="147" t="s">
        <v>129</v>
      </c>
      <c r="B224" s="148"/>
      <c r="C224" s="148"/>
      <c r="D224" s="148"/>
      <c r="E224" s="148"/>
      <c r="F224" s="148"/>
      <c r="G224" s="148"/>
      <c r="H224" s="148"/>
      <c r="I224" s="148"/>
      <c r="J224" s="149"/>
      <c r="K224" s="34"/>
      <c r="M224">
        <f>33.278+0.75*11.9</f>
        <v>42.203000000000003</v>
      </c>
      <c r="N224">
        <v>10.763999999999999</v>
      </c>
      <c r="O224">
        <v>0</v>
      </c>
    </row>
    <row r="225" spans="1:16" ht="15.6" x14ac:dyDescent="0.3">
      <c r="A225" s="147" t="s">
        <v>134</v>
      </c>
      <c r="B225" s="148"/>
      <c r="C225" s="148"/>
      <c r="D225" s="148"/>
      <c r="E225" s="148"/>
      <c r="F225" s="148"/>
      <c r="G225" s="148"/>
      <c r="H225" s="148"/>
      <c r="I225" s="148"/>
      <c r="J225" s="149"/>
      <c r="K225" s="34"/>
      <c r="M225">
        <f>33.065+0.75*5.9</f>
        <v>37.489999999999995</v>
      </c>
      <c r="N225">
        <v>10.763999999999999</v>
      </c>
      <c r="O225">
        <v>0</v>
      </c>
    </row>
    <row r="226" spans="1:16" s="15" customFormat="1" ht="15.6" x14ac:dyDescent="0.3">
      <c r="A226" s="8">
        <v>1</v>
      </c>
      <c r="B226" s="8" t="s">
        <v>268</v>
      </c>
      <c r="C226" s="8" t="s">
        <v>130</v>
      </c>
      <c r="D226" s="126">
        <f>M206*N206</f>
        <v>383.758128</v>
      </c>
      <c r="E226" s="127"/>
      <c r="F226" s="8">
        <f>O206*N206</f>
        <v>43.594200000000008</v>
      </c>
      <c r="G226" s="8">
        <f>1.5*D226+F226</f>
        <v>619.23139200000003</v>
      </c>
      <c r="H226" s="8" t="s">
        <v>132</v>
      </c>
      <c r="I226" s="118" t="str">
        <f>A225</f>
        <v xml:space="preserve">1st, 3rd, 5th, 7th, 9th, 11th &amp; 13th floor </v>
      </c>
      <c r="J226" s="119"/>
      <c r="K226" s="33"/>
      <c r="L226" s="14"/>
      <c r="M226" s="14"/>
      <c r="N226" s="14"/>
      <c r="O226" s="14"/>
      <c r="P226" s="14"/>
    </row>
    <row r="227" spans="1:16" ht="15.6" x14ac:dyDescent="0.3">
      <c r="A227" s="8">
        <v>2</v>
      </c>
      <c r="B227" s="8" t="s">
        <v>268</v>
      </c>
      <c r="C227" s="8" t="s">
        <v>131</v>
      </c>
      <c r="D227" s="126">
        <f>M207*N207</f>
        <v>590.26546799999994</v>
      </c>
      <c r="E227" s="127"/>
      <c r="F227" s="8">
        <f>O207*N207</f>
        <v>43.594199999999994</v>
      </c>
      <c r="G227" s="8">
        <f>1.5*D227+F227</f>
        <v>928.99240199999986</v>
      </c>
      <c r="H227" s="8" t="s">
        <v>132</v>
      </c>
      <c r="I227" s="120"/>
      <c r="J227" s="121"/>
      <c r="K227" s="35"/>
      <c r="L227">
        <v>4</v>
      </c>
      <c r="M227">
        <f>33.065+0.75*5.9</f>
        <v>37.489999999999995</v>
      </c>
      <c r="N227">
        <v>10.763999999999999</v>
      </c>
      <c r="O227">
        <v>0</v>
      </c>
    </row>
    <row r="228" spans="1:16" ht="15.6" x14ac:dyDescent="0.3">
      <c r="A228" s="8">
        <v>3</v>
      </c>
      <c r="B228" s="8" t="s">
        <v>268</v>
      </c>
      <c r="C228" s="8" t="s">
        <v>131</v>
      </c>
      <c r="D228" s="126">
        <f>M208*N208</f>
        <v>590.26546799999994</v>
      </c>
      <c r="E228" s="127"/>
      <c r="F228" s="8">
        <f>O208*N208</f>
        <v>43.594199999999994</v>
      </c>
      <c r="G228" s="8">
        <f>1.5*D228+F228</f>
        <v>928.99240199999986</v>
      </c>
      <c r="H228" s="8" t="s">
        <v>132</v>
      </c>
      <c r="I228" s="120"/>
      <c r="J228" s="121"/>
      <c r="K228" s="35"/>
      <c r="L228" s="78">
        <f>SUM(L117:L227)</f>
        <v>1255.056</v>
      </c>
      <c r="M228">
        <f>33.278+0.75*11.9</f>
        <v>42.203000000000003</v>
      </c>
      <c r="N228">
        <v>10.763999999999999</v>
      </c>
      <c r="O228">
        <v>0</v>
      </c>
    </row>
    <row r="229" spans="1:16" ht="15.6" x14ac:dyDescent="0.3">
      <c r="A229" s="8">
        <v>4</v>
      </c>
      <c r="B229" s="8" t="s">
        <v>268</v>
      </c>
      <c r="C229" s="8" t="s">
        <v>130</v>
      </c>
      <c r="D229" s="126">
        <f>M209*N209</f>
        <v>383.758128</v>
      </c>
      <c r="E229" s="127"/>
      <c r="F229" s="8">
        <f>O209*N209</f>
        <v>43.594199999999994</v>
      </c>
      <c r="G229" s="8">
        <f>1.5*D229+F229</f>
        <v>619.23139200000003</v>
      </c>
      <c r="H229" s="8" t="s">
        <v>132</v>
      </c>
      <c r="I229" s="120"/>
      <c r="J229" s="121"/>
      <c r="K229" s="35"/>
      <c r="M229">
        <f>33.278+0.75*11.9</f>
        <v>42.203000000000003</v>
      </c>
      <c r="N229">
        <v>10.763999999999999</v>
      </c>
      <c r="O229">
        <v>0</v>
      </c>
    </row>
    <row r="230" spans="1:16" ht="15.6" x14ac:dyDescent="0.3">
      <c r="A230" s="8">
        <v>5</v>
      </c>
      <c r="B230" s="8" t="s">
        <v>268</v>
      </c>
      <c r="C230" s="8" t="s">
        <v>130</v>
      </c>
      <c r="D230" s="126">
        <f>M210*N210</f>
        <v>402.8965199999999</v>
      </c>
      <c r="E230" s="127"/>
      <c r="F230" s="8">
        <f>O210*N210</f>
        <v>48.437999999999995</v>
      </c>
      <c r="G230" s="8">
        <f>1.5*D230+F230</f>
        <v>652.78277999999989</v>
      </c>
      <c r="H230" s="8" t="s">
        <v>132</v>
      </c>
      <c r="I230" s="122"/>
      <c r="J230" s="123"/>
      <c r="K230" s="35"/>
      <c r="M230">
        <f>33.065+0.75*5.9</f>
        <v>37.489999999999995</v>
      </c>
      <c r="N230">
        <v>10.763999999999999</v>
      </c>
      <c r="O230">
        <v>0</v>
      </c>
    </row>
    <row r="231" spans="1:16" s="15" customFormat="1" ht="15.6" x14ac:dyDescent="0.3">
      <c r="A231" s="175" t="s">
        <v>161</v>
      </c>
      <c r="B231" s="175"/>
      <c r="C231" s="175"/>
      <c r="D231" s="175"/>
      <c r="E231" s="175"/>
      <c r="F231" s="175"/>
      <c r="G231" s="175"/>
      <c r="H231" s="175"/>
      <c r="I231" s="175"/>
      <c r="J231" s="175"/>
      <c r="K231" s="33"/>
      <c r="L231" s="14"/>
      <c r="M231" s="14"/>
      <c r="N231" s="14"/>
      <c r="O231" s="14"/>
      <c r="P231" s="14"/>
    </row>
    <row r="232" spans="1:16" s="15" customFormat="1" ht="15.6" x14ac:dyDescent="0.3">
      <c r="A232" s="8">
        <v>1</v>
      </c>
      <c r="B232" s="8" t="s">
        <v>268</v>
      </c>
      <c r="C232" s="8" t="s">
        <v>130</v>
      </c>
      <c r="D232" s="126">
        <f>M212*N212</f>
        <v>381.33622799999995</v>
      </c>
      <c r="E232" s="127"/>
      <c r="F232" s="8">
        <f>O212*N212</f>
        <v>52.474499999999999</v>
      </c>
      <c r="G232" s="8">
        <f>1.5*D232+F232</f>
        <v>624.47884199999999</v>
      </c>
      <c r="H232" s="8" t="s">
        <v>132</v>
      </c>
      <c r="I232" s="118" t="str">
        <f>A231</f>
        <v>2nd, 4th, 6th, 8th, 10th, 12th &amp; 14th floor</v>
      </c>
      <c r="J232" s="119"/>
      <c r="K232" s="33"/>
      <c r="L232" s="14"/>
      <c r="M232" s="14"/>
      <c r="N232" s="14"/>
      <c r="O232" s="14"/>
      <c r="P232" s="14"/>
    </row>
    <row r="233" spans="1:16" ht="15.6" x14ac:dyDescent="0.3">
      <c r="A233" s="8">
        <v>2</v>
      </c>
      <c r="B233" s="8" t="s">
        <v>268</v>
      </c>
      <c r="C233" s="8" t="s">
        <v>131</v>
      </c>
      <c r="D233" s="126">
        <f>M213*N213</f>
        <v>607.21876799999995</v>
      </c>
      <c r="E233" s="127"/>
      <c r="F233" s="8">
        <f>O213*N213</f>
        <v>50.052599999999998</v>
      </c>
      <c r="G233" s="8">
        <f>1.5*D233+F233</f>
        <v>960.88075199999992</v>
      </c>
      <c r="H233" s="8" t="s">
        <v>132</v>
      </c>
      <c r="I233" s="120"/>
      <c r="J233" s="121"/>
      <c r="K233" s="34"/>
      <c r="M233">
        <f>1.9*1.15+4.475*2.859+2.35*2.65+2.578*2.098+1.2*2.4+1*2.35</f>
        <v>31.845168999999999</v>
      </c>
    </row>
    <row r="234" spans="1:16" ht="15.6" x14ac:dyDescent="0.3">
      <c r="A234" s="8">
        <v>3</v>
      </c>
      <c r="B234" s="8" t="s">
        <v>268</v>
      </c>
      <c r="C234" s="8" t="s">
        <v>131</v>
      </c>
      <c r="D234" s="126">
        <f>M214*N214</f>
        <v>590.26546799999994</v>
      </c>
      <c r="E234" s="127"/>
      <c r="F234" s="8">
        <f>O214*N214</f>
        <v>50.052599999999998</v>
      </c>
      <c r="G234" s="8">
        <f>1.5*D234+F234</f>
        <v>935.45080199999984</v>
      </c>
      <c r="H234" s="8" t="s">
        <v>132</v>
      </c>
      <c r="I234" s="120"/>
      <c r="J234" s="121"/>
      <c r="K234" s="34"/>
    </row>
    <row r="235" spans="1:16" s="15" customFormat="1" ht="15.6" x14ac:dyDescent="0.3">
      <c r="A235" s="8">
        <v>4</v>
      </c>
      <c r="B235" s="8" t="s">
        <v>268</v>
      </c>
      <c r="C235" s="8" t="s">
        <v>130</v>
      </c>
      <c r="D235" s="126">
        <f>M215*N215</f>
        <v>381.33622799999995</v>
      </c>
      <c r="E235" s="127"/>
      <c r="F235" s="8">
        <f>O215*N215</f>
        <v>52.474499999999999</v>
      </c>
      <c r="G235" s="8">
        <f>1.5*D235+F235</f>
        <v>624.47884199999999</v>
      </c>
      <c r="H235" s="8" t="s">
        <v>132</v>
      </c>
      <c r="I235" s="120"/>
      <c r="J235" s="121"/>
      <c r="K235" s="33"/>
      <c r="L235" s="14"/>
      <c r="M235" s="14"/>
      <c r="N235" s="14"/>
      <c r="O235" s="14"/>
      <c r="P235" s="14"/>
    </row>
    <row r="236" spans="1:16" ht="15.6" x14ac:dyDescent="0.3">
      <c r="A236" s="8">
        <v>5</v>
      </c>
      <c r="B236" s="8" t="s">
        <v>268</v>
      </c>
      <c r="C236" s="8" t="s">
        <v>130</v>
      </c>
      <c r="D236" s="126">
        <f>M216*N216</f>
        <v>392.93981999999994</v>
      </c>
      <c r="E236" s="127"/>
      <c r="F236" s="8">
        <f>O216*N216</f>
        <v>50.859899999999996</v>
      </c>
      <c r="G236" s="8">
        <f>1.5*D236+F236</f>
        <v>640.26962999999989</v>
      </c>
      <c r="H236" s="8" t="s">
        <v>132</v>
      </c>
      <c r="I236" s="122"/>
      <c r="J236" s="123"/>
      <c r="K236" s="34"/>
      <c r="M236">
        <f>2.65*6.4+0.602*1.3+2.4*3.1+2.85*3.1+1*1</f>
        <v>35.017600000000002</v>
      </c>
    </row>
    <row r="237" spans="1:16" ht="15.6" hidden="1" x14ac:dyDescent="0.3">
      <c r="A237" s="147" t="s">
        <v>135</v>
      </c>
      <c r="B237" s="148"/>
      <c r="C237" s="148"/>
      <c r="D237" s="148"/>
      <c r="E237" s="148"/>
      <c r="F237" s="148"/>
      <c r="G237" s="148"/>
      <c r="H237" s="148"/>
      <c r="I237" s="148"/>
      <c r="J237" s="149"/>
      <c r="K237" s="34"/>
    </row>
    <row r="238" spans="1:16" ht="15.6" hidden="1" x14ac:dyDescent="0.3">
      <c r="A238" s="147" t="s">
        <v>153</v>
      </c>
      <c r="B238" s="148"/>
      <c r="C238" s="148"/>
      <c r="D238" s="148"/>
      <c r="E238" s="148"/>
      <c r="F238" s="148"/>
      <c r="G238" s="148"/>
      <c r="H238" s="148"/>
      <c r="I238" s="148"/>
      <c r="J238" s="149"/>
      <c r="K238" s="34"/>
    </row>
    <row r="239" spans="1:16" ht="15.6" hidden="1" x14ac:dyDescent="0.3">
      <c r="A239" s="126">
        <v>1</v>
      </c>
      <c r="B239" s="127"/>
      <c r="C239" s="8" t="s">
        <v>130</v>
      </c>
      <c r="D239" s="126">
        <f>M219*N219</f>
        <v>356.56826399999994</v>
      </c>
      <c r="E239" s="127"/>
      <c r="F239" s="8">
        <f>O219*N219</f>
        <v>0</v>
      </c>
      <c r="G239" s="8">
        <f>1.5*D239+F239</f>
        <v>534.85239599999989</v>
      </c>
      <c r="H239" s="8" t="s">
        <v>132</v>
      </c>
      <c r="I239" s="118" t="s">
        <v>156</v>
      </c>
      <c r="J239" s="119"/>
      <c r="K239" s="34"/>
      <c r="N239" s="82">
        <v>10.763999999999999</v>
      </c>
    </row>
    <row r="240" spans="1:16" s="15" customFormat="1" ht="15.6" hidden="1" x14ac:dyDescent="0.3">
      <c r="A240" s="126">
        <v>2</v>
      </c>
      <c r="B240" s="127"/>
      <c r="C240" s="8" t="s">
        <v>130</v>
      </c>
      <c r="D240" s="126">
        <f>M220*N220</f>
        <v>356.56826399999994</v>
      </c>
      <c r="E240" s="127"/>
      <c r="F240" s="8">
        <f>O220*N220</f>
        <v>0</v>
      </c>
      <c r="G240" s="8">
        <f>1.5*D240+F240</f>
        <v>534.85239599999989</v>
      </c>
      <c r="H240" s="8" t="s">
        <v>132</v>
      </c>
      <c r="I240" s="122"/>
      <c r="J240" s="123"/>
      <c r="K240" s="33"/>
      <c r="L240" s="14"/>
      <c r="M240" s="14"/>
      <c r="N240" s="14"/>
      <c r="O240" s="14"/>
      <c r="P240" s="14"/>
    </row>
    <row r="241" spans="1:11" ht="15.6" hidden="1" x14ac:dyDescent="0.3">
      <c r="A241" s="175" t="s">
        <v>160</v>
      </c>
      <c r="B241" s="175"/>
      <c r="C241" s="175"/>
      <c r="D241" s="175"/>
      <c r="E241" s="175"/>
      <c r="F241" s="175"/>
      <c r="G241" s="175"/>
      <c r="H241" s="175"/>
      <c r="I241" s="175"/>
      <c r="J241" s="175"/>
      <c r="K241" s="34"/>
    </row>
    <row r="242" spans="1:11" ht="15.6" hidden="1" x14ac:dyDescent="0.3">
      <c r="A242" s="126">
        <v>1</v>
      </c>
      <c r="B242" s="127"/>
      <c r="C242" s="8" t="s">
        <v>155</v>
      </c>
      <c r="D242" s="126">
        <f>M222*N222</f>
        <v>403.54235999999992</v>
      </c>
      <c r="E242" s="127"/>
      <c r="F242" s="8">
        <f>O222*N222</f>
        <v>0</v>
      </c>
      <c r="G242" s="8">
        <f>1.5*D242+F242</f>
        <v>605.31353999999988</v>
      </c>
      <c r="H242" s="8" t="s">
        <v>132</v>
      </c>
      <c r="I242" s="118" t="str">
        <f>A241</f>
        <v>1st, 2nd, 3rd, 4th &amp; 6th floor</v>
      </c>
      <c r="J242" s="119"/>
      <c r="K242" s="34"/>
    </row>
    <row r="243" spans="1:11" ht="15.6" hidden="1" x14ac:dyDescent="0.3">
      <c r="A243" s="126">
        <v>2</v>
      </c>
      <c r="B243" s="127"/>
      <c r="C243" s="8" t="s">
        <v>130</v>
      </c>
      <c r="D243" s="126">
        <f>M223*N223</f>
        <v>454.27309200000002</v>
      </c>
      <c r="E243" s="127"/>
      <c r="F243" s="8">
        <f>O223*N223</f>
        <v>0</v>
      </c>
      <c r="G243" s="8">
        <f>1.5*D243+F243</f>
        <v>681.40963800000009</v>
      </c>
      <c r="H243" s="8" t="s">
        <v>132</v>
      </c>
      <c r="I243" s="120"/>
      <c r="J243" s="121"/>
      <c r="K243" s="34"/>
    </row>
    <row r="244" spans="1:11" ht="15.6" hidden="1" x14ac:dyDescent="0.3">
      <c r="A244" s="126">
        <v>3</v>
      </c>
      <c r="B244" s="127"/>
      <c r="C244" s="8" t="s">
        <v>130</v>
      </c>
      <c r="D244" s="126">
        <f>M224*N224</f>
        <v>454.27309200000002</v>
      </c>
      <c r="E244" s="127"/>
      <c r="F244" s="8">
        <f>O224*N224</f>
        <v>0</v>
      </c>
      <c r="G244" s="8">
        <f>1.5*D244+F244</f>
        <v>681.40963800000009</v>
      </c>
      <c r="H244" s="8" t="s">
        <v>132</v>
      </c>
      <c r="I244" s="120"/>
      <c r="J244" s="121"/>
      <c r="K244" s="34"/>
    </row>
    <row r="245" spans="1:11" ht="15.6" hidden="1" x14ac:dyDescent="0.3">
      <c r="A245" s="126">
        <v>4</v>
      </c>
      <c r="B245" s="127"/>
      <c r="C245" s="8" t="s">
        <v>155</v>
      </c>
      <c r="D245" s="126">
        <f>M225*N225</f>
        <v>403.54235999999992</v>
      </c>
      <c r="E245" s="127"/>
      <c r="F245" s="8">
        <f>O225*N225</f>
        <v>0</v>
      </c>
      <c r="G245" s="8">
        <f>1.5*D245+F245</f>
        <v>605.31353999999988</v>
      </c>
      <c r="H245" s="8" t="s">
        <v>132</v>
      </c>
      <c r="I245" s="122"/>
      <c r="J245" s="123"/>
      <c r="K245" s="79"/>
    </row>
    <row r="246" spans="1:11" ht="15.6" hidden="1" x14ac:dyDescent="0.3">
      <c r="A246" s="175" t="s">
        <v>154</v>
      </c>
      <c r="B246" s="175"/>
      <c r="C246" s="175"/>
      <c r="D246" s="175"/>
      <c r="E246" s="175"/>
      <c r="F246" s="175"/>
      <c r="G246" s="175"/>
      <c r="H246" s="175"/>
      <c r="I246" s="175"/>
      <c r="J246" s="175"/>
      <c r="K246" s="80"/>
    </row>
    <row r="247" spans="1:11" ht="15.6" hidden="1" x14ac:dyDescent="0.3">
      <c r="A247" s="126">
        <v>1</v>
      </c>
      <c r="B247" s="127"/>
      <c r="C247" s="8" t="s">
        <v>155</v>
      </c>
      <c r="D247" s="126">
        <f>M227*N227</f>
        <v>403.54235999999992</v>
      </c>
      <c r="E247" s="127"/>
      <c r="F247" s="8">
        <f>O227*N227</f>
        <v>0</v>
      </c>
      <c r="G247" s="8">
        <f>1.5*D247+F247</f>
        <v>605.31353999999988</v>
      </c>
      <c r="H247" s="8" t="s">
        <v>132</v>
      </c>
      <c r="I247" s="306" t="str">
        <f>A246</f>
        <v>5th floor</v>
      </c>
      <c r="J247" s="307"/>
      <c r="K247" s="17"/>
    </row>
    <row r="248" spans="1:11" ht="15.6" hidden="1" x14ac:dyDescent="0.3">
      <c r="A248" s="126">
        <v>2</v>
      </c>
      <c r="B248" s="127"/>
      <c r="C248" s="8" t="s">
        <v>130</v>
      </c>
      <c r="D248" s="126">
        <f>M228*N228</f>
        <v>454.27309200000002</v>
      </c>
      <c r="E248" s="127"/>
      <c r="F248" s="8">
        <f>O228*N228</f>
        <v>0</v>
      </c>
      <c r="G248" s="8">
        <f>1.5*D248+F248</f>
        <v>681.40963800000009</v>
      </c>
      <c r="H248" s="8" t="s">
        <v>132</v>
      </c>
      <c r="I248" s="308"/>
      <c r="J248" s="309"/>
      <c r="K248" s="80"/>
    </row>
    <row r="249" spans="1:11" ht="15.6" hidden="1" x14ac:dyDescent="0.3">
      <c r="A249" s="126">
        <v>3</v>
      </c>
      <c r="B249" s="127"/>
      <c r="C249" s="8" t="s">
        <v>130</v>
      </c>
      <c r="D249" s="126">
        <f>M229*N229</f>
        <v>454.27309200000002</v>
      </c>
      <c r="E249" s="127"/>
      <c r="F249" s="8">
        <f>O229*N229</f>
        <v>0</v>
      </c>
      <c r="G249" s="8">
        <f>1.5*D249+F249</f>
        <v>681.40963800000009</v>
      </c>
      <c r="H249" s="8" t="s">
        <v>132</v>
      </c>
      <c r="I249" s="308"/>
      <c r="J249" s="309"/>
      <c r="K249" s="17"/>
    </row>
    <row r="250" spans="1:11" ht="16.5" hidden="1" customHeight="1" x14ac:dyDescent="0.3">
      <c r="A250" s="126">
        <v>4</v>
      </c>
      <c r="B250" s="127"/>
      <c r="C250" s="8" t="s">
        <v>155</v>
      </c>
      <c r="D250" s="126">
        <f>M230*N230</f>
        <v>403.54235999999992</v>
      </c>
      <c r="E250" s="127"/>
      <c r="F250" s="8">
        <f>O230*N230</f>
        <v>0</v>
      </c>
      <c r="G250" s="8">
        <f>1.5*D250+F250</f>
        <v>605.31353999999988</v>
      </c>
      <c r="H250" s="8" t="s">
        <v>132</v>
      </c>
      <c r="I250" s="310"/>
      <c r="J250" s="311"/>
      <c r="K250" s="25"/>
    </row>
    <row r="251" spans="1:11" ht="15.6" x14ac:dyDescent="0.3">
      <c r="A251" s="147" t="s">
        <v>290</v>
      </c>
      <c r="B251" s="148"/>
      <c r="C251" s="148"/>
      <c r="D251" s="148"/>
      <c r="E251" s="148"/>
      <c r="F251" s="148"/>
      <c r="G251" s="148"/>
      <c r="H251" s="148"/>
      <c r="I251" s="148"/>
      <c r="J251" s="149"/>
      <c r="K251" s="17"/>
    </row>
    <row r="252" spans="1:11" ht="15.6" x14ac:dyDescent="0.3">
      <c r="A252" s="147" t="s">
        <v>228</v>
      </c>
      <c r="B252" s="148"/>
      <c r="C252" s="148"/>
      <c r="D252" s="148"/>
      <c r="E252" s="148"/>
      <c r="F252" s="148"/>
      <c r="G252" s="148"/>
      <c r="H252" s="148"/>
      <c r="I252" s="148"/>
      <c r="J252" s="149"/>
      <c r="K252" s="17"/>
    </row>
    <row r="253" spans="1:11" ht="15.6" x14ac:dyDescent="0.3">
      <c r="A253" s="8">
        <v>1</v>
      </c>
      <c r="B253" s="8" t="s">
        <v>268</v>
      </c>
      <c r="C253" s="8" t="s">
        <v>130</v>
      </c>
      <c r="D253" s="126">
        <f>(33.126+0.75*(6.3))*10.764</f>
        <v>407.42816399999998</v>
      </c>
      <c r="E253" s="127">
        <v>0</v>
      </c>
      <c r="F253" s="8">
        <v>0</v>
      </c>
      <c r="G253" s="8">
        <f>1.5*D253+F253</f>
        <v>611.142246</v>
      </c>
      <c r="H253" s="8" t="s">
        <v>132</v>
      </c>
      <c r="I253" s="118" t="str">
        <f>A252</f>
        <v>Ground floor Residential &amp; Parking</v>
      </c>
      <c r="J253" s="119"/>
      <c r="K253" s="18"/>
    </row>
    <row r="254" spans="1:11" ht="15" customHeight="1" x14ac:dyDescent="0.3">
      <c r="A254" s="8">
        <v>2</v>
      </c>
      <c r="B254" s="8" t="s">
        <v>268</v>
      </c>
      <c r="C254" s="8" t="s">
        <v>130</v>
      </c>
      <c r="D254" s="126">
        <f>(33.126+0.75*(6.3))*10.764</f>
        <v>407.42816399999998</v>
      </c>
      <c r="E254" s="127">
        <v>0</v>
      </c>
      <c r="F254" s="8">
        <v>0</v>
      </c>
      <c r="G254" s="8">
        <f>1.5*D254+F254</f>
        <v>611.142246</v>
      </c>
      <c r="H254" s="8" t="s">
        <v>132</v>
      </c>
      <c r="I254" s="120"/>
      <c r="J254" s="121"/>
      <c r="K254" s="57"/>
    </row>
    <row r="255" spans="1:11" ht="15.6" x14ac:dyDescent="0.3">
      <c r="A255" s="147" t="s">
        <v>225</v>
      </c>
      <c r="B255" s="148"/>
      <c r="C255" s="148"/>
      <c r="D255" s="148"/>
      <c r="E255" s="148"/>
      <c r="F255" s="148"/>
      <c r="G255" s="148"/>
      <c r="H255" s="148"/>
      <c r="I255" s="148"/>
      <c r="J255" s="149"/>
      <c r="K255" s="57"/>
    </row>
    <row r="256" spans="1:11" ht="15.6" x14ac:dyDescent="0.3">
      <c r="A256" s="8">
        <v>1</v>
      </c>
      <c r="B256" s="8" t="s">
        <v>268</v>
      </c>
      <c r="C256" s="8" t="s">
        <v>130</v>
      </c>
      <c r="D256" s="126">
        <f>(33.585+0.75*(6.3))*10.764</f>
        <v>412.36883999999998</v>
      </c>
      <c r="E256" s="127">
        <v>0</v>
      </c>
      <c r="F256" s="8">
        <v>0</v>
      </c>
      <c r="G256" s="8">
        <f>1.5*D256+F256</f>
        <v>618.55325999999991</v>
      </c>
      <c r="H256" s="8" t="s">
        <v>132</v>
      </c>
      <c r="I256" s="118" t="str">
        <f>A255</f>
        <v>1st, 2nd, 3rd, 4th &amp; 6th Floor</v>
      </c>
      <c r="J256" s="119"/>
      <c r="K256" s="57"/>
    </row>
    <row r="257" spans="1:15" ht="15.6" x14ac:dyDescent="0.3">
      <c r="A257" s="8">
        <v>2</v>
      </c>
      <c r="B257" s="8" t="s">
        <v>268</v>
      </c>
      <c r="C257" s="8" t="s">
        <v>130</v>
      </c>
      <c r="D257" s="126">
        <f>(35.278+0.75*(2.05+2.4+2.35))*10.764</f>
        <v>434.62879199999998</v>
      </c>
      <c r="E257" s="127">
        <v>0</v>
      </c>
      <c r="F257" s="8">
        <v>0</v>
      </c>
      <c r="G257" s="8">
        <f>1.5*D257+F257</f>
        <v>651.94318799999996</v>
      </c>
      <c r="H257" s="8" t="s">
        <v>132</v>
      </c>
      <c r="I257" s="120"/>
      <c r="J257" s="121"/>
      <c r="K257" s="57"/>
    </row>
    <row r="258" spans="1:15" ht="15.6" x14ac:dyDescent="0.3">
      <c r="A258" s="8">
        <v>3</v>
      </c>
      <c r="B258" s="8" t="s">
        <v>268</v>
      </c>
      <c r="C258" s="8" t="s">
        <v>130</v>
      </c>
      <c r="D258" s="126">
        <f>(35.278+0.75*(2.05+2.4+2.35))*10.764</f>
        <v>434.62879199999998</v>
      </c>
      <c r="E258" s="127">
        <v>1</v>
      </c>
      <c r="F258" s="8">
        <v>0</v>
      </c>
      <c r="G258" s="8">
        <f>1.5*D258+F258</f>
        <v>651.94318799999996</v>
      </c>
      <c r="H258" s="8" t="s">
        <v>132</v>
      </c>
      <c r="I258" s="120"/>
      <c r="J258" s="121"/>
    </row>
    <row r="259" spans="1:15" s="81" customFormat="1" ht="15.6" x14ac:dyDescent="0.25">
      <c r="A259" s="8">
        <v>4</v>
      </c>
      <c r="B259" s="8" t="s">
        <v>268</v>
      </c>
      <c r="C259" s="8" t="s">
        <v>130</v>
      </c>
      <c r="D259" s="126">
        <f>(33.585+0.75*(6.3))*10.764</f>
        <v>412.36883999999998</v>
      </c>
      <c r="E259" s="127">
        <v>0</v>
      </c>
      <c r="F259" s="8">
        <v>0</v>
      </c>
      <c r="G259" s="8">
        <f>1.5*D259+F259</f>
        <v>618.55325999999991</v>
      </c>
      <c r="H259" s="8" t="s">
        <v>132</v>
      </c>
      <c r="I259" s="120"/>
      <c r="J259" s="121"/>
    </row>
    <row r="260" spans="1:15" ht="15.6" x14ac:dyDescent="0.3">
      <c r="A260" s="175" t="s">
        <v>226</v>
      </c>
      <c r="B260" s="175"/>
      <c r="C260" s="175"/>
      <c r="D260" s="175"/>
      <c r="E260" s="175"/>
      <c r="F260" s="175"/>
      <c r="G260" s="175"/>
      <c r="H260" s="175"/>
      <c r="I260" s="175"/>
      <c r="J260" s="175"/>
    </row>
    <row r="261" spans="1:15" ht="15.6" x14ac:dyDescent="0.3">
      <c r="A261" s="8">
        <v>1</v>
      </c>
      <c r="B261" s="8" t="s">
        <v>268</v>
      </c>
      <c r="C261" s="8" t="s">
        <v>130</v>
      </c>
      <c r="D261" s="126">
        <f>(33.585+0.75*(6.3))*10.764</f>
        <v>412.36883999999998</v>
      </c>
      <c r="E261" s="127">
        <v>0</v>
      </c>
      <c r="F261" s="8">
        <v>0</v>
      </c>
      <c r="G261" s="8">
        <f>1.5*D261+F261</f>
        <v>618.55325999999991</v>
      </c>
      <c r="H261" s="8" t="s">
        <v>132</v>
      </c>
      <c r="I261" s="118" t="str">
        <f>A260</f>
        <v>5th Floor</v>
      </c>
      <c r="J261" s="119"/>
    </row>
    <row r="262" spans="1:15" ht="15.6" x14ac:dyDescent="0.3">
      <c r="A262" s="8">
        <v>2</v>
      </c>
      <c r="B262" s="8" t="s">
        <v>268</v>
      </c>
      <c r="C262" s="8" t="s">
        <v>130</v>
      </c>
      <c r="D262" s="126">
        <f>(35.278+0.75*(2.05+2.4+2.35))*10.764</f>
        <v>434.62879199999998</v>
      </c>
      <c r="E262" s="127">
        <v>0</v>
      </c>
      <c r="F262" s="8">
        <v>0</v>
      </c>
      <c r="G262" s="8">
        <f>1.5*D262+F262</f>
        <v>651.94318799999996</v>
      </c>
      <c r="H262" s="8" t="s">
        <v>132</v>
      </c>
      <c r="I262" s="120"/>
      <c r="J262" s="121"/>
    </row>
    <row r="263" spans="1:15" ht="15.6" x14ac:dyDescent="0.3">
      <c r="A263" s="8">
        <v>3</v>
      </c>
      <c r="B263" s="8" t="s">
        <v>268</v>
      </c>
      <c r="C263" s="8" t="s">
        <v>130</v>
      </c>
      <c r="D263" s="126">
        <f>(35.278+0.75*(2.05+2.4+2.35))*10.764</f>
        <v>434.62879199999998</v>
      </c>
      <c r="E263" s="127">
        <v>1</v>
      </c>
      <c r="F263" s="8">
        <v>0</v>
      </c>
      <c r="G263" s="8">
        <f>1.5*D263+F263</f>
        <v>651.94318799999996</v>
      </c>
      <c r="H263" s="8" t="s">
        <v>132</v>
      </c>
      <c r="I263" s="120"/>
      <c r="J263" s="121"/>
    </row>
    <row r="264" spans="1:15" ht="15.6" x14ac:dyDescent="0.3">
      <c r="A264" s="8">
        <v>4</v>
      </c>
      <c r="B264" s="8" t="s">
        <v>268</v>
      </c>
      <c r="C264" s="8" t="s">
        <v>130</v>
      </c>
      <c r="D264" s="126">
        <f>(33.585+0.75*(6.3))*10.764</f>
        <v>412.36883999999998</v>
      </c>
      <c r="E264" s="127">
        <v>0</v>
      </c>
      <c r="F264" s="8">
        <v>0</v>
      </c>
      <c r="G264" s="8">
        <f>1.5*D264+F264</f>
        <v>618.55325999999991</v>
      </c>
      <c r="H264" s="8" t="s">
        <v>132</v>
      </c>
      <c r="I264" s="120"/>
      <c r="J264" s="121"/>
    </row>
    <row r="265" spans="1:15" ht="15.6" x14ac:dyDescent="0.3">
      <c r="A265" s="147" t="s">
        <v>286</v>
      </c>
      <c r="B265" s="148"/>
      <c r="C265" s="148"/>
      <c r="D265" s="148"/>
      <c r="E265" s="148"/>
      <c r="F265" s="148"/>
      <c r="G265" s="148"/>
      <c r="H265" s="148"/>
      <c r="I265" s="148"/>
      <c r="J265" s="149"/>
      <c r="K265" s="116">
        <v>10.763999999999999</v>
      </c>
      <c r="L265" s="116"/>
      <c r="M265" s="90">
        <v>10.763999999999999</v>
      </c>
    </row>
    <row r="266" spans="1:15" ht="15.6" x14ac:dyDescent="0.3">
      <c r="A266" s="147" t="s">
        <v>254</v>
      </c>
      <c r="B266" s="148"/>
      <c r="C266" s="148"/>
      <c r="D266" s="148"/>
      <c r="E266" s="148"/>
      <c r="F266" s="148"/>
      <c r="G266" s="148"/>
      <c r="H266" s="148"/>
      <c r="I266" s="148"/>
      <c r="J266" s="149"/>
      <c r="O266" t="s">
        <v>272</v>
      </c>
    </row>
    <row r="267" spans="1:15" ht="15.6" x14ac:dyDescent="0.3">
      <c r="A267" s="8">
        <v>1</v>
      </c>
      <c r="B267" s="8" t="s">
        <v>268</v>
      </c>
      <c r="C267" s="8" t="s">
        <v>131</v>
      </c>
      <c r="D267" s="116">
        <f>(50.535+5.875)*10.764</f>
        <v>607.19723999999997</v>
      </c>
      <c r="E267" s="116"/>
      <c r="F267" s="8">
        <v>0</v>
      </c>
      <c r="G267" s="8">
        <v>925</v>
      </c>
      <c r="H267" s="8" t="s">
        <v>132</v>
      </c>
      <c r="I267" s="177" t="str">
        <f>A266</f>
        <v>1st Floor Residential</v>
      </c>
      <c r="J267" s="177"/>
      <c r="L267">
        <f>2.5*1+2.7*1.25</f>
        <v>5.875</v>
      </c>
      <c r="O267" s="94">
        <f>925/D267</f>
        <v>1.5233929587690485</v>
      </c>
    </row>
    <row r="268" spans="1:15" ht="15.6" x14ac:dyDescent="0.3">
      <c r="A268" s="8">
        <v>2</v>
      </c>
      <c r="B268" s="8" t="s">
        <v>268</v>
      </c>
      <c r="C268" s="8" t="s">
        <v>131</v>
      </c>
      <c r="D268" s="116">
        <f>(49.62+5.875)*10.764</f>
        <v>597.34817999999996</v>
      </c>
      <c r="E268" s="116"/>
      <c r="F268" s="8">
        <v>0</v>
      </c>
      <c r="G268" s="8">
        <v>910</v>
      </c>
      <c r="H268" s="8" t="s">
        <v>132</v>
      </c>
      <c r="I268" s="177"/>
      <c r="J268" s="177"/>
      <c r="O268" s="94">
        <f>910/D268</f>
        <v>1.5233996360380642</v>
      </c>
    </row>
    <row r="269" spans="1:15" ht="15.6" x14ac:dyDescent="0.3">
      <c r="A269" s="8">
        <v>3</v>
      </c>
      <c r="B269" s="8" t="s">
        <v>268</v>
      </c>
      <c r="C269" s="8" t="s">
        <v>131</v>
      </c>
      <c r="D269" s="116">
        <f>(49.148+3.24)*10.764</f>
        <v>563.90443200000004</v>
      </c>
      <c r="E269" s="116"/>
      <c r="F269" s="8">
        <v>0</v>
      </c>
      <c r="G269" s="8">
        <v>855</v>
      </c>
      <c r="H269" s="8" t="s">
        <v>132</v>
      </c>
      <c r="I269" s="177"/>
      <c r="J269" s="177"/>
      <c r="K269" s="86">
        <f>2.75*4.55+2.8*1.2+2.25*2.85+2.75*2.85+3*3+1.95*1.2+1.8*1.2+4.2*0.9</f>
        <v>47.402500000000003</v>
      </c>
      <c r="L269">
        <f>2.7*1.2</f>
        <v>3.24</v>
      </c>
      <c r="O269" s="94">
        <f>855/D269</f>
        <v>1.5162143644935919</v>
      </c>
    </row>
    <row r="270" spans="1:15" ht="15.6" x14ac:dyDescent="0.3">
      <c r="A270" s="8">
        <v>4</v>
      </c>
      <c r="B270" s="8" t="s">
        <v>268</v>
      </c>
      <c r="C270" s="8" t="s">
        <v>130</v>
      </c>
      <c r="D270" s="116">
        <f>(29.678+2.7*0.8+2.25*1.3+3.075*1.3+3.24)*10.764</f>
        <v>452.09338200000002</v>
      </c>
      <c r="E270" s="116"/>
      <c r="F270" s="8">
        <v>0</v>
      </c>
      <c r="G270" s="8">
        <v>665</v>
      </c>
      <c r="H270" s="8" t="s">
        <v>132</v>
      </c>
      <c r="I270" s="177"/>
      <c r="J270" s="177"/>
      <c r="K270">
        <f>2.75*3.9+2.1*2.6+2.9*2.6+1.8*1.2+2.1*1.2</f>
        <v>28.405000000000001</v>
      </c>
      <c r="L270">
        <f>2.7*0.8</f>
        <v>2.16</v>
      </c>
      <c r="O270" s="94">
        <f>655/D270</f>
        <v>1.4488157227658776</v>
      </c>
    </row>
    <row r="271" spans="1:15" ht="15.6" x14ac:dyDescent="0.3">
      <c r="A271" s="8">
        <v>5</v>
      </c>
      <c r="B271" s="8" t="s">
        <v>268</v>
      </c>
      <c r="C271" s="8" t="s">
        <v>130</v>
      </c>
      <c r="D271" s="116">
        <f>(29.678+2.7*0.8+2.25*1.3+3.075*1.3+3.24)*10.764</f>
        <v>452.09338200000002</v>
      </c>
      <c r="E271" s="116"/>
      <c r="F271" s="8">
        <v>0</v>
      </c>
      <c r="G271" s="8">
        <v>665</v>
      </c>
      <c r="H271" s="8" t="s">
        <v>132</v>
      </c>
      <c r="I271" s="177"/>
      <c r="J271" s="177"/>
      <c r="O271" s="94">
        <f>665/D271</f>
        <v>1.4709350467775704</v>
      </c>
    </row>
    <row r="272" spans="1:15" ht="15.6" x14ac:dyDescent="0.3">
      <c r="A272" s="8">
        <v>6</v>
      </c>
      <c r="B272" s="8" t="s">
        <v>268</v>
      </c>
      <c r="C272" s="8" t="s">
        <v>130</v>
      </c>
      <c r="D272" s="116">
        <f>(28.595+2.7*0.8+2.25*1.25+3.15*1.25+3.24)*10.764</f>
        <v>438.57917999999995</v>
      </c>
      <c r="E272" s="116"/>
      <c r="F272" s="8">
        <v>0</v>
      </c>
      <c r="G272" s="8">
        <v>640</v>
      </c>
      <c r="H272" s="8" t="s">
        <v>132</v>
      </c>
      <c r="I272" s="177"/>
      <c r="J272" s="177"/>
      <c r="O272" s="94">
        <f>640/D272</f>
        <v>1.4592575963136236</v>
      </c>
    </row>
    <row r="273" spans="1:15" ht="15.6" x14ac:dyDescent="0.3">
      <c r="A273" s="8">
        <v>7</v>
      </c>
      <c r="B273" s="8" t="s">
        <v>268</v>
      </c>
      <c r="C273" s="8" t="s">
        <v>130</v>
      </c>
      <c r="D273" s="116">
        <f>(26.658+2.75*0.8+2.25*1.2+3.15*1.2+3.24)*10.764</f>
        <v>415.25359200000003</v>
      </c>
      <c r="E273" s="116"/>
      <c r="F273" s="8">
        <v>0</v>
      </c>
      <c r="G273" s="8">
        <v>610</v>
      </c>
      <c r="H273" s="8" t="s">
        <v>132</v>
      </c>
      <c r="I273" s="177"/>
      <c r="J273" s="177"/>
      <c r="O273" s="94">
        <f>675/D273</f>
        <v>1.6255127300620675</v>
      </c>
    </row>
    <row r="274" spans="1:15" ht="15.6" x14ac:dyDescent="0.3">
      <c r="A274" s="8">
        <v>8</v>
      </c>
      <c r="B274" s="8" t="s">
        <v>268</v>
      </c>
      <c r="C274" s="8" t="s">
        <v>131</v>
      </c>
      <c r="D274" s="116">
        <f>(47.744+6.825)*10.764</f>
        <v>587.38071600000001</v>
      </c>
      <c r="E274" s="116"/>
      <c r="F274" s="90">
        <f>(2.85*0.4)*10.764</f>
        <v>12.270960000000001</v>
      </c>
      <c r="G274" s="8">
        <v>940</v>
      </c>
      <c r="H274" s="8" t="s">
        <v>132</v>
      </c>
      <c r="I274" s="177"/>
      <c r="J274" s="177"/>
      <c r="L274">
        <f>2.85*1.5+2.55*1</f>
        <v>6.8250000000000002</v>
      </c>
      <c r="O274" s="94">
        <f>940/D274</f>
        <v>1.6003249245247608</v>
      </c>
    </row>
    <row r="275" spans="1:15" ht="15.6" x14ac:dyDescent="0.3">
      <c r="A275" s="8">
        <v>9</v>
      </c>
      <c r="B275" s="8" t="s">
        <v>268</v>
      </c>
      <c r="C275" s="8" t="s">
        <v>130</v>
      </c>
      <c r="D275" s="116">
        <f>(29.9+2.85*0.5+2.25*1.3+3.075*1.3+4.05)*10.764</f>
        <v>455.29028999999997</v>
      </c>
      <c r="E275" s="116"/>
      <c r="F275" s="90">
        <f>(2.7*0.4)*10.764</f>
        <v>11.625120000000001</v>
      </c>
      <c r="G275" s="8">
        <v>770</v>
      </c>
      <c r="H275" s="8" t="s">
        <v>132</v>
      </c>
      <c r="I275" s="177"/>
      <c r="J275" s="177"/>
      <c r="L275">
        <f>2.7*1.5</f>
        <v>4.0500000000000007</v>
      </c>
      <c r="O275" s="94">
        <f>770/D275</f>
        <v>1.6912286884044903</v>
      </c>
    </row>
    <row r="276" spans="1:15" ht="15.6" x14ac:dyDescent="0.3">
      <c r="A276" s="8">
        <v>10</v>
      </c>
      <c r="B276" s="8" t="s">
        <v>268</v>
      </c>
      <c r="C276" s="8" t="s">
        <v>130</v>
      </c>
      <c r="D276" s="116">
        <f>(29.9+2.85*0.5+2.25*1.3+3.075*1.3+4.05)*10.764</f>
        <v>455.29028999999997</v>
      </c>
      <c r="E276" s="116"/>
      <c r="F276" s="90">
        <f>(2.7*0.4)*10.764</f>
        <v>11.625120000000001</v>
      </c>
      <c r="G276" s="8">
        <v>770</v>
      </c>
      <c r="H276" s="8" t="s">
        <v>132</v>
      </c>
      <c r="I276" s="177"/>
      <c r="J276" s="177"/>
      <c r="O276" s="94">
        <f>770/D276</f>
        <v>1.6912286884044903</v>
      </c>
    </row>
    <row r="277" spans="1:15" ht="15.6" x14ac:dyDescent="0.3">
      <c r="A277" s="8">
        <v>11</v>
      </c>
      <c r="B277" s="8" t="s">
        <v>268</v>
      </c>
      <c r="C277" s="8" t="s">
        <v>130</v>
      </c>
      <c r="D277" s="116">
        <f>(29.096+2.9*0.5+2.25*1.3+3.15*1.3+4.05)*10.764</f>
        <v>447.95462399999991</v>
      </c>
      <c r="E277" s="116"/>
      <c r="F277" s="90">
        <f>(2.7*0.4)*10.764</f>
        <v>11.625120000000001</v>
      </c>
      <c r="G277" s="8">
        <v>765</v>
      </c>
      <c r="H277" s="8" t="s">
        <v>132</v>
      </c>
      <c r="I277" s="177"/>
      <c r="J277" s="177"/>
      <c r="O277" s="94">
        <f>765/D277</f>
        <v>1.7077622576343807</v>
      </c>
    </row>
    <row r="278" spans="1:15" ht="15.6" x14ac:dyDescent="0.3">
      <c r="A278" s="8">
        <v>12</v>
      </c>
      <c r="B278" s="8" t="s">
        <v>268</v>
      </c>
      <c r="C278" s="8" t="s">
        <v>131</v>
      </c>
      <c r="D278" s="116">
        <f>(47.968+5.963)*10.764</f>
        <v>580.513284</v>
      </c>
      <c r="E278" s="116"/>
      <c r="F278" s="90">
        <f>(2.85*0.7)*10.764</f>
        <v>21.474179999999997</v>
      </c>
      <c r="G278" s="8">
        <v>945</v>
      </c>
      <c r="H278" s="8" t="s">
        <v>132</v>
      </c>
      <c r="I278" s="177"/>
      <c r="J278" s="177"/>
      <c r="O278" s="94">
        <f>945/D278</f>
        <v>1.6278697250276877</v>
      </c>
    </row>
    <row r="279" spans="1:15" ht="15.6" x14ac:dyDescent="0.3">
      <c r="A279" s="8">
        <v>13</v>
      </c>
      <c r="B279" s="8" t="s">
        <v>268</v>
      </c>
      <c r="C279" s="8" t="s">
        <v>131</v>
      </c>
      <c r="D279" s="116">
        <f>(47.968+5.963)*10.764</f>
        <v>580.513284</v>
      </c>
      <c r="E279" s="116"/>
      <c r="F279" s="8">
        <v>0</v>
      </c>
      <c r="G279" s="8">
        <v>880</v>
      </c>
      <c r="H279" s="8" t="s">
        <v>132</v>
      </c>
      <c r="I279" s="177"/>
      <c r="J279" s="177"/>
      <c r="O279" s="95">
        <f>880/D279</f>
        <v>1.515899849761233</v>
      </c>
    </row>
    <row r="280" spans="1:15" ht="15.6" x14ac:dyDescent="0.3">
      <c r="A280" s="8">
        <v>14</v>
      </c>
      <c r="B280" s="8" t="s">
        <v>268</v>
      </c>
      <c r="C280" s="8" t="s">
        <v>130</v>
      </c>
      <c r="D280" s="116">
        <f>(27.858+2.7*0.75+2.25*1.317+3.075*1.167+3.375)*10.764</f>
        <v>428.51241809999999</v>
      </c>
      <c r="E280" s="116"/>
      <c r="F280" s="8">
        <v>0</v>
      </c>
      <c r="G280" s="8">
        <v>630</v>
      </c>
      <c r="H280" s="8" t="s">
        <v>132</v>
      </c>
      <c r="I280" s="177"/>
      <c r="J280" s="177"/>
      <c r="L280">
        <f>2.85*1.25</f>
        <v>3.5625</v>
      </c>
      <c r="O280" s="95">
        <f>630/D280</f>
        <v>1.4702024337903312</v>
      </c>
    </row>
    <row r="281" spans="1:15" ht="15.6" x14ac:dyDescent="0.3">
      <c r="A281" s="8">
        <v>15</v>
      </c>
      <c r="B281" s="8" t="s">
        <v>268</v>
      </c>
      <c r="C281" s="8" t="s">
        <v>130</v>
      </c>
      <c r="D281" s="116">
        <f>(27.858+2.85*0.75+2.25*1.317+3.075*1.167+3.563)*10.764</f>
        <v>431.74700009999998</v>
      </c>
      <c r="E281" s="116"/>
      <c r="F281" s="8">
        <v>0</v>
      </c>
      <c r="G281" s="8">
        <v>630</v>
      </c>
      <c r="H281" s="8" t="s">
        <v>132</v>
      </c>
      <c r="I281" s="177"/>
      <c r="J281" s="177"/>
      <c r="O281" s="95">
        <f>630/D281</f>
        <v>1.4591879036891542</v>
      </c>
    </row>
    <row r="282" spans="1:15" ht="15.6" x14ac:dyDescent="0.3">
      <c r="A282" s="147" t="s">
        <v>255</v>
      </c>
      <c r="B282" s="148"/>
      <c r="C282" s="148"/>
      <c r="D282" s="148"/>
      <c r="E282" s="148"/>
      <c r="F282" s="148"/>
      <c r="G282" s="148"/>
      <c r="H282" s="148"/>
      <c r="I282" s="148"/>
      <c r="J282" s="149"/>
    </row>
    <row r="283" spans="1:15" ht="15.6" x14ac:dyDescent="0.3">
      <c r="A283" s="8">
        <v>1</v>
      </c>
      <c r="B283" s="8" t="s">
        <v>268</v>
      </c>
      <c r="C283" s="8" t="s">
        <v>131</v>
      </c>
      <c r="D283" s="116">
        <f>(50.535+5.875)*10.764</f>
        <v>607.19723999999997</v>
      </c>
      <c r="E283" s="116"/>
      <c r="F283" s="8">
        <v>0</v>
      </c>
      <c r="G283" s="8">
        <v>925</v>
      </c>
      <c r="H283" s="8" t="s">
        <v>132</v>
      </c>
      <c r="I283" s="177" t="str">
        <f>A282</f>
        <v>2nd to 7th, 9th, 10th, 12th, 13th &amp; 15th Floor</v>
      </c>
      <c r="J283" s="177"/>
    </row>
    <row r="284" spans="1:15" ht="15.6" x14ac:dyDescent="0.3">
      <c r="A284" s="8">
        <v>2</v>
      </c>
      <c r="B284" s="8" t="s">
        <v>268</v>
      </c>
      <c r="C284" s="8" t="s">
        <v>131</v>
      </c>
      <c r="D284" s="116">
        <f>(49.62+5.875)*10.764</f>
        <v>597.34817999999996</v>
      </c>
      <c r="E284" s="116"/>
      <c r="F284" s="8">
        <v>0</v>
      </c>
      <c r="G284" s="8">
        <v>910</v>
      </c>
      <c r="H284" s="8" t="s">
        <v>132</v>
      </c>
      <c r="I284" s="177"/>
      <c r="J284" s="177"/>
    </row>
    <row r="285" spans="1:15" ht="15.6" x14ac:dyDescent="0.3">
      <c r="A285" s="8">
        <v>3</v>
      </c>
      <c r="B285" s="8" t="s">
        <v>268</v>
      </c>
      <c r="C285" s="8" t="s">
        <v>131</v>
      </c>
      <c r="D285" s="116">
        <f>(49.148+3.24)*10.764</f>
        <v>563.90443200000004</v>
      </c>
      <c r="E285" s="116"/>
      <c r="F285" s="8">
        <v>0</v>
      </c>
      <c r="G285" s="8">
        <v>855</v>
      </c>
      <c r="H285" s="8" t="s">
        <v>132</v>
      </c>
      <c r="I285" s="177"/>
      <c r="J285" s="177"/>
    </row>
    <row r="286" spans="1:15" ht="15.6" x14ac:dyDescent="0.3">
      <c r="A286" s="8">
        <v>4</v>
      </c>
      <c r="B286" s="8" t="s">
        <v>268</v>
      </c>
      <c r="C286" s="8" t="s">
        <v>130</v>
      </c>
      <c r="D286" s="116">
        <f>(29.678+2.7*0.8+2.25*1.3+3.075*1.3+3.24)*10.764</f>
        <v>452.09338200000002</v>
      </c>
      <c r="E286" s="116"/>
      <c r="F286" s="8">
        <v>0</v>
      </c>
      <c r="G286" s="8">
        <v>665</v>
      </c>
      <c r="H286" s="8" t="s">
        <v>132</v>
      </c>
      <c r="I286" s="177"/>
      <c r="J286" s="177"/>
    </row>
    <row r="287" spans="1:15" ht="15.6" x14ac:dyDescent="0.3">
      <c r="A287" s="8">
        <v>5</v>
      </c>
      <c r="B287" s="8" t="s">
        <v>268</v>
      </c>
      <c r="C287" s="8" t="s">
        <v>130</v>
      </c>
      <c r="D287" s="116">
        <f>(29.678+2.7*0.8+2.25*1.3+3.075*1.3+3.24)*10.764</f>
        <v>452.09338200000002</v>
      </c>
      <c r="E287" s="116"/>
      <c r="F287" s="8">
        <v>0</v>
      </c>
      <c r="G287" s="8">
        <v>665</v>
      </c>
      <c r="H287" s="8" t="s">
        <v>132</v>
      </c>
      <c r="I287" s="177"/>
      <c r="J287" s="177"/>
    </row>
    <row r="288" spans="1:15" ht="15.6" x14ac:dyDescent="0.3">
      <c r="A288" s="8">
        <v>6</v>
      </c>
      <c r="B288" s="8" t="s">
        <v>268</v>
      </c>
      <c r="C288" s="8" t="s">
        <v>130</v>
      </c>
      <c r="D288" s="116">
        <f>(28.595+2.7*0.8+2.25*1.25+3.15*1.25+3.24)*10.764</f>
        <v>438.57917999999995</v>
      </c>
      <c r="E288" s="116"/>
      <c r="F288" s="8">
        <v>0</v>
      </c>
      <c r="G288" s="8">
        <v>640</v>
      </c>
      <c r="H288" s="8" t="s">
        <v>132</v>
      </c>
      <c r="I288" s="177"/>
      <c r="J288" s="177"/>
    </row>
    <row r="289" spans="1:10" ht="15.6" x14ac:dyDescent="0.3">
      <c r="A289" s="8">
        <v>7</v>
      </c>
      <c r="B289" s="8" t="s">
        <v>268</v>
      </c>
      <c r="C289" s="8" t="s">
        <v>130</v>
      </c>
      <c r="D289" s="116">
        <f>(26.658+2.75*0.8+2.25*1.2+3.15*1.2+3.24)*10.764</f>
        <v>415.25359200000003</v>
      </c>
      <c r="E289" s="116"/>
      <c r="F289" s="8">
        <v>0</v>
      </c>
      <c r="G289" s="8">
        <v>610</v>
      </c>
      <c r="H289" s="8" t="s">
        <v>132</v>
      </c>
      <c r="I289" s="177"/>
      <c r="J289" s="177"/>
    </row>
    <row r="290" spans="1:10" ht="15.6" x14ac:dyDescent="0.3">
      <c r="A290" s="8">
        <v>8</v>
      </c>
      <c r="B290" s="8" t="s">
        <v>268</v>
      </c>
      <c r="C290" s="8" t="s">
        <v>131</v>
      </c>
      <c r="D290" s="116">
        <f>(47.744+6.825)*10.764</f>
        <v>587.38071600000001</v>
      </c>
      <c r="E290" s="116"/>
      <c r="F290" s="8">
        <v>0</v>
      </c>
      <c r="G290" s="8">
        <v>890</v>
      </c>
      <c r="H290" s="8" t="s">
        <v>132</v>
      </c>
      <c r="I290" s="177"/>
      <c r="J290" s="177"/>
    </row>
    <row r="291" spans="1:10" ht="15.6" x14ac:dyDescent="0.3">
      <c r="A291" s="8">
        <v>9</v>
      </c>
      <c r="B291" s="8" t="s">
        <v>268</v>
      </c>
      <c r="C291" s="8" t="s">
        <v>130</v>
      </c>
      <c r="D291" s="116">
        <f>(29.9+2.85*0.5+2.25*1.3+3.075*1.3+4.05)*10.764</f>
        <v>455.29028999999997</v>
      </c>
      <c r="E291" s="116"/>
      <c r="F291" s="8">
        <v>0</v>
      </c>
      <c r="G291" s="8">
        <v>680</v>
      </c>
      <c r="H291" s="8" t="s">
        <v>132</v>
      </c>
      <c r="I291" s="177"/>
      <c r="J291" s="177"/>
    </row>
    <row r="292" spans="1:10" ht="15.6" x14ac:dyDescent="0.3">
      <c r="A292" s="8">
        <v>10</v>
      </c>
      <c r="B292" s="8" t="s">
        <v>268</v>
      </c>
      <c r="C292" s="8" t="s">
        <v>130</v>
      </c>
      <c r="D292" s="116">
        <f>(29.9+2.85*0.5+2.25*1.3+3.075*1.3+4.05)*10.764</f>
        <v>455.29028999999997</v>
      </c>
      <c r="E292" s="116"/>
      <c r="F292" s="8">
        <v>0</v>
      </c>
      <c r="G292" s="8">
        <v>680</v>
      </c>
      <c r="H292" s="8" t="s">
        <v>132</v>
      </c>
      <c r="I292" s="177"/>
      <c r="J292" s="177"/>
    </row>
    <row r="293" spans="1:10" ht="15.6" x14ac:dyDescent="0.3">
      <c r="A293" s="8">
        <v>11</v>
      </c>
      <c r="B293" s="8" t="s">
        <v>268</v>
      </c>
      <c r="C293" s="8" t="s">
        <v>130</v>
      </c>
      <c r="D293" s="116">
        <f>(29.096+2.9*0.5+2.25*1.3+3.15*1.3+4.05)*10.764</f>
        <v>447.95462399999991</v>
      </c>
      <c r="E293" s="116"/>
      <c r="F293" s="8">
        <v>0</v>
      </c>
      <c r="G293" s="8">
        <v>655</v>
      </c>
      <c r="H293" s="8" t="s">
        <v>132</v>
      </c>
      <c r="I293" s="177"/>
      <c r="J293" s="177"/>
    </row>
    <row r="294" spans="1:10" ht="15.6" x14ac:dyDescent="0.3">
      <c r="A294" s="8">
        <v>12</v>
      </c>
      <c r="B294" s="8" t="s">
        <v>268</v>
      </c>
      <c r="C294" s="8" t="s">
        <v>131</v>
      </c>
      <c r="D294" s="116">
        <f>(47.968+5.963)*10.764</f>
        <v>580.513284</v>
      </c>
      <c r="E294" s="116"/>
      <c r="F294" s="8">
        <v>0</v>
      </c>
      <c r="G294" s="8">
        <v>880</v>
      </c>
      <c r="H294" s="8" t="s">
        <v>132</v>
      </c>
      <c r="I294" s="177"/>
      <c r="J294" s="177"/>
    </row>
    <row r="295" spans="1:10" ht="15.6" x14ac:dyDescent="0.3">
      <c r="A295" s="8">
        <v>13</v>
      </c>
      <c r="B295" s="8" t="s">
        <v>268</v>
      </c>
      <c r="C295" s="8" t="s">
        <v>131</v>
      </c>
      <c r="D295" s="116">
        <f>(47.968+5.963)*10.764</f>
        <v>580.513284</v>
      </c>
      <c r="E295" s="116"/>
      <c r="F295" s="8">
        <v>0</v>
      </c>
      <c r="G295" s="8">
        <v>880</v>
      </c>
      <c r="H295" s="8" t="s">
        <v>132</v>
      </c>
      <c r="I295" s="177"/>
      <c r="J295" s="177"/>
    </row>
    <row r="296" spans="1:10" ht="15.6" x14ac:dyDescent="0.3">
      <c r="A296" s="8">
        <v>14</v>
      </c>
      <c r="B296" s="8" t="s">
        <v>268</v>
      </c>
      <c r="C296" s="8" t="s">
        <v>130</v>
      </c>
      <c r="D296" s="116">
        <f>(27.858+2.7*0.75+2.25*1.317+3.075*1.167+3.375)*10.764</f>
        <v>428.51241809999999</v>
      </c>
      <c r="E296" s="116"/>
      <c r="F296" s="8">
        <v>0</v>
      </c>
      <c r="G296" s="8">
        <v>630</v>
      </c>
      <c r="H296" s="8" t="s">
        <v>132</v>
      </c>
      <c r="I296" s="177"/>
      <c r="J296" s="177"/>
    </row>
    <row r="297" spans="1:10" ht="15.6" x14ac:dyDescent="0.3">
      <c r="A297" s="8">
        <v>15</v>
      </c>
      <c r="B297" s="8" t="s">
        <v>268</v>
      </c>
      <c r="C297" s="8" t="s">
        <v>130</v>
      </c>
      <c r="D297" s="116">
        <f>(27.858+2.85*0.75+2.25*1.317+3.075*1.167+3.563)*10.764</f>
        <v>431.74700009999998</v>
      </c>
      <c r="E297" s="116"/>
      <c r="F297" s="8">
        <v>0</v>
      </c>
      <c r="G297" s="8">
        <v>630</v>
      </c>
      <c r="H297" s="8" t="s">
        <v>132</v>
      </c>
      <c r="I297" s="177"/>
      <c r="J297" s="177"/>
    </row>
    <row r="298" spans="1:10" ht="15.6" x14ac:dyDescent="0.3">
      <c r="A298" s="147" t="s">
        <v>256</v>
      </c>
      <c r="B298" s="148"/>
      <c r="C298" s="148"/>
      <c r="D298" s="148"/>
      <c r="E298" s="148"/>
      <c r="F298" s="148"/>
      <c r="G298" s="148"/>
      <c r="H298" s="148"/>
      <c r="I298" s="148"/>
      <c r="J298" s="149"/>
    </row>
    <row r="299" spans="1:10" ht="15.6" x14ac:dyDescent="0.3">
      <c r="A299" s="8">
        <v>1</v>
      </c>
      <c r="B299" s="8" t="s">
        <v>268</v>
      </c>
      <c r="C299" s="8" t="s">
        <v>131</v>
      </c>
      <c r="D299" s="116">
        <f>(50.535+5.875)*10.764</f>
        <v>607.19723999999997</v>
      </c>
      <c r="E299" s="116"/>
      <c r="F299" s="8">
        <v>0</v>
      </c>
      <c r="G299" s="8">
        <v>925</v>
      </c>
      <c r="H299" s="8" t="s">
        <v>132</v>
      </c>
      <c r="I299" s="177" t="str">
        <f>A298</f>
        <v>8th, 11th &amp; 14th Floor (Part Refuge Area)</v>
      </c>
      <c r="J299" s="177"/>
    </row>
    <row r="300" spans="1:10" ht="15.6" x14ac:dyDescent="0.3">
      <c r="A300" s="8">
        <v>2</v>
      </c>
      <c r="B300" s="8" t="s">
        <v>268</v>
      </c>
      <c r="C300" s="8" t="s">
        <v>131</v>
      </c>
      <c r="D300" s="116">
        <f>(49.62+5.875)*10.764</f>
        <v>597.34817999999996</v>
      </c>
      <c r="E300" s="116"/>
      <c r="F300" s="8">
        <v>0</v>
      </c>
      <c r="G300" s="8">
        <v>910</v>
      </c>
      <c r="H300" s="8" t="s">
        <v>132</v>
      </c>
      <c r="I300" s="177"/>
      <c r="J300" s="177"/>
    </row>
    <row r="301" spans="1:10" ht="15.6" x14ac:dyDescent="0.3">
      <c r="A301" s="8">
        <v>3</v>
      </c>
      <c r="B301" s="8" t="s">
        <v>268</v>
      </c>
      <c r="C301" s="8" t="s">
        <v>131</v>
      </c>
      <c r="D301" s="116">
        <f>(49.148+3.24)*10.764</f>
        <v>563.90443200000004</v>
      </c>
      <c r="E301" s="116"/>
      <c r="F301" s="8">
        <v>0</v>
      </c>
      <c r="G301" s="8">
        <v>855</v>
      </c>
      <c r="H301" s="8" t="s">
        <v>132</v>
      </c>
      <c r="I301" s="177"/>
      <c r="J301" s="177"/>
    </row>
    <row r="302" spans="1:10" ht="15.6" x14ac:dyDescent="0.3">
      <c r="A302" s="8">
        <v>4</v>
      </c>
      <c r="B302" s="8" t="s">
        <v>268</v>
      </c>
      <c r="C302" s="8" t="s">
        <v>130</v>
      </c>
      <c r="D302" s="116">
        <f>(29.678+2.7*0.8+2.25*1.3+3.075*1.3+3.24)*10.764</f>
        <v>452.09338200000002</v>
      </c>
      <c r="E302" s="116"/>
      <c r="F302" s="8">
        <v>0</v>
      </c>
      <c r="G302" s="8">
        <v>665</v>
      </c>
      <c r="H302" s="8" t="s">
        <v>132</v>
      </c>
      <c r="I302" s="177"/>
      <c r="J302" s="177"/>
    </row>
    <row r="303" spans="1:10" ht="15.6" x14ac:dyDescent="0.3">
      <c r="A303" s="8">
        <v>5</v>
      </c>
      <c r="B303" s="8" t="s">
        <v>268</v>
      </c>
      <c r="C303" s="8" t="s">
        <v>130</v>
      </c>
      <c r="D303" s="116">
        <f>(29.678+2.7*0.8+2.25*1.3+3.075*1.3+3.24)*10.764</f>
        <v>452.09338200000002</v>
      </c>
      <c r="E303" s="116"/>
      <c r="F303" s="8">
        <v>0</v>
      </c>
      <c r="G303" s="8">
        <v>665</v>
      </c>
      <c r="H303" s="8" t="s">
        <v>132</v>
      </c>
      <c r="I303" s="177"/>
      <c r="J303" s="177"/>
    </row>
    <row r="304" spans="1:10" ht="15.6" x14ac:dyDescent="0.3">
      <c r="A304" s="8">
        <v>6</v>
      </c>
      <c r="B304" s="8" t="s">
        <v>268</v>
      </c>
      <c r="C304" s="8" t="s">
        <v>130</v>
      </c>
      <c r="D304" s="116">
        <f>(28.595+2.7*0.8+2.25*1.25+3.15*1.25+3.24)*10.764</f>
        <v>438.57917999999995</v>
      </c>
      <c r="E304" s="116"/>
      <c r="F304" s="8">
        <v>0</v>
      </c>
      <c r="G304" s="8">
        <v>640</v>
      </c>
      <c r="H304" s="8" t="s">
        <v>132</v>
      </c>
      <c r="I304" s="177"/>
      <c r="J304" s="177"/>
    </row>
    <row r="305" spans="1:10" ht="15.6" x14ac:dyDescent="0.3">
      <c r="A305" s="8">
        <v>7</v>
      </c>
      <c r="B305" s="8" t="s">
        <v>268</v>
      </c>
      <c r="C305" s="126" t="s">
        <v>257</v>
      </c>
      <c r="D305" s="323"/>
      <c r="E305" s="323"/>
      <c r="F305" s="323"/>
      <c r="G305" s="323"/>
      <c r="H305" s="127"/>
      <c r="I305" s="177"/>
      <c r="J305" s="177"/>
    </row>
    <row r="306" spans="1:10" ht="15.6" x14ac:dyDescent="0.3">
      <c r="A306" s="8">
        <v>8</v>
      </c>
      <c r="B306" s="8" t="s">
        <v>268</v>
      </c>
      <c r="C306" s="8" t="s">
        <v>131</v>
      </c>
      <c r="D306" s="116">
        <f>(47.744+6.825)*10.764</f>
        <v>587.38071600000001</v>
      </c>
      <c r="E306" s="116"/>
      <c r="F306" s="8">
        <v>0</v>
      </c>
      <c r="G306" s="8">
        <v>890</v>
      </c>
      <c r="H306" s="8" t="s">
        <v>132</v>
      </c>
      <c r="I306" s="177"/>
      <c r="J306" s="177"/>
    </row>
    <row r="307" spans="1:10" ht="15.6" x14ac:dyDescent="0.3">
      <c r="A307" s="8">
        <v>9</v>
      </c>
      <c r="B307" s="8" t="s">
        <v>268</v>
      </c>
      <c r="C307" s="8" t="s">
        <v>130</v>
      </c>
      <c r="D307" s="116">
        <f>(29.9+2.85*0.5+2.25*1.3+3.075*1.3+4.05)*10.764</f>
        <v>455.29028999999997</v>
      </c>
      <c r="E307" s="116"/>
      <c r="F307" s="8">
        <v>0</v>
      </c>
      <c r="G307" s="8">
        <v>680</v>
      </c>
      <c r="H307" s="8" t="s">
        <v>132</v>
      </c>
      <c r="I307" s="177"/>
      <c r="J307" s="177"/>
    </row>
    <row r="308" spans="1:10" ht="15.6" x14ac:dyDescent="0.3">
      <c r="A308" s="8">
        <v>10</v>
      </c>
      <c r="B308" s="8" t="s">
        <v>268</v>
      </c>
      <c r="C308" s="8" t="s">
        <v>130</v>
      </c>
      <c r="D308" s="116">
        <f>(29.9+2.85*0.5+2.25*1.3+3.075*1.3+4.05)*10.764</f>
        <v>455.29028999999997</v>
      </c>
      <c r="E308" s="116"/>
      <c r="F308" s="8">
        <v>0</v>
      </c>
      <c r="G308" s="8">
        <v>680</v>
      </c>
      <c r="H308" s="8" t="s">
        <v>132</v>
      </c>
      <c r="I308" s="177"/>
      <c r="J308" s="177"/>
    </row>
    <row r="309" spans="1:10" ht="15.6" x14ac:dyDescent="0.3">
      <c r="A309" s="8">
        <v>11</v>
      </c>
      <c r="B309" s="8" t="s">
        <v>268</v>
      </c>
      <c r="C309" s="8" t="s">
        <v>130</v>
      </c>
      <c r="D309" s="116">
        <f>(29.096+2.9*0.5+2.25*1.3+3.15*1.3+4.05)*10.764</f>
        <v>447.95462399999991</v>
      </c>
      <c r="E309" s="116"/>
      <c r="F309" s="8">
        <v>0</v>
      </c>
      <c r="G309" s="8">
        <v>655</v>
      </c>
      <c r="H309" s="8" t="s">
        <v>132</v>
      </c>
      <c r="I309" s="177"/>
      <c r="J309" s="177"/>
    </row>
    <row r="310" spans="1:10" ht="15.6" x14ac:dyDescent="0.3">
      <c r="A310" s="8">
        <v>12</v>
      </c>
      <c r="B310" s="8" t="s">
        <v>268</v>
      </c>
      <c r="C310" s="8" t="s">
        <v>131</v>
      </c>
      <c r="D310" s="116">
        <f>(47.968+5.963)*10.764</f>
        <v>580.513284</v>
      </c>
      <c r="E310" s="116"/>
      <c r="F310" s="8">
        <v>0</v>
      </c>
      <c r="G310" s="8">
        <v>880</v>
      </c>
      <c r="H310" s="8" t="s">
        <v>132</v>
      </c>
      <c r="I310" s="177"/>
      <c r="J310" s="177"/>
    </row>
    <row r="311" spans="1:10" ht="15.6" x14ac:dyDescent="0.3">
      <c r="A311" s="8">
        <v>13</v>
      </c>
      <c r="B311" s="8" t="s">
        <v>268</v>
      </c>
      <c r="C311" s="8" t="s">
        <v>131</v>
      </c>
      <c r="D311" s="116">
        <f>(47.968+5.963)*10.764</f>
        <v>580.513284</v>
      </c>
      <c r="E311" s="116"/>
      <c r="F311" s="8">
        <v>0</v>
      </c>
      <c r="G311" s="8">
        <v>880</v>
      </c>
      <c r="H311" s="8" t="s">
        <v>132</v>
      </c>
      <c r="I311" s="177"/>
      <c r="J311" s="177"/>
    </row>
    <row r="312" spans="1:10" ht="15.6" x14ac:dyDescent="0.3">
      <c r="A312" s="8">
        <v>14</v>
      </c>
      <c r="B312" s="8" t="s">
        <v>268</v>
      </c>
      <c r="C312" s="8" t="s">
        <v>130</v>
      </c>
      <c r="D312" s="116">
        <f>(27.858+2.7*0.75+2.25*1.317+3.075*1.167+3.375)*10.764</f>
        <v>428.51241809999999</v>
      </c>
      <c r="E312" s="116"/>
      <c r="F312" s="8">
        <v>0</v>
      </c>
      <c r="G312" s="8">
        <v>630</v>
      </c>
      <c r="H312" s="8" t="s">
        <v>132</v>
      </c>
      <c r="I312" s="177"/>
      <c r="J312" s="177"/>
    </row>
    <row r="313" spans="1:10" ht="15.6" x14ac:dyDescent="0.3">
      <c r="A313" s="8">
        <v>15</v>
      </c>
      <c r="B313" s="8" t="s">
        <v>268</v>
      </c>
      <c r="C313" s="8" t="s">
        <v>130</v>
      </c>
      <c r="D313" s="116">
        <f>(27.858+2.85*0.75+2.25*1.317+3.075*1.167+3.563)*10.764</f>
        <v>431.74700009999998</v>
      </c>
      <c r="E313" s="116"/>
      <c r="F313" s="8">
        <v>0</v>
      </c>
      <c r="G313" s="8">
        <v>630</v>
      </c>
      <c r="H313" s="8" t="s">
        <v>132</v>
      </c>
      <c r="I313" s="177"/>
      <c r="J313" s="177"/>
    </row>
    <row r="314" spans="1:10" ht="15.6" x14ac:dyDescent="0.3">
      <c r="A314" s="147" t="s">
        <v>264</v>
      </c>
      <c r="B314" s="148"/>
      <c r="C314" s="148"/>
      <c r="D314" s="148"/>
      <c r="E314" s="148"/>
      <c r="F314" s="148"/>
      <c r="G314" s="148"/>
      <c r="H314" s="148"/>
      <c r="I314" s="148"/>
      <c r="J314" s="149"/>
    </row>
    <row r="315" spans="1:10" ht="15.6" x14ac:dyDescent="0.3">
      <c r="A315" s="8">
        <v>1</v>
      </c>
      <c r="B315" s="8" t="s">
        <v>268</v>
      </c>
      <c r="C315" s="8" t="s">
        <v>131</v>
      </c>
      <c r="D315" s="116">
        <f>(50.535+5.875)*10.764</f>
        <v>607.19723999999997</v>
      </c>
      <c r="E315" s="116"/>
      <c r="F315" s="8">
        <v>0</v>
      </c>
      <c r="G315" s="8">
        <v>925</v>
      </c>
      <c r="H315" s="8" t="s">
        <v>132</v>
      </c>
      <c r="I315" s="177" t="str">
        <f>A314</f>
        <v>16th Floor</v>
      </c>
      <c r="J315" s="177"/>
    </row>
    <row r="316" spans="1:10" ht="15.6" x14ac:dyDescent="0.3">
      <c r="A316" s="8">
        <v>2</v>
      </c>
      <c r="B316" s="8" t="s">
        <v>268</v>
      </c>
      <c r="C316" s="8" t="s">
        <v>131</v>
      </c>
      <c r="D316" s="116">
        <f>(49.62+5.875)*10.764</f>
        <v>597.34817999999996</v>
      </c>
      <c r="E316" s="116"/>
      <c r="F316" s="8">
        <v>0</v>
      </c>
      <c r="G316" s="8">
        <v>910</v>
      </c>
      <c r="H316" s="8" t="s">
        <v>132</v>
      </c>
      <c r="I316" s="177"/>
      <c r="J316" s="177"/>
    </row>
    <row r="317" spans="1:10" ht="15.6" x14ac:dyDescent="0.3">
      <c r="A317" s="8">
        <v>3</v>
      </c>
      <c r="B317" s="8" t="s">
        <v>268</v>
      </c>
      <c r="C317" s="8" t="s">
        <v>131</v>
      </c>
      <c r="D317" s="116">
        <f>(49.148+3.24)*10.764</f>
        <v>563.90443200000004</v>
      </c>
      <c r="E317" s="116"/>
      <c r="F317" s="8">
        <v>0</v>
      </c>
      <c r="G317" s="8">
        <v>855</v>
      </c>
      <c r="H317" s="8" t="s">
        <v>132</v>
      </c>
      <c r="I317" s="177"/>
      <c r="J317" s="177"/>
    </row>
    <row r="318" spans="1:10" ht="15.6" x14ac:dyDescent="0.3">
      <c r="A318" s="8">
        <v>4</v>
      </c>
      <c r="B318" s="8" t="s">
        <v>268</v>
      </c>
      <c r="C318" s="8" t="s">
        <v>130</v>
      </c>
      <c r="D318" s="116">
        <f>(29.678+2.7*0.8+2.25*1.3+3.075*1.3+3.24)*10.764</f>
        <v>452.09338200000002</v>
      </c>
      <c r="E318" s="116"/>
      <c r="F318" s="8">
        <v>0</v>
      </c>
      <c r="G318" s="8">
        <v>665</v>
      </c>
      <c r="H318" s="8" t="s">
        <v>132</v>
      </c>
      <c r="I318" s="177"/>
      <c r="J318" s="177"/>
    </row>
    <row r="319" spans="1:10" ht="15.6" x14ac:dyDescent="0.3">
      <c r="A319" s="8">
        <v>5</v>
      </c>
      <c r="B319" s="8" t="s">
        <v>268</v>
      </c>
      <c r="C319" s="8" t="s">
        <v>130</v>
      </c>
      <c r="D319" s="116">
        <f>(29.678+2.7*0.8+2.25*1.3+3.075*1.3+3.24)*10.764</f>
        <v>452.09338200000002</v>
      </c>
      <c r="E319" s="116"/>
      <c r="F319" s="8">
        <v>0</v>
      </c>
      <c r="G319" s="8">
        <v>665</v>
      </c>
      <c r="H319" s="8" t="s">
        <v>132</v>
      </c>
      <c r="I319" s="177"/>
      <c r="J319" s="177"/>
    </row>
    <row r="320" spans="1:10" ht="15.6" x14ac:dyDescent="0.3">
      <c r="A320" s="8">
        <v>6</v>
      </c>
      <c r="B320" s="8" t="s">
        <v>268</v>
      </c>
      <c r="C320" s="8" t="s">
        <v>130</v>
      </c>
      <c r="D320" s="116">
        <f>(28.595+2.7*0.8+2.25*1.25+3.15*1.25+3.24)*10.764</f>
        <v>438.57917999999995</v>
      </c>
      <c r="E320" s="116"/>
      <c r="F320" s="8">
        <v>0</v>
      </c>
      <c r="G320" s="8">
        <v>640</v>
      </c>
      <c r="H320" s="8" t="s">
        <v>132</v>
      </c>
      <c r="I320" s="177"/>
      <c r="J320" s="177"/>
    </row>
    <row r="321" spans="1:21" ht="15.6" x14ac:dyDescent="0.3">
      <c r="A321" s="8">
        <v>7</v>
      </c>
      <c r="B321" s="8" t="s">
        <v>268</v>
      </c>
      <c r="C321" s="8" t="s">
        <v>130</v>
      </c>
      <c r="D321" s="116">
        <f>(26.658+2.75*0.8+2.25*1.2+3.15*1.2+3.24)*10.764</f>
        <v>415.25359200000003</v>
      </c>
      <c r="E321" s="116"/>
      <c r="F321" s="8">
        <v>0</v>
      </c>
      <c r="G321" s="8">
        <v>610</v>
      </c>
      <c r="H321" s="8" t="s">
        <v>132</v>
      </c>
      <c r="I321" s="177"/>
      <c r="J321" s="177"/>
    </row>
    <row r="322" spans="1:21" ht="15.6" x14ac:dyDescent="0.3">
      <c r="A322" s="8">
        <v>8</v>
      </c>
      <c r="B322" s="8" t="s">
        <v>268</v>
      </c>
      <c r="C322" s="8" t="s">
        <v>131</v>
      </c>
      <c r="D322" s="116">
        <f>(47.744+6.825)*10.764</f>
        <v>587.38071600000001</v>
      </c>
      <c r="E322" s="116"/>
      <c r="F322" s="8">
        <v>0</v>
      </c>
      <c r="G322" s="8">
        <v>890</v>
      </c>
      <c r="H322" s="8" t="s">
        <v>132</v>
      </c>
      <c r="I322" s="177"/>
      <c r="J322" s="177"/>
    </row>
    <row r="323" spans="1:21" ht="15.6" x14ac:dyDescent="0.3">
      <c r="A323" s="8">
        <v>9</v>
      </c>
      <c r="B323" s="8" t="s">
        <v>268</v>
      </c>
      <c r="C323" s="8" t="s">
        <v>130</v>
      </c>
      <c r="D323" s="116">
        <f>(29.9+2.85*0.5+2.25*1.3+3.075*1.3+4.05)*10.764</f>
        <v>455.29028999999997</v>
      </c>
      <c r="E323" s="116"/>
      <c r="F323" s="8">
        <v>0</v>
      </c>
      <c r="G323" s="8">
        <v>680</v>
      </c>
      <c r="H323" s="8" t="s">
        <v>132</v>
      </c>
      <c r="I323" s="177"/>
      <c r="J323" s="177"/>
    </row>
    <row r="324" spans="1:21" ht="15.6" x14ac:dyDescent="0.3">
      <c r="A324" s="8">
        <v>10</v>
      </c>
      <c r="B324" s="8" t="s">
        <v>268</v>
      </c>
      <c r="C324" s="8" t="s">
        <v>130</v>
      </c>
      <c r="D324" s="116">
        <f>(29.9+2.85*0.5+2.25*1.3+3.075*1.3+4.05)*10.764</f>
        <v>455.29028999999997</v>
      </c>
      <c r="E324" s="116"/>
      <c r="F324" s="8">
        <v>0</v>
      </c>
      <c r="G324" s="8">
        <v>680</v>
      </c>
      <c r="H324" s="8" t="s">
        <v>132</v>
      </c>
      <c r="I324" s="177"/>
      <c r="J324" s="177"/>
    </row>
    <row r="325" spans="1:21" ht="15.6" x14ac:dyDescent="0.3">
      <c r="A325" s="8">
        <v>11</v>
      </c>
      <c r="B325" s="8" t="s">
        <v>268</v>
      </c>
      <c r="C325" s="8" t="s">
        <v>130</v>
      </c>
      <c r="D325" s="116">
        <f>(29.096+2.9*0.5+2.25*1.3+3.15*1.3+4.05)*10.764</f>
        <v>447.95462399999991</v>
      </c>
      <c r="E325" s="116"/>
      <c r="F325" s="8">
        <v>0</v>
      </c>
      <c r="G325" s="8">
        <v>655</v>
      </c>
      <c r="H325" s="8" t="s">
        <v>132</v>
      </c>
      <c r="I325" s="177"/>
      <c r="J325" s="177"/>
    </row>
    <row r="326" spans="1:21" ht="15.6" x14ac:dyDescent="0.3">
      <c r="A326" s="8">
        <v>12</v>
      </c>
      <c r="B326" s="8" t="s">
        <v>268</v>
      </c>
      <c r="C326" s="8" t="s">
        <v>131</v>
      </c>
      <c r="D326" s="116">
        <f>(47.968+5.963)*10.764</f>
        <v>580.513284</v>
      </c>
      <c r="E326" s="116"/>
      <c r="F326" s="8">
        <v>0</v>
      </c>
      <c r="G326" s="8">
        <v>880</v>
      </c>
      <c r="H326" s="8" t="s">
        <v>132</v>
      </c>
      <c r="I326" s="177"/>
      <c r="J326" s="177"/>
    </row>
    <row r="327" spans="1:21" ht="15.6" x14ac:dyDescent="0.3">
      <c r="A327" s="8">
        <v>13</v>
      </c>
      <c r="B327" s="8" t="s">
        <v>268</v>
      </c>
      <c r="C327" s="8" t="s">
        <v>131</v>
      </c>
      <c r="D327" s="116">
        <f>(47.968+5.963)*10.764</f>
        <v>580.513284</v>
      </c>
      <c r="E327" s="116"/>
      <c r="F327" s="8">
        <v>0</v>
      </c>
      <c r="G327" s="8">
        <v>880</v>
      </c>
      <c r="H327" s="8" t="s">
        <v>132</v>
      </c>
      <c r="I327" s="177"/>
      <c r="J327" s="177"/>
    </row>
    <row r="328" spans="1:21" ht="15.6" x14ac:dyDescent="0.3">
      <c r="A328" s="8">
        <v>14</v>
      </c>
      <c r="B328" s="8" t="s">
        <v>268</v>
      </c>
      <c r="C328" s="8" t="s">
        <v>130</v>
      </c>
      <c r="D328" s="116">
        <f>(27.858+2.7*0.75+2.25*1.317+3.075*1.167+3.375)*10.764</f>
        <v>428.51241809999999</v>
      </c>
      <c r="E328" s="116"/>
      <c r="F328" s="8">
        <v>0</v>
      </c>
      <c r="G328" s="8">
        <v>630</v>
      </c>
      <c r="H328" s="8" t="s">
        <v>132</v>
      </c>
      <c r="I328" s="177"/>
      <c r="J328" s="177"/>
    </row>
    <row r="329" spans="1:21" ht="15.6" x14ac:dyDescent="0.3">
      <c r="A329" s="8">
        <v>15</v>
      </c>
      <c r="B329" s="8" t="s">
        <v>268</v>
      </c>
      <c r="C329" s="8" t="s">
        <v>130</v>
      </c>
      <c r="D329" s="116">
        <f>(27.858+2.85*0.75+2.25*1.317+3.075*1.167+3.563)*10.764</f>
        <v>431.74700009999998</v>
      </c>
      <c r="E329" s="116"/>
      <c r="F329" s="8">
        <v>0</v>
      </c>
      <c r="G329" s="8">
        <v>630</v>
      </c>
      <c r="H329" s="8" t="s">
        <v>132</v>
      </c>
      <c r="I329" s="177"/>
      <c r="J329" s="177"/>
    </row>
    <row r="330" spans="1:21" ht="15.6" x14ac:dyDescent="0.3">
      <c r="A330" s="126"/>
      <c r="B330" s="323"/>
      <c r="C330" s="323"/>
      <c r="D330" s="323"/>
      <c r="E330" s="323"/>
      <c r="F330" s="323"/>
      <c r="G330" s="323"/>
      <c r="H330" s="323"/>
      <c r="I330" s="323"/>
      <c r="J330" s="127"/>
    </row>
    <row r="331" spans="1:21" ht="258.75" customHeight="1" x14ac:dyDescent="0.3">
      <c r="A331" s="170" t="s">
        <v>319</v>
      </c>
      <c r="B331" s="171"/>
      <c r="C331" s="171"/>
      <c r="D331" s="171"/>
      <c r="E331" s="171"/>
      <c r="F331" s="171"/>
      <c r="G331" s="171"/>
      <c r="H331" s="171"/>
      <c r="I331" s="171"/>
      <c r="J331" s="172"/>
      <c r="K331" s="100"/>
      <c r="U331" t="s">
        <v>258</v>
      </c>
    </row>
    <row r="332" spans="1:21" x14ac:dyDescent="0.3">
      <c r="A332" s="113" t="s">
        <v>136</v>
      </c>
      <c r="B332" s="173"/>
      <c r="C332" s="173"/>
      <c r="D332" s="173"/>
      <c r="E332" s="173"/>
      <c r="F332" s="173"/>
      <c r="G332" s="173"/>
      <c r="H332" s="173"/>
      <c r="I332" s="173"/>
      <c r="J332" s="174"/>
    </row>
    <row r="333" spans="1:21" x14ac:dyDescent="0.3">
      <c r="A333" s="128" t="s">
        <v>137</v>
      </c>
      <c r="B333" s="129"/>
      <c r="C333" s="129"/>
      <c r="D333" s="129"/>
      <c r="E333" s="129"/>
      <c r="F333" s="129"/>
      <c r="G333" s="129"/>
      <c r="H333" s="129"/>
      <c r="I333" s="129"/>
      <c r="J333" s="130"/>
    </row>
    <row r="334" spans="1:21" x14ac:dyDescent="0.3">
      <c r="A334" s="113" t="s">
        <v>138</v>
      </c>
      <c r="B334" s="173"/>
      <c r="C334" s="173"/>
      <c r="D334" s="173"/>
      <c r="E334" s="173"/>
      <c r="F334" s="173"/>
      <c r="G334" s="173"/>
      <c r="H334" s="173"/>
      <c r="I334" s="173"/>
      <c r="J334" s="174"/>
    </row>
    <row r="335" spans="1:21" x14ac:dyDescent="0.3">
      <c r="A335" s="128" t="s">
        <v>139</v>
      </c>
      <c r="B335" s="129"/>
      <c r="C335" s="129"/>
      <c r="D335" s="129"/>
      <c r="E335" s="129"/>
      <c r="F335" s="129"/>
      <c r="G335" s="129"/>
      <c r="H335" s="129"/>
      <c r="I335" s="129"/>
      <c r="J335" s="130"/>
    </row>
    <row r="336" spans="1:21" x14ac:dyDescent="0.3">
      <c r="A336" s="301" t="s">
        <v>140</v>
      </c>
      <c r="B336" s="302"/>
      <c r="C336" s="302"/>
      <c r="D336" s="302"/>
      <c r="E336" s="302"/>
      <c r="F336" s="302"/>
      <c r="G336" s="302"/>
      <c r="H336" s="302"/>
      <c r="I336" s="302"/>
      <c r="J336" s="303"/>
    </row>
    <row r="337" spans="1:10" x14ac:dyDescent="0.3">
      <c r="A337" s="128" t="s">
        <v>141</v>
      </c>
      <c r="B337" s="129"/>
      <c r="C337" s="129"/>
      <c r="D337" s="129"/>
      <c r="E337" s="129"/>
      <c r="F337" s="129"/>
      <c r="G337" s="129"/>
      <c r="H337" s="129"/>
      <c r="I337" s="129"/>
      <c r="J337" s="130"/>
    </row>
    <row r="338" spans="1:10" x14ac:dyDescent="0.3">
      <c r="A338" s="128" t="s">
        <v>142</v>
      </c>
      <c r="B338" s="129"/>
      <c r="C338" s="129"/>
      <c r="D338" s="129"/>
      <c r="E338" s="129"/>
      <c r="F338" s="129"/>
      <c r="G338" s="129"/>
      <c r="H338" s="129"/>
      <c r="I338" s="129"/>
      <c r="J338" s="130"/>
    </row>
    <row r="339" spans="1:10" ht="32.25" customHeight="1" x14ac:dyDescent="0.3">
      <c r="A339" s="176" t="s">
        <v>143</v>
      </c>
      <c r="B339" s="102"/>
      <c r="C339" s="102"/>
      <c r="D339" s="102"/>
      <c r="E339" s="102"/>
      <c r="F339" s="102"/>
      <c r="G339" s="102"/>
      <c r="H339" s="102"/>
      <c r="I339" s="102"/>
      <c r="J339" s="103"/>
    </row>
    <row r="340" spans="1:10" x14ac:dyDescent="0.3">
      <c r="A340" s="161" t="s">
        <v>144</v>
      </c>
      <c r="B340" s="162"/>
      <c r="C340" s="162"/>
      <c r="D340" s="162"/>
      <c r="E340" s="162"/>
      <c r="F340" s="162"/>
      <c r="G340" s="162"/>
      <c r="H340" s="162"/>
      <c r="I340" s="162"/>
      <c r="J340" s="163"/>
    </row>
    <row r="341" spans="1:10" x14ac:dyDescent="0.3">
      <c r="A341" s="164"/>
      <c r="B341" s="165"/>
      <c r="C341" s="165"/>
      <c r="D341" s="165"/>
      <c r="E341" s="165"/>
      <c r="F341" s="165"/>
      <c r="G341" s="165"/>
      <c r="H341" s="165"/>
      <c r="I341" s="165"/>
      <c r="J341" s="166"/>
    </row>
    <row r="342" spans="1:10" x14ac:dyDescent="0.3">
      <c r="A342" s="164"/>
      <c r="B342" s="165"/>
      <c r="C342" s="165"/>
      <c r="D342" s="165"/>
      <c r="E342" s="165"/>
      <c r="F342" s="165"/>
      <c r="G342" s="165"/>
      <c r="H342" s="165"/>
      <c r="I342" s="165"/>
      <c r="J342" s="166"/>
    </row>
    <row r="343" spans="1:10" x14ac:dyDescent="0.3">
      <c r="A343" s="167"/>
      <c r="B343" s="168"/>
      <c r="C343" s="168"/>
      <c r="D343" s="168"/>
      <c r="E343" s="168"/>
      <c r="F343" s="168"/>
      <c r="G343" s="168"/>
      <c r="H343" s="168"/>
      <c r="I343" s="168"/>
      <c r="J343" s="169"/>
    </row>
    <row r="344" spans="1:10" x14ac:dyDescent="0.3">
      <c r="A344" s="81" t="s">
        <v>164</v>
      </c>
      <c r="B344" s="81"/>
      <c r="C344" s="81"/>
      <c r="D344" s="81"/>
      <c r="E344" s="81" t="str">
        <f>F7</f>
        <v>Sadguru Nakshtra Phase - I, II &amp; III</v>
      </c>
      <c r="F344" s="81"/>
      <c r="G344" s="81"/>
      <c r="H344" s="81"/>
      <c r="I344" s="81"/>
      <c r="J344" s="81"/>
    </row>
    <row r="365" spans="2:8" x14ac:dyDescent="0.3">
      <c r="B365" s="296"/>
      <c r="C365" s="296"/>
      <c r="G365" s="296"/>
      <c r="H365" s="296"/>
    </row>
    <row r="391" spans="1:10" x14ac:dyDescent="0.3">
      <c r="A391" s="81" t="s">
        <v>244</v>
      </c>
      <c r="B391" s="81"/>
      <c r="C391" s="81"/>
      <c r="D391" s="81"/>
      <c r="E391" s="81"/>
      <c r="F391" s="81"/>
      <c r="G391" s="81"/>
      <c r="H391" s="81"/>
      <c r="I391" s="81"/>
      <c r="J391" s="81"/>
    </row>
    <row r="412" spans="2:8" x14ac:dyDescent="0.3">
      <c r="B412" s="296"/>
      <c r="C412" s="296"/>
      <c r="G412" s="296"/>
      <c r="H412" s="296"/>
    </row>
    <row r="439" spans="1:10" x14ac:dyDescent="0.3">
      <c r="A439" s="81" t="s">
        <v>123</v>
      </c>
      <c r="B439" s="81"/>
      <c r="C439" s="81"/>
      <c r="D439" s="81"/>
      <c r="E439" s="81"/>
      <c r="F439" s="81"/>
      <c r="G439" s="81"/>
      <c r="H439" s="81"/>
      <c r="I439" s="81"/>
      <c r="J439" s="81"/>
    </row>
    <row r="460" spans="2:8" x14ac:dyDescent="0.3">
      <c r="B460" s="296"/>
      <c r="C460" s="296"/>
      <c r="G460" s="296"/>
      <c r="H460" s="296"/>
    </row>
  </sheetData>
  <mergeCells count="564">
    <mergeCell ref="D297:E297"/>
    <mergeCell ref="A298:J298"/>
    <mergeCell ref="A282:J282"/>
    <mergeCell ref="D283:E283"/>
    <mergeCell ref="I283:J297"/>
    <mergeCell ref="D284:E284"/>
    <mergeCell ref="D299:E299"/>
    <mergeCell ref="I299:J313"/>
    <mergeCell ref="D300:E300"/>
    <mergeCell ref="D301:E301"/>
    <mergeCell ref="D306:E306"/>
    <mergeCell ref="D307:E307"/>
    <mergeCell ref="D308:E308"/>
    <mergeCell ref="D309:E309"/>
    <mergeCell ref="D310:E310"/>
    <mergeCell ref="D311:E311"/>
    <mergeCell ref="D312:E312"/>
    <mergeCell ref="D313:E313"/>
    <mergeCell ref="C305:H305"/>
    <mergeCell ref="K265:L265"/>
    <mergeCell ref="A120:A122"/>
    <mergeCell ref="A123:B123"/>
    <mergeCell ref="D123:F123"/>
    <mergeCell ref="G123:J123"/>
    <mergeCell ref="A113:J113"/>
    <mergeCell ref="A114:B114"/>
    <mergeCell ref="D114:F114"/>
    <mergeCell ref="G114:J114"/>
    <mergeCell ref="A115:B115"/>
    <mergeCell ref="D115:F115"/>
    <mergeCell ref="G115:J115"/>
    <mergeCell ref="A116:B116"/>
    <mergeCell ref="D116:F116"/>
    <mergeCell ref="G116:J116"/>
    <mergeCell ref="K134:L134"/>
    <mergeCell ref="A147:B147"/>
    <mergeCell ref="D147:E147"/>
    <mergeCell ref="D170:E170"/>
    <mergeCell ref="D172:E172"/>
    <mergeCell ref="D173:E173"/>
    <mergeCell ref="A171:J171"/>
    <mergeCell ref="D174:E174"/>
    <mergeCell ref="D175:E175"/>
    <mergeCell ref="A330:J330"/>
    <mergeCell ref="A314:J314"/>
    <mergeCell ref="D315:E315"/>
    <mergeCell ref="I315:J329"/>
    <mergeCell ref="D316:E316"/>
    <mergeCell ref="D317:E317"/>
    <mergeCell ref="D318:E318"/>
    <mergeCell ref="D319:E319"/>
    <mergeCell ref="D320:E320"/>
    <mergeCell ref="D326:E326"/>
    <mergeCell ref="D327:E327"/>
    <mergeCell ref="D328:E328"/>
    <mergeCell ref="D329:E329"/>
    <mergeCell ref="D321:E321"/>
    <mergeCell ref="D322:E322"/>
    <mergeCell ref="D323:E323"/>
    <mergeCell ref="D324:E324"/>
    <mergeCell ref="D325:E325"/>
    <mergeCell ref="D285:E285"/>
    <mergeCell ref="D286:E286"/>
    <mergeCell ref="D287:E287"/>
    <mergeCell ref="D288:E288"/>
    <mergeCell ref="D289:E289"/>
    <mergeCell ref="D290:E290"/>
    <mergeCell ref="D291:E291"/>
    <mergeCell ref="D292:E292"/>
    <mergeCell ref="D293:E293"/>
    <mergeCell ref="D294:E294"/>
    <mergeCell ref="D295:E295"/>
    <mergeCell ref="D296:E296"/>
    <mergeCell ref="D302:E302"/>
    <mergeCell ref="D303:E303"/>
    <mergeCell ref="D304:E304"/>
    <mergeCell ref="A143:B143"/>
    <mergeCell ref="D143:E143"/>
    <mergeCell ref="A144:B144"/>
    <mergeCell ref="D144:E144"/>
    <mergeCell ref="D273:E273"/>
    <mergeCell ref="D274:E274"/>
    <mergeCell ref="D156:E156"/>
    <mergeCell ref="D155:E155"/>
    <mergeCell ref="D154:E154"/>
    <mergeCell ref="D145:E145"/>
    <mergeCell ref="A149:J149"/>
    <mergeCell ref="A247:B247"/>
    <mergeCell ref="D247:E247"/>
    <mergeCell ref="A248:B248"/>
    <mergeCell ref="A245:B245"/>
    <mergeCell ref="D245:E245"/>
    <mergeCell ref="I181:J188"/>
    <mergeCell ref="A180:J180"/>
    <mergeCell ref="D278:E278"/>
    <mergeCell ref="A151:J151"/>
    <mergeCell ref="I150:J150"/>
    <mergeCell ref="A150:B150"/>
    <mergeCell ref="D150:E150"/>
    <mergeCell ref="D184:E184"/>
    <mergeCell ref="D210:E210"/>
    <mergeCell ref="D211:E211"/>
    <mergeCell ref="D190:E190"/>
    <mergeCell ref="I267:J281"/>
    <mergeCell ref="D279:E279"/>
    <mergeCell ref="D280:E280"/>
    <mergeCell ref="D281:E281"/>
    <mergeCell ref="A207:J207"/>
    <mergeCell ref="A208:J208"/>
    <mergeCell ref="A209:J209"/>
    <mergeCell ref="D192:E192"/>
    <mergeCell ref="D193:E193"/>
    <mergeCell ref="D194:E194"/>
    <mergeCell ref="D195:E195"/>
    <mergeCell ref="D196:E196"/>
    <mergeCell ref="D197:E197"/>
    <mergeCell ref="I190:J197"/>
    <mergeCell ref="Q199:R199"/>
    <mergeCell ref="Q191:R191"/>
    <mergeCell ref="D158:E158"/>
    <mergeCell ref="D159:E159"/>
    <mergeCell ref="D166:E166"/>
    <mergeCell ref="D167:E167"/>
    <mergeCell ref="D163:E163"/>
    <mergeCell ref="D164:E164"/>
    <mergeCell ref="D161:E161"/>
    <mergeCell ref="D188:E188"/>
    <mergeCell ref="D169:E169"/>
    <mergeCell ref="D165:E165"/>
    <mergeCell ref="D168:E168"/>
    <mergeCell ref="D160:E160"/>
    <mergeCell ref="D183:E183"/>
    <mergeCell ref="D181:E181"/>
    <mergeCell ref="D191:E191"/>
    <mergeCell ref="A198:J198"/>
    <mergeCell ref="D199:E199"/>
    <mergeCell ref="I199:J206"/>
    <mergeCell ref="D200:E200"/>
    <mergeCell ref="D201:E201"/>
    <mergeCell ref="D202:E202"/>
    <mergeCell ref="D182:E182"/>
    <mergeCell ref="G107:J107"/>
    <mergeCell ref="G111:J111"/>
    <mergeCell ref="A105:J105"/>
    <mergeCell ref="A106:J106"/>
    <mergeCell ref="D119:F119"/>
    <mergeCell ref="D120:F120"/>
    <mergeCell ref="G120:J120"/>
    <mergeCell ref="A118:B118"/>
    <mergeCell ref="A110:F110"/>
    <mergeCell ref="G110:J110"/>
    <mergeCell ref="A112:F112"/>
    <mergeCell ref="G112:J112"/>
    <mergeCell ref="A108:F108"/>
    <mergeCell ref="G108:J108"/>
    <mergeCell ref="A99:B99"/>
    <mergeCell ref="D99:E99"/>
    <mergeCell ref="A100:B100"/>
    <mergeCell ref="D100:E100"/>
    <mergeCell ref="A101:B101"/>
    <mergeCell ref="D101:E101"/>
    <mergeCell ref="A102:B102"/>
    <mergeCell ref="D102:E102"/>
    <mergeCell ref="A103:J103"/>
    <mergeCell ref="D94:E94"/>
    <mergeCell ref="A95:B95"/>
    <mergeCell ref="D95:E95"/>
    <mergeCell ref="A96:B96"/>
    <mergeCell ref="D96:E96"/>
    <mergeCell ref="A97:B97"/>
    <mergeCell ref="D97:E97"/>
    <mergeCell ref="A98:B98"/>
    <mergeCell ref="D98:E98"/>
    <mergeCell ref="A43:B43"/>
    <mergeCell ref="C43:F43"/>
    <mergeCell ref="H43:J43"/>
    <mergeCell ref="A45:B45"/>
    <mergeCell ref="C45:F45"/>
    <mergeCell ref="H45:J45"/>
    <mergeCell ref="A44:B44"/>
    <mergeCell ref="C44:F44"/>
    <mergeCell ref="H44:J44"/>
    <mergeCell ref="H48:J48"/>
    <mergeCell ref="A51:B51"/>
    <mergeCell ref="C51:F51"/>
    <mergeCell ref="H51:J51"/>
    <mergeCell ref="A84:B84"/>
    <mergeCell ref="C84:J84"/>
    <mergeCell ref="E85:F85"/>
    <mergeCell ref="C71:J71"/>
    <mergeCell ref="A52:B52"/>
    <mergeCell ref="C52:F52"/>
    <mergeCell ref="H52:J52"/>
    <mergeCell ref="D53:E53"/>
    <mergeCell ref="A49:B49"/>
    <mergeCell ref="C49:F49"/>
    <mergeCell ref="H49:J49"/>
    <mergeCell ref="B460:C460"/>
    <mergeCell ref="G460:H460"/>
    <mergeCell ref="D253:E253"/>
    <mergeCell ref="I253:J254"/>
    <mergeCell ref="D254:E254"/>
    <mergeCell ref="A260:J260"/>
    <mergeCell ref="D261:E261"/>
    <mergeCell ref="I261:J264"/>
    <mergeCell ref="D262:E262"/>
    <mergeCell ref="D263:E263"/>
    <mergeCell ref="D264:E264"/>
    <mergeCell ref="B365:C365"/>
    <mergeCell ref="G365:H365"/>
    <mergeCell ref="A335:J335"/>
    <mergeCell ref="A336:J336"/>
    <mergeCell ref="A255:J255"/>
    <mergeCell ref="D275:E275"/>
    <mergeCell ref="D276:E276"/>
    <mergeCell ref="A265:J265"/>
    <mergeCell ref="D272:E272"/>
    <mergeCell ref="D271:E271"/>
    <mergeCell ref="A266:J266"/>
    <mergeCell ref="D267:E267"/>
    <mergeCell ref="D268:E268"/>
    <mergeCell ref="A132:B132"/>
    <mergeCell ref="D132:E132"/>
    <mergeCell ref="I132:J132"/>
    <mergeCell ref="A133:J133"/>
    <mergeCell ref="G118:J118"/>
    <mergeCell ref="G119:J119"/>
    <mergeCell ref="D118:F118"/>
    <mergeCell ref="A119:B119"/>
    <mergeCell ref="D277:E277"/>
    <mergeCell ref="D269:E269"/>
    <mergeCell ref="D270:E270"/>
    <mergeCell ref="D248:E248"/>
    <mergeCell ref="I247:J250"/>
    <mergeCell ref="D256:E256"/>
    <mergeCell ref="I256:J259"/>
    <mergeCell ref="D257:E257"/>
    <mergeCell ref="D258:E258"/>
    <mergeCell ref="D259:E259"/>
    <mergeCell ref="D203:E203"/>
    <mergeCell ref="D128:F128"/>
    <mergeCell ref="G128:J128"/>
    <mergeCell ref="D204:E204"/>
    <mergeCell ref="C57:J57"/>
    <mergeCell ref="C58:J58"/>
    <mergeCell ref="A66:B66"/>
    <mergeCell ref="C66:J66"/>
    <mergeCell ref="A67:B68"/>
    <mergeCell ref="C67:D68"/>
    <mergeCell ref="E67:G68"/>
    <mergeCell ref="H67:J68"/>
    <mergeCell ref="B412:C412"/>
    <mergeCell ref="G412:H412"/>
    <mergeCell ref="A128:B128"/>
    <mergeCell ref="A117:J117"/>
    <mergeCell ref="I242:J245"/>
    <mergeCell ref="A249:B249"/>
    <mergeCell ref="D249:E249"/>
    <mergeCell ref="A250:B250"/>
    <mergeCell ref="D250:E250"/>
    <mergeCell ref="A152:J152"/>
    <mergeCell ref="A189:J189"/>
    <mergeCell ref="A153:J153"/>
    <mergeCell ref="I154:J161"/>
    <mergeCell ref="A162:J162"/>
    <mergeCell ref="I163:J170"/>
    <mergeCell ref="D157:E157"/>
    <mergeCell ref="A72:B73"/>
    <mergeCell ref="C72:D73"/>
    <mergeCell ref="E72:G73"/>
    <mergeCell ref="H72:J73"/>
    <mergeCell ref="A69:B69"/>
    <mergeCell ref="A46:B46"/>
    <mergeCell ref="C46:F46"/>
    <mergeCell ref="H46:J46"/>
    <mergeCell ref="C60:J60"/>
    <mergeCell ref="C61:J61"/>
    <mergeCell ref="E65:F65"/>
    <mergeCell ref="I65:J65"/>
    <mergeCell ref="A58:B61"/>
    <mergeCell ref="C59:J59"/>
    <mergeCell ref="A47:B47"/>
    <mergeCell ref="C47:F47"/>
    <mergeCell ref="H47:J47"/>
    <mergeCell ref="D56:J56"/>
    <mergeCell ref="D55:J55"/>
    <mergeCell ref="A64:B64"/>
    <mergeCell ref="C64:J64"/>
    <mergeCell ref="C69:J69"/>
    <mergeCell ref="A63:J63"/>
    <mergeCell ref="A57:B57"/>
    <mergeCell ref="C31:J31"/>
    <mergeCell ref="C30:J30"/>
    <mergeCell ref="A42:B42"/>
    <mergeCell ref="C42:F42"/>
    <mergeCell ref="H42:J42"/>
    <mergeCell ref="A38:E38"/>
    <mergeCell ref="F37:J37"/>
    <mergeCell ref="A41:J41"/>
    <mergeCell ref="A37:E37"/>
    <mergeCell ref="F35:J35"/>
    <mergeCell ref="A48:B48"/>
    <mergeCell ref="C48:F48"/>
    <mergeCell ref="A71:B71"/>
    <mergeCell ref="E26:F26"/>
    <mergeCell ref="C26:D26"/>
    <mergeCell ref="G26:H26"/>
    <mergeCell ref="A33:J34"/>
    <mergeCell ref="A28:J28"/>
    <mergeCell ref="A35:E35"/>
    <mergeCell ref="A30:B30"/>
    <mergeCell ref="A55:C55"/>
    <mergeCell ref="E62:J62"/>
    <mergeCell ref="A54:J54"/>
    <mergeCell ref="A56:C56"/>
    <mergeCell ref="A29:J29"/>
    <mergeCell ref="A50:B50"/>
    <mergeCell ref="C50:F50"/>
    <mergeCell ref="H50:J50"/>
    <mergeCell ref="A26:B26"/>
    <mergeCell ref="A36:E36"/>
    <mergeCell ref="F36:J36"/>
    <mergeCell ref="F40:J40"/>
    <mergeCell ref="A40:E40"/>
    <mergeCell ref="A31:B31"/>
    <mergeCell ref="I27:J27"/>
    <mergeCell ref="A7:E7"/>
    <mergeCell ref="H17:J17"/>
    <mergeCell ref="A10:E10"/>
    <mergeCell ref="F10:J10"/>
    <mergeCell ref="A12:E12"/>
    <mergeCell ref="F12:J12"/>
    <mergeCell ref="F8:J8"/>
    <mergeCell ref="F11:J11"/>
    <mergeCell ref="C25:D25"/>
    <mergeCell ref="E25:F25"/>
    <mergeCell ref="G25:H25"/>
    <mergeCell ref="A17:B17"/>
    <mergeCell ref="F18:J19"/>
    <mergeCell ref="A22:E22"/>
    <mergeCell ref="F20:J20"/>
    <mergeCell ref="A24:E24"/>
    <mergeCell ref="A21:E21"/>
    <mergeCell ref="F17:G17"/>
    <mergeCell ref="F7:J7"/>
    <mergeCell ref="A14:B14"/>
    <mergeCell ref="C14:E14"/>
    <mergeCell ref="A15:B15"/>
    <mergeCell ref="C15:E15"/>
    <mergeCell ref="A2:E2"/>
    <mergeCell ref="F2:J2"/>
    <mergeCell ref="A3:E3"/>
    <mergeCell ref="F3:J3"/>
    <mergeCell ref="A5:E5"/>
    <mergeCell ref="F5:J5"/>
    <mergeCell ref="A4:E4"/>
    <mergeCell ref="F4:J4"/>
    <mergeCell ref="A6:E6"/>
    <mergeCell ref="F6:J6"/>
    <mergeCell ref="A11:E11"/>
    <mergeCell ref="A8:E8"/>
    <mergeCell ref="F22:J22"/>
    <mergeCell ref="A25:B25"/>
    <mergeCell ref="G27:H27"/>
    <mergeCell ref="A1:J1"/>
    <mergeCell ref="F53:G53"/>
    <mergeCell ref="A13:B13"/>
    <mergeCell ref="C13:J13"/>
    <mergeCell ref="A32:J32"/>
    <mergeCell ref="A27:B27"/>
    <mergeCell ref="C27:D27"/>
    <mergeCell ref="F38:J38"/>
    <mergeCell ref="E27:F27"/>
    <mergeCell ref="A39:E39"/>
    <mergeCell ref="F39:J39"/>
    <mergeCell ref="A53:C53"/>
    <mergeCell ref="H53:J53"/>
    <mergeCell ref="I26:J26"/>
    <mergeCell ref="A18:E19"/>
    <mergeCell ref="A20:E20"/>
    <mergeCell ref="F23:J23"/>
    <mergeCell ref="A16:B16"/>
    <mergeCell ref="C16:E16"/>
    <mergeCell ref="C81:E81"/>
    <mergeCell ref="A62:D62"/>
    <mergeCell ref="A74:J74"/>
    <mergeCell ref="A75:B82"/>
    <mergeCell ref="C75:E75"/>
    <mergeCell ref="F75:G75"/>
    <mergeCell ref="A130:J130"/>
    <mergeCell ref="A104:J104"/>
    <mergeCell ref="A107:F107"/>
    <mergeCell ref="C79:E79"/>
    <mergeCell ref="C78:E78"/>
    <mergeCell ref="C76:E76"/>
    <mergeCell ref="F76:G76"/>
    <mergeCell ref="C77:E77"/>
    <mergeCell ref="F78:G78"/>
    <mergeCell ref="F79:G79"/>
    <mergeCell ref="C80:E80"/>
    <mergeCell ref="E70:F70"/>
    <mergeCell ref="I70:J70"/>
    <mergeCell ref="F80:G80"/>
    <mergeCell ref="C82:E82"/>
    <mergeCell ref="F82:G82"/>
    <mergeCell ref="A83:C83"/>
    <mergeCell ref="A111:F111"/>
    <mergeCell ref="I85:J85"/>
    <mergeCell ref="A86:B86"/>
    <mergeCell ref="C86:J86"/>
    <mergeCell ref="A87:B88"/>
    <mergeCell ref="C87:D88"/>
    <mergeCell ref="E87:G88"/>
    <mergeCell ref="H87:J88"/>
    <mergeCell ref="G109:J109"/>
    <mergeCell ref="A89:B89"/>
    <mergeCell ref="C89:J89"/>
    <mergeCell ref="E90:F90"/>
    <mergeCell ref="I90:J90"/>
    <mergeCell ref="A91:B91"/>
    <mergeCell ref="C91:J91"/>
    <mergeCell ref="A92:B92"/>
    <mergeCell ref="D92:E92"/>
    <mergeCell ref="F92:G92"/>
    <mergeCell ref="H92:J92"/>
    <mergeCell ref="A109:F109"/>
    <mergeCell ref="H93:J102"/>
    <mergeCell ref="A93:B93"/>
    <mergeCell ref="D93:E93"/>
    <mergeCell ref="F93:G102"/>
    <mergeCell ref="A94:B94"/>
    <mergeCell ref="D121:F121"/>
    <mergeCell ref="G121:J121"/>
    <mergeCell ref="D122:F122"/>
    <mergeCell ref="G122:J122"/>
    <mergeCell ref="A136:B136"/>
    <mergeCell ref="D136:E136"/>
    <mergeCell ref="I135:J148"/>
    <mergeCell ref="A131:J131"/>
    <mergeCell ref="D127:F127"/>
    <mergeCell ref="G127:J127"/>
    <mergeCell ref="A124:B124"/>
    <mergeCell ref="D124:F124"/>
    <mergeCell ref="G124:J124"/>
    <mergeCell ref="A134:J134"/>
    <mergeCell ref="A135:B135"/>
    <mergeCell ref="D135:E135"/>
    <mergeCell ref="A140:B140"/>
    <mergeCell ref="D140:E140"/>
    <mergeCell ref="A141:B141"/>
    <mergeCell ref="D141:E141"/>
    <mergeCell ref="A142:B142"/>
    <mergeCell ref="D142:E142"/>
    <mergeCell ref="A129:B129"/>
    <mergeCell ref="D129:F129"/>
    <mergeCell ref="G129:J129"/>
    <mergeCell ref="A145:B145"/>
    <mergeCell ref="A146:B146"/>
    <mergeCell ref="D146:E146"/>
    <mergeCell ref="D205:E205"/>
    <mergeCell ref="D206:E206"/>
    <mergeCell ref="A223:J223"/>
    <mergeCell ref="I217:J222"/>
    <mergeCell ref="D213:E213"/>
    <mergeCell ref="D218:E218"/>
    <mergeCell ref="D221:E221"/>
    <mergeCell ref="D220:E220"/>
    <mergeCell ref="D212:E212"/>
    <mergeCell ref="D217:E217"/>
    <mergeCell ref="D214:E214"/>
    <mergeCell ref="D215:E215"/>
    <mergeCell ref="A137:B137"/>
    <mergeCell ref="D137:E137"/>
    <mergeCell ref="A138:B138"/>
    <mergeCell ref="D138:E138"/>
    <mergeCell ref="A139:B139"/>
    <mergeCell ref="D139:E139"/>
    <mergeCell ref="A148:B148"/>
    <mergeCell ref="D148:E148"/>
    <mergeCell ref="A239:B239"/>
    <mergeCell ref="D239:E239"/>
    <mergeCell ref="A240:B240"/>
    <mergeCell ref="D240:E240"/>
    <mergeCell ref="I239:J240"/>
    <mergeCell ref="A251:J251"/>
    <mergeCell ref="A252:J252"/>
    <mergeCell ref="A243:B243"/>
    <mergeCell ref="D243:E243"/>
    <mergeCell ref="A244:B244"/>
    <mergeCell ref="D244:E244"/>
    <mergeCell ref="A246:J246"/>
    <mergeCell ref="A242:B242"/>
    <mergeCell ref="D242:E242"/>
    <mergeCell ref="A241:J241"/>
    <mergeCell ref="A340:J343"/>
    <mergeCell ref="A331:J331"/>
    <mergeCell ref="A332:J332"/>
    <mergeCell ref="A333:J333"/>
    <mergeCell ref="A334:J334"/>
    <mergeCell ref="A337:J337"/>
    <mergeCell ref="A338:J338"/>
    <mergeCell ref="I210:J215"/>
    <mergeCell ref="A216:J216"/>
    <mergeCell ref="A231:J231"/>
    <mergeCell ref="D233:E233"/>
    <mergeCell ref="I226:J230"/>
    <mergeCell ref="A238:J238"/>
    <mergeCell ref="D236:E236"/>
    <mergeCell ref="I232:J236"/>
    <mergeCell ref="A237:J237"/>
    <mergeCell ref="D234:E234"/>
    <mergeCell ref="D235:E235"/>
    <mergeCell ref="A339:J339"/>
    <mergeCell ref="D232:E232"/>
    <mergeCell ref="D229:E229"/>
    <mergeCell ref="D230:E230"/>
    <mergeCell ref="D228:E228"/>
    <mergeCell ref="D227:E227"/>
    <mergeCell ref="D226:E226"/>
    <mergeCell ref="A9:E9"/>
    <mergeCell ref="F9:J9"/>
    <mergeCell ref="D83:E83"/>
    <mergeCell ref="F83:H83"/>
    <mergeCell ref="I83:J83"/>
    <mergeCell ref="H75:J82"/>
    <mergeCell ref="F81:G81"/>
    <mergeCell ref="F77:G77"/>
    <mergeCell ref="D219:E219"/>
    <mergeCell ref="A225:J225"/>
    <mergeCell ref="A224:J224"/>
    <mergeCell ref="D222:E222"/>
    <mergeCell ref="A125:J125"/>
    <mergeCell ref="A126:B126"/>
    <mergeCell ref="D126:F126"/>
    <mergeCell ref="G126:J126"/>
    <mergeCell ref="A127:B127"/>
    <mergeCell ref="D177:E177"/>
    <mergeCell ref="D178:E178"/>
    <mergeCell ref="D179:E179"/>
    <mergeCell ref="D185:E185"/>
    <mergeCell ref="D186:E186"/>
    <mergeCell ref="D187:E187"/>
    <mergeCell ref="K154:L154"/>
    <mergeCell ref="K155:L155"/>
    <mergeCell ref="K156:L156"/>
    <mergeCell ref="K157:L157"/>
    <mergeCell ref="K158:L158"/>
    <mergeCell ref="K159:L159"/>
    <mergeCell ref="K160:L160"/>
    <mergeCell ref="K161:L161"/>
    <mergeCell ref="D176:E176"/>
    <mergeCell ref="I172:J179"/>
    <mergeCell ref="L173:M173"/>
    <mergeCell ref="F14:G14"/>
    <mergeCell ref="H14:J14"/>
    <mergeCell ref="F15:G15"/>
    <mergeCell ref="H15:J15"/>
    <mergeCell ref="F16:G16"/>
    <mergeCell ref="H16:J16"/>
    <mergeCell ref="I25:J25"/>
    <mergeCell ref="F21:J21"/>
    <mergeCell ref="A23:E23"/>
    <mergeCell ref="C17:E17"/>
    <mergeCell ref="F24:J24"/>
  </mergeCells>
  <phoneticPr fontId="0" type="noConversion"/>
  <hyperlinks>
    <hyperlink ref="C31" r:id="rId1" xr:uid="{00000000-0004-0000-0000-000000000000}"/>
    <hyperlink ref="K105" r:id="rId2" xr:uid="{00000000-0004-0000-0000-000001000000}"/>
  </hyperlinks>
  <pageMargins left="0.39370078740157483" right="0.39370078740157483" top="0.98425196850393704" bottom="0.59055118110236227" header="0.19685039370078741" footer="0.19685039370078741"/>
  <pageSetup paperSize="9" scale="93" fitToHeight="0" orientation="portrait" r:id="rId3"/>
  <headerFooter>
    <oddHeader>&amp;C&amp;G</oddHeader>
    <oddFooter>&amp;L&amp;"Times New Roman,Bold"Ref No: &amp;F&amp;C&amp;G&amp;R&amp;P</oddFooter>
  </headerFooter>
  <rowBreaks count="3" manualBreakCount="3">
    <brk id="343" max="9" man="1"/>
    <brk id="390" max="9" man="1"/>
    <brk id="438" max="9" man="1"/>
  </rowBreaks>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O71"/>
  <sheetViews>
    <sheetView workbookViewId="0">
      <selection activeCell="C9" sqref="C9"/>
    </sheetView>
  </sheetViews>
  <sheetFormatPr defaultRowHeight="14.4" x14ac:dyDescent="0.3"/>
  <cols>
    <col min="2" max="2" width="11.6640625" customWidth="1"/>
  </cols>
  <sheetData>
    <row r="2" spans="1:15" x14ac:dyDescent="0.3">
      <c r="A2" t="s">
        <v>100</v>
      </c>
      <c r="B2" s="10" t="s">
        <v>120</v>
      </c>
      <c r="C2" s="10">
        <v>14</v>
      </c>
    </row>
    <row r="3" spans="1:15" x14ac:dyDescent="0.3">
      <c r="B3" t="s">
        <v>101</v>
      </c>
      <c r="C3" t="s">
        <v>102</v>
      </c>
    </row>
    <row r="4" spans="1:15" x14ac:dyDescent="0.3">
      <c r="A4" t="s">
        <v>103</v>
      </c>
      <c r="B4" s="3">
        <v>10</v>
      </c>
      <c r="C4" s="3">
        <v>10</v>
      </c>
      <c r="E4">
        <f>(100/B4)*C4</f>
        <v>100</v>
      </c>
    </row>
    <row r="5" spans="1:15" x14ac:dyDescent="0.3">
      <c r="A5" t="s">
        <v>104</v>
      </c>
      <c r="B5" t="s">
        <v>105</v>
      </c>
      <c r="C5" t="s">
        <v>106</v>
      </c>
      <c r="E5">
        <f>(100/B6)*C6</f>
        <v>40</v>
      </c>
      <c r="I5" s="3" t="s">
        <v>107</v>
      </c>
      <c r="J5" s="3" t="s">
        <v>108</v>
      </c>
      <c r="K5" s="3" t="s">
        <v>109</v>
      </c>
      <c r="L5" s="3" t="s">
        <v>35</v>
      </c>
      <c r="M5" s="3" t="s">
        <v>37</v>
      </c>
      <c r="N5" s="3" t="s">
        <v>110</v>
      </c>
      <c r="O5" s="3" t="s">
        <v>39</v>
      </c>
    </row>
    <row r="6" spans="1:15" x14ac:dyDescent="0.3">
      <c r="B6" s="3">
        <f>C2+1</f>
        <v>15</v>
      </c>
      <c r="C6" s="3">
        <v>6</v>
      </c>
      <c r="E6">
        <f>(100/B8)*C8</f>
        <v>7.1428571428571432</v>
      </c>
      <c r="F6" s="11" t="s">
        <v>111</v>
      </c>
      <c r="I6" s="11">
        <f>C4</f>
        <v>10</v>
      </c>
      <c r="J6" s="11">
        <f>40/B6*C6</f>
        <v>16</v>
      </c>
      <c r="K6" s="11">
        <f>15/B8*C8</f>
        <v>1.0714285714285714</v>
      </c>
      <c r="L6" s="11">
        <f>10/B10*C10</f>
        <v>0</v>
      </c>
      <c r="M6" s="11">
        <f>10/B12*C12</f>
        <v>0</v>
      </c>
      <c r="N6" s="11">
        <f>5/B14*C14</f>
        <v>0</v>
      </c>
      <c r="O6" s="11">
        <f>5/B16*C16</f>
        <v>0</v>
      </c>
    </row>
    <row r="7" spans="1:15" x14ac:dyDescent="0.3">
      <c r="A7" t="s">
        <v>112</v>
      </c>
      <c r="B7" t="s">
        <v>113</v>
      </c>
      <c r="C7" t="s">
        <v>114</v>
      </c>
      <c r="E7">
        <f>(100/B10)*C10</f>
        <v>0</v>
      </c>
      <c r="F7" s="3" t="s">
        <v>115</v>
      </c>
      <c r="G7" s="3"/>
      <c r="H7" s="3"/>
      <c r="I7" s="3">
        <f>I6+20</f>
        <v>30</v>
      </c>
      <c r="J7" s="3">
        <f>30/B6*C6</f>
        <v>12</v>
      </c>
      <c r="K7" s="3">
        <f>15/B8*C8</f>
        <v>1.0714285714285714</v>
      </c>
      <c r="L7" s="3">
        <f>10/B10*C10</f>
        <v>0</v>
      </c>
      <c r="M7" s="3">
        <f>5/B12*C12</f>
        <v>0</v>
      </c>
      <c r="N7" s="3">
        <f>5/B14*C14</f>
        <v>0</v>
      </c>
      <c r="O7" s="3">
        <f>5/B16*C16</f>
        <v>0</v>
      </c>
    </row>
    <row r="8" spans="1:15" x14ac:dyDescent="0.3">
      <c r="B8" s="3">
        <f>C2</f>
        <v>14</v>
      </c>
      <c r="C8" s="3">
        <v>1</v>
      </c>
      <c r="E8">
        <f>(100/B12)*C12</f>
        <v>0</v>
      </c>
    </row>
    <row r="9" spans="1:15" x14ac:dyDescent="0.3">
      <c r="A9" t="s">
        <v>116</v>
      </c>
      <c r="B9" t="s">
        <v>113</v>
      </c>
      <c r="C9" t="s">
        <v>114</v>
      </c>
      <c r="E9">
        <f>(100/B14)*C14</f>
        <v>0</v>
      </c>
    </row>
    <row r="10" spans="1:15" x14ac:dyDescent="0.3">
      <c r="B10" s="3">
        <f>C2</f>
        <v>14</v>
      </c>
      <c r="C10" s="3">
        <v>0</v>
      </c>
      <c r="E10">
        <f>(100/B16)*C16</f>
        <v>0</v>
      </c>
    </row>
    <row r="11" spans="1:15" x14ac:dyDescent="0.3">
      <c r="A11" t="s">
        <v>37</v>
      </c>
      <c r="B11" t="s">
        <v>113</v>
      </c>
      <c r="C11" t="s">
        <v>114</v>
      </c>
    </row>
    <row r="12" spans="1:15" x14ac:dyDescent="0.3">
      <c r="B12" s="3">
        <f>C2</f>
        <v>14</v>
      </c>
      <c r="C12" s="3">
        <v>0</v>
      </c>
      <c r="F12" s="3"/>
      <c r="G12" s="3" t="s">
        <v>111</v>
      </c>
      <c r="H12" s="3" t="s">
        <v>117</v>
      </c>
      <c r="L12" t="s">
        <v>118</v>
      </c>
    </row>
    <row r="13" spans="1:15" ht="28.8" x14ac:dyDescent="0.3">
      <c r="A13" s="12" t="s">
        <v>110</v>
      </c>
      <c r="B13" t="s">
        <v>113</v>
      </c>
      <c r="C13" t="s">
        <v>114</v>
      </c>
      <c r="F13" s="3" t="s">
        <v>32</v>
      </c>
      <c r="G13" s="3">
        <f>I6</f>
        <v>10</v>
      </c>
      <c r="H13" s="3">
        <f>I7</f>
        <v>30</v>
      </c>
      <c r="L13" t="s">
        <v>118</v>
      </c>
    </row>
    <row r="14" spans="1:15" x14ac:dyDescent="0.3">
      <c r="B14" s="3">
        <f>C2</f>
        <v>14</v>
      </c>
      <c r="C14" s="3">
        <v>0</v>
      </c>
      <c r="F14" s="3" t="s">
        <v>33</v>
      </c>
      <c r="G14" s="3">
        <f>J6</f>
        <v>16</v>
      </c>
      <c r="H14" s="3">
        <f>J7</f>
        <v>12</v>
      </c>
    </row>
    <row r="15" spans="1:15" x14ac:dyDescent="0.3">
      <c r="A15" t="s">
        <v>39</v>
      </c>
      <c r="B15" t="s">
        <v>113</v>
      </c>
      <c r="C15" t="s">
        <v>114</v>
      </c>
      <c r="F15" s="3" t="s">
        <v>109</v>
      </c>
      <c r="G15" s="3">
        <f>K6</f>
        <v>1.0714285714285714</v>
      </c>
      <c r="H15" s="3">
        <f>K7</f>
        <v>1.0714285714285714</v>
      </c>
    </row>
    <row r="16" spans="1:15" x14ac:dyDescent="0.3">
      <c r="B16" s="3">
        <f>C2</f>
        <v>14</v>
      </c>
      <c r="C16" s="3">
        <v>0</v>
      </c>
      <c r="F16" s="3" t="s">
        <v>35</v>
      </c>
      <c r="G16" s="3">
        <f>L6</f>
        <v>0</v>
      </c>
      <c r="H16" s="3">
        <f>L7</f>
        <v>0</v>
      </c>
    </row>
    <row r="17" spans="6:13" x14ac:dyDescent="0.3">
      <c r="F17" s="3" t="s">
        <v>37</v>
      </c>
      <c r="G17" s="3">
        <f>M6</f>
        <v>0</v>
      </c>
      <c r="H17" s="3">
        <f>M7</f>
        <v>0</v>
      </c>
    </row>
    <row r="18" spans="6:13" ht="28.8" x14ac:dyDescent="0.3">
      <c r="F18" s="13" t="s">
        <v>110</v>
      </c>
      <c r="G18" s="3">
        <f>N6</f>
        <v>0</v>
      </c>
      <c r="H18" s="3">
        <f>N7</f>
        <v>0</v>
      </c>
    </row>
    <row r="19" spans="6:13" x14ac:dyDescent="0.3">
      <c r="F19" s="3" t="s">
        <v>39</v>
      </c>
      <c r="G19" s="3">
        <f>O6</f>
        <v>0</v>
      </c>
      <c r="H19" s="3">
        <f>O7</f>
        <v>0</v>
      </c>
    </row>
    <row r="20" spans="6:13" x14ac:dyDescent="0.3">
      <c r="F20" s="3" t="s">
        <v>119</v>
      </c>
      <c r="G20" s="3">
        <f>G13+G14+G15+G16+G17+G18+G19</f>
        <v>27.071428571428573</v>
      </c>
      <c r="H20" s="3">
        <f>H13+H14+H15+H16+H17+H18+H19</f>
        <v>43.071428571428569</v>
      </c>
      <c r="J20">
        <v>454</v>
      </c>
      <c r="K20">
        <f>J20*1.5</f>
        <v>681</v>
      </c>
      <c r="L20">
        <f>M20/K20</f>
        <v>5308.3700440528637</v>
      </c>
      <c r="M20">
        <v>3615000</v>
      </c>
    </row>
    <row r="64" spans="1:4" x14ac:dyDescent="0.3">
      <c r="A64" s="36"/>
      <c r="B64" s="36"/>
      <c r="C64" s="36"/>
      <c r="D64" s="36"/>
    </row>
    <row r="65" spans="1:5" x14ac:dyDescent="0.3">
      <c r="A65" s="36" t="s">
        <v>165</v>
      </c>
      <c r="D65" s="37">
        <v>0.01</v>
      </c>
      <c r="E65" s="37">
        <v>0.02</v>
      </c>
    </row>
    <row r="66" spans="1:5" x14ac:dyDescent="0.3">
      <c r="A66" s="36" t="s">
        <v>166</v>
      </c>
      <c r="D66" s="37">
        <v>0.01</v>
      </c>
      <c r="E66" s="37">
        <v>0.03</v>
      </c>
    </row>
    <row r="67" spans="1:5" x14ac:dyDescent="0.3">
      <c r="A67" s="36" t="s">
        <v>167</v>
      </c>
      <c r="D67" s="37">
        <v>0.03</v>
      </c>
      <c r="E67" s="37">
        <v>0.08</v>
      </c>
    </row>
    <row r="68" spans="1:5" x14ac:dyDescent="0.3">
      <c r="A68" s="36" t="s">
        <v>168</v>
      </c>
      <c r="D68" s="37">
        <v>0.05</v>
      </c>
      <c r="E68" s="37">
        <v>0.15</v>
      </c>
    </row>
    <row r="69" spans="1:5" x14ac:dyDescent="0.3">
      <c r="A69" s="36" t="s">
        <v>169</v>
      </c>
      <c r="D69" s="37">
        <v>7.0000000000000007E-2</v>
      </c>
      <c r="E69" s="37">
        <v>0.2</v>
      </c>
    </row>
    <row r="70" spans="1:5" x14ac:dyDescent="0.3">
      <c r="A70" s="36" t="s">
        <v>170</v>
      </c>
      <c r="D70" s="37">
        <v>0.1</v>
      </c>
      <c r="E70" s="37">
        <v>0.3</v>
      </c>
    </row>
    <row r="71" spans="1:5" x14ac:dyDescent="0.3">
      <c r="A71" s="36"/>
      <c r="B71" s="36"/>
      <c r="C71" s="36"/>
      <c r="D71" s="36"/>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20"/>
  <sheetViews>
    <sheetView workbookViewId="0">
      <selection activeCell="C15" sqref="C15"/>
    </sheetView>
  </sheetViews>
  <sheetFormatPr defaultRowHeight="14.4" x14ac:dyDescent="0.3"/>
  <cols>
    <col min="2" max="2" width="11.6640625" customWidth="1"/>
  </cols>
  <sheetData>
    <row r="2" spans="1:15" x14ac:dyDescent="0.3">
      <c r="A2" t="s">
        <v>100</v>
      </c>
      <c r="B2" s="10" t="s">
        <v>120</v>
      </c>
      <c r="C2" s="10">
        <v>14</v>
      </c>
    </row>
    <row r="3" spans="1:15" x14ac:dyDescent="0.3">
      <c r="B3" t="s">
        <v>101</v>
      </c>
      <c r="C3" t="s">
        <v>102</v>
      </c>
    </row>
    <row r="4" spans="1:15" x14ac:dyDescent="0.3">
      <c r="A4" t="s">
        <v>103</v>
      </c>
      <c r="B4" s="3">
        <v>10</v>
      </c>
      <c r="C4" s="3">
        <v>10</v>
      </c>
      <c r="E4">
        <f>(100/B4)*C4</f>
        <v>100</v>
      </c>
    </row>
    <row r="5" spans="1:15" x14ac:dyDescent="0.3">
      <c r="A5" t="s">
        <v>104</v>
      </c>
      <c r="B5" t="s">
        <v>105</v>
      </c>
      <c r="C5" t="s">
        <v>106</v>
      </c>
      <c r="E5">
        <f>(100/B6)*C6</f>
        <v>100</v>
      </c>
      <c r="I5" s="3" t="s">
        <v>107</v>
      </c>
      <c r="J5" s="3" t="s">
        <v>108</v>
      </c>
      <c r="K5" s="3" t="s">
        <v>109</v>
      </c>
      <c r="L5" s="3" t="s">
        <v>35</v>
      </c>
      <c r="M5" s="3" t="s">
        <v>37</v>
      </c>
      <c r="N5" s="3" t="s">
        <v>110</v>
      </c>
      <c r="O5" s="3" t="s">
        <v>39</v>
      </c>
    </row>
    <row r="6" spans="1:15" x14ac:dyDescent="0.3">
      <c r="B6" s="3">
        <f>C2+1</f>
        <v>15</v>
      </c>
      <c r="C6" s="3">
        <v>15</v>
      </c>
      <c r="E6">
        <f>(100/B8)*C8</f>
        <v>100</v>
      </c>
      <c r="F6" s="11" t="s">
        <v>111</v>
      </c>
      <c r="I6" s="11">
        <f>C4</f>
        <v>10</v>
      </c>
      <c r="J6" s="11">
        <f>40/B6*C6</f>
        <v>40</v>
      </c>
      <c r="K6" s="11">
        <f>15/B8*C8</f>
        <v>15</v>
      </c>
      <c r="L6" s="11">
        <f>10/B10*C10</f>
        <v>10</v>
      </c>
      <c r="M6" s="11">
        <f>10/B12*C12</f>
        <v>10</v>
      </c>
      <c r="N6" s="11">
        <f>5/B14*C14</f>
        <v>2.5</v>
      </c>
      <c r="O6" s="11">
        <f>5/B16*C16</f>
        <v>0</v>
      </c>
    </row>
    <row r="7" spans="1:15" x14ac:dyDescent="0.3">
      <c r="A7" t="s">
        <v>112</v>
      </c>
      <c r="B7" t="s">
        <v>113</v>
      </c>
      <c r="C7" t="s">
        <v>114</v>
      </c>
      <c r="E7">
        <f>(100/B10)*C10</f>
        <v>100</v>
      </c>
      <c r="F7" s="3" t="s">
        <v>115</v>
      </c>
      <c r="G7" s="3"/>
      <c r="H7" s="3"/>
      <c r="I7" s="3">
        <f>I6+20</f>
        <v>30</v>
      </c>
      <c r="J7" s="3">
        <f>30/B6*C6</f>
        <v>30</v>
      </c>
      <c r="K7" s="3">
        <f>15/B8*C8</f>
        <v>15</v>
      </c>
      <c r="L7" s="3">
        <f>10/B10*C10</f>
        <v>10</v>
      </c>
      <c r="M7" s="3">
        <f>5/B12*C12</f>
        <v>5</v>
      </c>
      <c r="N7" s="3">
        <f>5/B14*C14</f>
        <v>2.5</v>
      </c>
      <c r="O7" s="3">
        <f>5/B16*C16</f>
        <v>0</v>
      </c>
    </row>
    <row r="8" spans="1:15" x14ac:dyDescent="0.3">
      <c r="B8" s="3">
        <f>C2</f>
        <v>14</v>
      </c>
      <c r="C8" s="3">
        <v>14</v>
      </c>
      <c r="E8">
        <f>(100/B12)*C12</f>
        <v>100</v>
      </c>
    </row>
    <row r="9" spans="1:15" x14ac:dyDescent="0.3">
      <c r="A9" t="s">
        <v>116</v>
      </c>
      <c r="B9" t="s">
        <v>113</v>
      </c>
      <c r="C9" t="s">
        <v>114</v>
      </c>
      <c r="E9">
        <f>(100/B14)*C14</f>
        <v>50</v>
      </c>
    </row>
    <row r="10" spans="1:15" x14ac:dyDescent="0.3">
      <c r="B10" s="3">
        <f>C2</f>
        <v>14</v>
      </c>
      <c r="C10" s="3">
        <v>14</v>
      </c>
      <c r="E10">
        <f>(100/B16)*C16</f>
        <v>0</v>
      </c>
    </row>
    <row r="11" spans="1:15" x14ac:dyDescent="0.3">
      <c r="A11" t="s">
        <v>37</v>
      </c>
      <c r="B11" t="s">
        <v>113</v>
      </c>
      <c r="C11" t="s">
        <v>114</v>
      </c>
    </row>
    <row r="12" spans="1:15" x14ac:dyDescent="0.3">
      <c r="B12" s="3">
        <f>C2</f>
        <v>14</v>
      </c>
      <c r="C12" s="3">
        <v>14</v>
      </c>
      <c r="F12" s="3"/>
      <c r="G12" s="3" t="s">
        <v>111</v>
      </c>
      <c r="H12" s="3" t="s">
        <v>117</v>
      </c>
      <c r="L12" t="s">
        <v>118</v>
      </c>
    </row>
    <row r="13" spans="1:15" ht="28.8" x14ac:dyDescent="0.3">
      <c r="A13" s="12" t="s">
        <v>110</v>
      </c>
      <c r="B13" t="s">
        <v>113</v>
      </c>
      <c r="C13" t="s">
        <v>114</v>
      </c>
      <c r="F13" s="3" t="s">
        <v>32</v>
      </c>
      <c r="G13" s="3">
        <f>I6</f>
        <v>10</v>
      </c>
      <c r="H13" s="3">
        <f>I7</f>
        <v>30</v>
      </c>
      <c r="L13" t="s">
        <v>118</v>
      </c>
    </row>
    <row r="14" spans="1:15" x14ac:dyDescent="0.3">
      <c r="B14" s="3">
        <f>C2</f>
        <v>14</v>
      </c>
      <c r="C14" s="3">
        <v>7</v>
      </c>
      <c r="F14" s="3" t="s">
        <v>33</v>
      </c>
      <c r="G14" s="3">
        <f>J6</f>
        <v>40</v>
      </c>
      <c r="H14" s="3">
        <f>J7</f>
        <v>30</v>
      </c>
    </row>
    <row r="15" spans="1:15" x14ac:dyDescent="0.3">
      <c r="A15" t="s">
        <v>39</v>
      </c>
      <c r="B15" t="s">
        <v>113</v>
      </c>
      <c r="C15" t="s">
        <v>114</v>
      </c>
      <c r="F15" s="3" t="s">
        <v>109</v>
      </c>
      <c r="G15" s="3">
        <f>K6</f>
        <v>15</v>
      </c>
      <c r="H15" s="3">
        <f>K7</f>
        <v>15</v>
      </c>
    </row>
    <row r="16" spans="1:15" x14ac:dyDescent="0.3">
      <c r="B16" s="3">
        <f>C2</f>
        <v>14</v>
      </c>
      <c r="C16" s="3">
        <v>0</v>
      </c>
      <c r="F16" s="3" t="s">
        <v>35</v>
      </c>
      <c r="G16" s="3">
        <f>L6</f>
        <v>10</v>
      </c>
      <c r="H16" s="3">
        <f>L7</f>
        <v>10</v>
      </c>
    </row>
    <row r="17" spans="6:13" x14ac:dyDescent="0.3">
      <c r="F17" s="3" t="s">
        <v>37</v>
      </c>
      <c r="G17" s="3">
        <f>M6</f>
        <v>10</v>
      </c>
      <c r="H17" s="3">
        <f>M7</f>
        <v>5</v>
      </c>
    </row>
    <row r="18" spans="6:13" ht="28.8" x14ac:dyDescent="0.3">
      <c r="F18" s="13" t="s">
        <v>110</v>
      </c>
      <c r="G18" s="3">
        <f>N6</f>
        <v>2.5</v>
      </c>
      <c r="H18" s="3">
        <f>N7</f>
        <v>2.5</v>
      </c>
    </row>
    <row r="19" spans="6:13" x14ac:dyDescent="0.3">
      <c r="F19" s="3" t="s">
        <v>39</v>
      </c>
      <c r="G19" s="3">
        <f>O6</f>
        <v>0</v>
      </c>
      <c r="H19" s="3">
        <f>O7</f>
        <v>0</v>
      </c>
    </row>
    <row r="20" spans="6:13" x14ac:dyDescent="0.3">
      <c r="F20" s="3" t="s">
        <v>119</v>
      </c>
      <c r="G20" s="3">
        <f>G13+G14+G15+G16+G17+G18+G19</f>
        <v>87.5</v>
      </c>
      <c r="H20" s="3">
        <f>H13+H14+H15+H16+H17+H18+H19</f>
        <v>92.5</v>
      </c>
      <c r="J20">
        <v>454</v>
      </c>
      <c r="K20">
        <f>J20*1.5</f>
        <v>681</v>
      </c>
      <c r="L20">
        <f>M20/K20</f>
        <v>5308.3700440528637</v>
      </c>
      <c r="M20">
        <v>3615000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20"/>
  <sheetViews>
    <sheetView topLeftCell="A7" workbookViewId="0">
      <selection activeCell="C15" sqref="C15"/>
    </sheetView>
  </sheetViews>
  <sheetFormatPr defaultRowHeight="14.4" x14ac:dyDescent="0.3"/>
  <cols>
    <col min="2" max="2" width="11.6640625" customWidth="1"/>
  </cols>
  <sheetData>
    <row r="2" spans="1:15" x14ac:dyDescent="0.3">
      <c r="A2" t="s">
        <v>100</v>
      </c>
      <c r="B2" s="10" t="s">
        <v>120</v>
      </c>
      <c r="C2" s="10">
        <v>14</v>
      </c>
    </row>
    <row r="3" spans="1:15" x14ac:dyDescent="0.3">
      <c r="B3" t="s">
        <v>101</v>
      </c>
      <c r="C3" t="s">
        <v>102</v>
      </c>
    </row>
    <row r="4" spans="1:15" x14ac:dyDescent="0.3">
      <c r="A4" t="s">
        <v>103</v>
      </c>
      <c r="B4" s="3">
        <v>10</v>
      </c>
      <c r="C4" s="3">
        <v>10</v>
      </c>
      <c r="E4">
        <f>(100/B4)*C4</f>
        <v>100</v>
      </c>
    </row>
    <row r="5" spans="1:15" x14ac:dyDescent="0.3">
      <c r="A5" t="s">
        <v>104</v>
      </c>
      <c r="B5" t="s">
        <v>105</v>
      </c>
      <c r="C5" t="s">
        <v>106</v>
      </c>
      <c r="E5">
        <f>(100/B6)*C6</f>
        <v>100</v>
      </c>
      <c r="I5" s="3" t="s">
        <v>107</v>
      </c>
      <c r="J5" s="3" t="s">
        <v>108</v>
      </c>
      <c r="K5" s="3" t="s">
        <v>109</v>
      </c>
      <c r="L5" s="3" t="s">
        <v>35</v>
      </c>
      <c r="M5" s="3" t="s">
        <v>37</v>
      </c>
      <c r="N5" s="3" t="s">
        <v>110</v>
      </c>
      <c r="O5" s="3" t="s">
        <v>39</v>
      </c>
    </row>
    <row r="6" spans="1:15" x14ac:dyDescent="0.3">
      <c r="B6" s="3">
        <f>C2+1</f>
        <v>15</v>
      </c>
      <c r="C6" s="3">
        <v>15</v>
      </c>
      <c r="E6">
        <f>(100/B8)*C8</f>
        <v>100</v>
      </c>
      <c r="F6" s="11" t="s">
        <v>111</v>
      </c>
      <c r="I6" s="11">
        <f>C4</f>
        <v>10</v>
      </c>
      <c r="J6" s="11">
        <f>40/B6*C6</f>
        <v>40</v>
      </c>
      <c r="K6" s="11">
        <f>15/B8*C8</f>
        <v>15</v>
      </c>
      <c r="L6" s="11">
        <f>10/B10*C10</f>
        <v>10</v>
      </c>
      <c r="M6" s="11">
        <f>10/B12*C12</f>
        <v>10</v>
      </c>
      <c r="N6" s="11">
        <f>5/B14*C14</f>
        <v>3.2142857142857144</v>
      </c>
      <c r="O6" s="11">
        <f>5/B16*C16</f>
        <v>0</v>
      </c>
    </row>
    <row r="7" spans="1:15" x14ac:dyDescent="0.3">
      <c r="A7" t="s">
        <v>112</v>
      </c>
      <c r="B7" t="s">
        <v>113</v>
      </c>
      <c r="C7" t="s">
        <v>114</v>
      </c>
      <c r="E7">
        <f>(100/B10)*C10</f>
        <v>100</v>
      </c>
      <c r="F7" s="3" t="s">
        <v>115</v>
      </c>
      <c r="G7" s="3"/>
      <c r="H7" s="3"/>
      <c r="I7" s="3">
        <f>I6+20</f>
        <v>30</v>
      </c>
      <c r="J7" s="3">
        <f>30/B6*C6</f>
        <v>30</v>
      </c>
      <c r="K7" s="3">
        <f>15/B8*C8</f>
        <v>15</v>
      </c>
      <c r="L7" s="3">
        <f>10/B10*C10</f>
        <v>10</v>
      </c>
      <c r="M7" s="3">
        <f>5/B12*C12</f>
        <v>5</v>
      </c>
      <c r="N7" s="3">
        <f>5/B14*C14</f>
        <v>3.2142857142857144</v>
      </c>
      <c r="O7" s="3">
        <f>5/B16*C16</f>
        <v>0</v>
      </c>
    </row>
    <row r="8" spans="1:15" x14ac:dyDescent="0.3">
      <c r="B8" s="3">
        <f>C2</f>
        <v>14</v>
      </c>
      <c r="C8" s="3">
        <v>14</v>
      </c>
      <c r="E8">
        <f>(100/B12)*C12</f>
        <v>100</v>
      </c>
    </row>
    <row r="9" spans="1:15" x14ac:dyDescent="0.3">
      <c r="A9" t="s">
        <v>116</v>
      </c>
      <c r="B9" t="s">
        <v>113</v>
      </c>
      <c r="C9" t="s">
        <v>114</v>
      </c>
      <c r="E9">
        <f>(100/B14)*C14</f>
        <v>64.285714285714292</v>
      </c>
    </row>
    <row r="10" spans="1:15" x14ac:dyDescent="0.3">
      <c r="B10" s="3">
        <f>C2</f>
        <v>14</v>
      </c>
      <c r="C10" s="3">
        <v>14</v>
      </c>
      <c r="E10">
        <f>(100/B16)*C16</f>
        <v>0</v>
      </c>
    </row>
    <row r="11" spans="1:15" x14ac:dyDescent="0.3">
      <c r="A11" t="s">
        <v>37</v>
      </c>
      <c r="B11" t="s">
        <v>113</v>
      </c>
      <c r="C11" t="s">
        <v>114</v>
      </c>
    </row>
    <row r="12" spans="1:15" x14ac:dyDescent="0.3">
      <c r="B12" s="3">
        <f>C2</f>
        <v>14</v>
      </c>
      <c r="C12" s="3">
        <v>14</v>
      </c>
      <c r="F12" s="3"/>
      <c r="G12" s="3" t="s">
        <v>111</v>
      </c>
      <c r="H12" s="3" t="s">
        <v>117</v>
      </c>
      <c r="L12" t="s">
        <v>118</v>
      </c>
    </row>
    <row r="13" spans="1:15" ht="28.8" x14ac:dyDescent="0.3">
      <c r="A13" s="12" t="s">
        <v>110</v>
      </c>
      <c r="B13" t="s">
        <v>113</v>
      </c>
      <c r="C13" t="s">
        <v>114</v>
      </c>
      <c r="F13" s="3" t="s">
        <v>32</v>
      </c>
      <c r="G13" s="3">
        <f>I6</f>
        <v>10</v>
      </c>
      <c r="H13" s="3">
        <f>I7</f>
        <v>30</v>
      </c>
      <c r="L13" t="s">
        <v>118</v>
      </c>
    </row>
    <row r="14" spans="1:15" x14ac:dyDescent="0.3">
      <c r="B14" s="3">
        <f>C2</f>
        <v>14</v>
      </c>
      <c r="C14" s="3">
        <v>9</v>
      </c>
      <c r="F14" s="3" t="s">
        <v>33</v>
      </c>
      <c r="G14" s="3">
        <f>J6</f>
        <v>40</v>
      </c>
      <c r="H14" s="3">
        <f>J7</f>
        <v>30</v>
      </c>
    </row>
    <row r="15" spans="1:15" x14ac:dyDescent="0.3">
      <c r="A15" t="s">
        <v>39</v>
      </c>
      <c r="B15" t="s">
        <v>113</v>
      </c>
      <c r="C15" t="s">
        <v>114</v>
      </c>
      <c r="F15" s="3" t="s">
        <v>109</v>
      </c>
      <c r="G15" s="3">
        <f>K6</f>
        <v>15</v>
      </c>
      <c r="H15" s="3">
        <f>K7</f>
        <v>15</v>
      </c>
    </row>
    <row r="16" spans="1:15" x14ac:dyDescent="0.3">
      <c r="B16" s="3">
        <f>C2</f>
        <v>14</v>
      </c>
      <c r="C16" s="3">
        <v>0</v>
      </c>
      <c r="F16" s="3" t="s">
        <v>35</v>
      </c>
      <c r="G16" s="3">
        <f>L6</f>
        <v>10</v>
      </c>
      <c r="H16" s="3">
        <f>L7</f>
        <v>10</v>
      </c>
    </row>
    <row r="17" spans="6:13" x14ac:dyDescent="0.3">
      <c r="F17" s="3" t="s">
        <v>37</v>
      </c>
      <c r="G17" s="3">
        <f>M6</f>
        <v>10</v>
      </c>
      <c r="H17" s="3">
        <f>M7</f>
        <v>5</v>
      </c>
    </row>
    <row r="18" spans="6:13" ht="28.8" x14ac:dyDescent="0.3">
      <c r="F18" s="13" t="s">
        <v>110</v>
      </c>
      <c r="G18" s="3">
        <f>N6</f>
        <v>3.2142857142857144</v>
      </c>
      <c r="H18" s="3">
        <f>N7</f>
        <v>3.2142857142857144</v>
      </c>
    </row>
    <row r="19" spans="6:13" x14ac:dyDescent="0.3">
      <c r="F19" s="3" t="s">
        <v>39</v>
      </c>
      <c r="G19" s="3">
        <f>O6</f>
        <v>0</v>
      </c>
      <c r="H19" s="3">
        <f>O7</f>
        <v>0</v>
      </c>
    </row>
    <row r="20" spans="6:13" x14ac:dyDescent="0.3">
      <c r="F20" s="3" t="s">
        <v>119</v>
      </c>
      <c r="G20" s="3">
        <f>G13+G14+G15+G16+G17+G18+G19</f>
        <v>88.214285714285708</v>
      </c>
      <c r="H20" s="3">
        <f>H13+H14+H15+H16+H17+H18+H19</f>
        <v>93.214285714285708</v>
      </c>
      <c r="J20">
        <v>454</v>
      </c>
      <c r="K20">
        <f>J20*1.5</f>
        <v>681</v>
      </c>
      <c r="L20">
        <f>M20/K20</f>
        <v>5308.3700440528637</v>
      </c>
      <c r="M20">
        <v>3615000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2"/>
  <sheetViews>
    <sheetView workbookViewId="0">
      <selection activeCell="B6" sqref="B6"/>
    </sheetView>
  </sheetViews>
  <sheetFormatPr defaultRowHeight="14.4" x14ac:dyDescent="0.3"/>
  <cols>
    <col min="1" max="1" width="10.33203125" bestFit="1" customWidth="1"/>
  </cols>
  <sheetData>
    <row r="2" spans="1:3" x14ac:dyDescent="0.3">
      <c r="A2" s="38">
        <v>44265</v>
      </c>
      <c r="B2" s="39" t="s">
        <v>186</v>
      </c>
      <c r="C2" t="s">
        <v>184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6"/>
  <sheetViews>
    <sheetView topLeftCell="A19" workbookViewId="0">
      <selection activeCell="G12" sqref="G12"/>
    </sheetView>
  </sheetViews>
  <sheetFormatPr defaultColWidth="8.6640625" defaultRowHeight="14.4" x14ac:dyDescent="0.3"/>
  <cols>
    <col min="1" max="1" width="10.5546875" style="39" bestFit="1" customWidth="1"/>
    <col min="2" max="2" width="22.109375" style="39" customWidth="1"/>
    <col min="3" max="3" width="37" style="39" customWidth="1"/>
    <col min="4" max="5" width="11.44140625" style="39" customWidth="1"/>
    <col min="6" max="6" width="14" style="39" customWidth="1"/>
    <col min="7" max="7" width="20" style="39" customWidth="1"/>
    <col min="8" max="8" width="16.44140625" style="39" customWidth="1"/>
    <col min="9" max="16384" width="8.6640625" style="39"/>
  </cols>
  <sheetData>
    <row r="1" spans="1:9" ht="15" customHeight="1" x14ac:dyDescent="0.3">
      <c r="A1" s="38">
        <v>44176</v>
      </c>
      <c r="B1" s="39" t="s">
        <v>171</v>
      </c>
    </row>
    <row r="2" spans="1:9" ht="15" customHeight="1" x14ac:dyDescent="0.3">
      <c r="A2" s="40"/>
      <c r="B2" s="40"/>
      <c r="C2" s="40"/>
      <c r="D2" s="40"/>
      <c r="E2" s="40"/>
      <c r="F2" s="40"/>
      <c r="G2" s="40"/>
      <c r="H2" s="40"/>
    </row>
    <row r="3" spans="1:9" ht="15.75" customHeight="1" x14ac:dyDescent="0.3">
      <c r="A3" s="40"/>
      <c r="B3" s="327" t="s">
        <v>172</v>
      </c>
      <c r="C3" s="327"/>
      <c r="D3" s="327"/>
      <c r="E3" s="327"/>
      <c r="F3" s="327"/>
      <c r="G3" s="327"/>
      <c r="H3" s="327"/>
    </row>
    <row r="4" spans="1:9" x14ac:dyDescent="0.3">
      <c r="A4" s="40"/>
      <c r="B4" s="41" t="s">
        <v>173</v>
      </c>
      <c r="C4" s="41" t="s">
        <v>174</v>
      </c>
      <c r="D4" s="41" t="s">
        <v>87</v>
      </c>
      <c r="E4" s="41" t="s">
        <v>175</v>
      </c>
      <c r="F4" s="41" t="s">
        <v>176</v>
      </c>
      <c r="G4" s="41" t="s">
        <v>177</v>
      </c>
      <c r="H4" s="41" t="s">
        <v>178</v>
      </c>
    </row>
    <row r="5" spans="1:9" ht="15" customHeight="1" x14ac:dyDescent="0.3">
      <c r="A5" s="40"/>
      <c r="B5" s="42" t="s">
        <v>185</v>
      </c>
      <c r="C5" s="49" t="s">
        <v>146</v>
      </c>
      <c r="D5" s="42" t="s">
        <v>130</v>
      </c>
      <c r="E5" s="42">
        <f>F5/1.5</f>
        <v>413.33333333333331</v>
      </c>
      <c r="F5" s="43">
        <v>620</v>
      </c>
      <c r="G5" s="43">
        <f>H5/F5</f>
        <v>3669.3548387096776</v>
      </c>
      <c r="H5" s="44">
        <v>2275000</v>
      </c>
    </row>
    <row r="6" spans="1:9" x14ac:dyDescent="0.3">
      <c r="A6" s="40"/>
      <c r="B6" s="42" t="s">
        <v>185</v>
      </c>
      <c r="C6" s="49" t="s">
        <v>146</v>
      </c>
      <c r="D6" s="42" t="s">
        <v>131</v>
      </c>
      <c r="E6" s="42">
        <f>F6/1.5</f>
        <v>613.33333333333337</v>
      </c>
      <c r="F6" s="43">
        <v>920</v>
      </c>
      <c r="G6" s="43">
        <f t="shared" ref="G6:G11" si="0">H6/F6</f>
        <v>4221.739130434783</v>
      </c>
      <c r="H6" s="44">
        <v>3884000</v>
      </c>
    </row>
    <row r="7" spans="1:9" ht="15" customHeight="1" x14ac:dyDescent="0.3">
      <c r="A7" s="40"/>
      <c r="B7" s="42" t="s">
        <v>179</v>
      </c>
      <c r="C7" s="49" t="s">
        <v>146</v>
      </c>
      <c r="D7" s="42" t="s">
        <v>130</v>
      </c>
      <c r="E7" s="42">
        <f>28.71*10.764</f>
        <v>309.03444000000002</v>
      </c>
      <c r="F7" s="43">
        <f>E7*1.5</f>
        <v>463.55166000000003</v>
      </c>
      <c r="G7" s="43">
        <f t="shared" si="0"/>
        <v>5764.1903385698151</v>
      </c>
      <c r="H7" s="44">
        <v>2672000</v>
      </c>
    </row>
    <row r="8" spans="1:9" x14ac:dyDescent="0.3">
      <c r="A8" s="40"/>
      <c r="B8" s="42" t="s">
        <v>179</v>
      </c>
      <c r="C8" s="49" t="s">
        <v>146</v>
      </c>
      <c r="D8" s="42" t="s">
        <v>131</v>
      </c>
      <c r="E8" s="42">
        <f>43.48*10.764</f>
        <v>468.01871999999992</v>
      </c>
      <c r="F8" s="43">
        <f>E8*1.5</f>
        <v>702.02807999999982</v>
      </c>
      <c r="G8" s="43">
        <f t="shared" si="0"/>
        <v>5412.9002931050863</v>
      </c>
      <c r="H8" s="44">
        <v>3800008</v>
      </c>
    </row>
    <row r="9" spans="1:9" ht="15" customHeight="1" x14ac:dyDescent="0.3">
      <c r="A9" s="40"/>
      <c r="B9" s="42" t="s">
        <v>180</v>
      </c>
      <c r="C9" s="49" t="s">
        <v>146</v>
      </c>
      <c r="D9" s="42" t="s">
        <v>130</v>
      </c>
      <c r="E9" s="42">
        <v>309</v>
      </c>
      <c r="F9" s="43">
        <f>E9*1.5</f>
        <v>463.5</v>
      </c>
      <c r="G9" s="43">
        <f t="shared" si="0"/>
        <v>5764.8327939590072</v>
      </c>
      <c r="H9" s="44">
        <v>2672000</v>
      </c>
    </row>
    <row r="10" spans="1:9" ht="15" customHeight="1" x14ac:dyDescent="0.3">
      <c r="A10" s="40"/>
      <c r="B10" s="42" t="s">
        <v>180</v>
      </c>
      <c r="C10" s="49" t="s">
        <v>146</v>
      </c>
      <c r="D10" s="42" t="s">
        <v>131</v>
      </c>
      <c r="E10" s="42">
        <v>468</v>
      </c>
      <c r="F10" s="43">
        <f>E10*1.5</f>
        <v>702</v>
      </c>
      <c r="G10" s="43">
        <f t="shared" si="0"/>
        <v>5413.1168091168092</v>
      </c>
      <c r="H10" s="44">
        <v>3800008</v>
      </c>
    </row>
    <row r="11" spans="1:9" ht="15" customHeight="1" x14ac:dyDescent="0.3">
      <c r="A11" s="40"/>
      <c r="B11" s="42" t="s">
        <v>181</v>
      </c>
      <c r="C11" s="49" t="s">
        <v>146</v>
      </c>
      <c r="D11" s="42" t="s">
        <v>130</v>
      </c>
      <c r="E11" s="42">
        <v>422</v>
      </c>
      <c r="F11" s="43">
        <v>620</v>
      </c>
      <c r="G11" s="43">
        <f t="shared" si="0"/>
        <v>4177.4193548387093</v>
      </c>
      <c r="H11" s="44">
        <v>2590000</v>
      </c>
    </row>
    <row r="12" spans="1:9" ht="15" customHeight="1" x14ac:dyDescent="0.3">
      <c r="A12" s="40"/>
      <c r="B12" s="45" t="s">
        <v>182</v>
      </c>
      <c r="C12" s="42"/>
      <c r="D12" s="42"/>
      <c r="E12" s="42"/>
      <c r="F12" s="42"/>
      <c r="G12" s="46">
        <f>AVERAGE(G5:G11)</f>
        <v>4917.6505083905558</v>
      </c>
      <c r="H12" s="42"/>
    </row>
    <row r="13" spans="1:9" ht="15" customHeight="1" x14ac:dyDescent="0.3">
      <c r="B13" s="45" t="s">
        <v>183</v>
      </c>
      <c r="C13" s="42"/>
      <c r="D13" s="42"/>
      <c r="E13" s="42"/>
      <c r="F13" s="47"/>
      <c r="G13" s="45">
        <v>4900</v>
      </c>
      <c r="H13" s="45"/>
      <c r="I13" s="48"/>
    </row>
    <row r="14" spans="1:9" ht="15" customHeight="1" x14ac:dyDescent="0.3"/>
    <row r="15" spans="1:9" ht="15" customHeight="1" x14ac:dyDescent="0.3"/>
    <row r="16" spans="1:9" ht="15" customHeight="1" x14ac:dyDescent="0.3"/>
  </sheetData>
  <mergeCells count="1">
    <mergeCell ref="B3:H3"/>
  </mergeCells>
  <phoneticPr fontId="13"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M34"/>
  <sheetViews>
    <sheetView topLeftCell="A13" workbookViewId="0">
      <selection activeCell="E28" sqref="E28"/>
    </sheetView>
  </sheetViews>
  <sheetFormatPr defaultRowHeight="14.4" x14ac:dyDescent="0.3"/>
  <sheetData>
    <row r="2" spans="2:13" x14ac:dyDescent="0.3">
      <c r="C2" s="6" t="s">
        <v>86</v>
      </c>
      <c r="D2" s="328"/>
      <c r="E2" s="328"/>
    </row>
    <row r="3" spans="2:13" x14ac:dyDescent="0.3">
      <c r="E3" s="5"/>
      <c r="F3" s="5"/>
      <c r="G3" s="5"/>
      <c r="H3" s="5"/>
      <c r="I3" s="5"/>
      <c r="J3" s="5"/>
    </row>
    <row r="4" spans="2:13" x14ac:dyDescent="0.3">
      <c r="B4" s="6" t="s">
        <v>87</v>
      </c>
      <c r="C4" s="4" t="s">
        <v>67</v>
      </c>
      <c r="D4" s="329" t="s">
        <v>68</v>
      </c>
      <c r="E4" s="329"/>
      <c r="F4" s="329"/>
      <c r="G4" s="7"/>
      <c r="H4" s="329" t="s">
        <v>69</v>
      </c>
      <c r="I4" s="329"/>
      <c r="J4" s="329"/>
      <c r="K4" s="329" t="s">
        <v>70</v>
      </c>
      <c r="L4" s="329"/>
      <c r="M4" s="329"/>
    </row>
    <row r="5" spans="2:13" x14ac:dyDescent="0.3">
      <c r="B5" s="6">
        <v>1</v>
      </c>
      <c r="C5" s="4"/>
      <c r="D5" s="4" t="s">
        <v>71</v>
      </c>
      <c r="E5" s="4" t="s">
        <v>72</v>
      </c>
      <c r="F5" s="4" t="s">
        <v>73</v>
      </c>
      <c r="G5" s="4"/>
      <c r="H5" s="4" t="s">
        <v>71</v>
      </c>
      <c r="I5" s="4" t="s">
        <v>72</v>
      </c>
      <c r="J5" s="4" t="s">
        <v>73</v>
      </c>
      <c r="K5" s="4" t="s">
        <v>71</v>
      </c>
      <c r="L5" s="4" t="s">
        <v>72</v>
      </c>
      <c r="M5" s="4" t="s">
        <v>73</v>
      </c>
    </row>
    <row r="6" spans="2:13" x14ac:dyDescent="0.3">
      <c r="C6" s="3" t="s">
        <v>74</v>
      </c>
      <c r="D6" s="3">
        <v>2.75</v>
      </c>
      <c r="E6" s="3">
        <v>4.05</v>
      </c>
      <c r="F6" s="3">
        <f>D6*E6</f>
        <v>11.137499999999999</v>
      </c>
      <c r="G6" s="3" t="s">
        <v>89</v>
      </c>
      <c r="H6" s="3"/>
      <c r="I6" s="3"/>
      <c r="J6" s="3">
        <f>H6*I6</f>
        <v>0</v>
      </c>
      <c r="K6" s="3"/>
      <c r="L6" s="3"/>
      <c r="M6" s="3">
        <f>K6*L6</f>
        <v>0</v>
      </c>
    </row>
    <row r="7" spans="2:13" x14ac:dyDescent="0.3">
      <c r="C7" s="3"/>
      <c r="D7" s="3"/>
      <c r="E7" s="3"/>
      <c r="F7" s="3">
        <f t="shared" ref="F7:F33" si="0">D7*E7</f>
        <v>0</v>
      </c>
      <c r="G7" s="3" t="s">
        <v>90</v>
      </c>
      <c r="H7" s="3"/>
      <c r="I7" s="3"/>
      <c r="J7" s="3">
        <f t="shared" ref="J7:J29" si="1">H7*I7</f>
        <v>0</v>
      </c>
      <c r="K7" s="3"/>
      <c r="L7" s="3"/>
      <c r="M7" s="3">
        <f t="shared" ref="M7:M29" si="2">K7*L7</f>
        <v>0</v>
      </c>
    </row>
    <row r="8" spans="2:13" x14ac:dyDescent="0.3">
      <c r="C8" s="3"/>
      <c r="D8" s="3"/>
      <c r="E8" s="3"/>
      <c r="F8" s="3">
        <f t="shared" si="0"/>
        <v>0</v>
      </c>
      <c r="G8" s="3"/>
      <c r="H8" s="3"/>
      <c r="I8" s="3"/>
      <c r="J8" s="3">
        <f t="shared" si="1"/>
        <v>0</v>
      </c>
      <c r="K8" s="3"/>
      <c r="L8" s="3"/>
      <c r="M8" s="3">
        <f t="shared" si="2"/>
        <v>0</v>
      </c>
    </row>
    <row r="9" spans="2:13" x14ac:dyDescent="0.3">
      <c r="C9" s="3" t="s">
        <v>77</v>
      </c>
      <c r="D9" s="3">
        <v>2.25</v>
      </c>
      <c r="E9" s="3">
        <v>2.4</v>
      </c>
      <c r="F9" s="3">
        <f t="shared" si="0"/>
        <v>5.3999999999999995</v>
      </c>
      <c r="G9" s="3" t="s">
        <v>89</v>
      </c>
      <c r="H9" s="3"/>
      <c r="I9" s="3"/>
      <c r="J9" s="3">
        <f t="shared" si="1"/>
        <v>0</v>
      </c>
      <c r="K9" s="3"/>
      <c r="L9" s="3"/>
      <c r="M9" s="3">
        <f t="shared" si="2"/>
        <v>0</v>
      </c>
    </row>
    <row r="10" spans="2:13" x14ac:dyDescent="0.3">
      <c r="C10" s="3"/>
      <c r="D10" s="3"/>
      <c r="E10" s="3"/>
      <c r="F10" s="3">
        <f t="shared" si="0"/>
        <v>0</v>
      </c>
      <c r="G10" s="3" t="s">
        <v>90</v>
      </c>
      <c r="H10" s="3"/>
      <c r="I10" s="3"/>
      <c r="J10" s="3">
        <f t="shared" si="1"/>
        <v>0</v>
      </c>
      <c r="K10" s="3"/>
      <c r="L10" s="3"/>
      <c r="M10" s="3">
        <f t="shared" si="2"/>
        <v>0</v>
      </c>
    </row>
    <row r="11" spans="2:13" x14ac:dyDescent="0.3">
      <c r="C11" s="3"/>
      <c r="D11" s="3"/>
      <c r="E11" s="3"/>
      <c r="F11" s="3">
        <f t="shared" si="0"/>
        <v>0</v>
      </c>
      <c r="G11" s="3"/>
      <c r="H11" s="3"/>
      <c r="I11" s="3"/>
      <c r="J11" s="3">
        <f t="shared" si="1"/>
        <v>0</v>
      </c>
      <c r="K11" s="3"/>
      <c r="L11" s="3"/>
      <c r="M11" s="3">
        <f t="shared" si="2"/>
        <v>0</v>
      </c>
    </row>
    <row r="12" spans="2:13" x14ac:dyDescent="0.3">
      <c r="C12" s="3"/>
      <c r="D12" s="3"/>
      <c r="E12" s="3"/>
      <c r="F12" s="3">
        <f t="shared" si="0"/>
        <v>0</v>
      </c>
      <c r="G12" s="3"/>
      <c r="H12" s="3"/>
      <c r="I12" s="3"/>
      <c r="J12" s="3">
        <f t="shared" si="1"/>
        <v>0</v>
      </c>
      <c r="K12" s="3"/>
      <c r="L12" s="3"/>
      <c r="M12" s="3">
        <f t="shared" si="2"/>
        <v>0</v>
      </c>
    </row>
    <row r="13" spans="2:13" x14ac:dyDescent="0.3">
      <c r="C13" s="3" t="s">
        <v>75</v>
      </c>
      <c r="D13" s="3">
        <v>2.4</v>
      </c>
      <c r="E13" s="3">
        <v>3</v>
      </c>
      <c r="F13" s="3">
        <f t="shared" si="0"/>
        <v>7.1999999999999993</v>
      </c>
      <c r="G13" s="3" t="s">
        <v>89</v>
      </c>
      <c r="H13" s="3"/>
      <c r="I13" s="3"/>
      <c r="J13" s="3">
        <f t="shared" si="1"/>
        <v>0</v>
      </c>
      <c r="K13" s="3"/>
      <c r="L13" s="3"/>
      <c r="M13" s="3">
        <f t="shared" si="2"/>
        <v>0</v>
      </c>
    </row>
    <row r="14" spans="2:13" x14ac:dyDescent="0.3">
      <c r="C14" s="3"/>
      <c r="D14" s="3">
        <v>0.6</v>
      </c>
      <c r="E14" s="3">
        <v>0.6</v>
      </c>
      <c r="F14" s="3">
        <f t="shared" si="0"/>
        <v>0.36</v>
      </c>
      <c r="G14" s="3" t="s">
        <v>90</v>
      </c>
      <c r="H14" s="3"/>
      <c r="I14" s="3"/>
      <c r="J14" s="3">
        <f t="shared" si="1"/>
        <v>0</v>
      </c>
      <c r="K14" s="3"/>
      <c r="L14" s="3"/>
      <c r="M14" s="3">
        <f t="shared" si="2"/>
        <v>0</v>
      </c>
    </row>
    <row r="15" spans="2:13" x14ac:dyDescent="0.3">
      <c r="C15" s="3"/>
      <c r="D15" s="3"/>
      <c r="E15" s="3"/>
      <c r="F15" s="3">
        <f t="shared" si="0"/>
        <v>0</v>
      </c>
      <c r="G15" s="3"/>
      <c r="H15" s="3"/>
      <c r="I15" s="3"/>
      <c r="J15" s="3">
        <f t="shared" si="1"/>
        <v>0</v>
      </c>
      <c r="K15" s="3"/>
      <c r="L15" s="3"/>
      <c r="M15" s="3">
        <f t="shared" si="2"/>
        <v>0</v>
      </c>
    </row>
    <row r="16" spans="2:13" x14ac:dyDescent="0.3">
      <c r="C16" s="3"/>
      <c r="D16" s="3"/>
      <c r="E16" s="3"/>
      <c r="F16" s="3">
        <f t="shared" si="0"/>
        <v>0</v>
      </c>
      <c r="G16" s="3"/>
      <c r="H16" s="3"/>
      <c r="I16" s="3"/>
      <c r="J16" s="3">
        <f t="shared" si="1"/>
        <v>0</v>
      </c>
      <c r="K16" s="3"/>
      <c r="L16" s="3"/>
      <c r="M16" s="3">
        <f t="shared" si="2"/>
        <v>0</v>
      </c>
    </row>
    <row r="17" spans="3:13" x14ac:dyDescent="0.3">
      <c r="C17" s="3" t="s">
        <v>76</v>
      </c>
      <c r="D17" s="3"/>
      <c r="E17" s="3"/>
      <c r="F17" s="3">
        <f t="shared" si="0"/>
        <v>0</v>
      </c>
      <c r="G17" s="3" t="s">
        <v>89</v>
      </c>
      <c r="H17" s="3"/>
      <c r="I17" s="3"/>
      <c r="J17" s="3">
        <f t="shared" si="1"/>
        <v>0</v>
      </c>
      <c r="K17" s="3"/>
      <c r="L17" s="3"/>
      <c r="M17" s="3">
        <f t="shared" si="2"/>
        <v>0</v>
      </c>
    </row>
    <row r="18" spans="3:13" x14ac:dyDescent="0.3">
      <c r="C18" s="3"/>
      <c r="D18" s="3"/>
      <c r="E18" s="3"/>
      <c r="F18" s="3">
        <f t="shared" si="0"/>
        <v>0</v>
      </c>
      <c r="G18" s="3" t="s">
        <v>90</v>
      </c>
      <c r="H18" s="3"/>
      <c r="I18" s="3"/>
      <c r="J18" s="3">
        <f t="shared" si="1"/>
        <v>0</v>
      </c>
      <c r="K18" s="3"/>
      <c r="L18" s="3"/>
      <c r="M18" s="3">
        <f t="shared" si="2"/>
        <v>0</v>
      </c>
    </row>
    <row r="19" spans="3:13" x14ac:dyDescent="0.3">
      <c r="C19" s="3"/>
      <c r="D19" s="3"/>
      <c r="E19" s="3"/>
      <c r="F19" s="3">
        <f t="shared" si="0"/>
        <v>0</v>
      </c>
      <c r="G19" s="3"/>
      <c r="H19" s="3"/>
      <c r="I19" s="3"/>
      <c r="J19" s="3">
        <f t="shared" si="1"/>
        <v>0</v>
      </c>
      <c r="K19" s="3"/>
      <c r="L19" s="3"/>
      <c r="M19" s="3">
        <f t="shared" si="2"/>
        <v>0</v>
      </c>
    </row>
    <row r="20" spans="3:13" x14ac:dyDescent="0.3">
      <c r="C20" s="3" t="s">
        <v>76</v>
      </c>
      <c r="D20" s="3"/>
      <c r="E20" s="3"/>
      <c r="F20" s="3">
        <f t="shared" si="0"/>
        <v>0</v>
      </c>
      <c r="G20" s="3" t="s">
        <v>89</v>
      </c>
      <c r="H20" s="3"/>
      <c r="I20" s="3"/>
      <c r="J20" s="3">
        <f t="shared" si="1"/>
        <v>0</v>
      </c>
      <c r="K20" s="3"/>
      <c r="L20" s="3"/>
      <c r="M20" s="3">
        <f t="shared" si="2"/>
        <v>0</v>
      </c>
    </row>
    <row r="21" spans="3:13" x14ac:dyDescent="0.3">
      <c r="C21" s="3"/>
      <c r="D21" s="3"/>
      <c r="E21" s="3"/>
      <c r="F21" s="3">
        <f t="shared" si="0"/>
        <v>0</v>
      </c>
      <c r="G21" s="3" t="s">
        <v>90</v>
      </c>
      <c r="H21" s="3"/>
      <c r="I21" s="3"/>
      <c r="J21" s="3">
        <f t="shared" si="1"/>
        <v>0</v>
      </c>
      <c r="K21" s="3"/>
      <c r="L21" s="3"/>
      <c r="M21" s="3">
        <f t="shared" si="2"/>
        <v>0</v>
      </c>
    </row>
    <row r="22" spans="3:13" x14ac:dyDescent="0.3">
      <c r="C22" s="3"/>
      <c r="D22" s="3"/>
      <c r="E22" s="3"/>
      <c r="F22" s="3">
        <f t="shared" si="0"/>
        <v>0</v>
      </c>
      <c r="G22" s="3"/>
      <c r="H22" s="3"/>
      <c r="I22" s="3"/>
      <c r="J22" s="3">
        <f t="shared" si="1"/>
        <v>0</v>
      </c>
      <c r="K22" s="3"/>
      <c r="L22" s="3"/>
      <c r="M22" s="3">
        <f t="shared" si="2"/>
        <v>0</v>
      </c>
    </row>
    <row r="23" spans="3:13" x14ac:dyDescent="0.3">
      <c r="C23" s="3" t="s">
        <v>82</v>
      </c>
      <c r="D23" s="3">
        <v>1.8</v>
      </c>
      <c r="E23" s="3">
        <v>1.2</v>
      </c>
      <c r="F23" s="3">
        <f t="shared" si="0"/>
        <v>2.16</v>
      </c>
      <c r="G23" s="3" t="s">
        <v>91</v>
      </c>
      <c r="H23" s="3"/>
      <c r="I23" s="3"/>
      <c r="J23" s="3">
        <f t="shared" si="1"/>
        <v>0</v>
      </c>
      <c r="K23" s="3"/>
      <c r="L23" s="3"/>
      <c r="M23" s="3">
        <f t="shared" si="2"/>
        <v>0</v>
      </c>
    </row>
    <row r="24" spans="3:13" x14ac:dyDescent="0.3">
      <c r="C24" s="3" t="s">
        <v>83</v>
      </c>
      <c r="D24" s="3">
        <v>1.8</v>
      </c>
      <c r="E24" s="3">
        <v>1.2</v>
      </c>
      <c r="F24" s="3">
        <f t="shared" si="0"/>
        <v>2.16</v>
      </c>
      <c r="G24" s="3" t="s">
        <v>91</v>
      </c>
      <c r="H24" s="3"/>
      <c r="I24" s="3"/>
      <c r="J24" s="3">
        <f t="shared" si="1"/>
        <v>0</v>
      </c>
      <c r="K24" s="3"/>
      <c r="L24" s="3"/>
      <c r="M24" s="3">
        <f t="shared" si="2"/>
        <v>0</v>
      </c>
    </row>
    <row r="25" spans="3:13" x14ac:dyDescent="0.3">
      <c r="C25" s="3" t="s">
        <v>84</v>
      </c>
      <c r="D25" s="3"/>
      <c r="E25" s="3"/>
      <c r="F25" s="3">
        <f t="shared" si="0"/>
        <v>0</v>
      </c>
      <c r="G25" s="3" t="s">
        <v>91</v>
      </c>
      <c r="H25" s="3"/>
      <c r="I25" s="3"/>
      <c r="J25" s="3">
        <f t="shared" si="1"/>
        <v>0</v>
      </c>
      <c r="K25" s="3"/>
      <c r="L25" s="3"/>
      <c r="M25" s="3">
        <f t="shared" si="2"/>
        <v>0</v>
      </c>
    </row>
    <row r="26" spans="3:13" x14ac:dyDescent="0.3">
      <c r="C26" s="3"/>
      <c r="D26" s="3"/>
      <c r="E26" s="3"/>
      <c r="F26" s="3">
        <f t="shared" si="0"/>
        <v>0</v>
      </c>
      <c r="G26" s="3"/>
      <c r="H26" s="3"/>
      <c r="I26" s="3"/>
      <c r="J26" s="3">
        <f t="shared" si="1"/>
        <v>0</v>
      </c>
      <c r="K26" s="3"/>
      <c r="L26" s="3"/>
      <c r="M26" s="3">
        <f t="shared" si="2"/>
        <v>0</v>
      </c>
    </row>
    <row r="27" spans="3:13" x14ac:dyDescent="0.3">
      <c r="C27" s="3" t="s">
        <v>78</v>
      </c>
      <c r="D27" s="3">
        <v>2.2000000000000002</v>
      </c>
      <c r="E27" s="3">
        <v>1.75</v>
      </c>
      <c r="F27" s="3">
        <f t="shared" si="0"/>
        <v>3.8500000000000005</v>
      </c>
      <c r="G27" s="3"/>
      <c r="H27" s="3"/>
      <c r="I27" s="3"/>
      <c r="J27" s="3">
        <f t="shared" si="1"/>
        <v>0</v>
      </c>
      <c r="K27" s="3"/>
      <c r="L27" s="3"/>
      <c r="M27" s="3">
        <f t="shared" si="2"/>
        <v>0</v>
      </c>
    </row>
    <row r="28" spans="3:13" x14ac:dyDescent="0.3">
      <c r="C28" s="3" t="s">
        <v>79</v>
      </c>
      <c r="D28" s="3"/>
      <c r="E28" s="3"/>
      <c r="F28" s="3">
        <f t="shared" si="0"/>
        <v>0</v>
      </c>
      <c r="G28" s="3"/>
      <c r="H28" s="3"/>
      <c r="I28" s="3"/>
      <c r="J28" s="3">
        <f t="shared" si="1"/>
        <v>0</v>
      </c>
      <c r="K28" s="3"/>
      <c r="L28" s="3"/>
      <c r="M28" s="3">
        <f t="shared" si="2"/>
        <v>0</v>
      </c>
    </row>
    <row r="29" spans="3:13" x14ac:dyDescent="0.3">
      <c r="C29" s="3" t="s">
        <v>80</v>
      </c>
      <c r="D29" s="3"/>
      <c r="E29" s="3"/>
      <c r="F29" s="3">
        <f t="shared" si="0"/>
        <v>0</v>
      </c>
      <c r="G29" s="3"/>
      <c r="H29" s="3"/>
      <c r="I29" s="3"/>
      <c r="J29" s="3">
        <f t="shared" si="1"/>
        <v>0</v>
      </c>
      <c r="K29" s="3"/>
      <c r="L29" s="3"/>
      <c r="M29" s="3">
        <f t="shared" si="2"/>
        <v>0</v>
      </c>
    </row>
    <row r="30" spans="3:13" x14ac:dyDescent="0.3">
      <c r="C30" s="3" t="s">
        <v>81</v>
      </c>
      <c r="D30" s="3"/>
      <c r="E30" s="3"/>
      <c r="F30" s="3">
        <f t="shared" si="0"/>
        <v>0</v>
      </c>
      <c r="G30" s="3"/>
      <c r="H30" s="3"/>
      <c r="I30" s="3"/>
      <c r="J30" s="3">
        <f>H30*I30</f>
        <v>0</v>
      </c>
      <c r="K30" s="3"/>
      <c r="L30" s="3"/>
      <c r="M30" s="3">
        <f>K30*L30</f>
        <v>0</v>
      </c>
    </row>
    <row r="31" spans="3:13" x14ac:dyDescent="0.3">
      <c r="C31" s="3"/>
      <c r="D31" s="3"/>
      <c r="E31" s="3"/>
      <c r="F31" s="3">
        <f t="shared" si="0"/>
        <v>0</v>
      </c>
      <c r="G31" s="3"/>
      <c r="H31" s="3"/>
      <c r="I31" s="3"/>
      <c r="J31" s="3">
        <f>H31*I31</f>
        <v>0</v>
      </c>
      <c r="K31" s="3"/>
      <c r="L31" s="3"/>
      <c r="M31" s="3">
        <f>K31*L31</f>
        <v>0</v>
      </c>
    </row>
    <row r="32" spans="3:13" x14ac:dyDescent="0.3">
      <c r="C32" s="3"/>
      <c r="D32" s="3"/>
      <c r="E32" s="3"/>
      <c r="F32" s="3">
        <f t="shared" si="0"/>
        <v>0</v>
      </c>
      <c r="G32" s="3"/>
      <c r="H32" s="3"/>
      <c r="I32" s="3"/>
      <c r="J32" s="3">
        <f>H32*I32</f>
        <v>0</v>
      </c>
      <c r="K32" s="3"/>
      <c r="L32" s="3"/>
      <c r="M32" s="3">
        <f>K32*L32</f>
        <v>0</v>
      </c>
    </row>
    <row r="33" spans="3:13" x14ac:dyDescent="0.3">
      <c r="C33" s="3"/>
      <c r="D33" s="3"/>
      <c r="E33" s="3"/>
      <c r="F33" s="3">
        <f t="shared" si="0"/>
        <v>0</v>
      </c>
      <c r="G33" s="3"/>
      <c r="H33" s="3"/>
      <c r="I33" s="3"/>
      <c r="J33" s="3">
        <f>H33*I33</f>
        <v>0</v>
      </c>
      <c r="K33" s="3"/>
      <c r="L33" s="3"/>
      <c r="M33" s="3">
        <f>K33*L33</f>
        <v>0</v>
      </c>
    </row>
    <row r="34" spans="3:13" x14ac:dyDescent="0.3">
      <c r="C34" s="3" t="s">
        <v>85</v>
      </c>
      <c r="D34" s="3"/>
      <c r="E34" s="3">
        <f>F34*10.764</f>
        <v>347.32736999999997</v>
      </c>
      <c r="F34" s="3">
        <f>SUM(F6:F33)</f>
        <v>32.267499999999998</v>
      </c>
      <c r="G34" s="3"/>
      <c r="H34" s="3"/>
      <c r="I34" s="3">
        <f>J34*10.764</f>
        <v>0</v>
      </c>
      <c r="J34" s="3">
        <f>SUM(J6:J33)</f>
        <v>0</v>
      </c>
      <c r="K34" s="3"/>
      <c r="L34" s="3">
        <f>M34*10.764</f>
        <v>0</v>
      </c>
      <c r="M34" s="3">
        <f>SUM(M6:M33)</f>
        <v>0</v>
      </c>
    </row>
  </sheetData>
  <mergeCells count="4">
    <mergeCell ref="D2:E2"/>
    <mergeCell ref="D4:F4"/>
    <mergeCell ref="H4:J4"/>
    <mergeCell ref="K4:M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M35"/>
  <sheetViews>
    <sheetView workbookViewId="0">
      <selection activeCell="G7" sqref="G7:G8"/>
    </sheetView>
  </sheetViews>
  <sheetFormatPr defaultRowHeight="14.4" x14ac:dyDescent="0.3"/>
  <sheetData>
    <row r="3" spans="2:13" x14ac:dyDescent="0.3">
      <c r="C3" s="6" t="s">
        <v>86</v>
      </c>
      <c r="D3" s="328"/>
      <c r="E3" s="328"/>
    </row>
    <row r="4" spans="2:13" x14ac:dyDescent="0.3">
      <c r="E4" s="5"/>
      <c r="F4" s="5"/>
      <c r="G4" s="5"/>
      <c r="H4" s="5"/>
      <c r="I4" s="5"/>
      <c r="J4" s="5"/>
    </row>
    <row r="5" spans="2:13" x14ac:dyDescent="0.3">
      <c r="B5" s="6" t="s">
        <v>87</v>
      </c>
      <c r="C5" s="4" t="s">
        <v>67</v>
      </c>
      <c r="D5" s="329" t="s">
        <v>68</v>
      </c>
      <c r="E5" s="329"/>
      <c r="F5" s="329"/>
      <c r="G5" s="7"/>
      <c r="H5" s="329" t="s">
        <v>69</v>
      </c>
      <c r="I5" s="329"/>
      <c r="J5" s="329"/>
      <c r="K5" s="329" t="s">
        <v>70</v>
      </c>
      <c r="L5" s="329"/>
      <c r="M5" s="329"/>
    </row>
    <row r="6" spans="2:13" x14ac:dyDescent="0.3">
      <c r="B6" s="6">
        <v>1</v>
      </c>
      <c r="C6" s="4"/>
      <c r="D6" s="4" t="s">
        <v>71</v>
      </c>
      <c r="E6" s="4" t="s">
        <v>72</v>
      </c>
      <c r="F6" s="4" t="s">
        <v>73</v>
      </c>
      <c r="G6" s="4"/>
      <c r="H6" s="4" t="s">
        <v>71</v>
      </c>
      <c r="I6" s="4" t="s">
        <v>72</v>
      </c>
      <c r="J6" s="4" t="s">
        <v>73</v>
      </c>
      <c r="K6" s="4" t="s">
        <v>71</v>
      </c>
      <c r="L6" s="4" t="s">
        <v>72</v>
      </c>
      <c r="M6" s="4" t="s">
        <v>73</v>
      </c>
    </row>
    <row r="7" spans="2:13" x14ac:dyDescent="0.3">
      <c r="C7" s="3" t="s">
        <v>74</v>
      </c>
      <c r="D7" s="3"/>
      <c r="E7" s="3"/>
      <c r="F7" s="3">
        <f>D7*E7</f>
        <v>0</v>
      </c>
      <c r="G7" s="3" t="s">
        <v>89</v>
      </c>
      <c r="H7" s="3"/>
      <c r="I7" s="3"/>
      <c r="J7" s="3">
        <f>H7*I7</f>
        <v>0</v>
      </c>
      <c r="K7" s="3"/>
      <c r="L7" s="3"/>
      <c r="M7" s="3">
        <f>K7*L7</f>
        <v>0</v>
      </c>
    </row>
    <row r="8" spans="2:13" x14ac:dyDescent="0.3">
      <c r="C8" s="3"/>
      <c r="D8" s="3"/>
      <c r="E8" s="3"/>
      <c r="F8" s="3">
        <f t="shared" ref="F8:F34" si="0">D8*E8</f>
        <v>0</v>
      </c>
      <c r="G8" s="3" t="s">
        <v>90</v>
      </c>
      <c r="H8" s="3"/>
      <c r="I8" s="3"/>
      <c r="J8" s="3">
        <f t="shared" ref="J8:J34" si="1">H8*I8</f>
        <v>0</v>
      </c>
      <c r="K8" s="3"/>
      <c r="L8" s="3"/>
      <c r="M8" s="3">
        <f t="shared" ref="M8:M34" si="2">K8*L8</f>
        <v>0</v>
      </c>
    </row>
    <row r="9" spans="2:13" x14ac:dyDescent="0.3">
      <c r="C9" s="3"/>
      <c r="D9" s="3"/>
      <c r="E9" s="3"/>
      <c r="F9" s="3">
        <f t="shared" si="0"/>
        <v>0</v>
      </c>
      <c r="G9" s="3"/>
      <c r="H9" s="3"/>
      <c r="I9" s="3"/>
      <c r="J9" s="3">
        <f t="shared" si="1"/>
        <v>0</v>
      </c>
      <c r="K9" s="3"/>
      <c r="L9" s="3"/>
      <c r="M9" s="3">
        <f t="shared" si="2"/>
        <v>0</v>
      </c>
    </row>
    <row r="10" spans="2:13" x14ac:dyDescent="0.3">
      <c r="C10" s="3" t="s">
        <v>77</v>
      </c>
      <c r="D10" s="3"/>
      <c r="E10" s="3"/>
      <c r="F10" s="3">
        <f t="shared" si="0"/>
        <v>0</v>
      </c>
      <c r="G10" s="3" t="s">
        <v>89</v>
      </c>
      <c r="H10" s="3"/>
      <c r="I10" s="3"/>
      <c r="J10" s="3">
        <f t="shared" si="1"/>
        <v>0</v>
      </c>
      <c r="K10" s="3"/>
      <c r="L10" s="3"/>
      <c r="M10" s="3">
        <f t="shared" si="2"/>
        <v>0</v>
      </c>
    </row>
    <row r="11" spans="2:13" x14ac:dyDescent="0.3">
      <c r="C11" s="3"/>
      <c r="D11" s="3"/>
      <c r="E11" s="3"/>
      <c r="F11" s="3">
        <f t="shared" si="0"/>
        <v>0</v>
      </c>
      <c r="G11" s="3" t="s">
        <v>90</v>
      </c>
      <c r="H11" s="3"/>
      <c r="I11" s="3"/>
      <c r="J11" s="3">
        <f t="shared" si="1"/>
        <v>0</v>
      </c>
      <c r="K11" s="3"/>
      <c r="L11" s="3"/>
      <c r="M11" s="3">
        <f t="shared" si="2"/>
        <v>0</v>
      </c>
    </row>
    <row r="12" spans="2:13" x14ac:dyDescent="0.3">
      <c r="C12" s="3"/>
      <c r="D12" s="3"/>
      <c r="E12" s="3"/>
      <c r="F12" s="3">
        <f t="shared" si="0"/>
        <v>0</v>
      </c>
      <c r="G12" s="3"/>
      <c r="H12" s="3"/>
      <c r="I12" s="3"/>
      <c r="J12" s="3">
        <f t="shared" si="1"/>
        <v>0</v>
      </c>
      <c r="K12" s="3"/>
      <c r="L12" s="3"/>
      <c r="M12" s="3">
        <f t="shared" si="2"/>
        <v>0</v>
      </c>
    </row>
    <row r="13" spans="2:13" x14ac:dyDescent="0.3">
      <c r="C13" s="3"/>
      <c r="D13" s="3"/>
      <c r="E13" s="3"/>
      <c r="F13" s="3">
        <f t="shared" si="0"/>
        <v>0</v>
      </c>
      <c r="G13" s="3"/>
      <c r="H13" s="3"/>
      <c r="I13" s="3"/>
      <c r="J13" s="3">
        <f t="shared" si="1"/>
        <v>0</v>
      </c>
      <c r="K13" s="3"/>
      <c r="L13" s="3"/>
      <c r="M13" s="3">
        <f t="shared" si="2"/>
        <v>0</v>
      </c>
    </row>
    <row r="14" spans="2:13" x14ac:dyDescent="0.3">
      <c r="C14" s="3" t="s">
        <v>75</v>
      </c>
      <c r="D14" s="3"/>
      <c r="E14" s="3"/>
      <c r="F14" s="3">
        <f t="shared" si="0"/>
        <v>0</v>
      </c>
      <c r="G14" s="3" t="s">
        <v>89</v>
      </c>
      <c r="H14" s="3"/>
      <c r="I14" s="3"/>
      <c r="J14" s="3">
        <f t="shared" si="1"/>
        <v>0</v>
      </c>
      <c r="K14" s="3"/>
      <c r="L14" s="3"/>
      <c r="M14" s="3">
        <f t="shared" si="2"/>
        <v>0</v>
      </c>
    </row>
    <row r="15" spans="2:13" x14ac:dyDescent="0.3">
      <c r="C15" s="3"/>
      <c r="D15" s="3"/>
      <c r="E15" s="3"/>
      <c r="F15" s="3">
        <f t="shared" si="0"/>
        <v>0</v>
      </c>
      <c r="G15" s="3" t="s">
        <v>90</v>
      </c>
      <c r="H15" s="3"/>
      <c r="I15" s="3"/>
      <c r="J15" s="3">
        <f t="shared" si="1"/>
        <v>0</v>
      </c>
      <c r="K15" s="3"/>
      <c r="L15" s="3"/>
      <c r="M15" s="3">
        <f t="shared" si="2"/>
        <v>0</v>
      </c>
    </row>
    <row r="16" spans="2:13" x14ac:dyDescent="0.3">
      <c r="C16" s="3"/>
      <c r="D16" s="3"/>
      <c r="E16" s="3"/>
      <c r="F16" s="3">
        <f t="shared" si="0"/>
        <v>0</v>
      </c>
      <c r="G16" s="3"/>
      <c r="H16" s="3"/>
      <c r="I16" s="3"/>
      <c r="J16" s="3">
        <f t="shared" si="1"/>
        <v>0</v>
      </c>
      <c r="K16" s="3"/>
      <c r="L16" s="3"/>
      <c r="M16" s="3">
        <f t="shared" si="2"/>
        <v>0</v>
      </c>
    </row>
    <row r="17" spans="3:13" x14ac:dyDescent="0.3">
      <c r="C17" s="3"/>
      <c r="D17" s="3"/>
      <c r="E17" s="3"/>
      <c r="F17" s="3">
        <f t="shared" si="0"/>
        <v>0</v>
      </c>
      <c r="G17" s="3"/>
      <c r="H17" s="3"/>
      <c r="I17" s="3"/>
      <c r="J17" s="3">
        <f t="shared" si="1"/>
        <v>0</v>
      </c>
      <c r="K17" s="3"/>
      <c r="L17" s="3"/>
      <c r="M17" s="3">
        <f t="shared" si="2"/>
        <v>0</v>
      </c>
    </row>
    <row r="18" spans="3:13" x14ac:dyDescent="0.3">
      <c r="C18" s="3" t="s">
        <v>76</v>
      </c>
      <c r="D18" s="3"/>
      <c r="E18" s="3"/>
      <c r="F18" s="3">
        <f t="shared" si="0"/>
        <v>0</v>
      </c>
      <c r="G18" s="3" t="s">
        <v>89</v>
      </c>
      <c r="H18" s="3"/>
      <c r="I18" s="3"/>
      <c r="J18" s="3">
        <f t="shared" si="1"/>
        <v>0</v>
      </c>
      <c r="K18" s="3"/>
      <c r="L18" s="3"/>
      <c r="M18" s="3">
        <f t="shared" si="2"/>
        <v>0</v>
      </c>
    </row>
    <row r="19" spans="3:13" x14ac:dyDescent="0.3">
      <c r="C19" s="3"/>
      <c r="D19" s="3"/>
      <c r="E19" s="3"/>
      <c r="F19" s="3">
        <f t="shared" si="0"/>
        <v>0</v>
      </c>
      <c r="G19" s="3" t="s">
        <v>90</v>
      </c>
      <c r="H19" s="3"/>
      <c r="I19" s="3"/>
      <c r="J19" s="3">
        <f t="shared" si="1"/>
        <v>0</v>
      </c>
      <c r="K19" s="3"/>
      <c r="L19" s="3"/>
      <c r="M19" s="3">
        <f t="shared" si="2"/>
        <v>0</v>
      </c>
    </row>
    <row r="20" spans="3:13" x14ac:dyDescent="0.3">
      <c r="C20" s="3"/>
      <c r="D20" s="3"/>
      <c r="E20" s="3"/>
      <c r="F20" s="3">
        <f t="shared" si="0"/>
        <v>0</v>
      </c>
      <c r="G20" s="3"/>
      <c r="H20" s="3"/>
      <c r="I20" s="3"/>
      <c r="J20" s="3">
        <f t="shared" si="1"/>
        <v>0</v>
      </c>
      <c r="K20" s="3"/>
      <c r="L20" s="3"/>
      <c r="M20" s="3">
        <f t="shared" si="2"/>
        <v>0</v>
      </c>
    </row>
    <row r="21" spans="3:13" x14ac:dyDescent="0.3">
      <c r="C21" s="3" t="s">
        <v>76</v>
      </c>
      <c r="D21" s="3"/>
      <c r="E21" s="3"/>
      <c r="F21" s="3">
        <f t="shared" si="0"/>
        <v>0</v>
      </c>
      <c r="G21" s="3" t="s">
        <v>89</v>
      </c>
      <c r="H21" s="3"/>
      <c r="I21" s="3"/>
      <c r="J21" s="3">
        <f t="shared" si="1"/>
        <v>0</v>
      </c>
      <c r="K21" s="3"/>
      <c r="L21" s="3"/>
      <c r="M21" s="3">
        <f t="shared" si="2"/>
        <v>0</v>
      </c>
    </row>
    <row r="22" spans="3:13" x14ac:dyDescent="0.3">
      <c r="C22" s="3"/>
      <c r="D22" s="3"/>
      <c r="E22" s="3"/>
      <c r="F22" s="3">
        <f t="shared" si="0"/>
        <v>0</v>
      </c>
      <c r="G22" s="3" t="s">
        <v>90</v>
      </c>
      <c r="H22" s="3"/>
      <c r="I22" s="3"/>
      <c r="J22" s="3">
        <f t="shared" si="1"/>
        <v>0</v>
      </c>
      <c r="K22" s="3"/>
      <c r="L22" s="3"/>
      <c r="M22" s="3">
        <f t="shared" si="2"/>
        <v>0</v>
      </c>
    </row>
    <row r="23" spans="3:13" x14ac:dyDescent="0.3">
      <c r="C23" s="3"/>
      <c r="D23" s="3"/>
      <c r="E23" s="3"/>
      <c r="F23" s="3">
        <f t="shared" si="0"/>
        <v>0</v>
      </c>
      <c r="G23" s="3"/>
      <c r="H23" s="3"/>
      <c r="I23" s="3"/>
      <c r="J23" s="3">
        <f t="shared" si="1"/>
        <v>0</v>
      </c>
      <c r="K23" s="3"/>
      <c r="L23" s="3"/>
      <c r="M23" s="3">
        <f t="shared" si="2"/>
        <v>0</v>
      </c>
    </row>
    <row r="24" spans="3:13" x14ac:dyDescent="0.3">
      <c r="C24" s="3" t="s">
        <v>82</v>
      </c>
      <c r="D24" s="3"/>
      <c r="E24" s="3"/>
      <c r="F24" s="3">
        <f t="shared" si="0"/>
        <v>0</v>
      </c>
      <c r="G24" s="3" t="s">
        <v>91</v>
      </c>
      <c r="H24" s="3"/>
      <c r="I24" s="3"/>
      <c r="J24" s="3">
        <f t="shared" si="1"/>
        <v>0</v>
      </c>
      <c r="K24" s="3"/>
      <c r="L24" s="3"/>
      <c r="M24" s="3">
        <f t="shared" si="2"/>
        <v>0</v>
      </c>
    </row>
    <row r="25" spans="3:13" x14ac:dyDescent="0.3">
      <c r="C25" s="3" t="s">
        <v>83</v>
      </c>
      <c r="D25" s="3"/>
      <c r="E25" s="3"/>
      <c r="F25" s="3">
        <f t="shared" si="0"/>
        <v>0</v>
      </c>
      <c r="G25" s="3" t="s">
        <v>91</v>
      </c>
      <c r="H25" s="3"/>
      <c r="I25" s="3"/>
      <c r="J25" s="3">
        <f t="shared" si="1"/>
        <v>0</v>
      </c>
      <c r="K25" s="3"/>
      <c r="L25" s="3"/>
      <c r="M25" s="3">
        <f t="shared" si="2"/>
        <v>0</v>
      </c>
    </row>
    <row r="26" spans="3:13" x14ac:dyDescent="0.3">
      <c r="C26" s="3" t="s">
        <v>84</v>
      </c>
      <c r="D26" s="3"/>
      <c r="E26" s="3"/>
      <c r="F26" s="3">
        <f t="shared" si="0"/>
        <v>0</v>
      </c>
      <c r="G26" s="3" t="s">
        <v>91</v>
      </c>
      <c r="H26" s="3"/>
      <c r="I26" s="3"/>
      <c r="J26" s="3">
        <f t="shared" si="1"/>
        <v>0</v>
      </c>
      <c r="K26" s="3"/>
      <c r="L26" s="3"/>
      <c r="M26" s="3">
        <f t="shared" si="2"/>
        <v>0</v>
      </c>
    </row>
    <row r="27" spans="3:13" x14ac:dyDescent="0.3">
      <c r="C27" s="3"/>
      <c r="D27" s="3"/>
      <c r="E27" s="3"/>
      <c r="F27" s="3">
        <f t="shared" si="0"/>
        <v>0</v>
      </c>
      <c r="G27" s="3"/>
      <c r="H27" s="3"/>
      <c r="I27" s="3"/>
      <c r="J27" s="3">
        <f t="shared" si="1"/>
        <v>0</v>
      </c>
      <c r="K27" s="3"/>
      <c r="L27" s="3"/>
      <c r="M27" s="3">
        <f t="shared" si="2"/>
        <v>0</v>
      </c>
    </row>
    <row r="28" spans="3:13" x14ac:dyDescent="0.3">
      <c r="C28" s="3" t="s">
        <v>78</v>
      </c>
      <c r="D28" s="3"/>
      <c r="E28" s="3"/>
      <c r="F28" s="3">
        <f t="shared" si="0"/>
        <v>0</v>
      </c>
      <c r="G28" s="3"/>
      <c r="H28" s="3"/>
      <c r="I28" s="3"/>
      <c r="J28" s="3">
        <f t="shared" si="1"/>
        <v>0</v>
      </c>
      <c r="K28" s="3"/>
      <c r="L28" s="3"/>
      <c r="M28" s="3">
        <f t="shared" si="2"/>
        <v>0</v>
      </c>
    </row>
    <row r="29" spans="3:13" x14ac:dyDescent="0.3">
      <c r="C29" s="3" t="s">
        <v>79</v>
      </c>
      <c r="D29" s="3"/>
      <c r="E29" s="3"/>
      <c r="F29" s="3">
        <f t="shared" si="0"/>
        <v>0</v>
      </c>
      <c r="G29" s="3"/>
      <c r="H29" s="3"/>
      <c r="I29" s="3"/>
      <c r="J29" s="3">
        <f t="shared" si="1"/>
        <v>0</v>
      </c>
      <c r="K29" s="3"/>
      <c r="L29" s="3"/>
      <c r="M29" s="3">
        <f t="shared" si="2"/>
        <v>0</v>
      </c>
    </row>
    <row r="30" spans="3:13" x14ac:dyDescent="0.3">
      <c r="C30" s="3" t="s">
        <v>80</v>
      </c>
      <c r="D30" s="3"/>
      <c r="E30" s="3"/>
      <c r="F30" s="3">
        <f t="shared" si="0"/>
        <v>0</v>
      </c>
      <c r="G30" s="3"/>
      <c r="H30" s="3"/>
      <c r="I30" s="3"/>
      <c r="J30" s="3">
        <f t="shared" si="1"/>
        <v>0</v>
      </c>
      <c r="K30" s="3"/>
      <c r="L30" s="3"/>
      <c r="M30" s="3">
        <f t="shared" si="2"/>
        <v>0</v>
      </c>
    </row>
    <row r="31" spans="3:13" x14ac:dyDescent="0.3">
      <c r="C31" s="3" t="s">
        <v>81</v>
      </c>
      <c r="D31" s="3"/>
      <c r="E31" s="3"/>
      <c r="F31" s="3">
        <f t="shared" si="0"/>
        <v>0</v>
      </c>
      <c r="G31" s="3"/>
      <c r="H31" s="3"/>
      <c r="I31" s="3"/>
      <c r="J31" s="3">
        <f t="shared" si="1"/>
        <v>0</v>
      </c>
      <c r="K31" s="3"/>
      <c r="L31" s="3"/>
      <c r="M31" s="3">
        <f t="shared" si="2"/>
        <v>0</v>
      </c>
    </row>
    <row r="32" spans="3:13" x14ac:dyDescent="0.3">
      <c r="C32" s="3"/>
      <c r="D32" s="3"/>
      <c r="E32" s="3"/>
      <c r="F32" s="3">
        <f t="shared" si="0"/>
        <v>0</v>
      </c>
      <c r="G32" s="3"/>
      <c r="H32" s="3"/>
      <c r="I32" s="3"/>
      <c r="J32" s="3">
        <f t="shared" si="1"/>
        <v>0</v>
      </c>
      <c r="K32" s="3"/>
      <c r="L32" s="3"/>
      <c r="M32" s="3">
        <f t="shared" si="2"/>
        <v>0</v>
      </c>
    </row>
    <row r="33" spans="3:13" x14ac:dyDescent="0.3">
      <c r="C33" s="3"/>
      <c r="D33" s="3"/>
      <c r="E33" s="3"/>
      <c r="F33" s="3">
        <f t="shared" si="0"/>
        <v>0</v>
      </c>
      <c r="G33" s="3"/>
      <c r="H33" s="3"/>
      <c r="I33" s="3"/>
      <c r="J33" s="3">
        <f t="shared" si="1"/>
        <v>0</v>
      </c>
      <c r="K33" s="3"/>
      <c r="L33" s="3"/>
      <c r="M33" s="3">
        <f t="shared" si="2"/>
        <v>0</v>
      </c>
    </row>
    <row r="34" spans="3:13" x14ac:dyDescent="0.3">
      <c r="C34" s="3"/>
      <c r="D34" s="3"/>
      <c r="E34" s="3"/>
      <c r="F34" s="3">
        <f t="shared" si="0"/>
        <v>0</v>
      </c>
      <c r="G34" s="3"/>
      <c r="H34" s="3"/>
      <c r="I34" s="3"/>
      <c r="J34" s="3">
        <f t="shared" si="1"/>
        <v>0</v>
      </c>
      <c r="K34" s="3"/>
      <c r="L34" s="3"/>
      <c r="M34" s="3">
        <f t="shared" si="2"/>
        <v>0</v>
      </c>
    </row>
    <row r="35" spans="3:13" x14ac:dyDescent="0.3">
      <c r="C35" s="3" t="s">
        <v>85</v>
      </c>
      <c r="D35" s="3"/>
      <c r="E35" s="3">
        <f>F35*10.764</f>
        <v>0</v>
      </c>
      <c r="F35" s="3">
        <f>SUM(F7:F34)</f>
        <v>0</v>
      </c>
      <c r="G35" s="3"/>
      <c r="H35" s="3"/>
      <c r="I35" s="3">
        <f>J35*10.764</f>
        <v>0</v>
      </c>
      <c r="J35" s="3">
        <f>SUM(J7:J34)</f>
        <v>0</v>
      </c>
      <c r="K35" s="3"/>
      <c r="L35" s="3">
        <f>M35*10.764</f>
        <v>0</v>
      </c>
      <c r="M35" s="3">
        <f>SUM(M7:M34)</f>
        <v>0</v>
      </c>
    </row>
  </sheetData>
  <mergeCells count="4">
    <mergeCell ref="D3:E3"/>
    <mergeCell ref="D5:F5"/>
    <mergeCell ref="H5:J5"/>
    <mergeCell ref="K5:M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3:N35"/>
  <sheetViews>
    <sheetView workbookViewId="0">
      <selection activeCell="H7" sqref="H7:H8"/>
    </sheetView>
  </sheetViews>
  <sheetFormatPr defaultRowHeight="14.4" x14ac:dyDescent="0.3"/>
  <sheetData>
    <row r="3" spans="3:14" x14ac:dyDescent="0.3">
      <c r="D3" s="6" t="s">
        <v>86</v>
      </c>
      <c r="E3" s="328"/>
      <c r="F3" s="328"/>
    </row>
    <row r="4" spans="3:14" x14ac:dyDescent="0.3">
      <c r="F4" s="5"/>
      <c r="G4" s="5"/>
      <c r="H4" s="5"/>
      <c r="I4" s="5"/>
      <c r="J4" s="5"/>
      <c r="K4" s="5"/>
    </row>
    <row r="5" spans="3:14" x14ac:dyDescent="0.3">
      <c r="C5" s="6" t="s">
        <v>87</v>
      </c>
      <c r="D5" s="4" t="s">
        <v>67</v>
      </c>
      <c r="E5" s="329" t="s">
        <v>68</v>
      </c>
      <c r="F5" s="329"/>
      <c r="G5" s="329"/>
      <c r="H5" s="7"/>
      <c r="I5" s="329" t="s">
        <v>69</v>
      </c>
      <c r="J5" s="329"/>
      <c r="K5" s="329"/>
      <c r="L5" s="329" t="s">
        <v>70</v>
      </c>
      <c r="M5" s="329"/>
      <c r="N5" s="329"/>
    </row>
    <row r="6" spans="3:14" x14ac:dyDescent="0.3">
      <c r="C6" s="6">
        <v>1</v>
      </c>
      <c r="D6" s="4"/>
      <c r="E6" s="4" t="s">
        <v>71</v>
      </c>
      <c r="F6" s="4" t="s">
        <v>72</v>
      </c>
      <c r="G6" s="4" t="s">
        <v>73</v>
      </c>
      <c r="H6" s="4"/>
      <c r="I6" s="4" t="s">
        <v>71</v>
      </c>
      <c r="J6" s="4" t="s">
        <v>72</v>
      </c>
      <c r="K6" s="4" t="s">
        <v>73</v>
      </c>
      <c r="L6" s="4" t="s">
        <v>71</v>
      </c>
      <c r="M6" s="4" t="s">
        <v>72</v>
      </c>
      <c r="N6" s="4" t="s">
        <v>73</v>
      </c>
    </row>
    <row r="7" spans="3:14" x14ac:dyDescent="0.3">
      <c r="D7" s="3" t="s">
        <v>74</v>
      </c>
      <c r="E7" s="3"/>
      <c r="F7" s="3"/>
      <c r="G7" s="3">
        <f>E7*F7</f>
        <v>0</v>
      </c>
      <c r="H7" s="3" t="s">
        <v>89</v>
      </c>
      <c r="I7" s="3"/>
      <c r="J7" s="3"/>
      <c r="K7" s="3">
        <f>I7*J7</f>
        <v>0</v>
      </c>
      <c r="L7" s="3"/>
      <c r="M7" s="3"/>
      <c r="N7" s="3">
        <f>L7*M7</f>
        <v>0</v>
      </c>
    </row>
    <row r="8" spans="3:14" x14ac:dyDescent="0.3">
      <c r="D8" s="3"/>
      <c r="E8" s="3"/>
      <c r="F8" s="3"/>
      <c r="G8" s="3">
        <f t="shared" ref="G8:G34" si="0">E8*F8</f>
        <v>0</v>
      </c>
      <c r="H8" s="3" t="s">
        <v>90</v>
      </c>
      <c r="I8" s="3"/>
      <c r="J8" s="3"/>
      <c r="K8" s="3">
        <f t="shared" ref="K8:K34" si="1">I8*J8</f>
        <v>0</v>
      </c>
      <c r="L8" s="3"/>
      <c r="M8" s="3"/>
      <c r="N8" s="3">
        <f t="shared" ref="N8:N34" si="2">L8*M8</f>
        <v>0</v>
      </c>
    </row>
    <row r="9" spans="3:14" x14ac:dyDescent="0.3">
      <c r="D9" s="3"/>
      <c r="E9" s="3"/>
      <c r="F9" s="3"/>
      <c r="G9" s="3">
        <f t="shared" si="0"/>
        <v>0</v>
      </c>
      <c r="H9" s="3"/>
      <c r="I9" s="3"/>
      <c r="J9" s="3"/>
      <c r="K9" s="3">
        <f t="shared" si="1"/>
        <v>0</v>
      </c>
      <c r="L9" s="3"/>
      <c r="M9" s="3"/>
      <c r="N9" s="3">
        <f t="shared" si="2"/>
        <v>0</v>
      </c>
    </row>
    <row r="10" spans="3:14" x14ac:dyDescent="0.3">
      <c r="D10" s="3" t="s">
        <v>77</v>
      </c>
      <c r="E10" s="3"/>
      <c r="F10" s="3"/>
      <c r="G10" s="3">
        <f t="shared" si="0"/>
        <v>0</v>
      </c>
      <c r="H10" s="3" t="s">
        <v>89</v>
      </c>
      <c r="I10" s="3"/>
      <c r="J10" s="3"/>
      <c r="K10" s="3">
        <f t="shared" si="1"/>
        <v>0</v>
      </c>
      <c r="L10" s="3"/>
      <c r="M10" s="3"/>
      <c r="N10" s="3">
        <f t="shared" si="2"/>
        <v>0</v>
      </c>
    </row>
    <row r="11" spans="3:14" x14ac:dyDescent="0.3">
      <c r="D11" s="3"/>
      <c r="E11" s="3"/>
      <c r="F11" s="3"/>
      <c r="G11" s="3">
        <f t="shared" si="0"/>
        <v>0</v>
      </c>
      <c r="H11" s="3" t="s">
        <v>90</v>
      </c>
      <c r="I11" s="3"/>
      <c r="J11" s="3"/>
      <c r="K11" s="3">
        <f t="shared" si="1"/>
        <v>0</v>
      </c>
      <c r="L11" s="3"/>
      <c r="M11" s="3"/>
      <c r="N11" s="3">
        <f t="shared" si="2"/>
        <v>0</v>
      </c>
    </row>
    <row r="12" spans="3:14" x14ac:dyDescent="0.3">
      <c r="D12" s="3"/>
      <c r="E12" s="3"/>
      <c r="F12" s="3"/>
      <c r="G12" s="3">
        <f t="shared" si="0"/>
        <v>0</v>
      </c>
      <c r="H12" s="3"/>
      <c r="I12" s="3"/>
      <c r="J12" s="3"/>
      <c r="K12" s="3">
        <f t="shared" si="1"/>
        <v>0</v>
      </c>
      <c r="L12" s="3"/>
      <c r="M12" s="3"/>
      <c r="N12" s="3">
        <f t="shared" si="2"/>
        <v>0</v>
      </c>
    </row>
    <row r="13" spans="3:14" x14ac:dyDescent="0.3">
      <c r="D13" s="3"/>
      <c r="E13" s="3"/>
      <c r="F13" s="3"/>
      <c r="G13" s="3">
        <f t="shared" si="0"/>
        <v>0</v>
      </c>
      <c r="H13" s="3"/>
      <c r="I13" s="3"/>
      <c r="J13" s="3"/>
      <c r="K13" s="3">
        <f t="shared" si="1"/>
        <v>0</v>
      </c>
      <c r="L13" s="3"/>
      <c r="M13" s="3"/>
      <c r="N13" s="3">
        <f t="shared" si="2"/>
        <v>0</v>
      </c>
    </row>
    <row r="14" spans="3:14" x14ac:dyDescent="0.3">
      <c r="D14" s="3" t="s">
        <v>75</v>
      </c>
      <c r="E14" s="3"/>
      <c r="F14" s="3"/>
      <c r="G14" s="3">
        <f t="shared" si="0"/>
        <v>0</v>
      </c>
      <c r="H14" s="3" t="s">
        <v>89</v>
      </c>
      <c r="I14" s="3"/>
      <c r="J14" s="3"/>
      <c r="K14" s="3">
        <f t="shared" si="1"/>
        <v>0</v>
      </c>
      <c r="L14" s="3"/>
      <c r="M14" s="3"/>
      <c r="N14" s="3">
        <f t="shared" si="2"/>
        <v>0</v>
      </c>
    </row>
    <row r="15" spans="3:14" x14ac:dyDescent="0.3">
      <c r="D15" s="3"/>
      <c r="E15" s="3"/>
      <c r="F15" s="3"/>
      <c r="G15" s="3">
        <f t="shared" si="0"/>
        <v>0</v>
      </c>
      <c r="H15" s="3" t="s">
        <v>90</v>
      </c>
      <c r="I15" s="3"/>
      <c r="J15" s="3"/>
      <c r="K15" s="3">
        <f t="shared" si="1"/>
        <v>0</v>
      </c>
      <c r="L15" s="3"/>
      <c r="M15" s="3"/>
      <c r="N15" s="3">
        <f t="shared" si="2"/>
        <v>0</v>
      </c>
    </row>
    <row r="16" spans="3:14" x14ac:dyDescent="0.3">
      <c r="D16" s="3"/>
      <c r="E16" s="3"/>
      <c r="F16" s="3"/>
      <c r="G16" s="3">
        <f t="shared" si="0"/>
        <v>0</v>
      </c>
      <c r="H16" s="3"/>
      <c r="I16" s="3"/>
      <c r="J16" s="3"/>
      <c r="K16" s="3">
        <f t="shared" si="1"/>
        <v>0</v>
      </c>
      <c r="L16" s="3"/>
      <c r="M16" s="3"/>
      <c r="N16" s="3">
        <f t="shared" si="2"/>
        <v>0</v>
      </c>
    </row>
    <row r="17" spans="4:14" x14ac:dyDescent="0.3">
      <c r="D17" s="3"/>
      <c r="E17" s="3"/>
      <c r="F17" s="3"/>
      <c r="G17" s="3">
        <f t="shared" si="0"/>
        <v>0</v>
      </c>
      <c r="H17" s="3"/>
      <c r="I17" s="3"/>
      <c r="J17" s="3"/>
      <c r="K17" s="3">
        <f t="shared" si="1"/>
        <v>0</v>
      </c>
      <c r="L17" s="3"/>
      <c r="M17" s="3"/>
      <c r="N17" s="3">
        <f t="shared" si="2"/>
        <v>0</v>
      </c>
    </row>
    <row r="18" spans="4:14" x14ac:dyDescent="0.3">
      <c r="D18" s="3" t="s">
        <v>76</v>
      </c>
      <c r="E18" s="3"/>
      <c r="F18" s="3"/>
      <c r="G18" s="3">
        <f t="shared" si="0"/>
        <v>0</v>
      </c>
      <c r="H18" s="3" t="s">
        <v>89</v>
      </c>
      <c r="I18" s="3"/>
      <c r="J18" s="3"/>
      <c r="K18" s="3">
        <f t="shared" si="1"/>
        <v>0</v>
      </c>
      <c r="L18" s="3"/>
      <c r="M18" s="3"/>
      <c r="N18" s="3">
        <f t="shared" si="2"/>
        <v>0</v>
      </c>
    </row>
    <row r="19" spans="4:14" x14ac:dyDescent="0.3">
      <c r="D19" s="3"/>
      <c r="E19" s="3"/>
      <c r="F19" s="3"/>
      <c r="G19" s="3">
        <f t="shared" si="0"/>
        <v>0</v>
      </c>
      <c r="H19" s="3" t="s">
        <v>90</v>
      </c>
      <c r="I19" s="3"/>
      <c r="J19" s="3"/>
      <c r="K19" s="3">
        <f t="shared" si="1"/>
        <v>0</v>
      </c>
      <c r="L19" s="3"/>
      <c r="M19" s="3"/>
      <c r="N19" s="3">
        <f t="shared" si="2"/>
        <v>0</v>
      </c>
    </row>
    <row r="20" spans="4:14" x14ac:dyDescent="0.3">
      <c r="D20" s="3"/>
      <c r="E20" s="3"/>
      <c r="F20" s="3"/>
      <c r="G20" s="3">
        <f t="shared" si="0"/>
        <v>0</v>
      </c>
      <c r="H20" s="3"/>
      <c r="I20" s="3"/>
      <c r="J20" s="3"/>
      <c r="K20" s="3">
        <f t="shared" si="1"/>
        <v>0</v>
      </c>
      <c r="L20" s="3"/>
      <c r="M20" s="3"/>
      <c r="N20" s="3">
        <f t="shared" si="2"/>
        <v>0</v>
      </c>
    </row>
    <row r="21" spans="4:14" x14ac:dyDescent="0.3">
      <c r="D21" s="3" t="s">
        <v>76</v>
      </c>
      <c r="E21" s="3"/>
      <c r="F21" s="3"/>
      <c r="G21" s="3">
        <f t="shared" si="0"/>
        <v>0</v>
      </c>
      <c r="H21" s="3" t="s">
        <v>89</v>
      </c>
      <c r="I21" s="3"/>
      <c r="J21" s="3"/>
      <c r="K21" s="3">
        <f t="shared" si="1"/>
        <v>0</v>
      </c>
      <c r="L21" s="3"/>
      <c r="M21" s="3"/>
      <c r="N21" s="3">
        <f t="shared" si="2"/>
        <v>0</v>
      </c>
    </row>
    <row r="22" spans="4:14" x14ac:dyDescent="0.3">
      <c r="D22" s="3"/>
      <c r="E22" s="3"/>
      <c r="F22" s="3"/>
      <c r="G22" s="3">
        <f t="shared" si="0"/>
        <v>0</v>
      </c>
      <c r="H22" s="3" t="s">
        <v>90</v>
      </c>
      <c r="I22" s="3"/>
      <c r="J22" s="3"/>
      <c r="K22" s="3">
        <f t="shared" si="1"/>
        <v>0</v>
      </c>
      <c r="L22" s="3"/>
      <c r="M22" s="3"/>
      <c r="N22" s="3">
        <f t="shared" si="2"/>
        <v>0</v>
      </c>
    </row>
    <row r="23" spans="4:14" x14ac:dyDescent="0.3">
      <c r="D23" s="3"/>
      <c r="E23" s="3"/>
      <c r="F23" s="3"/>
      <c r="G23" s="3">
        <f t="shared" si="0"/>
        <v>0</v>
      </c>
      <c r="H23" s="3"/>
      <c r="I23" s="3"/>
      <c r="J23" s="3"/>
      <c r="K23" s="3">
        <f t="shared" si="1"/>
        <v>0</v>
      </c>
      <c r="L23" s="3"/>
      <c r="M23" s="3"/>
      <c r="N23" s="3">
        <f t="shared" si="2"/>
        <v>0</v>
      </c>
    </row>
    <row r="24" spans="4:14" x14ac:dyDescent="0.3">
      <c r="D24" s="3" t="s">
        <v>82</v>
      </c>
      <c r="E24" s="3"/>
      <c r="F24" s="3"/>
      <c r="G24" s="3">
        <f t="shared" si="0"/>
        <v>0</v>
      </c>
      <c r="H24" s="3" t="s">
        <v>91</v>
      </c>
      <c r="I24" s="3"/>
      <c r="J24" s="3"/>
      <c r="K24" s="3">
        <f t="shared" si="1"/>
        <v>0</v>
      </c>
      <c r="L24" s="3"/>
      <c r="M24" s="3"/>
      <c r="N24" s="3">
        <f t="shared" si="2"/>
        <v>0</v>
      </c>
    </row>
    <row r="25" spans="4:14" x14ac:dyDescent="0.3">
      <c r="D25" s="3" t="s">
        <v>83</v>
      </c>
      <c r="E25" s="3"/>
      <c r="F25" s="3"/>
      <c r="G25" s="3">
        <f t="shared" si="0"/>
        <v>0</v>
      </c>
      <c r="H25" s="3" t="s">
        <v>91</v>
      </c>
      <c r="I25" s="3"/>
      <c r="J25" s="3"/>
      <c r="K25" s="3">
        <f t="shared" si="1"/>
        <v>0</v>
      </c>
      <c r="L25" s="3"/>
      <c r="M25" s="3"/>
      <c r="N25" s="3">
        <f t="shared" si="2"/>
        <v>0</v>
      </c>
    </row>
    <row r="26" spans="4:14" x14ac:dyDescent="0.3">
      <c r="D26" s="3" t="s">
        <v>84</v>
      </c>
      <c r="E26" s="3"/>
      <c r="F26" s="3"/>
      <c r="G26" s="3">
        <f t="shared" si="0"/>
        <v>0</v>
      </c>
      <c r="H26" s="3" t="s">
        <v>91</v>
      </c>
      <c r="I26" s="3"/>
      <c r="J26" s="3"/>
      <c r="K26" s="3">
        <f t="shared" si="1"/>
        <v>0</v>
      </c>
      <c r="L26" s="3"/>
      <c r="M26" s="3"/>
      <c r="N26" s="3">
        <f t="shared" si="2"/>
        <v>0</v>
      </c>
    </row>
    <row r="27" spans="4:14" x14ac:dyDescent="0.3">
      <c r="D27" s="3"/>
      <c r="E27" s="3"/>
      <c r="F27" s="3"/>
      <c r="G27" s="3">
        <f t="shared" si="0"/>
        <v>0</v>
      </c>
      <c r="H27" s="3"/>
      <c r="I27" s="3"/>
      <c r="J27" s="3"/>
      <c r="K27" s="3">
        <f t="shared" si="1"/>
        <v>0</v>
      </c>
      <c r="L27" s="3"/>
      <c r="M27" s="3"/>
      <c r="N27" s="3">
        <f t="shared" si="2"/>
        <v>0</v>
      </c>
    </row>
    <row r="28" spans="4:14" x14ac:dyDescent="0.3">
      <c r="D28" s="3" t="s">
        <v>78</v>
      </c>
      <c r="E28" s="3"/>
      <c r="F28" s="3"/>
      <c r="G28" s="3">
        <f t="shared" si="0"/>
        <v>0</v>
      </c>
      <c r="H28" s="3"/>
      <c r="I28" s="3"/>
      <c r="J28" s="3"/>
      <c r="K28" s="3">
        <f t="shared" si="1"/>
        <v>0</v>
      </c>
      <c r="L28" s="3"/>
      <c r="M28" s="3"/>
      <c r="N28" s="3">
        <f t="shared" si="2"/>
        <v>0</v>
      </c>
    </row>
    <row r="29" spans="4:14" x14ac:dyDescent="0.3">
      <c r="D29" s="3" t="s">
        <v>79</v>
      </c>
      <c r="E29" s="3"/>
      <c r="F29" s="3"/>
      <c r="G29" s="3">
        <f t="shared" si="0"/>
        <v>0</v>
      </c>
      <c r="H29" s="3"/>
      <c r="I29" s="3"/>
      <c r="J29" s="3"/>
      <c r="K29" s="3">
        <f t="shared" si="1"/>
        <v>0</v>
      </c>
      <c r="L29" s="3"/>
      <c r="M29" s="3"/>
      <c r="N29" s="3">
        <f t="shared" si="2"/>
        <v>0</v>
      </c>
    </row>
    <row r="30" spans="4:14" x14ac:dyDescent="0.3">
      <c r="D30" s="3" t="s">
        <v>80</v>
      </c>
      <c r="E30" s="3"/>
      <c r="F30" s="3"/>
      <c r="G30" s="3">
        <f t="shared" si="0"/>
        <v>0</v>
      </c>
      <c r="H30" s="3"/>
      <c r="I30" s="3"/>
      <c r="J30" s="3"/>
      <c r="K30" s="3">
        <f t="shared" si="1"/>
        <v>0</v>
      </c>
      <c r="L30" s="3"/>
      <c r="M30" s="3"/>
      <c r="N30" s="3">
        <f t="shared" si="2"/>
        <v>0</v>
      </c>
    </row>
    <row r="31" spans="4:14" x14ac:dyDescent="0.3">
      <c r="D31" s="3" t="s">
        <v>81</v>
      </c>
      <c r="E31" s="3"/>
      <c r="F31" s="3"/>
      <c r="G31" s="3">
        <f t="shared" si="0"/>
        <v>0</v>
      </c>
      <c r="H31" s="3"/>
      <c r="I31" s="3"/>
      <c r="J31" s="3"/>
      <c r="K31" s="3">
        <f t="shared" si="1"/>
        <v>0</v>
      </c>
      <c r="L31" s="3"/>
      <c r="M31" s="3"/>
      <c r="N31" s="3">
        <f t="shared" si="2"/>
        <v>0</v>
      </c>
    </row>
    <row r="32" spans="4:14" x14ac:dyDescent="0.3">
      <c r="D32" s="3"/>
      <c r="E32" s="3"/>
      <c r="F32" s="3"/>
      <c r="G32" s="3">
        <f t="shared" si="0"/>
        <v>0</v>
      </c>
      <c r="H32" s="3"/>
      <c r="I32" s="3"/>
      <c r="J32" s="3"/>
      <c r="K32" s="3">
        <f t="shared" si="1"/>
        <v>0</v>
      </c>
      <c r="L32" s="3"/>
      <c r="M32" s="3"/>
      <c r="N32" s="3">
        <f t="shared" si="2"/>
        <v>0</v>
      </c>
    </row>
    <row r="33" spans="4:14" x14ac:dyDescent="0.3">
      <c r="D33" s="3"/>
      <c r="E33" s="3"/>
      <c r="F33" s="3"/>
      <c r="G33" s="3">
        <f t="shared" si="0"/>
        <v>0</v>
      </c>
      <c r="H33" s="3"/>
      <c r="I33" s="3"/>
      <c r="J33" s="3"/>
      <c r="K33" s="3">
        <f t="shared" si="1"/>
        <v>0</v>
      </c>
      <c r="L33" s="3"/>
      <c r="M33" s="3"/>
      <c r="N33" s="3">
        <f t="shared" si="2"/>
        <v>0</v>
      </c>
    </row>
    <row r="34" spans="4:14" x14ac:dyDescent="0.3">
      <c r="D34" s="3"/>
      <c r="E34" s="3"/>
      <c r="F34" s="3"/>
      <c r="G34" s="3">
        <f t="shared" si="0"/>
        <v>0</v>
      </c>
      <c r="H34" s="3"/>
      <c r="I34" s="3"/>
      <c r="J34" s="3"/>
      <c r="K34" s="3">
        <f t="shared" si="1"/>
        <v>0</v>
      </c>
      <c r="L34" s="3"/>
      <c r="M34" s="3"/>
      <c r="N34" s="3">
        <f t="shared" si="2"/>
        <v>0</v>
      </c>
    </row>
    <row r="35" spans="4:14" x14ac:dyDescent="0.3">
      <c r="D35" s="3" t="s">
        <v>85</v>
      </c>
      <c r="E35" s="3"/>
      <c r="F35" s="3">
        <f>G35*10.764</f>
        <v>0</v>
      </c>
      <c r="G35" s="3">
        <f>SUM(G7:G34)</f>
        <v>0</v>
      </c>
      <c r="H35" s="3"/>
      <c r="I35" s="3"/>
      <c r="J35" s="3">
        <f>K35*10.764</f>
        <v>0</v>
      </c>
      <c r="K35" s="3">
        <f>SUM(K7:K34)</f>
        <v>0</v>
      </c>
      <c r="L35" s="3"/>
      <c r="M35" s="3">
        <f>N35*10.764</f>
        <v>0</v>
      </c>
      <c r="N35" s="3">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Sheet1</vt:lpstr>
      <vt:lpstr>Construction A % </vt:lpstr>
      <vt:lpstr>Construction B %</vt:lpstr>
      <vt:lpstr>Construction % C</vt:lpstr>
      <vt:lpstr>Note</vt:lpstr>
      <vt:lpstr>Valuation</vt:lpstr>
      <vt:lpstr>Wing A</vt:lpstr>
      <vt:lpstr>Wing B</vt:lpstr>
      <vt:lpstr>Wing C</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Kunal Kadam</cp:lastModifiedBy>
  <cp:lastPrinted>2025-07-09T13:40:14Z</cp:lastPrinted>
  <dcterms:created xsi:type="dcterms:W3CDTF">2013-11-23T05:32:33Z</dcterms:created>
  <dcterms:modified xsi:type="dcterms:W3CDTF">2025-07-09T13:40:15Z</dcterms:modified>
</cp:coreProperties>
</file>