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DB42DD71-559C-4BCE-B010-8CCDF9B74ED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D123" i="1"/>
  <c r="D122" i="1"/>
  <c r="D121" i="1"/>
  <c r="D120" i="1"/>
  <c r="D118" i="1"/>
  <c r="F118" i="1" s="1"/>
  <c r="D116" i="1"/>
  <c r="D117" i="1"/>
  <c r="D115" i="1"/>
  <c r="C99" i="1" l="1"/>
  <c r="E99" i="1"/>
  <c r="C13" i="1"/>
  <c r="E28" i="1" l="1"/>
  <c r="F91" i="1" l="1"/>
  <c r="F106" i="1" l="1"/>
  <c r="F107" i="1"/>
  <c r="F108" i="1"/>
  <c r="F105" i="1"/>
  <c r="B126" i="1" l="1"/>
  <c r="F123" i="1" l="1"/>
  <c r="F122" i="1"/>
  <c r="F121" i="1"/>
  <c r="F120" i="1"/>
  <c r="F116" i="1"/>
  <c r="I116" i="1" s="1"/>
  <c r="F115" i="1"/>
  <c r="I115" i="1" s="1"/>
  <c r="F117" i="1"/>
  <c r="G99" i="1" l="1"/>
  <c r="B1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8" i="1"/>
  <c r="G120" i="1"/>
  <c r="G115" i="1"/>
  <c r="A116" i="1"/>
  <c r="A117" i="1" s="1"/>
  <c r="A118" i="1" s="1"/>
  <c r="A106" i="1"/>
  <c r="A107" i="1" s="1"/>
  <c r="A108" i="1" s="1"/>
  <c r="G105" i="1"/>
  <c r="G106" i="1" s="1"/>
  <c r="G107" i="1" s="1"/>
  <c r="G108" i="1" s="1"/>
  <c r="J75" i="1"/>
  <c r="J74" i="1"/>
  <c r="J73" i="1"/>
  <c r="C64" i="1"/>
  <c r="D53" i="1"/>
  <c r="C49" i="1"/>
  <c r="E25" i="1"/>
  <c r="E23" i="1"/>
  <c r="E7" i="1"/>
  <c r="E3" i="1"/>
  <c r="H65" i="1"/>
  <c r="D58" i="1" l="1"/>
  <c r="D77" i="1"/>
  <c r="D75" i="1"/>
  <c r="D74" i="1"/>
  <c r="D73" i="1"/>
  <c r="D71" i="1"/>
  <c r="J64" i="1"/>
  <c r="D76" i="1"/>
  <c r="D72" i="1"/>
  <c r="J68" i="1"/>
  <c r="J69" i="1"/>
  <c r="C68" i="1" s="1"/>
  <c r="J67" i="1"/>
  <c r="J70" i="1"/>
  <c r="J71" i="1" s="1"/>
  <c r="J76" i="1" s="1"/>
  <c r="J72" i="1" l="1"/>
  <c r="J77" i="1" s="1"/>
  <c r="C69" i="1" s="1"/>
  <c r="D70" i="1"/>
  <c r="J66" i="1"/>
  <c r="D68" i="1"/>
  <c r="E68" i="1" l="1"/>
  <c r="D69" i="1"/>
  <c r="I65" i="1" s="1"/>
  <c r="G68" i="1"/>
  <c r="D62" i="1" s="1"/>
  <c r="F63" i="1" s="1"/>
  <c r="J65" i="1"/>
  <c r="D63" i="1" l="1"/>
  <c r="I66" i="1"/>
  <c r="I64" i="1" s="1"/>
  <c r="C66" i="1" s="1"/>
</calcChain>
</file>

<file path=xl/sharedStrings.xml><?xml version="1.0" encoding="utf-8"?>
<sst xmlns="http://schemas.openxmlformats.org/spreadsheetml/2006/main" count="272" uniqueCount="212">
  <si>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</si>
  <si>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</si>
  <si>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</si>
  <si>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</si>
  <si>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</si>
  <si>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</si>
  <si>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</si>
  <si>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</si>
  <si>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</si>
  <si>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</si>
  <si>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</si>
  <si>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</si>
  <si>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</si>
  <si>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</si>
  <si>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</si>
  <si>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</si>
  <si>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</si>
  <si>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</si>
  <si>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</si>
  <si>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</si>
  <si>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</si>
  <si>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</si>
  <si>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</si>
  <si>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</si>
  <si>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</si>
  <si>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</si>
  <si>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</si>
  <si>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</si>
  <si>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</si>
  <si>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</si>
  <si>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</si>
  <si>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</si>
  <si>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</si>
  <si>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</si>
  <si>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</si>
  <si>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</si>
  <si>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</si>
  <si>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</si>
  <si>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</si>
  <si>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</si>
  <si>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</si>
  <si>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</si>
  <si>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</si>
  <si>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</si>
  <si>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</si>
  <si>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</si>
  <si>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</si>
  <si>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</si>
  <si>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</si>
  <si>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</si>
  <si>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</si>
  <si>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</si>
  <si>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</si>
  <si>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</si>
  <si>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</si>
  <si>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</si>
  <si>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</si>
  <si>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</si>
  <si>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</si>
  <si>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</si>
  <si>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</si>
  <si>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</si>
  <si>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</si>
  <si>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</si>
  <si>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</si>
  <si>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</si>
  <si>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</si>
  <si>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</si>
  <si>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</si>
  <si>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</si>
  <si>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</si>
  <si>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</si>
  <si>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</si>
  <si>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</si>
  <si>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</si>
  <si>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</si>
  <si>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</si>
  <si>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</si>
  <si>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</si>
  <si>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</si>
  <si>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</si>
  <si>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</si>
  <si>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</si>
  <si>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</si>
  <si>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</si>
  <si>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</si>
  <si>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</si>
  <si>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</si>
  <si>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</si>
  <si>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</si>
  <si>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</si>
  <si>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</si>
  <si>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</si>
  <si>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</si>
  <si>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</si>
  <si>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</si>
  <si>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</si>
  <si>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</si>
  <si>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</si>
  <si>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</si>
  <si>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</si>
  <si>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</si>
  <si>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</si>
  <si>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</si>
  <si>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</si>
  <si>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</si>
  <si>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</si>
  <si>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</si>
  <si>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</si>
  <si>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</si>
  <si>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</si>
  <si>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</si>
  <si>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</si>
  <si>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</si>
  <si>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</si>
  <si>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</si>
  <si>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</si>
  <si>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</si>
  <si>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</si>
  <si>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</si>
  <si>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</si>
  <si>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</si>
  <si>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</si>
  <si>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</si>
  <si>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</si>
  <si>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</si>
  <si>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</si>
  <si>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</si>
  <si>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</si>
  <si>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</si>
  <si>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</si>
  <si>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</si>
  <si>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</si>
  <si>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</si>
  <si>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</si>
  <si>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</si>
  <si>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</si>
  <si>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</si>
  <si>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</si>
  <si>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</si>
  <si>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</si>
  <si>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</si>
  <si>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</si>
  <si>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</si>
  <si>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</si>
  <si>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</si>
  <si>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</si>
  <si>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</si>
  <si>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</si>
  <si>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</si>
  <si>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</si>
  <si>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</si>
  <si>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</si>
  <si>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</si>
  <si>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</si>
  <si>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</si>
  <si>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</si>
  <si>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</si>
  <si>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</si>
  <si>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</si>
  <si>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</si>
  <si>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</si>
  <si>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</si>
  <si>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</si>
  <si>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</si>
  <si>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</si>
  <si>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</si>
  <si>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</si>
  <si>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</si>
  <si>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</si>
  <si>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</si>
  <si>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</si>
  <si>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</si>
  <si>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</si>
  <si>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</si>
  <si>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Sheth Vasant Lawns</t>
  </si>
  <si>
    <t>7021671044/9773193998-Mithilesh Dubey</t>
  </si>
  <si>
    <t>S04/0186/21(2003/181)TMC/TDD/4034/22</t>
  </si>
  <si>
    <t>P51700003655</t>
  </si>
  <si>
    <t>Survey No</t>
  </si>
  <si>
    <t>Thane</t>
  </si>
  <si>
    <t>TCS Approach Rd</t>
  </si>
  <si>
    <t>Paramos Vasant Lawns</t>
  </si>
  <si>
    <t>3.9KM from Thane Railway Station</t>
  </si>
  <si>
    <t>Sheth Vasant Lawns Amenities</t>
  </si>
  <si>
    <t>Open Plot</t>
  </si>
  <si>
    <t>Internal Road</t>
  </si>
  <si>
    <t>https://goo.gl/maps/srH2P7urVwMxuc2N7</t>
  </si>
  <si>
    <t>Ground Floor For Parking</t>
  </si>
  <si>
    <t>3BHK</t>
  </si>
  <si>
    <t>6th, 11th, 16th, 21st, 26th, 31st Floor (Part Refuge Area)</t>
  </si>
  <si>
    <t>On Site, we meet Mr.Dubey.</t>
  </si>
  <si>
    <t>We considered Gross carpet area = Net carpet + Deck balcony + C.B Area.</t>
  </si>
  <si>
    <t>Ajay Songare</t>
  </si>
  <si>
    <t>1st to 5th, 7th to 10th, 12th to 15th, 17th to 20th, 22nd to 25th, 27th to 30th &amp; 32nd Floor For Residential</t>
  </si>
  <si>
    <t>Flats -128.</t>
  </si>
  <si>
    <t>TMC</t>
  </si>
  <si>
    <t>Please Provide Approved Layout Plan &amp; Ground Floor Plan.</t>
  </si>
  <si>
    <t>35/4A, 35/8, 35/9/A, 51/4/A, 52/A/1/1, 52/A/1/2, 52/A/1/3, 52/B, 52/A/2/A, 52/A/2/B, 52/A/2/C, 53/2, 53/3, 53/4, 70/2/B, 72/1/B, 72/1/C 72/4/B, 72/4/C, 72/6, 72/7/B, 72/7/C, 72/7/D, 72/7/E, 72/7/G, 72/8, 72/10 &amp;526 (Pt)</t>
  </si>
  <si>
    <t>Approved Plans, CC, Sale Plans.</t>
  </si>
  <si>
    <t>M/s. Sheth Developers Pvt Ltd</t>
  </si>
  <si>
    <t>Panchpakhadi</t>
  </si>
  <si>
    <t xml:space="preserve">Building No. 8(GLADE) = LB+UB+Stilt+Part Podium+1st to 32nd Floor </t>
  </si>
  <si>
    <t xml:space="preserve">Building No. 8(GLADE) = LB + UB + Stilt + Part Podium + 1st to 32nd Floor </t>
  </si>
  <si>
    <t>Axis Thane</t>
  </si>
  <si>
    <t>Building No. 8(GLADE)</t>
  </si>
  <si>
    <t>Floor Rise Rate (From 2nd Floor) Per Sq. Ft.</t>
  </si>
  <si>
    <t xml:space="preserve">1.Vitrified tiles flooring 2. Granite Kitchen Platform  3. Decorative Enternace  etc. 
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</si>
  <si>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</si>
  <si>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As per RERA - 31/12/2025</t>
  </si>
  <si>
    <t>Construction work is in process at the time of Visit (Slow speed). Internal photographs not allowed.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</si>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</sst>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2" fillId="0" borderId="1" xfId="9" applyNumberFormat="1" applyFont="1" applyFill="1" applyBorder="1" applyAlignment="1" applyProtection="1">
      <alignment horizontal="righ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190</xdr:row>
      <xdr:rowOff>19050</xdr:rowOff>
    </xdr:from>
    <xdr:to>
      <xdr:col>6</xdr:col>
      <xdr:colOff>574435</xdr:colOff>
      <xdr:row>208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3475" y="37699950"/>
          <a:ext cx="471781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314325</xdr:colOff>
      <xdr:row>208</xdr:row>
      <xdr:rowOff>162465</xdr:rowOff>
    </xdr:from>
    <xdr:to>
      <xdr:col>6</xdr:col>
      <xdr:colOff>574435</xdr:colOff>
      <xdr:row>226</xdr:row>
      <xdr:rowOff>162015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3475" y="41443815"/>
          <a:ext cx="471781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585108</xdr:colOff>
      <xdr:row>125</xdr:row>
      <xdr:rowOff>68034</xdr:rowOff>
    </xdr:from>
    <xdr:to>
      <xdr:col>27</xdr:col>
      <xdr:colOff>303440</xdr:colOff>
      <xdr:row>147</xdr:row>
      <xdr:rowOff>34016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9322" y="24247927"/>
          <a:ext cx="12849225" cy="45243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387531</xdr:colOff>
      <xdr:row>147</xdr:row>
      <xdr:rowOff>135528</xdr:rowOff>
    </xdr:from>
    <xdr:to>
      <xdr:col>18</xdr:col>
      <xdr:colOff>298917</xdr:colOff>
      <xdr:row>177</xdr:row>
      <xdr:rowOff>52484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066711" y="28634328"/>
          <a:ext cx="5763546" cy="5852936"/>
          <a:chOff x="460375" y="420914"/>
          <a:chExt cx="5593185" cy="6020576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6373" y="420914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375" y="420914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3773" y="428149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7287" y="428149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14</xdr:col>
      <xdr:colOff>19050</xdr:colOff>
      <xdr:row>137</xdr:row>
      <xdr:rowOff>47625</xdr:rowOff>
    </xdr:from>
    <xdr:to>
      <xdr:col>15</xdr:col>
      <xdr:colOff>85725</xdr:colOff>
      <xdr:row>141</xdr:row>
      <xdr:rowOff>114300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506200" y="26536650"/>
          <a:ext cx="723900" cy="8667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327660</xdr:colOff>
      <xdr:row>149</xdr:row>
      <xdr:rowOff>38100</xdr:rowOff>
    </xdr:from>
    <xdr:to>
      <xdr:col>7</xdr:col>
      <xdr:colOff>423320</xdr:colOff>
      <xdr:row>182</xdr:row>
      <xdr:rowOff>49991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794B83F-5016-336A-80CC-5F65E2E61CF3}"/>
            </a:ext>
          </a:extLst>
        </xdr:cNvPr>
        <xdr:cNvGrpSpPr/>
      </xdr:nvGrpSpPr>
      <xdr:grpSpPr>
        <a:xfrm>
          <a:off x="327660" y="28933140"/>
          <a:ext cx="5940200" cy="6542231"/>
          <a:chOff x="368800" y="444516"/>
          <a:chExt cx="5940200" cy="6542231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9B487343-E920-0D8B-E95A-139D45573143}"/>
              </a:ext>
            </a:extLst>
          </xdr:cNvPr>
          <xdr:cNvGrpSpPr/>
        </xdr:nvGrpSpPr>
        <xdr:grpSpPr>
          <a:xfrm>
            <a:off x="368800" y="444516"/>
            <a:ext cx="5940200" cy="3844006"/>
            <a:chOff x="368800" y="444516"/>
            <a:chExt cx="5940200" cy="3844006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4FC6D2D1-9347-7B8A-A8B6-9140643C41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44451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95FB7A44-B5AC-4931-A68C-CC2334C2EC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8800" y="44451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9883F764-F0AC-3693-84A1-6DBD40A7F550}"/>
              </a:ext>
            </a:extLst>
          </xdr:cNvPr>
          <xdr:cNvGrpSpPr/>
        </xdr:nvGrpSpPr>
        <xdr:grpSpPr>
          <a:xfrm>
            <a:off x="626340" y="4466747"/>
            <a:ext cx="5425120" cy="2520000"/>
            <a:chOff x="662620" y="4466747"/>
            <a:chExt cx="5425120" cy="252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A5486FBD-127B-22EF-475F-A75A68FDF4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62620" y="4466747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A59ACC7-70EC-1C45-B064-C51AFFB50A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99709" y="446674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14</xdr:row>
      <xdr:rowOff>22412</xdr:rowOff>
    </xdr:from>
    <xdr:to>
      <xdr:col>5</xdr:col>
      <xdr:colOff>576066</xdr:colOff>
      <xdr:row>33</xdr:row>
      <xdr:rowOff>2912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7" y="270061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1363797</xdr:colOff>
      <xdr:row>34</xdr:row>
      <xdr:rowOff>13740</xdr:rowOff>
    </xdr:from>
    <xdr:to>
      <xdr:col>8</xdr:col>
      <xdr:colOff>415863</xdr:colOff>
      <xdr:row>52</xdr:row>
      <xdr:rowOff>184740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5679" y="650194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861289</xdr:colOff>
      <xdr:row>14</xdr:row>
      <xdr:rowOff>22412</xdr:rowOff>
    </xdr:from>
    <xdr:to>
      <xdr:col>14</xdr:col>
      <xdr:colOff>406414</xdr:colOff>
      <xdr:row>33</xdr:row>
      <xdr:rowOff>2912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2465" y="270061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rH2P7urVwMxuc2N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88"/>
  <sheetViews>
    <sheetView tabSelected="1" view="pageBreakPreview" zoomScaleNormal="100" zoomScaleSheetLayoutView="100" workbookViewId="0">
      <selection activeCell="K6" sqref="K6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33" t="s">
        <v>208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3">
      <c r="A3" s="117" t="s">
        <v>1</v>
      </c>
      <c r="B3" s="117"/>
      <c r="C3" s="117"/>
      <c r="D3" s="117"/>
      <c r="E3" s="117" t="str">
        <f ca="1">TEXT(TODAY(),"DD/MM/YYYY")</f>
        <v>09/07/2025</v>
      </c>
      <c r="F3" s="117"/>
      <c r="G3" s="117"/>
      <c r="H3" s="117"/>
    </row>
    <row r="4" spans="1:8" ht="15" customHeight="1" x14ac:dyDescent="0.3">
      <c r="A4" s="117" t="s">
        <v>2</v>
      </c>
      <c r="B4" s="117"/>
      <c r="C4" s="117"/>
      <c r="D4" s="117"/>
      <c r="E4" s="117" t="s">
        <v>204</v>
      </c>
      <c r="F4" s="117"/>
      <c r="G4" s="117"/>
      <c r="H4" s="117"/>
    </row>
    <row r="5" spans="1:8" x14ac:dyDescent="0.3">
      <c r="A5" s="117" t="s">
        <v>3</v>
      </c>
      <c r="B5" s="117"/>
      <c r="C5" s="117"/>
      <c r="D5" s="117"/>
      <c r="E5" s="132">
        <v>45847</v>
      </c>
      <c r="F5" s="117"/>
      <c r="G5" s="117"/>
      <c r="H5" s="117"/>
    </row>
    <row r="6" spans="1:8" ht="16.5" customHeight="1" x14ac:dyDescent="0.3">
      <c r="A6" s="117" t="s">
        <v>4</v>
      </c>
      <c r="B6" s="117"/>
      <c r="C6" s="117"/>
      <c r="D6" s="117"/>
      <c r="E6" s="117" t="s">
        <v>200</v>
      </c>
      <c r="F6" s="117"/>
      <c r="G6" s="117"/>
      <c r="H6" s="117"/>
    </row>
    <row r="7" spans="1:8" ht="15" customHeight="1" x14ac:dyDescent="0.3">
      <c r="A7" s="117" t="s">
        <v>5</v>
      </c>
      <c r="B7" s="117"/>
      <c r="C7" s="117"/>
      <c r="D7" s="117"/>
      <c r="E7" s="117" t="str">
        <f>E6</f>
        <v>M/s. Sheth Developers Pvt Ltd</v>
      </c>
      <c r="F7" s="117"/>
      <c r="G7" s="117"/>
      <c r="H7" s="117"/>
    </row>
    <row r="8" spans="1:8" x14ac:dyDescent="0.3">
      <c r="A8" s="117" t="s">
        <v>6</v>
      </c>
      <c r="B8" s="117"/>
      <c r="C8" s="117"/>
      <c r="D8" s="117"/>
      <c r="E8" s="104" t="s">
        <v>175</v>
      </c>
      <c r="F8" s="104"/>
      <c r="G8" s="104"/>
      <c r="H8" s="104"/>
    </row>
    <row r="9" spans="1:8" x14ac:dyDescent="0.3">
      <c r="A9" s="117" t="s">
        <v>130</v>
      </c>
      <c r="B9" s="117"/>
      <c r="C9" s="117"/>
      <c r="D9" s="117"/>
      <c r="E9" s="117" t="s">
        <v>176</v>
      </c>
      <c r="F9" s="117"/>
      <c r="G9" s="117"/>
      <c r="H9" s="117"/>
    </row>
    <row r="10" spans="1:8" x14ac:dyDescent="0.3">
      <c r="A10" s="117" t="s">
        <v>7</v>
      </c>
      <c r="B10" s="117"/>
      <c r="C10" s="117"/>
      <c r="D10" s="117"/>
      <c r="E10" s="117" t="s">
        <v>205</v>
      </c>
      <c r="F10" s="117"/>
      <c r="G10" s="117"/>
      <c r="H10" s="117"/>
    </row>
    <row r="11" spans="1:8" x14ac:dyDescent="0.3">
      <c r="A11" s="61" t="s">
        <v>8</v>
      </c>
      <c r="B11" s="61"/>
      <c r="C11" s="61"/>
      <c r="D11" s="61"/>
      <c r="E11" s="122" t="s">
        <v>199</v>
      </c>
      <c r="F11" s="122"/>
      <c r="G11" s="122"/>
      <c r="H11" s="122"/>
    </row>
    <row r="12" spans="1:8" x14ac:dyDescent="0.3">
      <c r="A12" s="61" t="s">
        <v>9</v>
      </c>
      <c r="B12" s="61"/>
      <c r="C12" s="61"/>
      <c r="D12" s="61"/>
      <c r="E12" s="122" t="s">
        <v>178</v>
      </c>
      <c r="F12" s="117"/>
      <c r="G12" s="117"/>
      <c r="H12" s="117"/>
    </row>
    <row r="13" spans="1:8" ht="79.5" customHeight="1" x14ac:dyDescent="0.3">
      <c r="A13" s="122" t="s">
        <v>10</v>
      </c>
      <c r="B13" s="122"/>
      <c r="C13" s="122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Sheth Vasant Lawns, Survey No.35/4A, 35/8, 35/9/A, 51/4/A, 52/A/1/1, 52/A/1/2, 52/A/1/3, 52/B, 52/A/2/A, 52/A/2/B, 52/A/2/C, 53/2, 53/3, 53/4, 70/2/B, 72/1/B, 72/1/C 72/4/B, 72/4/C, 72/6, 72/7/B, 72/7/C, 72/7/D, 72/7/E, 72/7/G, 72/8, 72/10 &amp;526 (Pt), near Paramos Vasant Lawns, TCS Approach Rd, Panchpakhadi, Panchpakhadi, Thane, Thane, Thane - 400606.</v>
      </c>
      <c r="D13" s="122"/>
      <c r="E13" s="122"/>
      <c r="F13" s="122"/>
      <c r="G13" s="122"/>
      <c r="H13" s="122"/>
    </row>
    <row r="14" spans="1:8" ht="47.25" customHeight="1" x14ac:dyDescent="0.3">
      <c r="A14" s="122" t="s">
        <v>179</v>
      </c>
      <c r="B14" s="122"/>
      <c r="C14" s="122" t="s">
        <v>198</v>
      </c>
      <c r="D14" s="122"/>
      <c r="E14" s="122"/>
      <c r="F14" s="122"/>
      <c r="G14" s="122"/>
      <c r="H14" s="122"/>
    </row>
    <row r="15" spans="1:8" ht="15.75" customHeight="1" x14ac:dyDescent="0.3">
      <c r="A15" s="122" t="s">
        <v>174</v>
      </c>
      <c r="B15" s="122"/>
      <c r="C15" s="122" t="s">
        <v>201</v>
      </c>
      <c r="D15" s="122"/>
      <c r="E15" s="122"/>
      <c r="F15" s="122"/>
      <c r="G15" s="122"/>
      <c r="H15" s="122"/>
    </row>
    <row r="16" spans="1:8" ht="15.75" customHeight="1" x14ac:dyDescent="0.3">
      <c r="A16" s="110" t="s">
        <v>11</v>
      </c>
      <c r="B16" s="110"/>
      <c r="C16" s="117" t="s">
        <v>181</v>
      </c>
      <c r="D16" s="117"/>
      <c r="E16" s="110" t="s">
        <v>77</v>
      </c>
      <c r="F16" s="110"/>
      <c r="G16" s="122" t="s">
        <v>201</v>
      </c>
      <c r="H16" s="122"/>
    </row>
    <row r="17" spans="1:8" x14ac:dyDescent="0.3">
      <c r="A17" s="61" t="s">
        <v>13</v>
      </c>
      <c r="B17" s="61"/>
      <c r="C17" s="122" t="s">
        <v>180</v>
      </c>
      <c r="D17" s="122"/>
      <c r="E17" s="110" t="s">
        <v>12</v>
      </c>
      <c r="F17" s="110"/>
      <c r="G17" s="131" t="s">
        <v>180</v>
      </c>
      <c r="H17" s="131"/>
    </row>
    <row r="18" spans="1:8" x14ac:dyDescent="0.3">
      <c r="A18" s="61" t="s">
        <v>78</v>
      </c>
      <c r="B18" s="61"/>
      <c r="C18" s="122" t="s">
        <v>180</v>
      </c>
      <c r="D18" s="122"/>
      <c r="E18" s="110" t="s">
        <v>14</v>
      </c>
      <c r="F18" s="110"/>
      <c r="G18" s="122">
        <v>400606</v>
      </c>
      <c r="H18" s="122"/>
    </row>
    <row r="19" spans="1:8" ht="32.25" customHeight="1" x14ac:dyDescent="0.3">
      <c r="A19" s="61" t="s">
        <v>132</v>
      </c>
      <c r="B19" s="61"/>
      <c r="C19" s="122" t="s">
        <v>182</v>
      </c>
      <c r="D19" s="122"/>
      <c r="E19" s="110" t="s">
        <v>15</v>
      </c>
      <c r="F19" s="110"/>
      <c r="G19" s="122" t="s">
        <v>183</v>
      </c>
      <c r="H19" s="122"/>
    </row>
    <row r="20" spans="1:8" ht="15" customHeight="1" x14ac:dyDescent="0.3">
      <c r="A20" s="110" t="s">
        <v>81</v>
      </c>
      <c r="B20" s="110"/>
      <c r="C20" s="110"/>
      <c r="D20" s="110"/>
      <c r="E20" s="117" t="s">
        <v>16</v>
      </c>
      <c r="F20" s="117"/>
      <c r="G20" s="117"/>
      <c r="H20" s="117"/>
    </row>
    <row r="21" spans="1:8" ht="18.75" customHeight="1" x14ac:dyDescent="0.3">
      <c r="A21" s="110"/>
      <c r="B21" s="110"/>
      <c r="C21" s="110"/>
      <c r="D21" s="110"/>
      <c r="E21" s="117"/>
      <c r="F21" s="117"/>
      <c r="G21" s="117"/>
      <c r="H21" s="117"/>
    </row>
    <row r="22" spans="1:8" ht="15" customHeight="1" x14ac:dyDescent="0.3">
      <c r="A22" s="110" t="s">
        <v>17</v>
      </c>
      <c r="B22" s="110"/>
      <c r="C22" s="110"/>
      <c r="D22" s="110"/>
      <c r="E22" s="122" t="s">
        <v>18</v>
      </c>
      <c r="F22" s="122"/>
      <c r="G22" s="122"/>
      <c r="H22" s="122"/>
    </row>
    <row r="23" spans="1:8" ht="15" customHeight="1" x14ac:dyDescent="0.3">
      <c r="A23" s="61" t="s">
        <v>19</v>
      </c>
      <c r="B23" s="61"/>
      <c r="C23" s="61"/>
      <c r="D23" s="61"/>
      <c r="E23" s="122" t="str">
        <f>IF(AND(G17="Mumbai"),"Upper Class","Middle Class")</f>
        <v>Middle Class</v>
      </c>
      <c r="F23" s="122"/>
      <c r="G23" s="122"/>
      <c r="H23" s="122"/>
    </row>
    <row r="24" spans="1:8" x14ac:dyDescent="0.3">
      <c r="A24" s="61" t="s">
        <v>20</v>
      </c>
      <c r="B24" s="61"/>
      <c r="C24" s="61"/>
      <c r="D24" s="61"/>
      <c r="E24" s="122" t="s">
        <v>21</v>
      </c>
      <c r="F24" s="122"/>
      <c r="G24" s="122"/>
      <c r="H24" s="122"/>
    </row>
    <row r="25" spans="1:8" ht="15.75" customHeight="1" x14ac:dyDescent="0.3">
      <c r="A25" s="61" t="s">
        <v>22</v>
      </c>
      <c r="B25" s="61"/>
      <c r="C25" s="61"/>
      <c r="D25" s="61"/>
      <c r="E25" s="122" t="str">
        <f>IF(AND(G17="Mumbai"),"Developed","Developing")</f>
        <v>Developing</v>
      </c>
      <c r="F25" s="122"/>
      <c r="G25" s="122"/>
      <c r="H25" s="122"/>
    </row>
    <row r="26" spans="1:8" x14ac:dyDescent="0.3">
      <c r="A26" s="61" t="s">
        <v>23</v>
      </c>
      <c r="B26" s="61"/>
      <c r="C26" s="61"/>
      <c r="D26" s="61"/>
      <c r="E26" s="122" t="s">
        <v>24</v>
      </c>
      <c r="F26" s="122"/>
      <c r="G26" s="122"/>
      <c r="H26" s="122"/>
    </row>
    <row r="27" spans="1:8" ht="15.75" customHeight="1" x14ac:dyDescent="0.3">
      <c r="A27" s="61" t="s">
        <v>86</v>
      </c>
      <c r="B27" s="61"/>
      <c r="C27" s="61"/>
      <c r="D27" s="61"/>
      <c r="E27" s="122" t="s">
        <v>87</v>
      </c>
      <c r="F27" s="122"/>
      <c r="G27" s="122"/>
      <c r="H27" s="122"/>
    </row>
    <row r="28" spans="1:8" ht="15" customHeight="1" x14ac:dyDescent="0.3">
      <c r="A28" s="61" t="s">
        <v>35</v>
      </c>
      <c r="B28" s="61"/>
      <c r="C28" s="61"/>
      <c r="D28" s="61"/>
      <c r="E28" s="122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</v>
      </c>
      <c r="F28" s="122"/>
      <c r="G28" s="122"/>
      <c r="H28" s="122"/>
    </row>
    <row r="29" spans="1:8" ht="15.75" customHeight="1" x14ac:dyDescent="0.3">
      <c r="A29" s="61" t="s">
        <v>98</v>
      </c>
      <c r="B29" s="61"/>
      <c r="C29" s="61"/>
      <c r="D29" s="61"/>
      <c r="E29" s="122" t="s">
        <v>36</v>
      </c>
      <c r="F29" s="122"/>
      <c r="G29" s="122"/>
      <c r="H29" s="122"/>
    </row>
    <row r="30" spans="1:8" s="20" customFormat="1" x14ac:dyDescent="0.3">
      <c r="A30" s="130" t="s">
        <v>99</v>
      </c>
      <c r="B30" s="130"/>
      <c r="C30" s="129" t="s">
        <v>29</v>
      </c>
      <c r="D30" s="129"/>
      <c r="E30" s="129"/>
      <c r="F30" s="129" t="s">
        <v>31</v>
      </c>
      <c r="G30" s="129"/>
      <c r="H30" s="129"/>
    </row>
    <row r="31" spans="1:8" s="20" customFormat="1" x14ac:dyDescent="0.3">
      <c r="A31" s="92" t="s">
        <v>25</v>
      </c>
      <c r="B31" s="92" t="s">
        <v>30</v>
      </c>
      <c r="C31" s="93" t="s">
        <v>30</v>
      </c>
      <c r="D31" s="93"/>
      <c r="E31" s="93"/>
      <c r="F31" s="93" t="s">
        <v>184</v>
      </c>
      <c r="G31" s="93"/>
      <c r="H31" s="93"/>
    </row>
    <row r="32" spans="1:8" x14ac:dyDescent="0.3">
      <c r="A32" s="92" t="s">
        <v>26</v>
      </c>
      <c r="B32" s="92" t="s">
        <v>30</v>
      </c>
      <c r="C32" s="93" t="s">
        <v>30</v>
      </c>
      <c r="D32" s="93"/>
      <c r="E32" s="93"/>
      <c r="F32" s="93" t="s">
        <v>181</v>
      </c>
      <c r="G32" s="93"/>
      <c r="H32" s="93"/>
    </row>
    <row r="33" spans="1:8" s="20" customFormat="1" x14ac:dyDescent="0.3">
      <c r="A33" s="92" t="s">
        <v>28</v>
      </c>
      <c r="B33" s="92" t="s">
        <v>30</v>
      </c>
      <c r="C33" s="93" t="s">
        <v>30</v>
      </c>
      <c r="D33" s="93"/>
      <c r="E33" s="93"/>
      <c r="F33" s="93" t="s">
        <v>185</v>
      </c>
      <c r="G33" s="93"/>
      <c r="H33" s="93"/>
    </row>
    <row r="34" spans="1:8" x14ac:dyDescent="0.3">
      <c r="A34" s="92" t="s">
        <v>27</v>
      </c>
      <c r="B34" s="92" t="s">
        <v>30</v>
      </c>
      <c r="C34" s="93" t="s">
        <v>30</v>
      </c>
      <c r="D34" s="93"/>
      <c r="E34" s="93"/>
      <c r="F34" s="93" t="s">
        <v>186</v>
      </c>
      <c r="G34" s="93"/>
      <c r="H34" s="93"/>
    </row>
    <row r="35" spans="1:8" x14ac:dyDescent="0.3">
      <c r="A35" s="61" t="s">
        <v>32</v>
      </c>
      <c r="B35" s="61"/>
      <c r="C35" s="61"/>
      <c r="D35" s="61"/>
      <c r="E35" s="61"/>
      <c r="F35" s="61"/>
      <c r="G35" s="61"/>
      <c r="H35" s="61"/>
    </row>
    <row r="36" spans="1:8" ht="15.75" customHeight="1" x14ac:dyDescent="0.3">
      <c r="A36" s="118" t="s">
        <v>33</v>
      </c>
      <c r="B36" s="118"/>
      <c r="C36" s="119">
        <v>19.212412100000002</v>
      </c>
      <c r="D36" s="119"/>
      <c r="E36" s="118" t="s">
        <v>34</v>
      </c>
      <c r="F36" s="118"/>
      <c r="G36" s="120">
        <v>72.973326</v>
      </c>
      <c r="H36" s="120"/>
    </row>
    <row r="37" spans="1:8" x14ac:dyDescent="0.3">
      <c r="A37" s="118" t="s">
        <v>173</v>
      </c>
      <c r="B37" s="118"/>
      <c r="C37" s="121" t="s">
        <v>187</v>
      </c>
      <c r="D37" s="122"/>
      <c r="E37" s="122"/>
      <c r="F37" s="122"/>
      <c r="G37" s="122"/>
      <c r="H37" s="122"/>
    </row>
    <row r="38" spans="1:8" x14ac:dyDescent="0.3">
      <c r="A38" s="113" t="s">
        <v>37</v>
      </c>
      <c r="B38" s="113"/>
      <c r="C38" s="113"/>
      <c r="D38" s="113"/>
      <c r="E38" s="113"/>
      <c r="F38" s="113"/>
      <c r="G38" s="113"/>
      <c r="H38" s="113"/>
    </row>
    <row r="39" spans="1:8" x14ac:dyDescent="0.3">
      <c r="A39" s="61" t="s">
        <v>38</v>
      </c>
      <c r="B39" s="61"/>
      <c r="C39" s="61"/>
      <c r="D39" s="61"/>
      <c r="E39" s="94" t="s">
        <v>30</v>
      </c>
      <c r="F39" s="94"/>
      <c r="G39" s="94"/>
      <c r="H39" s="94"/>
    </row>
    <row r="40" spans="1:8" x14ac:dyDescent="0.3">
      <c r="A40" s="61" t="s">
        <v>39</v>
      </c>
      <c r="B40" s="61"/>
      <c r="C40" s="61"/>
      <c r="D40" s="61"/>
      <c r="E40" s="115" t="s">
        <v>30</v>
      </c>
      <c r="F40" s="115"/>
      <c r="G40" s="115"/>
      <c r="H40" s="115"/>
    </row>
    <row r="41" spans="1:8" x14ac:dyDescent="0.3">
      <c r="A41" s="61" t="s">
        <v>40</v>
      </c>
      <c r="B41" s="61"/>
      <c r="C41" s="61"/>
      <c r="D41" s="61"/>
      <c r="E41" s="115" t="s">
        <v>30</v>
      </c>
      <c r="F41" s="115"/>
      <c r="G41" s="115"/>
      <c r="H41" s="115"/>
    </row>
    <row r="42" spans="1:8" x14ac:dyDescent="0.3">
      <c r="A42" s="61" t="s">
        <v>41</v>
      </c>
      <c r="B42" s="61"/>
      <c r="C42" s="61"/>
      <c r="D42" s="61"/>
      <c r="E42" s="115" t="s">
        <v>30</v>
      </c>
      <c r="F42" s="115"/>
      <c r="G42" s="115"/>
      <c r="H42" s="115"/>
    </row>
    <row r="43" spans="1:8" x14ac:dyDescent="0.3">
      <c r="A43" s="61" t="s">
        <v>97</v>
      </c>
      <c r="B43" s="61"/>
      <c r="C43" s="61"/>
      <c r="D43" s="61"/>
      <c r="E43" s="116" t="s">
        <v>30</v>
      </c>
      <c r="F43" s="116"/>
      <c r="G43" s="116"/>
      <c r="H43" s="116"/>
    </row>
    <row r="44" spans="1:8" x14ac:dyDescent="0.3">
      <c r="A44" s="117" t="s">
        <v>42</v>
      </c>
      <c r="B44" s="117"/>
      <c r="C44" s="117"/>
      <c r="D44" s="117"/>
      <c r="E44" s="117" t="s">
        <v>131</v>
      </c>
      <c r="F44" s="117"/>
      <c r="G44" s="117"/>
      <c r="H44" s="117"/>
    </row>
    <row r="45" spans="1:8" x14ac:dyDescent="0.3">
      <c r="A45" s="113" t="s">
        <v>43</v>
      </c>
      <c r="B45" s="113"/>
      <c r="C45" s="113"/>
      <c r="D45" s="113"/>
      <c r="E45" s="113"/>
      <c r="F45" s="113"/>
      <c r="G45" s="113"/>
      <c r="H45" s="113"/>
    </row>
    <row r="46" spans="1:8" ht="33.75" customHeight="1" x14ac:dyDescent="0.3">
      <c r="A46" s="123" t="s">
        <v>161</v>
      </c>
      <c r="B46" s="96"/>
      <c r="C46" s="54" t="s">
        <v>196</v>
      </c>
      <c r="D46" s="55"/>
      <c r="E46" s="55"/>
      <c r="F46" s="55"/>
      <c r="G46" s="55"/>
      <c r="H46" s="56"/>
    </row>
    <row r="47" spans="1:8" ht="15.75" customHeight="1" x14ac:dyDescent="0.3">
      <c r="A47" s="123" t="s">
        <v>44</v>
      </c>
      <c r="B47" s="96"/>
      <c r="C47" s="123" t="s">
        <v>30</v>
      </c>
      <c r="D47" s="153"/>
      <c r="E47" s="96"/>
      <c r="F47" s="18" t="s">
        <v>45</v>
      </c>
      <c r="G47" s="123" t="s">
        <v>30</v>
      </c>
      <c r="H47" s="96"/>
    </row>
    <row r="48" spans="1:8" x14ac:dyDescent="0.3">
      <c r="A48" s="123" t="s">
        <v>46</v>
      </c>
      <c r="B48" s="96"/>
      <c r="C48" s="169" t="s">
        <v>177</v>
      </c>
      <c r="D48" s="170"/>
      <c r="E48" s="171"/>
      <c r="F48" s="18" t="s">
        <v>45</v>
      </c>
      <c r="G48" s="95">
        <v>44673</v>
      </c>
      <c r="H48" s="96"/>
    </row>
    <row r="49" spans="1:14" s="21" customFormat="1" x14ac:dyDescent="0.3">
      <c r="A49" s="97" t="s">
        <v>165</v>
      </c>
      <c r="B49" s="98"/>
      <c r="C49" s="123" t="str">
        <f>C48</f>
        <v>S04/0186/21(2003/181)TMC/TDD/4034/22</v>
      </c>
      <c r="D49" s="153"/>
      <c r="E49" s="96"/>
      <c r="F49" s="18" t="s">
        <v>45</v>
      </c>
      <c r="G49" s="95">
        <v>44673</v>
      </c>
      <c r="H49" s="96"/>
    </row>
    <row r="50" spans="1:14" s="21" customFormat="1" x14ac:dyDescent="0.3">
      <c r="A50" s="99"/>
      <c r="B50" s="100"/>
      <c r="C50" s="123" t="s">
        <v>202</v>
      </c>
      <c r="D50" s="153"/>
      <c r="E50" s="153"/>
      <c r="F50" s="153"/>
      <c r="G50" s="153"/>
      <c r="H50" s="96"/>
    </row>
    <row r="51" spans="1:14" x14ac:dyDescent="0.3">
      <c r="A51" s="147" t="s">
        <v>47</v>
      </c>
      <c r="B51" s="149"/>
      <c r="C51" s="147" t="s">
        <v>111</v>
      </c>
      <c r="D51" s="148"/>
      <c r="E51" s="149"/>
      <c r="F51" s="42" t="s">
        <v>45</v>
      </c>
      <c r="G51" s="151" t="s">
        <v>30</v>
      </c>
      <c r="H51" s="152"/>
    </row>
    <row r="52" spans="1:14" x14ac:dyDescent="0.3">
      <c r="A52" s="150" t="s">
        <v>49</v>
      </c>
      <c r="B52" s="150"/>
      <c r="C52" s="150"/>
      <c r="D52" s="150"/>
      <c r="E52" s="150"/>
      <c r="F52" s="150"/>
      <c r="G52" s="150"/>
      <c r="H52" s="150"/>
    </row>
    <row r="53" spans="1:14" x14ac:dyDescent="0.3">
      <c r="A53" s="110" t="s">
        <v>96</v>
      </c>
      <c r="B53" s="110"/>
      <c r="C53" s="110"/>
      <c r="D53" s="61" t="str">
        <f>E43</f>
        <v>NA</v>
      </c>
      <c r="E53" s="61"/>
      <c r="F53" s="61"/>
      <c r="G53" s="61"/>
      <c r="H53" s="61"/>
    </row>
    <row r="54" spans="1:14" x14ac:dyDescent="0.3">
      <c r="A54" s="122" t="s">
        <v>50</v>
      </c>
      <c r="B54" s="117"/>
      <c r="C54" s="117"/>
      <c r="D54" s="117" t="s">
        <v>195</v>
      </c>
      <c r="E54" s="117"/>
      <c r="F54" s="117"/>
      <c r="G54" s="117"/>
      <c r="H54" s="117"/>
      <c r="I54" s="22"/>
    </row>
    <row r="55" spans="1:14" ht="30.6" customHeight="1" x14ac:dyDescent="0.3">
      <c r="A55" s="126" t="s">
        <v>51</v>
      </c>
      <c r="B55" s="127"/>
      <c r="C55" s="128"/>
      <c r="D55" s="124" t="s">
        <v>203</v>
      </c>
      <c r="E55" s="125"/>
      <c r="F55" s="125"/>
      <c r="G55" s="125"/>
      <c r="H55" s="125"/>
    </row>
    <row r="56" spans="1:14" ht="30" customHeight="1" x14ac:dyDescent="0.3">
      <c r="A56" s="126" t="s">
        <v>94</v>
      </c>
      <c r="B56" s="127"/>
      <c r="C56" s="127"/>
      <c r="D56" s="111" t="s">
        <v>203</v>
      </c>
      <c r="E56" s="117"/>
      <c r="F56" s="117"/>
      <c r="G56" s="117"/>
      <c r="H56" s="117"/>
    </row>
    <row r="57" spans="1:14" ht="15.75" customHeight="1" x14ac:dyDescent="0.3">
      <c r="A57" s="61" t="s">
        <v>48</v>
      </c>
      <c r="B57" s="61"/>
      <c r="C57" s="61"/>
      <c r="D57" s="114" t="s">
        <v>209</v>
      </c>
      <c r="E57" s="114"/>
      <c r="F57" s="114"/>
      <c r="G57" s="114"/>
      <c r="H57" s="114"/>
      <c r="J57" s="23"/>
      <c r="K57" s="22"/>
      <c r="N57" s="22"/>
    </row>
    <row r="58" spans="1:14" ht="15.75" customHeight="1" x14ac:dyDescent="0.3">
      <c r="A58" s="61" t="s">
        <v>92</v>
      </c>
      <c r="B58" s="61"/>
      <c r="C58" s="61"/>
      <c r="D58" s="167" t="str">
        <f>(IF(G51="NA","60 Years After Completion",IF(G51&lt;&gt;"NA",""&amp;60-ROUNDDOWN((E3-G51)/360,0)&amp;" Years"," ")))</f>
        <v>60 Years After Completion</v>
      </c>
      <c r="E58" s="167"/>
      <c r="F58" s="167"/>
      <c r="G58" s="167"/>
      <c r="H58" s="167"/>
      <c r="N58" s="22"/>
    </row>
    <row r="59" spans="1:14" ht="15.75" customHeight="1" x14ac:dyDescent="0.3">
      <c r="A59" s="61" t="s">
        <v>93</v>
      </c>
      <c r="B59" s="61"/>
      <c r="C59" s="61"/>
      <c r="D59" s="110" t="s">
        <v>24</v>
      </c>
      <c r="E59" s="110"/>
      <c r="F59" s="110"/>
      <c r="G59" s="110"/>
      <c r="H59" s="110"/>
      <c r="J59" s="24"/>
      <c r="K59" s="24"/>
    </row>
    <row r="60" spans="1:14" ht="31.5" customHeight="1" x14ac:dyDescent="0.3">
      <c r="A60" s="61" t="s">
        <v>79</v>
      </c>
      <c r="B60" s="61"/>
      <c r="C60" s="61"/>
      <c r="D60" s="122" t="s">
        <v>207</v>
      </c>
      <c r="E60" s="110"/>
      <c r="F60" s="110"/>
      <c r="G60" s="110"/>
      <c r="H60" s="110"/>
    </row>
    <row r="61" spans="1:14" x14ac:dyDescent="0.3">
      <c r="A61" s="110" t="s">
        <v>158</v>
      </c>
      <c r="B61" s="110"/>
      <c r="C61" s="110"/>
      <c r="D61" s="110" t="s">
        <v>30</v>
      </c>
      <c r="E61" s="110"/>
      <c r="F61" s="110"/>
      <c r="G61" s="110"/>
      <c r="H61" s="110"/>
      <c r="I61" s="25"/>
      <c r="J61" s="25"/>
      <c r="K61" s="25"/>
      <c r="L61" s="25"/>
      <c r="M61" s="25"/>
      <c r="N61" s="25"/>
    </row>
    <row r="62" spans="1:14" ht="15.75" customHeight="1" x14ac:dyDescent="0.3">
      <c r="A62" s="154" t="s">
        <v>91</v>
      </c>
      <c r="B62" s="154"/>
      <c r="C62" s="154"/>
      <c r="D62" s="135" t="str">
        <f ca="1">(IF(G68&gt;95%,"Nothing",IF(G68&gt;0%,"Cement, Aggregate, Steel, etc",IF(G68=0%,"Work not yet Started"))))</f>
        <v>Cement, Aggregate, Steel, etc</v>
      </c>
      <c r="E62" s="135"/>
      <c r="F62" s="135"/>
      <c r="G62" s="135"/>
      <c r="H62" s="135"/>
      <c r="J62" s="24"/>
    </row>
    <row r="63" spans="1:14" ht="33.75" customHeight="1" thickBot="1" x14ac:dyDescent="0.35">
      <c r="A63" s="134" t="s">
        <v>124</v>
      </c>
      <c r="B63" s="134"/>
      <c r="C63" s="134"/>
      <c r="D63" s="135" t="str">
        <f ca="1">(IF(D62="Nothing","Yes",IF(D62="Cement, Aggregate, Steel, etc","Under Construction",IF(D62="Work not yet Started","Work not yet Started"))))</f>
        <v>Under Construction</v>
      </c>
      <c r="E63" s="135"/>
      <c r="F63" s="135" t="str">
        <f ca="1">(IF(D62="Nothing","Yes",IF(D62="Cement, Aggregate, Steel, etc","Under Construction",IF(D62="Work not yet Started","Work not yet Started"))))</f>
        <v>Under Construction</v>
      </c>
      <c r="G63" s="135"/>
      <c r="H63" s="135"/>
    </row>
    <row r="64" spans="1:14" ht="15.75" customHeight="1" x14ac:dyDescent="0.3">
      <c r="A64" s="105" t="s">
        <v>150</v>
      </c>
      <c r="B64" s="106"/>
      <c r="C64" s="107" t="str">
        <f>D56</f>
        <v xml:space="preserve">Building No. 8(GLADE) = LB + UB + Stilt + Part Podium + 1st to 32nd Floor </v>
      </c>
      <c r="D64" s="108"/>
      <c r="E64" s="108"/>
      <c r="F64" s="108"/>
      <c r="G64" s="108"/>
      <c r="H64" s="109"/>
      <c r="I64" s="44" t="str">
        <f ca="1">IF(D77=100%,"All work Completed. Possession granted to the Building.",IF(D76=100%,"All work Completed, Waiting for OC",I65&amp;""&amp;I66&amp;""&amp;J65&amp;""&amp;J64&amp;" "&amp;J66))</f>
        <v>Excavation, Plinth, RCC Slab, Brickwork, Internal Plaster, External Plaster Completed, Flooring upto 31 Floor, Painting upto 29 Floor, Finishing upto 10 Floor Completed</v>
      </c>
      <c r="J64" s="45" t="str">
        <f ca="1">(IF(C70=(D65+F65+H65),"",IF(C70&gt;0,", RCC upto "&amp;C70&amp;" Slab","")))&amp;(IF(C71=H65,"",IF(C71&gt;0,", Brickwork upto "&amp;C71&amp;" Floor","")))&amp;(IF(C72=H65,"",IF(C72&gt;0,", Internal Plaster upto "&amp;C72&amp;" Floor","")))&amp;(IF(C73=H65,"",IF(C73&gt;0,", External Plaster upto "&amp;C73&amp;" Floor","")))&amp;(IF(C74=H65,"",IF(C74&gt;0,", Flooring upto "&amp;C74&amp;" Floor","")))&amp;(IF(C75=H65,"",IF(C75&gt;0,", Painting upto "&amp;C75&amp;" Floor","")))&amp;(IF(C76=H65,"",IF(C76&gt;0,", Finishing upto "&amp;C76&amp;" Floor","")))&amp;(IF(C77=H65,"",IF(C77&gt;0,", Possession upto "&amp;C77&amp;" Floor","")))</f>
        <v>, Flooring upto 31 Floor, Painting upto 29 Floor, Finishing upto 10 Floor</v>
      </c>
    </row>
    <row r="65" spans="1:10" x14ac:dyDescent="0.3">
      <c r="A65" s="16" t="s">
        <v>152</v>
      </c>
      <c r="B65" s="48">
        <v>0</v>
      </c>
      <c r="C65" s="48" t="s">
        <v>76</v>
      </c>
      <c r="D65" s="48">
        <v>1</v>
      </c>
      <c r="E65" s="48" t="s">
        <v>75</v>
      </c>
      <c r="F65" s="48">
        <v>0</v>
      </c>
      <c r="G65" s="48" t="s">
        <v>85</v>
      </c>
      <c r="H65" s="17">
        <f ca="1">--TRIM(RIGHT(SUBSTITUTE(LEFT(C64,_xlfn.AGGREGATE(16,6,FIND({0,1,2,3,4,5,6,7,8,9},C64,ROW(INDIRECT("1:"&amp;LEN(C64)))),1))," ",REPT(" ",LEN(C64))),LEN(C64)))</f>
        <v>32</v>
      </c>
      <c r="I65" s="46" t="str">
        <f ca="1">IF(D68=100%,"Excavation","")&amp;IF(D69=100%,", Plinth","")&amp;IF(D70=100%,", RCC Slab","")&amp;IF(D71=100%,", Brickwork","")&amp;IF(D72=100%,", Internal Plaster","")&amp;IF(D73=100%,", External Plaster","")&amp;IF(D74=100%,", Flooring","")&amp;IF(D75=100%,", Painting","")&amp;IF(D76=100%,", Building common Amenities","")</f>
        <v>Excavation, Plinth, RCC Slab, Brickwork, Internal Plaster, External Plaster</v>
      </c>
      <c r="J65" s="47" t="str">
        <f ca="1">(IF(C68=0,"Work not yet Started.",IF(D68=25%,"Piling work in process",IF(D68=50%,"Excavation work in process",IF(D68=100%,"","0")))))&amp;(IF(C69=0%,"",IF(C69=J70,", Footing work is process",IF(C69=J71,", Footing work Completed",IF(C69=J72,", 1st Basement Completed",IF(C69=J73,", 1st &amp; 2nd Basement Completed",IF(C69=J74,", 1st to 3rd Basement Completed",IF(C69=J75,", 1st to 4th Basement Completed",IF(C69=J76,", Plinth work is process",IF(C69=J77,"","0"))))))))))</f>
        <v/>
      </c>
    </row>
    <row r="66" spans="1:10" ht="49.5" customHeight="1" x14ac:dyDescent="0.3">
      <c r="A66" s="103" t="s">
        <v>95</v>
      </c>
      <c r="B66" s="104"/>
      <c r="C66" s="111" t="str">
        <f ca="1">(IF($G$51="NA",I64,"All work Completed. OC Received."))</f>
        <v>Excavation, Plinth, RCC Slab, Brickwork, Internal Plaster, External Plaster Completed, Flooring upto 31 Floor, Painting upto 29 Floor, Finishing upto 10 Floor Completed</v>
      </c>
      <c r="D66" s="111"/>
      <c r="E66" s="111"/>
      <c r="F66" s="111"/>
      <c r="G66" s="111"/>
      <c r="H66" s="112"/>
      <c r="I66" s="46" t="str">
        <f ca="1">IF(I65&lt;&gt;""," Completed","")</f>
        <v xml:space="preserve"> Completed</v>
      </c>
      <c r="J66" s="47" t="str">
        <f ca="1">IF(J64&lt;&gt;"","Completed","")</f>
        <v>Completed</v>
      </c>
    </row>
    <row r="67" spans="1:10" ht="15.75" customHeight="1" x14ac:dyDescent="0.3">
      <c r="A67" s="101" t="s">
        <v>52</v>
      </c>
      <c r="B67" s="102"/>
      <c r="C67" s="49" t="s">
        <v>149</v>
      </c>
      <c r="D67" s="49" t="s">
        <v>88</v>
      </c>
      <c r="E67" s="102" t="s">
        <v>90</v>
      </c>
      <c r="F67" s="102"/>
      <c r="G67" s="102" t="s">
        <v>89</v>
      </c>
      <c r="H67" s="155"/>
      <c r="I67" s="14" t="s">
        <v>151</v>
      </c>
      <c r="J67" s="26">
        <f ca="1">H65*25%</f>
        <v>8</v>
      </c>
    </row>
    <row r="68" spans="1:10" x14ac:dyDescent="0.3">
      <c r="A68" s="101" t="s">
        <v>138</v>
      </c>
      <c r="B68" s="102"/>
      <c r="C68" s="49">
        <f ca="1">J69</f>
        <v>32</v>
      </c>
      <c r="D68" s="50">
        <f ca="1">((100/H65)*C68)/100</f>
        <v>1</v>
      </c>
      <c r="E68" s="156">
        <f ca="1">(((C69/H65*10)+(40/(D65+F65+H65)*C70)+(7.5/(H65)*C71)+(7.5/(H65)*C72)+(10/H65*C73)+(10/H65*C74)+(5/H65*C75)+(5/H65*C76)+(5/H65*C77))/100)</f>
        <v>0.90781250000000002</v>
      </c>
      <c r="F68" s="157"/>
      <c r="G68" s="156">
        <f ca="1">((((C68/H65)*20)+((C69/H65)*25)+(30/(H65+F65+D65)*C70)+(5/H65*C71)+(5/H65*C72)+(5/H65*C73)+(5/H65*C74)+(0/H65*C75)+(0/H65*C76)+(5/H65*C77))/100)</f>
        <v>0.94843750000000004</v>
      </c>
      <c r="H68" s="162"/>
      <c r="I68" s="14" t="s">
        <v>106</v>
      </c>
      <c r="J68" s="27">
        <f ca="1">H65*50%</f>
        <v>16</v>
      </c>
    </row>
    <row r="69" spans="1:10" x14ac:dyDescent="0.3">
      <c r="A69" s="101" t="s">
        <v>53</v>
      </c>
      <c r="B69" s="102"/>
      <c r="C69" s="51">
        <f ca="1">J77</f>
        <v>32</v>
      </c>
      <c r="D69" s="50">
        <f ca="1">((100/H65)*C69)/100</f>
        <v>1</v>
      </c>
      <c r="E69" s="158"/>
      <c r="F69" s="159"/>
      <c r="G69" s="158"/>
      <c r="H69" s="163"/>
      <c r="I69" s="14" t="s">
        <v>107</v>
      </c>
      <c r="J69" s="27">
        <f ca="1">H65</f>
        <v>32</v>
      </c>
    </row>
    <row r="70" spans="1:10" ht="15.75" customHeight="1" x14ac:dyDescent="0.3">
      <c r="A70" s="101" t="s">
        <v>139</v>
      </c>
      <c r="B70" s="102"/>
      <c r="C70" s="49">
        <v>33</v>
      </c>
      <c r="D70" s="50">
        <f ca="1">((100/(D65+F65+H65))*C70)/100</f>
        <v>1</v>
      </c>
      <c r="E70" s="158"/>
      <c r="F70" s="159"/>
      <c r="G70" s="158"/>
      <c r="H70" s="163"/>
      <c r="I70" s="14" t="s">
        <v>108</v>
      </c>
      <c r="J70" s="28">
        <f ca="1">(IF(B65&gt;1,(H65/(B65+2)),H65/4))</f>
        <v>8</v>
      </c>
    </row>
    <row r="71" spans="1:10" ht="15.75" customHeight="1" x14ac:dyDescent="0.3">
      <c r="A71" s="101" t="s">
        <v>146</v>
      </c>
      <c r="B71" s="102" t="s">
        <v>140</v>
      </c>
      <c r="C71" s="49">
        <f>C70-D65-F65</f>
        <v>32</v>
      </c>
      <c r="D71" s="50">
        <f ca="1">((100/H65)*C71)/100</f>
        <v>1</v>
      </c>
      <c r="E71" s="158"/>
      <c r="F71" s="159"/>
      <c r="G71" s="158"/>
      <c r="H71" s="163"/>
      <c r="I71" s="14" t="s">
        <v>109</v>
      </c>
      <c r="J71" s="28">
        <f ca="1">(IF(B65&gt;1,(H65/(B65+2)+J70),H65/4+J70))</f>
        <v>16</v>
      </c>
    </row>
    <row r="72" spans="1:10" ht="15.75" customHeight="1" x14ac:dyDescent="0.3">
      <c r="A72" s="101" t="s">
        <v>147</v>
      </c>
      <c r="B72" s="102" t="s">
        <v>140</v>
      </c>
      <c r="C72" s="51">
        <v>32</v>
      </c>
      <c r="D72" s="50">
        <f ca="1">((100/H65)*C72)/100</f>
        <v>1</v>
      </c>
      <c r="E72" s="158"/>
      <c r="F72" s="159"/>
      <c r="G72" s="158"/>
      <c r="H72" s="163"/>
      <c r="I72" s="14" t="s">
        <v>156</v>
      </c>
      <c r="J72" s="28">
        <f>(IF(B65&gt;1,(H65/(B65+2)+J71),0))</f>
        <v>0</v>
      </c>
    </row>
    <row r="73" spans="1:10" ht="15" customHeight="1" x14ac:dyDescent="0.3">
      <c r="A73" s="101" t="s">
        <v>145</v>
      </c>
      <c r="B73" s="102" t="s">
        <v>142</v>
      </c>
      <c r="C73" s="51">
        <v>32</v>
      </c>
      <c r="D73" s="50">
        <f ca="1">((100/(H65))*C73)/100</f>
        <v>1</v>
      </c>
      <c r="E73" s="158"/>
      <c r="F73" s="159"/>
      <c r="G73" s="158"/>
      <c r="H73" s="163"/>
      <c r="I73" s="14" t="s">
        <v>153</v>
      </c>
      <c r="J73" s="28">
        <f>(IF(B65&gt;2,(H65/(B65+2)+J72),0))</f>
        <v>0</v>
      </c>
    </row>
    <row r="74" spans="1:10" ht="15.75" customHeight="1" x14ac:dyDescent="0.3">
      <c r="A74" s="101" t="s">
        <v>141</v>
      </c>
      <c r="B74" s="102" t="s">
        <v>141</v>
      </c>
      <c r="C74" s="49">
        <v>31</v>
      </c>
      <c r="D74" s="50">
        <f ca="1">((100/H65)*C74)/100</f>
        <v>0.96875</v>
      </c>
      <c r="E74" s="158"/>
      <c r="F74" s="159"/>
      <c r="G74" s="158"/>
      <c r="H74" s="163"/>
      <c r="I74" s="14" t="s">
        <v>154</v>
      </c>
      <c r="J74" s="29">
        <f>(IF(B65&gt;3,(H65/(B65+2)+J73),0))</f>
        <v>0</v>
      </c>
    </row>
    <row r="75" spans="1:10" ht="15.75" customHeight="1" x14ac:dyDescent="0.3">
      <c r="A75" s="101" t="s">
        <v>148</v>
      </c>
      <c r="B75" s="102"/>
      <c r="C75" s="49">
        <v>29</v>
      </c>
      <c r="D75" s="50">
        <f ca="1">((100/H65)*C75)/100</f>
        <v>0.90625</v>
      </c>
      <c r="E75" s="158"/>
      <c r="F75" s="159"/>
      <c r="G75" s="158"/>
      <c r="H75" s="163"/>
      <c r="I75" s="14" t="s">
        <v>155</v>
      </c>
      <c r="J75" s="28">
        <f>(IF(B65&gt;4,(H65/(B65+2)+J74),0))</f>
        <v>0</v>
      </c>
    </row>
    <row r="76" spans="1:10" ht="15.75" customHeight="1" x14ac:dyDescent="0.3">
      <c r="A76" s="101" t="s">
        <v>143</v>
      </c>
      <c r="B76" s="102" t="s">
        <v>143</v>
      </c>
      <c r="C76" s="49">
        <v>10</v>
      </c>
      <c r="D76" s="50">
        <f ca="1">((100/(H65))*C76)/100</f>
        <v>0.3125</v>
      </c>
      <c r="E76" s="158"/>
      <c r="F76" s="159"/>
      <c r="G76" s="158"/>
      <c r="H76" s="163"/>
      <c r="I76" s="14" t="s">
        <v>157</v>
      </c>
      <c r="J76" s="28">
        <f ca="1">(IF(B65=1,(H65/(B65+3)+J71),IF(B65=0,(H65/4+J71),IF(B65&gt;1,0))))</f>
        <v>24</v>
      </c>
    </row>
    <row r="77" spans="1:10" ht="16.2" thickBot="1" x14ac:dyDescent="0.35">
      <c r="A77" s="165" t="s">
        <v>144</v>
      </c>
      <c r="B77" s="166"/>
      <c r="C77" s="52">
        <v>0</v>
      </c>
      <c r="D77" s="53">
        <f ca="1">((100/(H65))*C77)/100</f>
        <v>0</v>
      </c>
      <c r="E77" s="160"/>
      <c r="F77" s="161"/>
      <c r="G77" s="160"/>
      <c r="H77" s="164"/>
      <c r="I77" s="15" t="s">
        <v>110</v>
      </c>
      <c r="J77" s="30">
        <f ca="1">(IF(B65&gt;1.5,(H65/(B65+2)+J71+MAX(0,J72-J71)+MAX(0,J73-J72)+MAX(0,J74-J73)+MAX(0,J75-J74)+MAX(0,J76-J75)),IF(B65=1,(H65/(B65+3)+J76),IF(B65=0,H65/4+J76))))</f>
        <v>32</v>
      </c>
    </row>
    <row r="78" spans="1:10" x14ac:dyDescent="0.3">
      <c r="A78" s="91" t="s">
        <v>167</v>
      </c>
      <c r="B78" s="91"/>
      <c r="C78" s="91"/>
      <c r="D78" s="91"/>
      <c r="E78" s="91"/>
      <c r="F78" s="67" t="s">
        <v>171</v>
      </c>
      <c r="G78" s="67"/>
      <c r="H78" s="67"/>
    </row>
    <row r="79" spans="1:10" x14ac:dyDescent="0.3">
      <c r="A79" s="61" t="s">
        <v>169</v>
      </c>
      <c r="B79" s="61"/>
      <c r="C79" s="61"/>
      <c r="D79" s="61"/>
      <c r="E79" s="61"/>
      <c r="F79" s="60">
        <v>14000</v>
      </c>
      <c r="G79" s="60"/>
      <c r="H79" s="60"/>
    </row>
    <row r="80" spans="1:10" hidden="1" x14ac:dyDescent="0.3">
      <c r="A80" s="61" t="s">
        <v>168</v>
      </c>
      <c r="B80" s="61"/>
      <c r="C80" s="61"/>
      <c r="D80" s="61"/>
      <c r="E80" s="61"/>
      <c r="F80" s="60"/>
      <c r="G80" s="60"/>
      <c r="H80" s="60"/>
    </row>
    <row r="81" spans="1:8" hidden="1" x14ac:dyDescent="0.3">
      <c r="A81" s="61" t="s">
        <v>170</v>
      </c>
      <c r="B81" s="61"/>
      <c r="C81" s="61"/>
      <c r="D81" s="61"/>
      <c r="E81" s="61"/>
      <c r="F81" s="60"/>
      <c r="G81" s="60"/>
      <c r="H81" s="60"/>
    </row>
    <row r="82" spans="1:8" s="31" customFormat="1" x14ac:dyDescent="0.25">
      <c r="A82" s="61" t="s">
        <v>206</v>
      </c>
      <c r="B82" s="61"/>
      <c r="C82" s="61"/>
      <c r="D82" s="61"/>
      <c r="E82" s="61"/>
      <c r="F82" s="60">
        <v>50</v>
      </c>
      <c r="G82" s="60"/>
      <c r="H82" s="60"/>
    </row>
    <row r="83" spans="1:8" s="31" customFormat="1" hidden="1" x14ac:dyDescent="0.25">
      <c r="A83" s="61" t="s">
        <v>100</v>
      </c>
      <c r="B83" s="61"/>
      <c r="C83" s="61"/>
      <c r="D83" s="61"/>
      <c r="E83" s="61"/>
      <c r="F83" s="60"/>
      <c r="G83" s="60"/>
      <c r="H83" s="60"/>
    </row>
    <row r="84" spans="1:8" s="31" customFormat="1" hidden="1" x14ac:dyDescent="0.25">
      <c r="A84" s="61" t="s">
        <v>101</v>
      </c>
      <c r="B84" s="61"/>
      <c r="C84" s="61"/>
      <c r="D84" s="61"/>
      <c r="E84" s="61"/>
      <c r="F84" s="60"/>
      <c r="G84" s="60"/>
      <c r="H84" s="60"/>
    </row>
    <row r="85" spans="1:8" s="31" customFormat="1" hidden="1" x14ac:dyDescent="0.25">
      <c r="A85" s="61" t="s">
        <v>172</v>
      </c>
      <c r="B85" s="61"/>
      <c r="C85" s="61"/>
      <c r="D85" s="61"/>
      <c r="E85" s="61"/>
      <c r="F85" s="60"/>
      <c r="G85" s="60"/>
      <c r="H85" s="60"/>
    </row>
    <row r="86" spans="1:8" s="31" customFormat="1" hidden="1" x14ac:dyDescent="0.25">
      <c r="A86" s="61" t="s">
        <v>102</v>
      </c>
      <c r="B86" s="61"/>
      <c r="C86" s="61"/>
      <c r="D86" s="61"/>
      <c r="E86" s="61"/>
      <c r="F86" s="60"/>
      <c r="G86" s="60"/>
      <c r="H86" s="60"/>
    </row>
    <row r="87" spans="1:8" s="31" customFormat="1" hidden="1" x14ac:dyDescent="0.25">
      <c r="A87" s="61" t="s">
        <v>103</v>
      </c>
      <c r="B87" s="61"/>
      <c r="C87" s="61"/>
      <c r="D87" s="61"/>
      <c r="E87" s="61"/>
      <c r="F87" s="60"/>
      <c r="G87" s="60"/>
      <c r="H87" s="60"/>
    </row>
    <row r="88" spans="1:8" s="31" customFormat="1" hidden="1" x14ac:dyDescent="0.25">
      <c r="A88" s="61" t="s">
        <v>104</v>
      </c>
      <c r="B88" s="61"/>
      <c r="C88" s="61"/>
      <c r="D88" s="61"/>
      <c r="E88" s="61"/>
      <c r="F88" s="60"/>
      <c r="G88" s="60"/>
      <c r="H88" s="60"/>
    </row>
    <row r="89" spans="1:8" s="31" customFormat="1" hidden="1" x14ac:dyDescent="0.25">
      <c r="A89" s="61" t="s">
        <v>105</v>
      </c>
      <c r="B89" s="61"/>
      <c r="C89" s="61"/>
      <c r="D89" s="61"/>
      <c r="E89" s="61"/>
      <c r="F89" s="60"/>
      <c r="G89" s="60"/>
      <c r="H89" s="60"/>
    </row>
    <row r="90" spans="1:8" x14ac:dyDescent="0.3">
      <c r="A90" s="61" t="s">
        <v>54</v>
      </c>
      <c r="B90" s="61"/>
      <c r="C90" s="61"/>
      <c r="D90" s="61"/>
      <c r="E90" s="61"/>
      <c r="F90" s="60">
        <v>700000</v>
      </c>
      <c r="G90" s="60"/>
      <c r="H90" s="60"/>
    </row>
    <row r="91" spans="1:8" s="32" customFormat="1" x14ac:dyDescent="0.3">
      <c r="A91" s="113" t="s">
        <v>55</v>
      </c>
      <c r="B91" s="113"/>
      <c r="C91" s="113"/>
      <c r="D91" s="113"/>
      <c r="E91" s="113"/>
      <c r="F91" s="60">
        <f>F79*0.8</f>
        <v>11200</v>
      </c>
      <c r="G91" s="60"/>
      <c r="H91" s="60"/>
    </row>
    <row r="92" spans="1:8" s="33" customFormat="1" ht="15.75" hidden="1" customHeight="1" x14ac:dyDescent="0.3">
      <c r="A92" s="79" t="s">
        <v>80</v>
      </c>
      <c r="B92" s="79"/>
      <c r="C92" s="79"/>
      <c r="D92" s="79"/>
      <c r="E92" s="79"/>
      <c r="F92" s="79"/>
      <c r="G92" s="79"/>
      <c r="H92" s="79"/>
    </row>
    <row r="93" spans="1:8" s="33" customFormat="1" ht="15.75" hidden="1" customHeight="1" x14ac:dyDescent="0.3">
      <c r="A93" s="69" t="s">
        <v>56</v>
      </c>
      <c r="B93" s="69"/>
      <c r="C93" s="68" t="s">
        <v>83</v>
      </c>
      <c r="D93" s="68"/>
      <c r="E93" s="80" t="s">
        <v>57</v>
      </c>
      <c r="F93" s="80"/>
      <c r="G93" s="69" t="s">
        <v>58</v>
      </c>
      <c r="H93" s="69"/>
    </row>
    <row r="94" spans="1:8" s="33" customFormat="1" hidden="1" x14ac:dyDescent="0.3">
      <c r="A94" s="66"/>
      <c r="B94" s="66"/>
      <c r="C94" s="70"/>
      <c r="D94" s="70"/>
      <c r="E94" s="77"/>
      <c r="F94" s="77"/>
      <c r="G94" s="78"/>
      <c r="H94" s="78"/>
    </row>
    <row r="95" spans="1:8" s="33" customFormat="1" hidden="1" x14ac:dyDescent="0.3">
      <c r="A95" s="66"/>
      <c r="B95" s="66"/>
      <c r="C95" s="70"/>
      <c r="D95" s="70"/>
      <c r="E95" s="77"/>
      <c r="F95" s="77"/>
      <c r="G95" s="78"/>
      <c r="H95" s="78"/>
    </row>
    <row r="96" spans="1:8" s="33" customFormat="1" hidden="1" x14ac:dyDescent="0.3">
      <c r="A96" s="79" t="s">
        <v>160</v>
      </c>
      <c r="B96" s="79"/>
      <c r="C96" s="68"/>
      <c r="D96" s="68"/>
      <c r="E96" s="80"/>
      <c r="F96" s="80"/>
      <c r="G96" s="69"/>
      <c r="H96" s="69"/>
    </row>
    <row r="97" spans="1:14" s="33" customFormat="1" x14ac:dyDescent="0.3">
      <c r="A97" s="79" t="s">
        <v>74</v>
      </c>
      <c r="B97" s="79"/>
      <c r="C97" s="79"/>
      <c r="D97" s="79"/>
      <c r="E97" s="79"/>
      <c r="F97" s="79"/>
      <c r="G97" s="79"/>
      <c r="H97" s="79"/>
    </row>
    <row r="98" spans="1:14" s="33" customFormat="1" ht="15.75" customHeight="1" x14ac:dyDescent="0.3">
      <c r="A98" s="69" t="s">
        <v>56</v>
      </c>
      <c r="B98" s="69"/>
      <c r="C98" s="68" t="s">
        <v>83</v>
      </c>
      <c r="D98" s="68"/>
      <c r="E98" s="80" t="s">
        <v>57</v>
      </c>
      <c r="F98" s="80"/>
      <c r="G98" s="69" t="s">
        <v>58</v>
      </c>
      <c r="H98" s="69"/>
    </row>
    <row r="99" spans="1:14" s="33" customFormat="1" x14ac:dyDescent="0.3">
      <c r="A99" s="66" t="s">
        <v>205</v>
      </c>
      <c r="B99" s="66"/>
      <c r="C99" s="138">
        <f>COUNT(D115:D118)*26+COUNT(D120:D123)*6</f>
        <v>128</v>
      </c>
      <c r="D99" s="138"/>
      <c r="E99" s="139">
        <f>SUM(D115:D118)*26+SUM(D120:D123)*6</f>
        <v>132769.6860672</v>
      </c>
      <c r="F99" s="139"/>
      <c r="G99" s="139">
        <f>SUM(F115:F118)*26+SUM(F120:F123)*6</f>
        <v>212431.49770752003</v>
      </c>
      <c r="H99" s="139"/>
    </row>
    <row r="100" spans="1:14" s="32" customFormat="1" x14ac:dyDescent="0.3">
      <c r="A100" s="118" t="s">
        <v>59</v>
      </c>
      <c r="B100" s="118"/>
      <c r="C100" s="118"/>
      <c r="D100" s="118"/>
      <c r="E100" s="118"/>
      <c r="F100" s="118"/>
      <c r="G100" s="118"/>
      <c r="H100" s="118"/>
    </row>
    <row r="101" spans="1:14" hidden="1" x14ac:dyDescent="0.3">
      <c r="A101" s="118" t="s">
        <v>60</v>
      </c>
      <c r="B101" s="118"/>
      <c r="C101" s="118"/>
      <c r="D101" s="118"/>
      <c r="E101" s="118"/>
      <c r="F101" s="118"/>
      <c r="G101" s="118"/>
      <c r="H101" s="118"/>
    </row>
    <row r="102" spans="1:14" ht="47.25" hidden="1" customHeight="1" x14ac:dyDescent="0.3">
      <c r="A102" s="62" t="s">
        <v>127</v>
      </c>
      <c r="B102" s="62" t="s">
        <v>126</v>
      </c>
      <c r="C102" s="62" t="s">
        <v>61</v>
      </c>
      <c r="D102" s="62" t="s">
        <v>62</v>
      </c>
      <c r="E102" s="140" t="s">
        <v>166</v>
      </c>
      <c r="F102" s="41" t="s">
        <v>159</v>
      </c>
      <c r="G102" s="72" t="s">
        <v>64</v>
      </c>
      <c r="H102" s="142"/>
    </row>
    <row r="103" spans="1:14" s="35" customFormat="1" hidden="1" x14ac:dyDescent="0.3">
      <c r="A103" s="63"/>
      <c r="B103" s="63"/>
      <c r="C103" s="63"/>
      <c r="D103" s="63"/>
      <c r="E103" s="141"/>
      <c r="F103" s="13">
        <v>0.6</v>
      </c>
      <c r="G103" s="73"/>
      <c r="H103" s="143"/>
    </row>
    <row r="104" spans="1:14" s="35" customFormat="1" hidden="1" x14ac:dyDescent="0.3">
      <c r="A104" s="74" t="s">
        <v>125</v>
      </c>
      <c r="B104" s="75"/>
      <c r="C104" s="75"/>
      <c r="D104" s="75"/>
      <c r="E104" s="75"/>
      <c r="F104" s="75"/>
      <c r="G104" s="75"/>
      <c r="H104" s="76"/>
      <c r="J104" s="34"/>
    </row>
    <row r="105" spans="1:14" s="35" customFormat="1" hidden="1" x14ac:dyDescent="0.3">
      <c r="A105" s="64">
        <v>1</v>
      </c>
      <c r="B105" s="65"/>
      <c r="C105" s="40"/>
      <c r="D105" s="40"/>
      <c r="E105" s="40">
        <v>0</v>
      </c>
      <c r="F105" s="40">
        <f>(D105+E105)*(($F$103)+1)</f>
        <v>0</v>
      </c>
      <c r="G105" s="64" t="str">
        <f>A104</f>
        <v>Ground Floor</v>
      </c>
      <c r="H105" s="65"/>
      <c r="I105" s="34"/>
      <c r="L105" s="71"/>
      <c r="M105" s="71"/>
      <c r="N105" s="34"/>
    </row>
    <row r="106" spans="1:14" s="35" customFormat="1" hidden="1" x14ac:dyDescent="0.3">
      <c r="A106" s="64">
        <f>A105+1</f>
        <v>2</v>
      </c>
      <c r="B106" s="65"/>
      <c r="C106" s="40"/>
      <c r="D106" s="40"/>
      <c r="E106" s="40">
        <v>0</v>
      </c>
      <c r="F106" s="40">
        <f>(D106+E106)*(($F$103)+1)</f>
        <v>0</v>
      </c>
      <c r="G106" s="64" t="str">
        <f>G105</f>
        <v>Ground Floor</v>
      </c>
      <c r="H106" s="65"/>
      <c r="I106" s="34"/>
      <c r="L106" s="71"/>
      <c r="M106" s="71"/>
      <c r="N106" s="34"/>
    </row>
    <row r="107" spans="1:14" s="35" customFormat="1" hidden="1" x14ac:dyDescent="0.3">
      <c r="A107" s="64">
        <f>A106+1</f>
        <v>3</v>
      </c>
      <c r="B107" s="65"/>
      <c r="C107" s="40"/>
      <c r="D107" s="40"/>
      <c r="E107" s="40">
        <v>0</v>
      </c>
      <c r="F107" s="40">
        <f>(D107+E107)*(($F$103)+1)</f>
        <v>0</v>
      </c>
      <c r="G107" s="64" t="str">
        <f>G106</f>
        <v>Ground Floor</v>
      </c>
      <c r="H107" s="65"/>
      <c r="I107" s="34"/>
      <c r="L107" s="71"/>
      <c r="M107" s="71"/>
      <c r="N107" s="34"/>
    </row>
    <row r="108" spans="1:14" s="35" customFormat="1" hidden="1" x14ac:dyDescent="0.3">
      <c r="A108" s="64">
        <f>A107+1</f>
        <v>4</v>
      </c>
      <c r="B108" s="65"/>
      <c r="C108" s="40"/>
      <c r="D108" s="40"/>
      <c r="E108" s="40">
        <v>0</v>
      </c>
      <c r="F108" s="40">
        <f>(D108+E108)*(($F$103)+1)</f>
        <v>0</v>
      </c>
      <c r="G108" s="64" t="str">
        <f>G107</f>
        <v>Ground Floor</v>
      </c>
      <c r="H108" s="65"/>
      <c r="I108" s="34"/>
      <c r="L108" s="71"/>
      <c r="M108" s="71"/>
      <c r="N108" s="34"/>
    </row>
    <row r="109" spans="1:14" s="35" customFormat="1" x14ac:dyDescent="0.3">
      <c r="A109" s="64"/>
      <c r="B109" s="81"/>
      <c r="C109" s="81"/>
      <c r="D109" s="81"/>
      <c r="E109" s="81"/>
      <c r="F109" s="81"/>
      <c r="G109" s="81"/>
      <c r="H109" s="65"/>
      <c r="I109" s="34"/>
      <c r="N109" s="34"/>
    </row>
    <row r="110" spans="1:14" ht="47.25" customHeight="1" x14ac:dyDescent="0.3">
      <c r="A110" s="72" t="s">
        <v>128</v>
      </c>
      <c r="B110" s="72" t="s">
        <v>129</v>
      </c>
      <c r="C110" s="62" t="s">
        <v>61</v>
      </c>
      <c r="D110" s="62" t="s">
        <v>62</v>
      </c>
      <c r="E110" s="140" t="s">
        <v>63</v>
      </c>
      <c r="F110" s="41" t="s">
        <v>159</v>
      </c>
      <c r="G110" s="72" t="s">
        <v>64</v>
      </c>
      <c r="H110" s="142"/>
      <c r="I110" s="34"/>
    </row>
    <row r="111" spans="1:14" s="35" customFormat="1" x14ac:dyDescent="0.3">
      <c r="A111" s="73"/>
      <c r="B111" s="73"/>
      <c r="C111" s="63"/>
      <c r="D111" s="63"/>
      <c r="E111" s="141"/>
      <c r="F111" s="13">
        <v>0.6</v>
      </c>
      <c r="G111" s="73"/>
      <c r="H111" s="143"/>
      <c r="I111" s="34"/>
    </row>
    <row r="112" spans="1:14" s="35" customFormat="1" hidden="1" x14ac:dyDescent="0.3">
      <c r="A112" s="74" t="s">
        <v>188</v>
      </c>
      <c r="B112" s="75"/>
      <c r="C112" s="75"/>
      <c r="D112" s="75"/>
      <c r="E112" s="75"/>
      <c r="F112" s="75"/>
      <c r="G112" s="75"/>
      <c r="H112" s="76"/>
      <c r="J112" s="34"/>
    </row>
    <row r="113" spans="1:14" s="35" customFormat="1" x14ac:dyDescent="0.3">
      <c r="A113" s="83" t="s">
        <v>205</v>
      </c>
      <c r="B113" s="83"/>
      <c r="C113" s="83"/>
      <c r="D113" s="83"/>
      <c r="E113" s="83"/>
      <c r="F113" s="83"/>
      <c r="G113" s="83"/>
      <c r="H113" s="83"/>
      <c r="I113" s="34"/>
      <c r="L113" s="71"/>
      <c r="M113" s="71"/>
    </row>
    <row r="114" spans="1:14" s="35" customFormat="1" x14ac:dyDescent="0.3">
      <c r="A114" s="83" t="s">
        <v>194</v>
      </c>
      <c r="B114" s="83"/>
      <c r="C114" s="83"/>
      <c r="D114" s="83"/>
      <c r="E114" s="83"/>
      <c r="F114" s="83"/>
      <c r="G114" s="83"/>
      <c r="H114" s="83"/>
      <c r="I114" s="34"/>
      <c r="L114" s="71"/>
      <c r="M114" s="71"/>
    </row>
    <row r="115" spans="1:14" s="35" customFormat="1" ht="15.75" customHeight="1" x14ac:dyDescent="0.3">
      <c r="A115" s="82">
        <v>1</v>
      </c>
      <c r="B115" s="82"/>
      <c r="C115" s="40" t="s">
        <v>189</v>
      </c>
      <c r="D115" s="40">
        <f>(3.35*6.01+1.67*1.75+2.14*3.05+3.05*3.71+3.35*4.28+1.62*0.6+1.26*0.99+3.66*3.05+2.52*0.59+1.84*0.6+1.06*8.79+2.14*1.6+2.51*1.6+1.6*2.52+1.2*2.3+0.75*2.14)*10.764</f>
        <v>1037.2631724</v>
      </c>
      <c r="E115" s="40">
        <v>0</v>
      </c>
      <c r="F115" s="40">
        <f>D115*(($F$111)+1)+(IF(E115&lt;101,E115,IF(E115&lt;201,E115/2,IF(E115&lt;=301,E115/3,E115/4))))</f>
        <v>1659.6210758400002</v>
      </c>
      <c r="G115" s="84" t="str">
        <f>A114</f>
        <v>1st to 5th, 7th to 10th, 12th to 15th, 17th to 20th, 22nd to 25th, 27th to 30th &amp; 32nd Floor For Residential</v>
      </c>
      <c r="H115" s="85"/>
      <c r="I115" s="34">
        <f>22500000/F115</f>
        <v>13557.311561985229</v>
      </c>
      <c r="N115" s="34"/>
    </row>
    <row r="116" spans="1:14" s="35" customFormat="1" ht="15.75" customHeight="1" x14ac:dyDescent="0.3">
      <c r="A116" s="82">
        <f>A115+1</f>
        <v>2</v>
      </c>
      <c r="B116" s="82"/>
      <c r="C116" s="40" t="s">
        <v>189</v>
      </c>
      <c r="D116" s="40">
        <f>(3.35*6.01+1.67*1.75+2.14*3.05+3.05*3.71+3.35*4.28+1.62*0.6+1.26*0.99+3.66*3.05+2.52*0.59+1.84*0.6+1.06*8.79+2.14*1.6+2.51*1.6+1.6*2.52+1.2*2.3+0.75*2.14)*10.764</f>
        <v>1037.2631724</v>
      </c>
      <c r="E116" s="40">
        <v>0</v>
      </c>
      <c r="F116" s="40">
        <f>D116*(($F$111)+1)+(IF(E116&lt;101,E116,IF(E116&lt;201,E116/2,IF(E116&lt;=301,E116/3,E116/4))))</f>
        <v>1659.6210758400002</v>
      </c>
      <c r="G116" s="86"/>
      <c r="H116" s="87"/>
      <c r="I116" s="34">
        <f>26000000/F116</f>
        <v>15666.226693849598</v>
      </c>
      <c r="N116" s="34"/>
    </row>
    <row r="117" spans="1:14" s="35" customFormat="1" ht="15.75" customHeight="1" x14ac:dyDescent="0.3">
      <c r="A117" s="82">
        <f>A116+1</f>
        <v>3</v>
      </c>
      <c r="B117" s="82"/>
      <c r="C117" s="40" t="s">
        <v>189</v>
      </c>
      <c r="D117" s="40">
        <f>(3.35*6.01+1.67*1.75+2.14*3.05+3.05*3.71+3.35*4.28+1.62*0.6+1.26*0.99+3.66*3.05+2.52*0.59+1.84*0.6+1.06*8.79+2.14*1.6+2.51*1.6+1.6*2.52+1.2*2.3+0.75*2.14)*10.764</f>
        <v>1037.2631724</v>
      </c>
      <c r="E117" s="40">
        <v>0</v>
      </c>
      <c r="F117" s="40">
        <f>D117*(($F$111)+1)+(IF(E117&lt;101,E117,IF(E117&lt;201,E117/2,IF(E117&lt;=301,E117/3,E117/4))))</f>
        <v>1659.6210758400002</v>
      </c>
      <c r="G117" s="86"/>
      <c r="H117" s="87"/>
      <c r="I117" s="34"/>
      <c r="N117" s="34"/>
    </row>
    <row r="118" spans="1:14" s="35" customFormat="1" ht="15.75" customHeight="1" x14ac:dyDescent="0.3">
      <c r="A118" s="64">
        <f>A117+1</f>
        <v>4</v>
      </c>
      <c r="B118" s="65"/>
      <c r="C118" s="40" t="s">
        <v>189</v>
      </c>
      <c r="D118" s="40">
        <f>(3.35*6.01+1.67*1.75+2.14*3.05+3.05*3.71+3.35*4.28+1.62*0.6+1.26*0.99+3.66*3.05+2.52*0.59+1.84*0.6+1.06*8.79+2.14*1.6+2.51*1.6+1.6*2.52+1.2*2.3+0.75*2.14)*10.764</f>
        <v>1037.2631724</v>
      </c>
      <c r="E118" s="40">
        <v>0</v>
      </c>
      <c r="F118" s="40">
        <f>D118*(($F$111)+1)+(IF(E118&lt;101,E118,IF(E118&lt;201,E118/2,IF(E118&lt;=301,E118/3,E118/4))))</f>
        <v>1659.6210758400002</v>
      </c>
      <c r="G118" s="88"/>
      <c r="H118" s="89"/>
      <c r="I118" s="34"/>
      <c r="N118" s="34"/>
    </row>
    <row r="119" spans="1:14" s="35" customFormat="1" ht="15.75" customHeight="1" x14ac:dyDescent="0.3">
      <c r="A119" s="74" t="s">
        <v>190</v>
      </c>
      <c r="B119" s="75"/>
      <c r="C119" s="75"/>
      <c r="D119" s="75"/>
      <c r="E119" s="75"/>
      <c r="F119" s="75"/>
      <c r="G119" s="75"/>
      <c r="H119" s="76"/>
      <c r="I119" s="34"/>
    </row>
    <row r="120" spans="1:14" s="35" customFormat="1" ht="15.75" customHeight="1" x14ac:dyDescent="0.3">
      <c r="A120" s="64">
        <v>1</v>
      </c>
      <c r="B120" s="65"/>
      <c r="C120" s="40" t="s">
        <v>189</v>
      </c>
      <c r="D120" s="40">
        <f>(3.35*6.01+1.67*1.75+2.14*3.05+3.05*3.71+3.35*4.28+1.62*0.6+1.26*0.99+3.66*3.05+2.52*0.59+1.84*0.6+1.06*8.79+2.14*1.6+2.51*1.6+1.6*2.52+1.2*2.3+0.75*2.14)*10.764</f>
        <v>1037.2631724</v>
      </c>
      <c r="E120" s="40">
        <v>0</v>
      </c>
      <c r="F120" s="40">
        <f>D120*(($F$111)+1)+(IF(E120&lt;101,E120,IF(E120&lt;201,E120/2,IF(E120&lt;=301,E120/3,E120/4))))</f>
        <v>1659.6210758400002</v>
      </c>
      <c r="G120" s="84" t="str">
        <f>A119</f>
        <v>6th, 11th, 16th, 21st, 26th, 31st Floor (Part Refuge Area)</v>
      </c>
      <c r="H120" s="85"/>
      <c r="I120" s="34"/>
    </row>
    <row r="121" spans="1:14" s="35" customFormat="1" ht="15.75" customHeight="1" x14ac:dyDescent="0.3">
      <c r="A121" s="64">
        <v>2</v>
      </c>
      <c r="B121" s="65"/>
      <c r="C121" s="40" t="s">
        <v>189</v>
      </c>
      <c r="D121" s="40">
        <f>(3.35*6.01+1.67*1.75+2.14*3.05+3.05*3.71+3.35*4.28+1.62*0.6+1.26*0.99+3.66*3.05+2.52*0.59+1.84*0.6+1.06*8.79+2.14*1.6+2.51*1.6+1.6*2.52+1.2*2.3+0.75*2.14)*10.764</f>
        <v>1037.2631724</v>
      </c>
      <c r="E121" s="40">
        <v>0</v>
      </c>
      <c r="F121" s="40">
        <f>D121*(($F$111)+1)+(IF(E121&lt;101,E121,IF(E121&lt;201,E121/2,IF(E121&lt;=301,E121/3,E121/4))))</f>
        <v>1659.6210758400002</v>
      </c>
      <c r="G121" s="86"/>
      <c r="H121" s="87"/>
      <c r="I121" s="34"/>
    </row>
    <row r="122" spans="1:14" s="35" customFormat="1" ht="15.75" customHeight="1" x14ac:dyDescent="0.3">
      <c r="A122" s="64">
        <v>3</v>
      </c>
      <c r="B122" s="65"/>
      <c r="C122" s="40" t="s">
        <v>189</v>
      </c>
      <c r="D122" s="40">
        <f>(3.35*6.01+1.67*1.75+2.14*3.05+3.05*3.71+3.35*4.28+1.62*0.6+1.26*0.99+3.66*3.05+2.52*0.59+1.84*0.6+1.06*8.79+2.14*1.6+2.51*1.6+1.6*2.52+1.2*2.3+0.75*2.14)*10.764</f>
        <v>1037.2631724</v>
      </c>
      <c r="E122" s="40">
        <v>0</v>
      </c>
      <c r="F122" s="40">
        <f>D122*(($F$111)+1)+(IF(E122&lt;101,E122,IF(E122&lt;201,E122/2,IF(E122&lt;=301,E122/3,E122/4))))</f>
        <v>1659.6210758400002</v>
      </c>
      <c r="G122" s="86"/>
      <c r="H122" s="87"/>
      <c r="I122" s="34"/>
    </row>
    <row r="123" spans="1:14" s="35" customFormat="1" ht="15.75" customHeight="1" x14ac:dyDescent="0.3">
      <c r="A123" s="64">
        <v>4</v>
      </c>
      <c r="B123" s="65"/>
      <c r="C123" s="40" t="s">
        <v>189</v>
      </c>
      <c r="D123" s="40">
        <f>(3.35*6.01+1.67*1.75+2.14*3.05+3.05*3.71+3.35*4.28+1.62*0.6+1.26*0.99+3.66*3.05+2.52*0.59+1.84*0.6+1.06*8.79+2.14*1.6+2.51*1.6+1.6*2.52+1.2*2.3+0.75*2.14)*10.764</f>
        <v>1037.2631724</v>
      </c>
      <c r="E123" s="40">
        <v>0</v>
      </c>
      <c r="F123" s="40">
        <f>D123*(($F$111)+1)+(IF(E123&lt;101,E123,IF(E123&lt;201,E123/2,IF(E123&lt;=301,E123/3,E123/4))))</f>
        <v>1659.6210758400002</v>
      </c>
      <c r="G123" s="88"/>
      <c r="H123" s="89"/>
      <c r="I123" s="34"/>
    </row>
    <row r="124" spans="1:14" s="33" customFormat="1" x14ac:dyDescent="0.3">
      <c r="A124" s="90" t="s">
        <v>72</v>
      </c>
      <c r="B124" s="90"/>
      <c r="C124" s="90"/>
      <c r="D124" s="90"/>
      <c r="E124" s="90"/>
      <c r="F124" s="90"/>
      <c r="G124" s="90"/>
      <c r="H124" s="90"/>
    </row>
    <row r="125" spans="1:14" s="33" customFormat="1" ht="30.75" customHeight="1" x14ac:dyDescent="0.3">
      <c r="A125" s="43" t="s">
        <v>163</v>
      </c>
      <c r="B125" s="144" t="s">
        <v>210</v>
      </c>
      <c r="C125" s="145"/>
      <c r="D125" s="145"/>
      <c r="E125" s="145"/>
      <c r="F125" s="145"/>
      <c r="G125" s="145"/>
      <c r="H125" s="146"/>
    </row>
    <row r="126" spans="1:14" s="33" customFormat="1" x14ac:dyDescent="0.3">
      <c r="A126" s="43" t="s">
        <v>163</v>
      </c>
      <c r="B126" s="144" t="str">
        <f>(IF(F110="Saleable area Loading :","We have considered Saleable area of Flats as per our Calculation.","We considered Saleable area of Flat as per Builder area Sheet."))</f>
        <v>We have considered Saleable area of Flats as per our Calculation.</v>
      </c>
      <c r="C126" s="145"/>
      <c r="D126" s="145"/>
      <c r="E126" s="145"/>
      <c r="F126" s="145"/>
      <c r="G126" s="145"/>
      <c r="H126" s="146"/>
    </row>
    <row r="127" spans="1:14" s="33" customFormat="1" hidden="1" x14ac:dyDescent="0.3">
      <c r="A127" s="43" t="s">
        <v>163</v>
      </c>
      <c r="B127" s="144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7" s="145"/>
      <c r="D127" s="145"/>
      <c r="E127" s="145"/>
      <c r="F127" s="145"/>
      <c r="G127" s="145"/>
      <c r="H127" s="146"/>
    </row>
    <row r="128" spans="1:14" s="33" customFormat="1" x14ac:dyDescent="0.3">
      <c r="A128" s="43" t="s">
        <v>163</v>
      </c>
      <c r="B128" s="57" t="s">
        <v>133</v>
      </c>
      <c r="C128" s="58"/>
      <c r="D128" s="58"/>
      <c r="E128" s="58"/>
      <c r="F128" s="58"/>
      <c r="G128" s="58"/>
      <c r="H128" s="59"/>
    </row>
    <row r="129" spans="1:8" s="33" customFormat="1" x14ac:dyDescent="0.3">
      <c r="A129" s="43" t="s">
        <v>163</v>
      </c>
      <c r="B129" s="57" t="s">
        <v>192</v>
      </c>
      <c r="C129" s="58"/>
      <c r="D129" s="58"/>
      <c r="E129" s="58"/>
      <c r="F129" s="58"/>
      <c r="G129" s="58"/>
      <c r="H129" s="59"/>
    </row>
    <row r="130" spans="1:8" s="33" customFormat="1" x14ac:dyDescent="0.3">
      <c r="A130" s="43" t="s">
        <v>163</v>
      </c>
      <c r="B130" s="57" t="s">
        <v>162</v>
      </c>
      <c r="C130" s="58"/>
      <c r="D130" s="58"/>
      <c r="E130" s="58"/>
      <c r="F130" s="58"/>
      <c r="G130" s="58"/>
      <c r="H130" s="59"/>
    </row>
    <row r="131" spans="1:8" s="33" customFormat="1" x14ac:dyDescent="0.3">
      <c r="A131" s="43" t="s">
        <v>163</v>
      </c>
      <c r="B131" s="57" t="s">
        <v>134</v>
      </c>
      <c r="C131" s="58"/>
      <c r="D131" s="58"/>
      <c r="E131" s="58"/>
      <c r="F131" s="58"/>
      <c r="G131" s="58"/>
      <c r="H131" s="59"/>
    </row>
    <row r="132" spans="1:8" s="33" customFormat="1" ht="34.5" customHeight="1" x14ac:dyDescent="0.3">
      <c r="A132" s="43" t="s">
        <v>163</v>
      </c>
      <c r="B132" s="57" t="s">
        <v>164</v>
      </c>
      <c r="C132" s="58"/>
      <c r="D132" s="58"/>
      <c r="E132" s="58"/>
      <c r="F132" s="58"/>
      <c r="G132" s="58"/>
      <c r="H132" s="59"/>
    </row>
    <row r="133" spans="1:8" s="33" customFormat="1" x14ac:dyDescent="0.3">
      <c r="A133" s="43" t="s">
        <v>163</v>
      </c>
      <c r="B133" s="57" t="s">
        <v>135</v>
      </c>
      <c r="C133" s="58"/>
      <c r="D133" s="58"/>
      <c r="E133" s="58"/>
      <c r="F133" s="58"/>
      <c r="G133" s="58"/>
      <c r="H133" s="59"/>
    </row>
    <row r="134" spans="1:8" s="33" customFormat="1" x14ac:dyDescent="0.3">
      <c r="A134" s="43" t="s">
        <v>163</v>
      </c>
      <c r="B134" s="57" t="s">
        <v>197</v>
      </c>
      <c r="C134" s="58"/>
      <c r="D134" s="58"/>
      <c r="E134" s="58"/>
      <c r="F134" s="58"/>
      <c r="G134" s="58"/>
      <c r="H134" s="59"/>
    </row>
    <row r="135" spans="1:8" s="33" customFormat="1" hidden="1" x14ac:dyDescent="0.3">
      <c r="A135" s="43" t="s">
        <v>163</v>
      </c>
      <c r="B135" s="144" t="s">
        <v>191</v>
      </c>
      <c r="C135" s="145"/>
      <c r="D135" s="145"/>
      <c r="E135" s="145"/>
      <c r="F135" s="145"/>
      <c r="G135" s="145"/>
      <c r="H135" s="146"/>
    </row>
    <row r="136" spans="1:8" x14ac:dyDescent="0.3">
      <c r="A136" s="150" t="s">
        <v>65</v>
      </c>
      <c r="B136" s="150"/>
      <c r="C136" s="150"/>
      <c r="D136" s="150"/>
      <c r="E136" s="150"/>
      <c r="F136" s="150"/>
      <c r="G136" s="150"/>
      <c r="H136" s="150"/>
    </row>
    <row r="137" spans="1:8" x14ac:dyDescent="0.3">
      <c r="A137" s="61" t="s">
        <v>66</v>
      </c>
      <c r="B137" s="61"/>
      <c r="C137" s="61"/>
      <c r="D137" s="61"/>
      <c r="E137" s="61"/>
      <c r="F137" s="61"/>
      <c r="G137" s="61"/>
      <c r="H137" s="61"/>
    </row>
    <row r="138" spans="1:8" ht="15.75" customHeight="1" x14ac:dyDescent="0.3">
      <c r="A138" s="168" t="s">
        <v>67</v>
      </c>
      <c r="B138" s="168"/>
      <c r="C138" s="168"/>
      <c r="D138" s="168"/>
      <c r="E138" s="168"/>
      <c r="F138" s="168"/>
      <c r="G138" s="168"/>
      <c r="H138" s="168"/>
    </row>
    <row r="139" spans="1:8" x14ac:dyDescent="0.3">
      <c r="A139" s="61" t="s">
        <v>68</v>
      </c>
      <c r="B139" s="61"/>
      <c r="C139" s="61"/>
      <c r="D139" s="61"/>
      <c r="E139" s="61"/>
      <c r="F139" s="61"/>
      <c r="G139" s="61"/>
      <c r="H139" s="61"/>
    </row>
    <row r="140" spans="1:8" x14ac:dyDescent="0.3">
      <c r="A140" s="61" t="s">
        <v>69</v>
      </c>
      <c r="B140" s="61"/>
      <c r="C140" s="61"/>
      <c r="D140" s="61"/>
      <c r="E140" s="61"/>
      <c r="F140" s="61"/>
      <c r="G140" s="61"/>
      <c r="H140" s="61"/>
    </row>
    <row r="141" spans="1:8" x14ac:dyDescent="0.3">
      <c r="A141" s="61" t="s">
        <v>136</v>
      </c>
      <c r="B141" s="61"/>
      <c r="C141" s="61"/>
      <c r="D141" s="61"/>
      <c r="E141" s="61"/>
      <c r="F141" s="61"/>
      <c r="G141" s="61"/>
      <c r="H141" s="61"/>
    </row>
    <row r="142" spans="1:8" ht="35.25" customHeight="1" x14ac:dyDescent="0.3">
      <c r="A142" s="110" t="s">
        <v>137</v>
      </c>
      <c r="B142" s="110"/>
      <c r="C142" s="110"/>
      <c r="D142" s="110"/>
      <c r="E142" s="110"/>
      <c r="F142" s="110"/>
      <c r="G142" s="110"/>
      <c r="H142" s="110"/>
    </row>
    <row r="143" spans="1:8" x14ac:dyDescent="0.3">
      <c r="A143" s="137" t="s">
        <v>82</v>
      </c>
      <c r="B143" s="137"/>
      <c r="C143" s="137" t="s">
        <v>193</v>
      </c>
      <c r="D143" s="137"/>
      <c r="E143" s="137" t="s">
        <v>112</v>
      </c>
      <c r="F143" s="137"/>
      <c r="G143" s="137" t="s">
        <v>211</v>
      </c>
      <c r="H143" s="137"/>
    </row>
    <row r="144" spans="1:8" x14ac:dyDescent="0.3">
      <c r="A144" s="136" t="s">
        <v>84</v>
      </c>
      <c r="B144" s="136"/>
      <c r="C144" s="136"/>
      <c r="D144" s="136"/>
      <c r="E144" s="136"/>
      <c r="F144" s="136"/>
      <c r="G144" s="136"/>
      <c r="H144" s="136"/>
    </row>
    <row r="145" spans="1:8" x14ac:dyDescent="0.3">
      <c r="A145" s="136"/>
      <c r="B145" s="136"/>
      <c r="C145" s="136"/>
      <c r="D145" s="136"/>
      <c r="E145" s="136"/>
      <c r="F145" s="136"/>
      <c r="G145" s="136"/>
      <c r="H145" s="136"/>
    </row>
    <row r="146" spans="1:8" x14ac:dyDescent="0.3">
      <c r="A146" s="136"/>
      <c r="B146" s="136"/>
      <c r="C146" s="136"/>
      <c r="D146" s="136"/>
      <c r="E146" s="136"/>
      <c r="F146" s="136"/>
      <c r="G146" s="136"/>
      <c r="H146" s="136"/>
    </row>
    <row r="147" spans="1:8" x14ac:dyDescent="0.3">
      <c r="A147" s="136"/>
      <c r="B147" s="136"/>
      <c r="C147" s="136"/>
      <c r="D147" s="136"/>
      <c r="E147" s="136"/>
      <c r="F147" s="136"/>
      <c r="G147" s="136"/>
      <c r="H147" s="136"/>
    </row>
    <row r="148" spans="1:8" x14ac:dyDescent="0.3">
      <c r="A148" s="36" t="s">
        <v>70</v>
      </c>
      <c r="B148" s="37"/>
      <c r="C148" s="37"/>
      <c r="D148" s="36" t="str">
        <f>E8</f>
        <v>Sheth Vasant Lawns</v>
      </c>
      <c r="F148" s="37"/>
      <c r="G148" s="37"/>
      <c r="H148" s="37"/>
    </row>
    <row r="149" spans="1:8" x14ac:dyDescent="0.3">
      <c r="A149" s="37"/>
      <c r="B149" s="37"/>
      <c r="C149" s="37"/>
      <c r="D149" s="37"/>
      <c r="E149" s="37"/>
      <c r="F149" s="37"/>
      <c r="G149" s="37"/>
      <c r="H149" s="37"/>
    </row>
    <row r="150" spans="1:8" x14ac:dyDescent="0.3">
      <c r="A150" s="37"/>
      <c r="B150" s="37"/>
      <c r="C150" s="37"/>
      <c r="D150" s="37"/>
      <c r="E150" s="37"/>
      <c r="F150" s="37"/>
      <c r="G150" s="37"/>
      <c r="H150" s="37"/>
    </row>
    <row r="151" spans="1:8" ht="15" customHeight="1" x14ac:dyDescent="0.3"/>
    <row r="188" spans="1:1" x14ac:dyDescent="0.3">
      <c r="A188" s="39" t="s">
        <v>71</v>
      </c>
    </row>
  </sheetData>
  <mergeCells count="277">
    <mergeCell ref="A15:B15"/>
    <mergeCell ref="C15:H15"/>
    <mergeCell ref="E40:H40"/>
    <mergeCell ref="A40:D40"/>
    <mergeCell ref="A141:H141"/>
    <mergeCell ref="A138:H138"/>
    <mergeCell ref="A115:B115"/>
    <mergeCell ref="A98:B98"/>
    <mergeCell ref="D110:D111"/>
    <mergeCell ref="E110:E111"/>
    <mergeCell ref="G110:H111"/>
    <mergeCell ref="A73:B73"/>
    <mergeCell ref="F79:H79"/>
    <mergeCell ref="G94:H94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136:H136"/>
    <mergeCell ref="A61:C61"/>
    <mergeCell ref="D61:H61"/>
    <mergeCell ref="A62:C62"/>
    <mergeCell ref="D62:H62"/>
    <mergeCell ref="A68:B68"/>
    <mergeCell ref="G67:H67"/>
    <mergeCell ref="A58:C58"/>
    <mergeCell ref="E68:F77"/>
    <mergeCell ref="G68:H77"/>
    <mergeCell ref="A76:B76"/>
    <mergeCell ref="A77:B77"/>
    <mergeCell ref="D58:H58"/>
    <mergeCell ref="A75:B75"/>
    <mergeCell ref="F85:H85"/>
    <mergeCell ref="A79:E79"/>
    <mergeCell ref="G99:H99"/>
    <mergeCell ref="A104:H104"/>
    <mergeCell ref="E102:E103"/>
    <mergeCell ref="G102:H103"/>
    <mergeCell ref="A137:H137"/>
    <mergeCell ref="E98:F98"/>
    <mergeCell ref="B134:H134"/>
    <mergeCell ref="B135:H135"/>
    <mergeCell ref="G107:H107"/>
    <mergeCell ref="G105:H105"/>
    <mergeCell ref="G106:H106"/>
    <mergeCell ref="G108:H108"/>
    <mergeCell ref="B131:H131"/>
    <mergeCell ref="B127:H127"/>
    <mergeCell ref="A100:H100"/>
    <mergeCell ref="A121:B121"/>
    <mergeCell ref="A101:H101"/>
    <mergeCell ref="B102:B103"/>
    <mergeCell ref="A102:A103"/>
    <mergeCell ref="C110:C111"/>
    <mergeCell ref="A112:H112"/>
    <mergeCell ref="B125:H125"/>
    <mergeCell ref="B126:H126"/>
    <mergeCell ref="B128:H128"/>
    <mergeCell ref="A60:C60"/>
    <mergeCell ref="D60:H60"/>
    <mergeCell ref="A63:C63"/>
    <mergeCell ref="D63:H63"/>
    <mergeCell ref="A144:H147"/>
    <mergeCell ref="A143:B143"/>
    <mergeCell ref="E143:F143"/>
    <mergeCell ref="C143:D143"/>
    <mergeCell ref="G143:H143"/>
    <mergeCell ref="A92:H92"/>
    <mergeCell ref="A90:E90"/>
    <mergeCell ref="F90:H90"/>
    <mergeCell ref="A91:E91"/>
    <mergeCell ref="F91:H91"/>
    <mergeCell ref="A114:H114"/>
    <mergeCell ref="A99:B99"/>
    <mergeCell ref="A122:B122"/>
    <mergeCell ref="A94:B94"/>
    <mergeCell ref="A139:H139"/>
    <mergeCell ref="A97:H97"/>
    <mergeCell ref="A142:H142"/>
    <mergeCell ref="A140:H140"/>
    <mergeCell ref="C99:D99"/>
    <mergeCell ref="E99:F9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A38:H38"/>
    <mergeCell ref="A57:C57"/>
    <mergeCell ref="D57:H57"/>
    <mergeCell ref="A41:D41"/>
    <mergeCell ref="E41:H41"/>
    <mergeCell ref="E42:H42"/>
    <mergeCell ref="E43:H43"/>
    <mergeCell ref="E44:H44"/>
    <mergeCell ref="A42:D42"/>
    <mergeCell ref="F34:H34"/>
    <mergeCell ref="A36:B36"/>
    <mergeCell ref="E36:F36"/>
    <mergeCell ref="C36:D36"/>
    <mergeCell ref="G36:H36"/>
    <mergeCell ref="A37:B37"/>
    <mergeCell ref="C37:H37"/>
    <mergeCell ref="A46:B46"/>
    <mergeCell ref="A43:D43"/>
    <mergeCell ref="A44:D44"/>
    <mergeCell ref="A45:H45"/>
    <mergeCell ref="D55:H55"/>
    <mergeCell ref="A55:C55"/>
    <mergeCell ref="E94:F94"/>
    <mergeCell ref="A78:E78"/>
    <mergeCell ref="F81:H81"/>
    <mergeCell ref="A81:E81"/>
    <mergeCell ref="A35:H35"/>
    <mergeCell ref="A34:B34"/>
    <mergeCell ref="C34:E34"/>
    <mergeCell ref="A39:D39"/>
    <mergeCell ref="E39:H39"/>
    <mergeCell ref="G48:H48"/>
    <mergeCell ref="A49:B50"/>
    <mergeCell ref="A74:B74"/>
    <mergeCell ref="A67:B67"/>
    <mergeCell ref="A70:B70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B133:H133"/>
    <mergeCell ref="L114:M114"/>
    <mergeCell ref="A109:H109"/>
    <mergeCell ref="A110:A111"/>
    <mergeCell ref="A116:B116"/>
    <mergeCell ref="A117:B117"/>
    <mergeCell ref="A118:B118"/>
    <mergeCell ref="L108:M108"/>
    <mergeCell ref="B132:H132"/>
    <mergeCell ref="A113:H113"/>
    <mergeCell ref="L113:M113"/>
    <mergeCell ref="G115:H118"/>
    <mergeCell ref="G120:H123"/>
    <mergeCell ref="B129:H129"/>
    <mergeCell ref="A124:H124"/>
    <mergeCell ref="L107:M107"/>
    <mergeCell ref="L106:M106"/>
    <mergeCell ref="L105:M105"/>
    <mergeCell ref="B110:B111"/>
    <mergeCell ref="A119:H119"/>
    <mergeCell ref="A123:B123"/>
    <mergeCell ref="A120:B120"/>
    <mergeCell ref="A84:E84"/>
    <mergeCell ref="F84:H84"/>
    <mergeCell ref="A85:E85"/>
    <mergeCell ref="A87:E87"/>
    <mergeCell ref="A86:E86"/>
    <mergeCell ref="C95:D95"/>
    <mergeCell ref="E95:F95"/>
    <mergeCell ref="G95:H95"/>
    <mergeCell ref="A96:B96"/>
    <mergeCell ref="C96:D96"/>
    <mergeCell ref="E96:F96"/>
    <mergeCell ref="G96:H96"/>
    <mergeCell ref="C98:D98"/>
    <mergeCell ref="G98:H98"/>
    <mergeCell ref="C102:C103"/>
    <mergeCell ref="E93:F93"/>
    <mergeCell ref="A93:B93"/>
    <mergeCell ref="C46:H46"/>
    <mergeCell ref="B130:H130"/>
    <mergeCell ref="F80:H80"/>
    <mergeCell ref="A80:E80"/>
    <mergeCell ref="D102:D103"/>
    <mergeCell ref="A82:E82"/>
    <mergeCell ref="A105:B105"/>
    <mergeCell ref="A106:B106"/>
    <mergeCell ref="A107:B107"/>
    <mergeCell ref="A108:B108"/>
    <mergeCell ref="A83:E83"/>
    <mergeCell ref="F82:H82"/>
    <mergeCell ref="F88:H88"/>
    <mergeCell ref="A95:B95"/>
    <mergeCell ref="A89:E89"/>
    <mergeCell ref="F78:H78"/>
    <mergeCell ref="F83:H83"/>
    <mergeCell ref="F86:H86"/>
    <mergeCell ref="C93:D93"/>
    <mergeCell ref="F89:H89"/>
    <mergeCell ref="F87:H87"/>
    <mergeCell ref="G93:H93"/>
    <mergeCell ref="A88:E88"/>
    <mergeCell ref="C94:D94"/>
  </mergeCells>
  <hyperlinks>
    <hyperlink ref="C37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123" max="16383" man="1"/>
    <brk id="147" max="16383" man="1"/>
    <brk id="18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8" sqref="K8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2" t="s">
        <v>113</v>
      </c>
      <c r="C3" s="172"/>
      <c r="D3" s="172"/>
      <c r="E3" s="172"/>
      <c r="F3" s="172"/>
      <c r="G3" s="172"/>
      <c r="H3" s="172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2025-07-09T13:47:45Z</cp:lastPrinted>
  <dcterms:created xsi:type="dcterms:W3CDTF">2019-07-16T09:29:46Z</dcterms:created>
  <dcterms:modified xsi:type="dcterms:W3CDTF">2025-07-09T13:47:50Z</dcterms:modified>
</cp:coreProperties>
</file>