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F16B5AF3-2021-4BAD-9F2B-9753E1BECE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(2)" sheetId="1" r:id="rId1"/>
    <sheet name="Note" sheetId="5" r:id="rId2"/>
    <sheet name="Valuation" sheetId="6" r:id="rId3"/>
    <sheet name="C%" sheetId="2" r:id="rId4"/>
    <sheet name="C% (2)" sheetId="4" r:id="rId5"/>
    <sheet name="Flat detail" sheetId="3" r:id="rId6"/>
  </sheets>
  <definedNames>
    <definedName name="_xlnm.Print_Area" localSheetId="0">'Report (2)'!$A$1:$J$428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1" i="1" l="1"/>
  <c r="M132" i="1"/>
  <c r="M131" i="1"/>
  <c r="M130" i="1"/>
  <c r="M129" i="1"/>
  <c r="C107" i="1"/>
  <c r="C93" i="1"/>
  <c r="C79" i="1"/>
  <c r="C64" i="1"/>
  <c r="M104" i="1"/>
  <c r="M103" i="1"/>
  <c r="M102" i="1"/>
  <c r="M101" i="1"/>
  <c r="I122" i="1"/>
  <c r="D134" i="1" l="1"/>
  <c r="M127" i="1"/>
  <c r="M128" i="1" s="1"/>
  <c r="M133" i="1" s="1"/>
  <c r="M134" i="1" s="1"/>
  <c r="C126" i="1" s="1"/>
  <c r="D133" i="1"/>
  <c r="D127" i="1"/>
  <c r="D125" i="1"/>
  <c r="M124" i="1"/>
  <c r="M126" i="1"/>
  <c r="D132" i="1"/>
  <c r="D131" i="1"/>
  <c r="M125" i="1"/>
  <c r="D130" i="1"/>
  <c r="D129" i="1"/>
  <c r="D128" i="1"/>
  <c r="H125" i="1" l="1"/>
  <c r="D126" i="1"/>
  <c r="K121" i="1"/>
  <c r="C123" i="1" s="1"/>
  <c r="F125" i="1" s="1"/>
  <c r="F3" i="1"/>
  <c r="C67" i="1" l="1"/>
  <c r="F7" i="1" l="1"/>
  <c r="M118" i="1" l="1"/>
  <c r="M117" i="1"/>
  <c r="M116" i="1"/>
  <c r="M115" i="1"/>
  <c r="M90" i="1"/>
  <c r="M89" i="1"/>
  <c r="M88" i="1"/>
  <c r="M87" i="1"/>
  <c r="M76" i="1"/>
  <c r="M75" i="1"/>
  <c r="M74" i="1"/>
  <c r="M73" i="1"/>
  <c r="I80" i="1"/>
  <c r="I65" i="1"/>
  <c r="I108" i="1"/>
  <c r="D113" i="1" l="1"/>
  <c r="M111" i="1"/>
  <c r="M110" i="1"/>
  <c r="D120" i="1"/>
  <c r="D118" i="1"/>
  <c r="D116" i="1"/>
  <c r="D114" i="1"/>
  <c r="M112" i="1"/>
  <c r="M113" i="1"/>
  <c r="D119" i="1"/>
  <c r="D117" i="1"/>
  <c r="D115" i="1"/>
  <c r="D85" i="1"/>
  <c r="M83" i="1"/>
  <c r="M84" i="1"/>
  <c r="C83" i="1" s="1"/>
  <c r="D83" i="1" s="1"/>
  <c r="M82" i="1"/>
  <c r="D92" i="1"/>
  <c r="D90" i="1"/>
  <c r="D88" i="1"/>
  <c r="D86" i="1"/>
  <c r="M85" i="1"/>
  <c r="M86" i="1" s="1"/>
  <c r="M91" i="1" s="1"/>
  <c r="M92" i="1" s="1"/>
  <c r="C84" i="1" s="1"/>
  <c r="D84" i="1" s="1"/>
  <c r="D91" i="1"/>
  <c r="D89" i="1"/>
  <c r="D87" i="1"/>
  <c r="C71" i="1"/>
  <c r="M69" i="1"/>
  <c r="D77" i="1"/>
  <c r="D73" i="1"/>
  <c r="D78" i="1"/>
  <c r="D76" i="1"/>
  <c r="D74" i="1"/>
  <c r="D72" i="1"/>
  <c r="M70" i="1"/>
  <c r="C69" i="1" s="1"/>
  <c r="M68" i="1"/>
  <c r="M71" i="1"/>
  <c r="M72" i="1" s="1"/>
  <c r="M77" i="1" s="1"/>
  <c r="M78" i="1" s="1"/>
  <c r="C70" i="1" s="1"/>
  <c r="D70" i="1" s="1"/>
  <c r="D75" i="1"/>
  <c r="F9" i="6"/>
  <c r="G9" i="6" s="1"/>
  <c r="F8" i="6"/>
  <c r="G8" i="6" s="1"/>
  <c r="F6" i="6"/>
  <c r="G6" i="6" s="1"/>
  <c r="F7" i="6"/>
  <c r="G7" i="6" s="1"/>
  <c r="F5" i="6"/>
  <c r="G5" i="6" s="1"/>
  <c r="D71" i="1" l="1"/>
  <c r="M114" i="1"/>
  <c r="M119" i="1" s="1"/>
  <c r="D111" i="1"/>
  <c r="K79" i="1"/>
  <c r="C81" i="1" s="1"/>
  <c r="F83" i="1" s="1"/>
  <c r="H83" i="1"/>
  <c r="H69" i="1"/>
  <c r="D69" i="1"/>
  <c r="K64" i="1" s="1"/>
  <c r="F69" i="1" s="1"/>
  <c r="G10" i="6"/>
  <c r="I94" i="1"/>
  <c r="M96" i="1" l="1"/>
  <c r="D99" i="1"/>
  <c r="D103" i="1"/>
  <c r="D102" i="1"/>
  <c r="D101" i="1"/>
  <c r="D106" i="1"/>
  <c r="D100" i="1"/>
  <c r="M99" i="1"/>
  <c r="M100" i="1" s="1"/>
  <c r="M105" i="1" s="1"/>
  <c r="M106" i="1" s="1"/>
  <c r="C98" i="1" s="1"/>
  <c r="D98" i="1" s="1"/>
  <c r="D105" i="1"/>
  <c r="M98" i="1"/>
  <c r="C97" i="1" s="1"/>
  <c r="D97" i="1" s="1"/>
  <c r="D104" i="1"/>
  <c r="M97" i="1"/>
  <c r="M120" i="1"/>
  <c r="C112" i="1" s="1"/>
  <c r="H111" i="1" s="1"/>
  <c r="G15" i="4"/>
  <c r="G16" i="4" s="1"/>
  <c r="C15" i="4" s="1"/>
  <c r="B12" i="4"/>
  <c r="D12" i="4" s="1"/>
  <c r="B7" i="4"/>
  <c r="H15" i="4" s="1"/>
  <c r="B16" i="4" s="1"/>
  <c r="D6" i="4"/>
  <c r="C5" i="4"/>
  <c r="B10" i="4" s="1"/>
  <c r="B8" i="4" l="1"/>
  <c r="D8" i="4" s="1"/>
  <c r="B9" i="4"/>
  <c r="B11" i="4"/>
  <c r="L16" i="4" s="1"/>
  <c r="C20" i="4" s="1"/>
  <c r="I16" i="4"/>
  <c r="C17" i="4" s="1"/>
  <c r="I15" i="4"/>
  <c r="B17" i="4" s="1"/>
  <c r="J15" i="4"/>
  <c r="B18" i="4" s="1"/>
  <c r="L15" i="4"/>
  <c r="B20" i="4" s="1"/>
  <c r="H97" i="1"/>
  <c r="K93" i="1"/>
  <c r="C95" i="1" s="1"/>
  <c r="F97" i="1" s="1"/>
  <c r="D112" i="1"/>
  <c r="K107" i="1"/>
  <c r="C109" i="1" s="1"/>
  <c r="F111" i="1" s="1"/>
  <c r="B15" i="4"/>
  <c r="D10" i="4"/>
  <c r="K16" i="4"/>
  <c r="C19" i="4" s="1"/>
  <c r="K15" i="4"/>
  <c r="B19" i="4" s="1"/>
  <c r="H16" i="4"/>
  <c r="C16" i="4" s="1"/>
  <c r="D11" i="4"/>
  <c r="M15" i="4"/>
  <c r="B21" i="4" s="1"/>
  <c r="M16" i="4"/>
  <c r="C21" i="4" s="1"/>
  <c r="D7" i="4"/>
  <c r="D9" i="4" l="1"/>
  <c r="J16" i="4"/>
  <c r="C18" i="4" s="1"/>
  <c r="C22" i="4" s="1"/>
  <c r="B22" i="4"/>
  <c r="C14" i="1"/>
  <c r="D332" i="1" l="1"/>
  <c r="D331" i="1"/>
  <c r="D330" i="1"/>
  <c r="D329" i="1"/>
  <c r="D328" i="1"/>
  <c r="D327" i="1"/>
  <c r="F332" i="1"/>
  <c r="F331" i="1"/>
  <c r="F330" i="1"/>
  <c r="F329" i="1"/>
  <c r="F328" i="1"/>
  <c r="I327" i="1"/>
  <c r="F327" i="1"/>
  <c r="F301" i="1"/>
  <c r="D303" i="1"/>
  <c r="D302" i="1"/>
  <c r="D301" i="1"/>
  <c r="D300" i="1"/>
  <c r="D299" i="1"/>
  <c r="D298" i="1"/>
  <c r="F303" i="1"/>
  <c r="F302" i="1"/>
  <c r="F300" i="1"/>
  <c r="F299" i="1"/>
  <c r="I298" i="1"/>
  <c r="F298" i="1"/>
  <c r="F275" i="1"/>
  <c r="D275" i="1"/>
  <c r="F274" i="1"/>
  <c r="D274" i="1"/>
  <c r="F273" i="1"/>
  <c r="D273" i="1"/>
  <c r="F272" i="1"/>
  <c r="D272" i="1"/>
  <c r="F271" i="1"/>
  <c r="D271" i="1"/>
  <c r="I270" i="1"/>
  <c r="F270" i="1"/>
  <c r="D270" i="1"/>
  <c r="F242" i="1"/>
  <c r="D244" i="1"/>
  <c r="D243" i="1"/>
  <c r="D242" i="1"/>
  <c r="D241" i="1"/>
  <c r="F244" i="1"/>
  <c r="F243" i="1"/>
  <c r="I241" i="1"/>
  <c r="F241" i="1"/>
  <c r="D221" i="1"/>
  <c r="D220" i="1"/>
  <c r="D219" i="1"/>
  <c r="D218" i="1"/>
  <c r="F221" i="1"/>
  <c r="F220" i="1"/>
  <c r="F219" i="1"/>
  <c r="I218" i="1"/>
  <c r="F218" i="1"/>
  <c r="D197" i="1"/>
  <c r="D196" i="1"/>
  <c r="D195" i="1"/>
  <c r="D194" i="1"/>
  <c r="D193" i="1"/>
  <c r="D192" i="1"/>
  <c r="F197" i="1"/>
  <c r="F196" i="1"/>
  <c r="F195" i="1"/>
  <c r="F194" i="1"/>
  <c r="F193" i="1"/>
  <c r="I192" i="1"/>
  <c r="F192" i="1"/>
  <c r="D322" i="1"/>
  <c r="F325" i="1"/>
  <c r="D325" i="1"/>
  <c r="F324" i="1"/>
  <c r="D324" i="1"/>
  <c r="F323" i="1"/>
  <c r="D323" i="1"/>
  <c r="F322" i="1"/>
  <c r="F321" i="1"/>
  <c r="D321" i="1"/>
  <c r="I320" i="1"/>
  <c r="F320" i="1"/>
  <c r="D320" i="1"/>
  <c r="F296" i="1"/>
  <c r="D296" i="1"/>
  <c r="F295" i="1"/>
  <c r="D295" i="1"/>
  <c r="F294" i="1"/>
  <c r="D294" i="1"/>
  <c r="F293" i="1"/>
  <c r="D293" i="1"/>
  <c r="F292" i="1"/>
  <c r="D292" i="1"/>
  <c r="I291" i="1"/>
  <c r="F291" i="1"/>
  <c r="D291" i="1"/>
  <c r="D268" i="1"/>
  <c r="D267" i="1"/>
  <c r="F266" i="1"/>
  <c r="D266" i="1"/>
  <c r="F265" i="1"/>
  <c r="D265" i="1"/>
  <c r="F264" i="1"/>
  <c r="F268" i="1"/>
  <c r="F267" i="1"/>
  <c r="D264" i="1"/>
  <c r="I263" i="1"/>
  <c r="F263" i="1"/>
  <c r="D263" i="1"/>
  <c r="F238" i="1"/>
  <c r="F237" i="1"/>
  <c r="D237" i="1"/>
  <c r="F239" i="1"/>
  <c r="D239" i="1"/>
  <c r="D238" i="1"/>
  <c r="I236" i="1"/>
  <c r="F236" i="1"/>
  <c r="D236" i="1"/>
  <c r="F215" i="1"/>
  <c r="F216" i="1"/>
  <c r="F214" i="1"/>
  <c r="D215" i="1"/>
  <c r="D216" i="1"/>
  <c r="D214" i="1"/>
  <c r="I213" i="1"/>
  <c r="F213" i="1"/>
  <c r="D213" i="1"/>
  <c r="F189" i="1"/>
  <c r="F190" i="1"/>
  <c r="F188" i="1"/>
  <c r="F187" i="1"/>
  <c r="D188" i="1"/>
  <c r="D187" i="1"/>
  <c r="D186" i="1"/>
  <c r="D185" i="1"/>
  <c r="D190" i="1"/>
  <c r="D189" i="1"/>
  <c r="F186" i="1"/>
  <c r="I185" i="1"/>
  <c r="F185" i="1"/>
  <c r="G244" i="1" l="1"/>
  <c r="G267" i="1"/>
  <c r="G298" i="1"/>
  <c r="G332" i="1"/>
  <c r="G270" i="1"/>
  <c r="G303" i="1"/>
  <c r="G242" i="1"/>
  <c r="G273" i="1"/>
  <c r="G323" i="1"/>
  <c r="G271" i="1"/>
  <c r="G193" i="1"/>
  <c r="G299" i="1"/>
  <c r="G237" i="1"/>
  <c r="G218" i="1"/>
  <c r="G275" i="1"/>
  <c r="G328" i="1"/>
  <c r="G330" i="1"/>
  <c r="G190" i="1"/>
  <c r="G268" i="1"/>
  <c r="G221" i="1"/>
  <c r="G302" i="1"/>
  <c r="G293" i="1"/>
  <c r="G295" i="1"/>
  <c r="G320" i="1"/>
  <c r="G324" i="1"/>
  <c r="G322" i="1"/>
  <c r="G192" i="1"/>
  <c r="G272" i="1"/>
  <c r="G274" i="1"/>
  <c r="G300" i="1"/>
  <c r="G301" i="1"/>
  <c r="G329" i="1"/>
  <c r="G327" i="1"/>
  <c r="G331" i="1"/>
  <c r="G292" i="1"/>
  <c r="G296" i="1"/>
  <c r="G187" i="1"/>
  <c r="G265" i="1"/>
  <c r="H265" i="1" s="1"/>
  <c r="G195" i="1"/>
  <c r="G220" i="1"/>
  <c r="G186" i="1"/>
  <c r="G215" i="1"/>
  <c r="G266" i="1"/>
  <c r="G291" i="1"/>
  <c r="G185" i="1"/>
  <c r="G216" i="1"/>
  <c r="G294" i="1"/>
  <c r="G325" i="1"/>
  <c r="G188" i="1"/>
  <c r="G194" i="1"/>
  <c r="G321" i="1"/>
  <c r="G219" i="1"/>
  <c r="G236" i="1"/>
  <c r="G196" i="1"/>
  <c r="G213" i="1"/>
  <c r="G197" i="1"/>
  <c r="G241" i="1"/>
  <c r="G239" i="1"/>
  <c r="G238" i="1"/>
  <c r="G263" i="1"/>
  <c r="G243" i="1"/>
  <c r="G264" i="1"/>
  <c r="G214" i="1"/>
  <c r="G189" i="1"/>
  <c r="F211" i="1"/>
  <c r="D211" i="1"/>
  <c r="F210" i="1"/>
  <c r="D210" i="1"/>
  <c r="F209" i="1"/>
  <c r="D209" i="1"/>
  <c r="I208" i="1"/>
  <c r="F208" i="1"/>
  <c r="D208" i="1"/>
  <c r="F317" i="1"/>
  <c r="F318" i="1"/>
  <c r="F316" i="1"/>
  <c r="F315" i="1"/>
  <c r="D318" i="1"/>
  <c r="D317" i="1"/>
  <c r="D316" i="1"/>
  <c r="D315" i="1"/>
  <c r="F314" i="1"/>
  <c r="D314" i="1"/>
  <c r="F313" i="1"/>
  <c r="D313" i="1"/>
  <c r="I313" i="1"/>
  <c r="F287" i="1"/>
  <c r="F286" i="1"/>
  <c r="D289" i="1"/>
  <c r="D288" i="1"/>
  <c r="D258" i="1"/>
  <c r="D287" i="1"/>
  <c r="D286" i="1"/>
  <c r="F285" i="1"/>
  <c r="D285" i="1"/>
  <c r="F284" i="1"/>
  <c r="D284" i="1"/>
  <c r="F289" i="1"/>
  <c r="F288" i="1"/>
  <c r="I284" i="1"/>
  <c r="I256" i="1"/>
  <c r="F261" i="1"/>
  <c r="F260" i="1"/>
  <c r="F259" i="1"/>
  <c r="F257" i="1"/>
  <c r="F256" i="1"/>
  <c r="D261" i="1"/>
  <c r="D260" i="1"/>
  <c r="D259" i="1"/>
  <c r="F258" i="1"/>
  <c r="D257" i="1"/>
  <c r="D256" i="1"/>
  <c r="D233" i="1"/>
  <c r="F233" i="1"/>
  <c r="F232" i="1"/>
  <c r="D232" i="1"/>
  <c r="F234" i="1"/>
  <c r="D234" i="1"/>
  <c r="I231" i="1"/>
  <c r="F231" i="1"/>
  <c r="D231" i="1"/>
  <c r="I178" i="1"/>
  <c r="F183" i="1"/>
  <c r="F182" i="1"/>
  <c r="F181" i="1"/>
  <c r="F180" i="1"/>
  <c r="F179" i="1"/>
  <c r="F178" i="1"/>
  <c r="D183" i="1"/>
  <c r="D182" i="1"/>
  <c r="D181" i="1"/>
  <c r="D180" i="1"/>
  <c r="D179" i="1"/>
  <c r="D178" i="1"/>
  <c r="D311" i="1"/>
  <c r="G311" i="1" s="1"/>
  <c r="D310" i="1"/>
  <c r="G310" i="1" s="1"/>
  <c r="D309" i="1"/>
  <c r="G309" i="1" s="1"/>
  <c r="D308" i="1"/>
  <c r="G308" i="1" s="1"/>
  <c r="D306" i="1"/>
  <c r="D307" i="1"/>
  <c r="G307" i="1" s="1"/>
  <c r="D282" i="1"/>
  <c r="G282" i="1" s="1"/>
  <c r="D281" i="1"/>
  <c r="G281" i="1" s="1"/>
  <c r="D280" i="1"/>
  <c r="G280" i="1" s="1"/>
  <c r="D279" i="1"/>
  <c r="G279" i="1" s="1"/>
  <c r="D278" i="1"/>
  <c r="I278" i="1"/>
  <c r="I306" i="1" s="1"/>
  <c r="D254" i="1"/>
  <c r="G254" i="1" s="1"/>
  <c r="D253" i="1"/>
  <c r="D252" i="1"/>
  <c r="G252" i="1" s="1"/>
  <c r="D251" i="1"/>
  <c r="G251" i="1" s="1"/>
  <c r="D250" i="1"/>
  <c r="G250" i="1" s="1"/>
  <c r="D249" i="1"/>
  <c r="G249" i="1" s="1"/>
  <c r="D248" i="1"/>
  <c r="G248" i="1" s="1"/>
  <c r="D247" i="1"/>
  <c r="D228" i="1"/>
  <c r="G228" i="1" s="1"/>
  <c r="D227" i="1"/>
  <c r="G227" i="1" s="1"/>
  <c r="D226" i="1"/>
  <c r="G226" i="1" s="1"/>
  <c r="D225" i="1"/>
  <c r="G225" i="1" s="1"/>
  <c r="D224" i="1"/>
  <c r="D229" i="1"/>
  <c r="D206" i="1"/>
  <c r="G206" i="1" s="1"/>
  <c r="D205" i="1"/>
  <c r="D204" i="1"/>
  <c r="G204" i="1" s="1"/>
  <c r="D203" i="1"/>
  <c r="G203" i="1" s="1"/>
  <c r="D202" i="1"/>
  <c r="G202" i="1" s="1"/>
  <c r="D201" i="1"/>
  <c r="G201" i="1" s="1"/>
  <c r="D200" i="1"/>
  <c r="D176" i="1"/>
  <c r="G176" i="1" s="1"/>
  <c r="D175" i="1"/>
  <c r="D174" i="1"/>
  <c r="G174" i="1" s="1"/>
  <c r="D173" i="1"/>
  <c r="G173" i="1" s="1"/>
  <c r="D172" i="1"/>
  <c r="G172" i="1" s="1"/>
  <c r="D171" i="1"/>
  <c r="G171" i="1" s="1"/>
  <c r="D170" i="1"/>
  <c r="G170" i="1" s="1"/>
  <c r="D169" i="1"/>
  <c r="H48" i="1"/>
  <c r="F41" i="1"/>
  <c r="G285" i="1" l="1"/>
  <c r="G261" i="1"/>
  <c r="G314" i="1"/>
  <c r="G315" i="1"/>
  <c r="G316" i="1"/>
  <c r="G317" i="1"/>
  <c r="G180" i="1"/>
  <c r="G232" i="1"/>
  <c r="G260" i="1"/>
  <c r="G287" i="1"/>
  <c r="G210" i="1"/>
  <c r="G181" i="1"/>
  <c r="G229" i="1"/>
  <c r="C157" i="1"/>
  <c r="D157" i="1"/>
  <c r="G157" i="1"/>
  <c r="G253" i="1"/>
  <c r="C158" i="1"/>
  <c r="D158" i="1"/>
  <c r="G158" i="1"/>
  <c r="G175" i="1"/>
  <c r="G155" i="1"/>
  <c r="D155" i="1"/>
  <c r="C155" i="1"/>
  <c r="G205" i="1"/>
  <c r="G156" i="1"/>
  <c r="C156" i="1"/>
  <c r="D156" i="1"/>
  <c r="G224" i="1"/>
  <c r="G150" i="1" s="1"/>
  <c r="C150" i="1"/>
  <c r="D150" i="1"/>
  <c r="G160" i="1"/>
  <c r="C160" i="1"/>
  <c r="D160" i="1"/>
  <c r="G306" i="1"/>
  <c r="G247" i="1"/>
  <c r="G151" i="1" s="1"/>
  <c r="C151" i="1"/>
  <c r="D151" i="1"/>
  <c r="G178" i="1"/>
  <c r="G288" i="1"/>
  <c r="G318" i="1"/>
  <c r="G169" i="1"/>
  <c r="G148" i="1" s="1"/>
  <c r="C148" i="1"/>
  <c r="D148" i="1"/>
  <c r="G200" i="1"/>
  <c r="G149" i="1" s="1"/>
  <c r="C149" i="1"/>
  <c r="D149" i="1"/>
  <c r="G278" i="1"/>
  <c r="G159" i="1"/>
  <c r="D159" i="1"/>
  <c r="C159" i="1"/>
  <c r="G179" i="1"/>
  <c r="G259" i="1"/>
  <c r="G284" i="1"/>
  <c r="G286" i="1"/>
  <c r="G289" i="1"/>
  <c r="G313" i="1"/>
  <c r="G258" i="1"/>
  <c r="G257" i="1"/>
  <c r="G256" i="1"/>
  <c r="G211" i="1"/>
  <c r="G182" i="1"/>
  <c r="G183" i="1"/>
  <c r="G233" i="1"/>
  <c r="G209" i="1"/>
  <c r="G208" i="1"/>
  <c r="G231" i="1"/>
  <c r="G234" i="1"/>
  <c r="B7" i="2"/>
  <c r="C161" i="1" l="1"/>
  <c r="C152" i="1"/>
  <c r="D161" i="1"/>
  <c r="G161" i="1"/>
  <c r="G15" i="2"/>
  <c r="G16" i="2" s="1"/>
  <c r="C15" i="2" s="1"/>
  <c r="B15" i="2"/>
  <c r="H15" i="2"/>
  <c r="B16" i="2" s="1"/>
  <c r="D6" i="2"/>
  <c r="C5" i="2"/>
  <c r="B12" i="2" s="1"/>
  <c r="D347" i="1"/>
  <c r="G152" i="1"/>
  <c r="D152" i="1"/>
  <c r="G145" i="1"/>
  <c r="D50" i="1"/>
  <c r="H47" i="1"/>
  <c r="C47" i="1"/>
  <c r="F42" i="1"/>
  <c r="D52" i="1" s="1"/>
  <c r="C162" i="1" l="1"/>
  <c r="G162" i="1"/>
  <c r="D162" i="1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<sst xmlns="http://schemas.openxmlformats.org/spreadsheetml/2006/main" count="882" uniqueCount="295">
  <si>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</si>
  <si>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</si>
  <si>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</si>
  <si>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</si>
  <si>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</si>
  <si>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</si>
  <si>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</si>
  <si>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</si>
  <si>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</si>
  <si>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</si>
  <si>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</si>
  <si>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</si>
  <si>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</si>
  <si>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</si>
  <si>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</si>
  <si>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</si>
  <si>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</si>
  <si>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</si>
  <si>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</si>
  <si>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</si>
  <si>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</si>
  <si>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</si>
  <si>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</si>
  <si>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</si>
  <si>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</si>
  <si>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</si>
  <si>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</si>
  <si>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</si>
  <si>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</si>
  <si>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</si>
  <si>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</si>
  <si>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</si>
  <si>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</si>
  <si>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</si>
  <si>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</si>
  <si>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</si>
  <si>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</si>
  <si>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</si>
  <si>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</si>
  <si>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</si>
  <si>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</si>
  <si>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</si>
  <si>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</si>
  <si>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</si>
  <si>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</si>
  <si>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</si>
  <si>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</si>
  <si>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</si>
  <si>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</si>
  <si>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</si>
  <si>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</si>
  <si>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</si>
  <si>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</si>
  <si>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</si>
  <si>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</si>
  <si>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</si>
  <si>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</si>
  <si>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</si>
  <si>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</si>
  <si>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</si>
  <si>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</si>
  <si>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</si>
  <si>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</si>
  <si>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</si>
  <si>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</si>
  <si>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Quality of construction: Good</t>
  </si>
  <si>
    <t>Projected life of the structure: 60 Years After Completion</t>
  </si>
  <si>
    <t xml:space="preserve">Construction details:                                                                  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</si>
  <si>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</si>
  <si>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</si>
  <si>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</si>
  <si>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</si>
  <si>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</si>
  <si>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</si>
  <si>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</si>
  <si>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</si>
  <si>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</si>
  <si>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Development charges Per Sq. Ft.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</si>
  <si>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</si>
  <si>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</si>
  <si>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</si>
  <si>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</si>
  <si>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</si>
  <si>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</si>
  <si>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</si>
  <si>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</si>
  <si>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</si>
  <si>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</si>
  <si>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</si>
  <si>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</si>
  <si>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</si>
  <si>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</si>
  <si>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</si>
  <si>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</si>
  <si>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</si>
  <si>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</si>
  <si>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</si>
  <si>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</si>
  <si>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</si>
  <si>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</si>
  <si>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</si>
  <si>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</si>
  <si>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</si>
  <si>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</si>
  <si>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</si>
  <si>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</si>
  <si>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</si>
  <si>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</si>
  <si>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</si>
  <si>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</si>
  <si>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</si>
  <si>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</si>
  <si>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</si>
  <si>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</si>
  <si>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</si>
  <si>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</si>
  <si>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</si>
  <si>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</si>
  <si>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</si>
  <si>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</si>
  <si>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</si>
  <si>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</si>
  <si>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</si>
  <si>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</si>
  <si>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</si>
  <si>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</si>
  <si>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</si>
  <si>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</si>
  <si>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</si>
  <si>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</si>
  <si>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</si>
  <si>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</si>
  <si>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</si>
  <si>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</si>
  <si>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</si>
  <si>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</si>
  <si>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</si>
  <si>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</si>
  <si>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</si>
  <si>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</si>
  <si>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</si>
  <si>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</si>
  <si>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</si>
  <si>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</si>
  <si>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</si>
  <si>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</si>
  <si>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</si>
  <si>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</si>
  <si>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</si>
  <si>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</si>
  <si>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</si>
  <si>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</si>
  <si>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</si>
  <si>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</si>
  <si>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Recommended rate of the Shop Per Sq. Ft. ( on Saleable area)</t>
  </si>
  <si>
    <t>Commercial Area Details :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</si>
  <si>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</si>
  <si>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</si>
  <si>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</si>
  <si>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</si>
  <si>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</si>
  <si>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</si>
  <si>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</si>
  <si>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</si>
  <si>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</si>
  <si>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</si>
  <si>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</si>
  <si>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</si>
  <si>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</si>
  <si>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</si>
  <si>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</si>
  <si>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</si>
  <si>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</si>
  <si>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</si>
  <si>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</si>
  <si>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</si>
  <si>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</si>
  <si>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</si>
  <si>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</si>
  <si>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Authorized Signatory
Name &amp; Seal of the agency</t>
  </si>
  <si>
    <t>Axis Goregaon</t>
  </si>
  <si>
    <t>8484095061/9220824777/8484085061</t>
  </si>
  <si>
    <t>Building No.1 (A, B, C, D, E &amp; F wings)</t>
  </si>
  <si>
    <t>Shree SR Homes</t>
  </si>
  <si>
    <t>P99000020759</t>
  </si>
  <si>
    <t>Gut No</t>
  </si>
  <si>
    <t>191/1</t>
  </si>
  <si>
    <t>Makane</t>
  </si>
  <si>
    <t>Saphale</t>
  </si>
  <si>
    <t>MAHSUL/KS.1/MJ 1/NAP/SR/54/18</t>
  </si>
  <si>
    <t>07/06/2019.</t>
  </si>
  <si>
    <t>Legal Charges</t>
  </si>
  <si>
    <t>10000/-</t>
  </si>
  <si>
    <t>Building No.1</t>
  </si>
  <si>
    <t>A Wing</t>
  </si>
  <si>
    <t>Ground Floor is For Parking, Commercial &amp; Residential</t>
  </si>
  <si>
    <r>
      <t xml:space="preserve">Flat No.
</t>
    </r>
    <r>
      <rPr>
        <b/>
        <sz val="9"/>
        <rFont val="Times New Roman"/>
        <family val="1"/>
      </rPr>
      <t>(As per Sale Plan)</t>
    </r>
  </si>
  <si>
    <r>
      <t xml:space="preserve">Flat No.
</t>
    </r>
    <r>
      <rPr>
        <b/>
        <sz val="9"/>
        <rFont val="Times New Roman"/>
        <family val="1"/>
      </rPr>
      <t>(As per Approved Plan)</t>
    </r>
  </si>
  <si>
    <t>Shop</t>
  </si>
  <si>
    <t>1BHK</t>
  </si>
  <si>
    <t>1RK</t>
  </si>
  <si>
    <t>B Wing</t>
  </si>
  <si>
    <t>Ground Floor</t>
  </si>
  <si>
    <t>C Wing</t>
  </si>
  <si>
    <t>D Wing</t>
  </si>
  <si>
    <t>Ground Floor is For Parking, &amp; Residential</t>
  </si>
  <si>
    <t>2BHK</t>
  </si>
  <si>
    <t>E Wing</t>
  </si>
  <si>
    <t>F Wing</t>
  </si>
  <si>
    <t>1st Floor</t>
  </si>
  <si>
    <t>3rd Floor</t>
  </si>
  <si>
    <t>2nd &amp; 4th Floor</t>
  </si>
  <si>
    <t>No. of Shops</t>
  </si>
  <si>
    <t>No. of Flats</t>
  </si>
  <si>
    <t>Flats = 146  &amp; shop = 22</t>
  </si>
  <si>
    <t xml:space="preserve">Material laying at Site: Bricks, Cement &amp; Steel etc. </t>
  </si>
  <si>
    <t>Station Road</t>
  </si>
  <si>
    <t>Open Land</t>
  </si>
  <si>
    <t>Vadapav Naka</t>
  </si>
  <si>
    <t>Residential + Commercial</t>
  </si>
  <si>
    <t xml:space="preserve">Wheather the construction is as per approved Building plan : Under Construction </t>
  </si>
  <si>
    <t>7000/-</t>
  </si>
  <si>
    <t>Society &amp; Maintenance charges</t>
  </si>
  <si>
    <t>150000/-</t>
  </si>
  <si>
    <t>M/s. SR Infra</t>
  </si>
  <si>
    <t>12/09/2020.</t>
  </si>
  <si>
    <t>We considered Flat rate &amp; Shop rate as per Builder cost sheet.</t>
  </si>
  <si>
    <t>Pratiksha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</si>
  <si>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</si>
  <si>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</si>
  <si>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</si>
  <si>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</si>
  <si>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</si>
  <si>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</si>
  <si>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</si>
  <si>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Housing</t>
  </si>
  <si>
    <t>Proptiger</t>
  </si>
  <si>
    <t>Average</t>
  </si>
  <si>
    <t xml:space="preserve">Valuation Adopted </t>
  </si>
  <si>
    <t>Construction details:</t>
  </si>
  <si>
    <t>Floors</t>
  </si>
  <si>
    <t>All work Completed. Provide OC.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</si>
  <si>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</si>
  <si>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</si>
  <si>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</si>
  <si>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</si>
  <si>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</si>
  <si>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</si>
  <si>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</si>
  <si>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</si>
  <si>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</si>
  <si>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</si>
  <si>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</si>
  <si>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</si>
  <si>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</si>
  <si>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</si>
  <si>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</si>
  <si>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</si>
  <si>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</si>
  <si>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</si>
  <si>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</si>
  <si>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</si>
  <si>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</si>
  <si>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</si>
  <si>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A &amp; B Wing = G + 1st to 4th Floor</t>
  </si>
  <si>
    <t>C &amp; D Wing = G + 1st to 4th Floor</t>
  </si>
  <si>
    <t>E &amp; F Wing = G + 1st to 4th Floor</t>
  </si>
  <si>
    <t>MAHSUL/KS.1/T.1/NAP/SR-54/2018
Valid Up to: G + 1st to 4th Floor</t>
  </si>
  <si>
    <t>3500 to 3900</t>
  </si>
  <si>
    <t>Rakesh</t>
  </si>
  <si>
    <t>igr</t>
  </si>
  <si>
    <t>Development charges</t>
  </si>
  <si>
    <t>2.1Km from Saphale Railway Station</t>
  </si>
  <si>
    <t>6 Wings</t>
  </si>
  <si>
    <t>Proposed no of Floors</t>
  </si>
  <si>
    <t>Wing A</t>
  </si>
  <si>
    <t>Wing B</t>
  </si>
  <si>
    <t>Wing C</t>
  </si>
  <si>
    <t>Wing D</t>
  </si>
  <si>
    <t>Wing E</t>
  </si>
  <si>
    <t>Wing F</t>
  </si>
  <si>
    <t>Location Link</t>
  </si>
  <si>
    <t>https://goo.gl/maps/MAuT13xhLRdJFNuGA</t>
  </si>
  <si>
    <t>Grand Total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</si>
  <si>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</si>
  <si>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19.568810,72.804684</t>
  </si>
  <si>
    <t>C Wing = G + 1st to 4th Floor</t>
  </si>
  <si>
    <t>D Wing = G + 1st to 4th Floor</t>
  </si>
  <si>
    <t>E Wing = G + 1st to 4th Floor</t>
  </si>
  <si>
    <t>F Wing = G + 1st to 4th Floor</t>
  </si>
  <si>
    <t>Site Person - Contact Details (Name &amp; Contact No.)</t>
  </si>
  <si>
    <t>RERA add Wing G</t>
  </si>
  <si>
    <t>1. A &amp; B Wing = All work completed. Please provide OC. Some tenants have occupied flats in the building.
    C Wing = Construction work is the same as last visit (dtd. 13/01/2025) but in process at the time of visit (Slow Speed).
    D Wing = Construction work has been stopped. work is same as last visit (dtd.11/07/2024)
    E Wing = Construction work has been stopped. work is same as last visit (dtd.03/01/2024).
    F Wing = Construction work has been stopped. work is same as last visit (dtd.10/10/2023).
2. We considered Saleable area as per our calculation
3. We considered Carpet area as per Approved Plan.
4. We considered Gross carpet area = Net carpet + Enclose balcony + C.B Area + A.P Area.
5. We considered given rate verify by market inquire.
6. Recommended rate should be considered as all inclusive rate if other charges are not mentioned. (Excluding GST &amp; other government Taxes).
7. Car parking is subjected to authentic documentation.
8. The project has received its first CC on 07/06/2019 but construction work is not yet completed.</t>
  </si>
  <si>
    <t>Kunal Kadam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</si>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</sst>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b/>
      <sz val="12"/>
      <color rgb="FFFFFF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9" fontId="10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65">
    <xf numFmtId="0" fontId="0" fillId="0" borderId="0" xfId="0"/>
    <xf numFmtId="1" fontId="5" fillId="0" borderId="4" xfId="1" applyNumberFormat="1" applyFont="1" applyBorder="1" applyAlignment="1">
      <alignment horizontal="center" vertical="center" wrapText="1"/>
    </xf>
    <xf numFmtId="0" fontId="0" fillId="2" borderId="4" xfId="0" applyFill="1" applyBorder="1"/>
    <xf numFmtId="0" fontId="0" fillId="0" borderId="9" xfId="0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0" fillId="0" borderId="4" xfId="0" applyBorder="1"/>
    <xf numFmtId="0" fontId="15" fillId="0" borderId="0" xfId="0" applyFont="1"/>
    <xf numFmtId="0" fontId="15" fillId="0" borderId="4" xfId="0" applyFont="1" applyBorder="1"/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2" borderId="4" xfId="0" applyFont="1" applyFill="1" applyBorder="1"/>
    <xf numFmtId="0" fontId="15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9" fontId="15" fillId="0" borderId="0" xfId="4" applyFont="1" applyBorder="1"/>
    <xf numFmtId="0" fontId="14" fillId="0" borderId="4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13" xfId="0" applyFont="1" applyBorder="1"/>
    <xf numFmtId="0" fontId="15" fillId="0" borderId="4" xfId="0" applyFont="1" applyBorder="1" applyAlignment="1">
      <alignment wrapText="1"/>
    </xf>
    <xf numFmtId="9" fontId="15" fillId="0" borderId="4" xfId="4" applyFont="1" applyBorder="1"/>
    <xf numFmtId="9" fontId="15" fillId="0" borderId="0" xfId="0" applyNumberFormat="1" applyFont="1"/>
    <xf numFmtId="0" fontId="15" fillId="0" borderId="0" xfId="0" applyFont="1" applyAlignment="1">
      <alignment horizontal="right"/>
    </xf>
    <xf numFmtId="1" fontId="13" fillId="0" borderId="4" xfId="1" applyNumberFormat="1" applyFont="1" applyBorder="1" applyAlignment="1">
      <alignment horizontal="center" vertical="top" wrapText="1"/>
    </xf>
    <xf numFmtId="1" fontId="18" fillId="0" borderId="4" xfId="1" applyNumberFormat="1" applyFont="1" applyBorder="1" applyAlignment="1">
      <alignment horizontal="center" vertical="top" wrapText="1"/>
    </xf>
    <xf numFmtId="1" fontId="12" fillId="0" borderId="4" xfId="1" applyNumberFormat="1" applyFont="1" applyBorder="1" applyAlignment="1">
      <alignment horizontal="center" vertical="top" wrapText="1"/>
    </xf>
    <xf numFmtId="14" fontId="0" fillId="0" borderId="0" xfId="0" applyNumberFormat="1"/>
    <xf numFmtId="14" fontId="4" fillId="0" borderId="0" xfId="5" applyNumberFormat="1"/>
    <xf numFmtId="0" fontId="4" fillId="0" borderId="0" xfId="5"/>
    <xf numFmtId="0" fontId="1" fillId="0" borderId="0" xfId="6"/>
    <xf numFmtId="0" fontId="8" fillId="0" borderId="4" xfId="6" applyFont="1" applyBorder="1" applyAlignment="1">
      <alignment horizontal="center" vertical="top" wrapText="1"/>
    </xf>
    <xf numFmtId="0" fontId="1" fillId="0" borderId="4" xfId="6" applyBorder="1" applyAlignment="1">
      <alignment horizontal="center" vertical="center"/>
    </xf>
    <xf numFmtId="0" fontId="1" fillId="0" borderId="4" xfId="6" applyBorder="1" applyAlignment="1">
      <alignment horizontal="left" vertical="center"/>
    </xf>
    <xf numFmtId="1" fontId="1" fillId="0" borderId="4" xfId="6" applyNumberFormat="1" applyBorder="1" applyAlignment="1">
      <alignment horizontal="center" vertical="center"/>
    </xf>
    <xf numFmtId="166" fontId="1" fillId="0" borderId="4" xfId="7" applyNumberFormat="1" applyFont="1" applyBorder="1" applyAlignment="1">
      <alignment horizontal="right" vertical="center"/>
    </xf>
    <xf numFmtId="0" fontId="8" fillId="0" borderId="4" xfId="6" applyFont="1" applyBorder="1" applyAlignment="1">
      <alignment horizontal="center" vertical="center"/>
    </xf>
    <xf numFmtId="1" fontId="20" fillId="0" borderId="4" xfId="6" applyNumberFormat="1" applyFont="1" applyBorder="1" applyAlignment="1">
      <alignment horizontal="center" vertical="center"/>
    </xf>
    <xf numFmtId="0" fontId="4" fillId="0" borderId="4" xfId="5" applyBorder="1" applyAlignment="1">
      <alignment horizontal="center" vertical="center"/>
    </xf>
    <xf numFmtId="0" fontId="21" fillId="0" borderId="0" xfId="5" applyFont="1"/>
    <xf numFmtId="0" fontId="5" fillId="0" borderId="4" xfId="1" applyFont="1" applyBorder="1" applyAlignment="1">
      <alignment horizontal="left" vertical="top"/>
    </xf>
    <xf numFmtId="0" fontId="6" fillId="0" borderId="0" xfId="1" applyFont="1"/>
    <xf numFmtId="0" fontId="5" fillId="0" borderId="4" xfId="1" applyFont="1" applyBorder="1" applyAlignment="1">
      <alignment vertical="top"/>
    </xf>
    <xf numFmtId="0" fontId="12" fillId="0" borderId="0" xfId="1" applyFont="1"/>
    <xf numFmtId="0" fontId="6" fillId="0" borderId="17" xfId="1" applyFont="1" applyBorder="1" applyProtection="1">
      <protection hidden="1"/>
    </xf>
    <xf numFmtId="0" fontId="6" fillId="0" borderId="18" xfId="1" applyFont="1" applyBorder="1" applyProtection="1">
      <protection hidden="1"/>
    </xf>
    <xf numFmtId="0" fontId="12" fillId="0" borderId="19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0" xfId="1" applyFont="1" applyProtection="1">
      <protection hidden="1"/>
    </xf>
    <xf numFmtId="0" fontId="6" fillId="0" borderId="21" xfId="1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5" fillId="0" borderId="0" xfId="3" applyFont="1" applyProtection="1">
      <protection hidden="1"/>
    </xf>
    <xf numFmtId="0" fontId="6" fillId="0" borderId="21" xfId="1" applyFont="1" applyBorder="1"/>
    <xf numFmtId="0" fontId="12" fillId="0" borderId="4" xfId="1" applyFont="1" applyBorder="1" applyAlignment="1" applyProtection="1">
      <alignment horizontal="center" wrapText="1"/>
      <protection locked="0"/>
    </xf>
    <xf numFmtId="9" fontId="15" fillId="0" borderId="0" xfId="3" applyNumberFormat="1" applyFont="1" applyProtection="1">
      <protection hidden="1"/>
    </xf>
    <xf numFmtId="0" fontId="15" fillId="0" borderId="21" xfId="3" applyFont="1" applyBorder="1" applyProtection="1">
      <protection hidden="1"/>
    </xf>
    <xf numFmtId="1" fontId="12" fillId="0" borderId="4" xfId="1" applyNumberFormat="1" applyFont="1" applyBorder="1" applyAlignment="1" applyProtection="1">
      <alignment horizontal="center" wrapText="1"/>
      <protection locked="0"/>
    </xf>
    <xf numFmtId="1" fontId="2" fillId="0" borderId="21" xfId="3" applyNumberFormat="1" applyBorder="1"/>
    <xf numFmtId="1" fontId="2" fillId="0" borderId="0" xfId="3" applyNumberFormat="1"/>
    <xf numFmtId="165" fontId="2" fillId="0" borderId="0" xfId="3" applyNumberFormat="1"/>
    <xf numFmtId="1" fontId="2" fillId="0" borderId="21" xfId="3" applyNumberFormat="1" applyBorder="1" applyAlignment="1">
      <alignment horizontal="right"/>
    </xf>
    <xf numFmtId="0" fontId="2" fillId="0" borderId="0" xfId="3"/>
    <xf numFmtId="0" fontId="2" fillId="0" borderId="21" xfId="3" applyBorder="1"/>
    <xf numFmtId="0" fontId="12" fillId="0" borderId="23" xfId="1" applyFont="1" applyBorder="1" applyAlignment="1" applyProtection="1">
      <alignment horizontal="center" wrapText="1"/>
      <protection locked="0"/>
    </xf>
    <xf numFmtId="0" fontId="15" fillId="0" borderId="25" xfId="3" applyFont="1" applyBorder="1" applyProtection="1">
      <protection hidden="1"/>
    </xf>
    <xf numFmtId="9" fontId="15" fillId="0" borderId="25" xfId="3" applyNumberFormat="1" applyFont="1" applyBorder="1" applyProtection="1">
      <protection hidden="1"/>
    </xf>
    <xf numFmtId="1" fontId="2" fillId="0" borderId="26" xfId="3" applyNumberFormat="1" applyBorder="1"/>
    <xf numFmtId="14" fontId="6" fillId="0" borderId="0" xfId="1" applyNumberFormat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2" fillId="0" borderId="0" xfId="0" applyFont="1"/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9" fillId="0" borderId="0" xfId="1" applyFont="1"/>
    <xf numFmtId="0" fontId="6" fillId="2" borderId="0" xfId="1" applyFont="1" applyFill="1"/>
    <xf numFmtId="0" fontId="23" fillId="0" borderId="0" xfId="1" applyFont="1"/>
    <xf numFmtId="0" fontId="13" fillId="0" borderId="27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center" vertical="top"/>
      <protection locked="0"/>
    </xf>
    <xf numFmtId="9" fontId="13" fillId="0" borderId="1" xfId="1" applyNumberFormat="1" applyFont="1" applyBorder="1" applyAlignment="1" applyProtection="1">
      <alignment horizontal="center" vertical="top"/>
      <protection locked="0"/>
    </xf>
    <xf numFmtId="0" fontId="13" fillId="0" borderId="2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28" xfId="1" applyFont="1" applyBorder="1" applyAlignment="1" applyProtection="1">
      <alignment horizontal="center" vertical="top"/>
      <protection locked="0"/>
    </xf>
    <xf numFmtId="0" fontId="5" fillId="0" borderId="0" xfId="1" applyFont="1" applyAlignment="1">
      <alignment horizontal="left" vertical="top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12" fillId="0" borderId="19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4" xfId="1" applyNumberFormat="1" applyFont="1" applyBorder="1" applyAlignment="1" applyProtection="1">
      <alignment horizontal="center" vertical="center" wrapText="1"/>
      <protection hidden="1"/>
    </xf>
    <xf numFmtId="0" fontId="12" fillId="0" borderId="22" xfId="1" applyFont="1" applyBorder="1" applyAlignment="1" applyProtection="1">
      <alignment horizontal="center" vertical="top" wrapText="1"/>
      <protection locked="0"/>
    </xf>
    <xf numFmtId="0" fontId="12" fillId="0" borderId="23" xfId="1" applyFont="1" applyBorder="1" applyAlignment="1" applyProtection="1">
      <alignment horizontal="center" vertical="top" wrapText="1"/>
      <protection locked="0"/>
    </xf>
    <xf numFmtId="9" fontId="12" fillId="0" borderId="23" xfId="1" applyNumberFormat="1" applyFont="1" applyBorder="1" applyAlignment="1" applyProtection="1">
      <alignment horizontal="center" vertical="center" wrapText="1"/>
      <protection hidden="1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center" vertical="top" wrapText="1"/>
      <protection locked="0"/>
    </xf>
    <xf numFmtId="9" fontId="12" fillId="0" borderId="20" xfId="1" applyNumberFormat="1" applyFont="1" applyBorder="1" applyAlignment="1" applyProtection="1">
      <alignment horizontal="center" vertical="center" wrapText="1"/>
      <protection hidden="1"/>
    </xf>
    <xf numFmtId="9" fontId="12" fillId="0" borderId="24" xfId="1" applyNumberFormat="1" applyFont="1" applyBorder="1" applyAlignment="1" applyProtection="1">
      <alignment horizontal="center" vertical="center" wrapText="1"/>
      <protection hidden="1"/>
    </xf>
    <xf numFmtId="0" fontId="12" fillId="0" borderId="19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22" xfId="1" applyFont="1" applyBorder="1" applyAlignment="1" applyProtection="1">
      <alignment horizontal="center" vertical="top"/>
      <protection locked="0"/>
    </xf>
    <xf numFmtId="0" fontId="12" fillId="0" borderId="23" xfId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center" vertical="top" wrapText="1"/>
      <protection locked="0"/>
    </xf>
    <xf numFmtId="0" fontId="9" fillId="0" borderId="15" xfId="1" applyFont="1" applyBorder="1" applyAlignment="1" applyProtection="1">
      <alignment horizontal="center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19" fillId="0" borderId="4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1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/>
    </xf>
    <xf numFmtId="2" fontId="5" fillId="0" borderId="1" xfId="1" applyNumberFormat="1" applyFont="1" applyBorder="1" applyAlignment="1">
      <alignment horizontal="left" vertical="top"/>
    </xf>
    <xf numFmtId="2" fontId="5" fillId="0" borderId="2" xfId="1" applyNumberFormat="1" applyFont="1" applyBorder="1" applyAlignment="1">
      <alignment horizontal="left" vertical="top"/>
    </xf>
    <xf numFmtId="2" fontId="5" fillId="0" borderId="3" xfId="1" applyNumberFormat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14" fontId="5" fillId="0" borderId="1" xfId="1" applyNumberFormat="1" applyFont="1" applyBorder="1" applyAlignment="1">
      <alignment horizontal="left" vertical="top"/>
    </xf>
    <xf numFmtId="14" fontId="5" fillId="0" borderId="2" xfId="1" applyNumberFormat="1" applyFont="1" applyBorder="1" applyAlignment="1">
      <alignment horizontal="left" vertical="top"/>
    </xf>
    <xf numFmtId="14" fontId="5" fillId="0" borderId="3" xfId="1" applyNumberFormat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3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>
      <alignment horizontal="left" vertical="top"/>
    </xf>
    <xf numFmtId="0" fontId="12" fillId="0" borderId="2" xfId="1" applyFont="1" applyBorder="1" applyAlignment="1">
      <alignment horizontal="left" vertical="top"/>
    </xf>
    <xf numFmtId="0" fontId="12" fillId="0" borderId="3" xfId="1" applyFont="1" applyBorder="1" applyAlignment="1">
      <alignment horizontal="left" vertical="top"/>
    </xf>
    <xf numFmtId="0" fontId="12" fillId="0" borderId="1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12" fillId="0" borderId="4" xfId="1" applyFont="1" applyBorder="1" applyAlignment="1">
      <alignment horizontal="left" vertical="top"/>
    </xf>
    <xf numFmtId="0" fontId="12" fillId="0" borderId="4" xfId="1" applyFont="1" applyBorder="1" applyAlignment="1">
      <alignment horizontal="center" vertical="top"/>
    </xf>
    <xf numFmtId="0" fontId="12" fillId="0" borderId="3" xfId="1" applyFont="1" applyBorder="1" applyAlignment="1">
      <alignment horizontal="left"/>
    </xf>
    <xf numFmtId="14" fontId="12" fillId="0" borderId="1" xfId="1" applyNumberFormat="1" applyFont="1" applyBorder="1" applyAlignment="1">
      <alignment horizontal="left" vertical="top"/>
    </xf>
    <xf numFmtId="2" fontId="5" fillId="0" borderId="1" xfId="1" applyNumberFormat="1" applyFont="1" applyBorder="1" applyAlignment="1">
      <alignment horizontal="left" vertical="top" wrapText="1"/>
    </xf>
    <xf numFmtId="2" fontId="5" fillId="0" borderId="2" xfId="1" applyNumberFormat="1" applyFont="1" applyBorder="1" applyAlignment="1">
      <alignment horizontal="left" vertical="top" wrapText="1"/>
    </xf>
    <xf numFmtId="2" fontId="5" fillId="0" borderId="3" xfId="1" applyNumberFormat="1" applyFont="1" applyBorder="1" applyAlignment="1">
      <alignment horizontal="left" vertical="top" wrapText="1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2" xfId="1" applyFont="1" applyBorder="1" applyAlignment="1" applyProtection="1">
      <alignment horizontal="left" vertical="center" wrapTex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>
      <alignment vertical="top"/>
    </xf>
    <xf numFmtId="0" fontId="7" fillId="0" borderId="2" xfId="1" applyFont="1" applyBorder="1" applyAlignment="1">
      <alignment vertical="top"/>
    </xf>
    <xf numFmtId="0" fontId="7" fillId="0" borderId="3" xfId="1" applyFont="1" applyBorder="1" applyAlignment="1">
      <alignment vertical="top"/>
    </xf>
    <xf numFmtId="0" fontId="12" fillId="0" borderId="1" xfId="1" applyFont="1" applyBorder="1" applyAlignment="1">
      <alignment horizontal="center" vertical="top"/>
    </xf>
    <xf numFmtId="0" fontId="12" fillId="0" borderId="3" xfId="1" applyFont="1" applyBorder="1" applyAlignment="1">
      <alignment horizontal="center" vertical="top"/>
    </xf>
    <xf numFmtId="0" fontId="12" fillId="0" borderId="1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0" fontId="12" fillId="0" borderId="1" xfId="1" applyFont="1" applyBorder="1" applyAlignment="1">
      <alignment vertical="top"/>
    </xf>
    <xf numFmtId="0" fontId="12" fillId="0" borderId="2" xfId="1" applyFont="1" applyBorder="1" applyAlignment="1">
      <alignment vertical="top"/>
    </xf>
    <xf numFmtId="0" fontId="12" fillId="0" borderId="3" xfId="1" applyFont="1" applyBorder="1" applyAlignment="1">
      <alignment vertical="top"/>
    </xf>
    <xf numFmtId="0" fontId="13" fillId="0" borderId="14" xfId="1" applyFont="1" applyBorder="1" applyAlignment="1" applyProtection="1">
      <alignment horizontal="center" vertical="top" wrapText="1"/>
      <protection locked="0"/>
    </xf>
    <xf numFmtId="0" fontId="13" fillId="0" borderId="15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/>
    </xf>
    <xf numFmtId="0" fontId="12" fillId="0" borderId="11" xfId="1" applyFont="1" applyBorder="1" applyAlignment="1">
      <alignment horizontal="left" vertical="top"/>
    </xf>
    <xf numFmtId="0" fontId="12" fillId="0" borderId="0" xfId="1" applyFont="1" applyAlignment="1">
      <alignment horizontal="left" vertical="top"/>
    </xf>
    <xf numFmtId="0" fontId="12" fillId="0" borderId="12" xfId="1" applyFont="1" applyBorder="1" applyAlignment="1">
      <alignment horizontal="left" vertical="top"/>
    </xf>
    <xf numFmtId="0" fontId="12" fillId="0" borderId="8" xfId="1" applyFont="1" applyBorder="1" applyAlignment="1">
      <alignment horizontal="left" vertical="top"/>
    </xf>
    <xf numFmtId="0" fontId="12" fillId="0" borderId="9" xfId="1" applyFont="1" applyBorder="1" applyAlignment="1">
      <alignment horizontal="left" vertical="top"/>
    </xf>
    <xf numFmtId="0" fontId="12" fillId="0" borderId="10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top" wrapText="1"/>
    </xf>
    <xf numFmtId="1" fontId="13" fillId="0" borderId="2" xfId="0" applyNumberFormat="1" applyFont="1" applyBorder="1" applyAlignment="1">
      <alignment horizontal="center" vertical="top" wrapText="1"/>
    </xf>
    <xf numFmtId="1" fontId="13" fillId="0" borderId="3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top" wrapText="1"/>
    </xf>
    <xf numFmtId="1" fontId="13" fillId="0" borderId="3" xfId="1" applyNumberFormat="1" applyFont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" fontId="5" fillId="0" borderId="11" xfId="1" applyNumberFormat="1" applyFont="1" applyBorder="1" applyAlignment="1">
      <alignment horizontal="center" vertical="center" wrapText="1"/>
    </xf>
    <xf numFmtId="1" fontId="5" fillId="0" borderId="12" xfId="1" applyNumberFormat="1" applyFont="1" applyBorder="1" applyAlignment="1">
      <alignment horizontal="center" vertical="center" wrapText="1"/>
    </xf>
    <xf numFmtId="1" fontId="5" fillId="0" borderId="8" xfId="1" applyNumberFormat="1" applyFont="1" applyBorder="1" applyAlignment="1">
      <alignment horizontal="center" vertical="center" wrapText="1"/>
    </xf>
    <xf numFmtId="1" fontId="5" fillId="0" borderId="10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left"/>
    </xf>
    <xf numFmtId="165" fontId="5" fillId="0" borderId="2" xfId="1" applyNumberFormat="1" applyFont="1" applyBorder="1" applyAlignment="1">
      <alignment horizontal="left"/>
    </xf>
    <xf numFmtId="165" fontId="5" fillId="0" borderId="3" xfId="1" applyNumberFormat="1" applyFont="1" applyBorder="1" applyAlignment="1">
      <alignment horizontal="left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3" xfId="1" applyFont="1" applyBorder="1" applyAlignment="1">
      <alignment vertical="top"/>
    </xf>
    <xf numFmtId="1" fontId="7" fillId="0" borderId="4" xfId="0" applyNumberFormat="1" applyFont="1" applyBorder="1" applyAlignment="1">
      <alignment horizontal="left" vertical="top" wrapText="1"/>
    </xf>
    <xf numFmtId="0" fontId="13" fillId="0" borderId="4" xfId="2" applyFont="1" applyBorder="1" applyAlignment="1">
      <alignment horizontal="left" vertical="top" wrapText="1"/>
    </xf>
    <xf numFmtId="0" fontId="22" fillId="0" borderId="1" xfId="8" applyFill="1" applyBorder="1" applyAlignment="1">
      <alignment horizontal="left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2" fillId="0" borderId="5" xfId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11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8" fillId="0" borderId="4" xfId="6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2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8" fillId="0" borderId="4" xfId="0" applyFont="1" applyBorder="1" applyAlignment="1">
      <alignment horizontal="center"/>
    </xf>
  </cellXfs>
  <cellStyles count="9">
    <cellStyle name="Comma 2" xfId="7" xr:uid="{00000000-0005-0000-0000-000000000000}"/>
    <cellStyle name="Excel Built-in Normal" xfId="2" xr:uid="{00000000-0005-0000-0000-000001000000}"/>
    <cellStyle name="Excel Built-in Normal 2" xfId="5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4" xfId="6" xr:uid="{00000000-0005-0000-0000-000007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jpeg"/><Relationship Id="rId1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658091</xdr:colOff>
      <xdr:row>408</xdr:row>
      <xdr:rowOff>186861</xdr:rowOff>
    </xdr:from>
    <xdr:to>
      <xdr:col>8</xdr:col>
      <xdr:colOff>422107</xdr:colOff>
      <xdr:row>426</xdr:row>
      <xdr:rowOff>41803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8091" y="78724816"/>
          <a:ext cx="5072039" cy="34398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669437</xdr:colOff>
      <xdr:row>391</xdr:row>
      <xdr:rowOff>19050</xdr:rowOff>
    </xdr:from>
    <xdr:to>
      <xdr:col>8</xdr:col>
      <xdr:colOff>430766</xdr:colOff>
      <xdr:row>408</xdr:row>
      <xdr:rowOff>76050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9437" y="75923775"/>
          <a:ext cx="5447754" cy="34574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30480</xdr:colOff>
      <xdr:row>341</xdr:row>
      <xdr:rowOff>179070</xdr:rowOff>
    </xdr:from>
    <xdr:to>
      <xdr:col>21</xdr:col>
      <xdr:colOff>590274</xdr:colOff>
      <xdr:row>382</xdr:row>
      <xdr:rowOff>110074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8BE0F6DD-B6E4-4F72-92D6-8D5EFF245340}"/>
            </a:ext>
          </a:extLst>
        </xdr:cNvPr>
        <xdr:cNvGrpSpPr/>
      </xdr:nvGrpSpPr>
      <xdr:grpSpPr>
        <a:xfrm>
          <a:off x="7940040" y="70465950"/>
          <a:ext cx="5749014" cy="8046304"/>
          <a:chOff x="620484" y="380585"/>
          <a:chExt cx="5606139" cy="8122504"/>
        </a:xfrm>
      </xdr:grpSpPr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4DB22CD9-BCA7-4E81-A886-BFD23025217E}"/>
              </a:ext>
            </a:extLst>
          </xdr:cNvPr>
          <xdr:cNvGrpSpPr/>
        </xdr:nvGrpSpPr>
        <xdr:grpSpPr>
          <a:xfrm>
            <a:off x="620484" y="380585"/>
            <a:ext cx="5606139" cy="8122504"/>
            <a:chOff x="620484" y="380585"/>
            <a:chExt cx="5606139" cy="8122504"/>
          </a:xfrm>
        </xdr:grpSpPr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91E16A25-0819-480C-AD64-9948C7F470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70428" y="380585"/>
              <a:ext cx="4717143" cy="271095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4CA6EF1A-3288-4D47-A881-95B51A51A2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20484" y="3280230"/>
              <a:ext cx="129540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869DBEE7-B419-48ED-9F99-E201AF6BA5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57398" y="3280230"/>
              <a:ext cx="12954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id="{46AA9BFF-1B4F-420D-AC82-E56357D4AB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32022" y="5614403"/>
              <a:ext cx="2520000" cy="132342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68E1AB3D-5F18-4F71-BAA4-02109D63A0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94311" y="3280230"/>
              <a:ext cx="12954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91F8F1EB-962D-43F8-834D-549B732AB7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31224" y="3280230"/>
              <a:ext cx="129539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D91ABACF-E702-441F-A2E8-F568FB7DA4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85282" y="5620346"/>
              <a:ext cx="2520000" cy="132342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069DAEA3-8639-4DEC-A945-BB9F3AF7DEA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68184" y="7063089"/>
              <a:ext cx="858689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8" name="Picture 67">
              <a:extLst>
                <a:ext uri="{FF2B5EF4-FFF2-40B4-BE49-F238E27FC236}">
                  <a16:creationId xmlns:a16="http://schemas.microsoft.com/office/drawing/2014/main" id="{49E285DE-C73D-4F45-88BB-C5443CA409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5119" y="7063089"/>
              <a:ext cx="3197690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8" name="TextBox 76">
            <a:extLst>
              <a:ext uri="{FF2B5EF4-FFF2-40B4-BE49-F238E27FC236}">
                <a16:creationId xmlns:a16="http://schemas.microsoft.com/office/drawing/2014/main" id="{8762250C-4D1D-4B5F-A85B-D6FB7FC0DA94}"/>
              </a:ext>
            </a:extLst>
          </xdr:cNvPr>
          <xdr:cNvSpPr txBox="1"/>
        </xdr:nvSpPr>
        <xdr:spPr>
          <a:xfrm>
            <a:off x="1259747" y="456245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3" name="TextBox 77">
            <a:extLst>
              <a:ext uri="{FF2B5EF4-FFF2-40B4-BE49-F238E27FC236}">
                <a16:creationId xmlns:a16="http://schemas.microsoft.com/office/drawing/2014/main" id="{8AB0AFDB-1252-4BDC-AAE4-E4869EDBA342}"/>
              </a:ext>
            </a:extLst>
          </xdr:cNvPr>
          <xdr:cNvSpPr txBox="1"/>
        </xdr:nvSpPr>
        <xdr:spPr>
          <a:xfrm>
            <a:off x="4493443" y="2015562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4" name="TextBox 78">
            <a:extLst>
              <a:ext uri="{FF2B5EF4-FFF2-40B4-BE49-F238E27FC236}">
                <a16:creationId xmlns:a16="http://schemas.microsoft.com/office/drawing/2014/main" id="{10FF4AC7-F4AB-459A-B205-263C45CB0C5E}"/>
              </a:ext>
            </a:extLst>
          </xdr:cNvPr>
          <xdr:cNvSpPr txBox="1"/>
        </xdr:nvSpPr>
        <xdr:spPr>
          <a:xfrm>
            <a:off x="989799" y="4978328"/>
            <a:ext cx="85792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5" name="TextBox 79">
            <a:extLst>
              <a:ext uri="{FF2B5EF4-FFF2-40B4-BE49-F238E27FC236}">
                <a16:creationId xmlns:a16="http://schemas.microsoft.com/office/drawing/2014/main" id="{768336CF-5742-48BD-A34F-8023660C2578}"/>
              </a:ext>
            </a:extLst>
          </xdr:cNvPr>
          <xdr:cNvSpPr txBox="1"/>
        </xdr:nvSpPr>
        <xdr:spPr>
          <a:xfrm>
            <a:off x="2285200" y="4997775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6" name="TextBox 80">
            <a:extLst>
              <a:ext uri="{FF2B5EF4-FFF2-40B4-BE49-F238E27FC236}">
                <a16:creationId xmlns:a16="http://schemas.microsoft.com/office/drawing/2014/main" id="{46B459AC-FEE4-45FA-A63B-8C6277D05AF7}"/>
              </a:ext>
            </a:extLst>
          </xdr:cNvPr>
          <xdr:cNvSpPr txBox="1"/>
        </xdr:nvSpPr>
        <xdr:spPr>
          <a:xfrm>
            <a:off x="896627" y="5654641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E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7" name="TextBox 81">
            <a:extLst>
              <a:ext uri="{FF2B5EF4-FFF2-40B4-BE49-F238E27FC236}">
                <a16:creationId xmlns:a16="http://schemas.microsoft.com/office/drawing/2014/main" id="{0C0F747C-9101-4656-86D7-41257F2863B7}"/>
              </a:ext>
            </a:extLst>
          </xdr:cNvPr>
          <xdr:cNvSpPr txBox="1"/>
        </xdr:nvSpPr>
        <xdr:spPr>
          <a:xfrm>
            <a:off x="3654443" y="5655085"/>
            <a:ext cx="84189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F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160020</xdr:colOff>
      <xdr:row>348</xdr:row>
      <xdr:rowOff>38100</xdr:rowOff>
    </xdr:from>
    <xdr:to>
      <xdr:col>9</xdr:col>
      <xdr:colOff>60960</xdr:colOff>
      <xdr:row>386</xdr:row>
      <xdr:rowOff>175260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F562CFF3-9589-D6F4-66DD-A997918B66BA}"/>
            </a:ext>
          </a:extLst>
        </xdr:cNvPr>
        <xdr:cNvGrpSpPr/>
      </xdr:nvGrpSpPr>
      <xdr:grpSpPr>
        <a:xfrm>
          <a:off x="160020" y="71711820"/>
          <a:ext cx="6073140" cy="7658100"/>
          <a:chOff x="171211" y="167640"/>
          <a:chExt cx="6111240" cy="7914960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D6B44CA3-1A2F-EC40-4E93-38C248AA8F1E}"/>
              </a:ext>
            </a:extLst>
          </xdr:cNvPr>
          <xdr:cNvGrpSpPr/>
        </xdr:nvGrpSpPr>
        <xdr:grpSpPr>
          <a:xfrm>
            <a:off x="171211" y="2865120"/>
            <a:ext cx="6111240" cy="2520000"/>
            <a:chOff x="171212" y="2865120"/>
            <a:chExt cx="6111240" cy="252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D4D581C3-A809-0F82-B299-A7AF0E7831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212" y="28651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1B16EC66-261B-C9F0-1EE3-9ADC6B8A79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8132" y="28651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51DE4ED8-796C-CB23-9984-3C034459D9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17143" r="21575"/>
            <a:stretch>
              <a:fillRect/>
            </a:stretch>
          </xdr:blipFill>
          <xdr:spPr>
            <a:xfrm>
              <a:off x="4225052" y="2865120"/>
              <a:ext cx="20574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77612D7B-A01E-BA7C-D095-6400FA1486AC}"/>
              </a:ext>
            </a:extLst>
          </xdr:cNvPr>
          <xdr:cNvGrpSpPr/>
        </xdr:nvGrpSpPr>
        <xdr:grpSpPr>
          <a:xfrm>
            <a:off x="255896" y="167640"/>
            <a:ext cx="5941871" cy="2520000"/>
            <a:chOff x="171213" y="167640"/>
            <a:chExt cx="5941871" cy="2520000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6118BF7B-5FFB-072E-2276-C94C7B93BB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8133" y="1676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2669B01A-8818-5246-3A85-9E60CAF3D2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25053" y="1676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437B41D5-E60C-E0AA-AA53-854A6114FA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213" y="1676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B62F9A65-6836-55AC-5F89-53A39957F7C7}"/>
              </a:ext>
            </a:extLst>
          </xdr:cNvPr>
          <xdr:cNvGrpSpPr/>
        </xdr:nvGrpSpPr>
        <xdr:grpSpPr>
          <a:xfrm>
            <a:off x="255895" y="5562600"/>
            <a:ext cx="5941873" cy="2520000"/>
            <a:chOff x="171211" y="5562600"/>
            <a:chExt cx="5941873" cy="252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30ACCD79-6D91-ADB7-A67B-665095DA7FD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1211" y="55626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1695F7D3-8C24-125E-40B4-4715EC010C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25053" y="55626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3188B64A-FE53-4E37-A4EF-7CE6D04B12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8131" y="55626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520510</xdr:colOff>
      <xdr:row>2</xdr:row>
      <xdr:rowOff>152400</xdr:rowOff>
    </xdr:from>
    <xdr:to>
      <xdr:col>11</xdr:col>
      <xdr:colOff>169697</xdr:colOff>
      <xdr:row>22</xdr:row>
      <xdr:rowOff>94800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0510" y="518160"/>
          <a:ext cx="2697187" cy="36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</xdr:colOff>
      <xdr:row>2</xdr:row>
      <xdr:rowOff>152400</xdr:rowOff>
    </xdr:from>
    <xdr:to>
      <xdr:col>6</xdr:col>
      <xdr:colOff>365467</xdr:colOff>
      <xdr:row>22</xdr:row>
      <xdr:rowOff>94800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280" y="518160"/>
          <a:ext cx="2697187" cy="3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6</xdr:col>
      <xdr:colOff>699000</xdr:colOff>
      <xdr:row>35</xdr:row>
      <xdr:rowOff>98520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" y="2461260"/>
          <a:ext cx="7282680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17524</xdr:rowOff>
    </xdr:from>
    <xdr:to>
      <xdr:col>7</xdr:col>
      <xdr:colOff>565905</xdr:colOff>
      <xdr:row>59</xdr:row>
      <xdr:rowOff>131284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" y="6883144"/>
          <a:ext cx="8521185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AuT13xhLRdJFNuG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0"/>
  <sheetViews>
    <sheetView tabSelected="1" view="pageBreakPreview" zoomScaleNormal="100" zoomScaleSheetLayoutView="100" workbookViewId="0">
      <selection activeCell="M5" sqref="M5"/>
    </sheetView>
  </sheetViews>
  <sheetFormatPr defaultRowHeight="15.6" x14ac:dyDescent="0.3"/>
  <cols>
    <col min="1" max="2" width="12.109375" style="39" customWidth="1"/>
    <col min="3" max="3" width="13.5546875" style="39" customWidth="1"/>
    <col min="4" max="4" width="7.109375" style="39" customWidth="1"/>
    <col min="5" max="5" width="5.5546875" style="39" customWidth="1"/>
    <col min="6" max="6" width="9.88671875" style="39" customWidth="1"/>
    <col min="7" max="7" width="9" style="39" customWidth="1"/>
    <col min="8" max="8" width="9.5546875" style="39" customWidth="1"/>
    <col min="9" max="9" width="11.109375" style="39" customWidth="1"/>
    <col min="10" max="11" width="3.5546875" style="39" customWidth="1"/>
    <col min="12" max="15" width="9.109375" style="39"/>
    <col min="16" max="16" width="11.88671875" style="39" bestFit="1" customWidth="1"/>
    <col min="17" max="256" width="9.109375" style="39"/>
    <col min="257" max="257" width="8.88671875" style="39" customWidth="1"/>
    <col min="258" max="258" width="9.88671875" style="39" customWidth="1"/>
    <col min="259" max="259" width="14.44140625" style="39" customWidth="1"/>
    <col min="260" max="260" width="7.109375" style="39" customWidth="1"/>
    <col min="261" max="261" width="5.5546875" style="39" customWidth="1"/>
    <col min="262" max="262" width="9" style="39" customWidth="1"/>
    <col min="263" max="264" width="9.88671875" style="39" customWidth="1"/>
    <col min="265" max="265" width="11.109375" style="39" customWidth="1"/>
    <col min="266" max="266" width="2.88671875" style="39" customWidth="1"/>
    <col min="267" max="267" width="3.5546875" style="39" customWidth="1"/>
    <col min="268" max="512" width="9.109375" style="39"/>
    <col min="513" max="513" width="8.88671875" style="39" customWidth="1"/>
    <col min="514" max="514" width="9.88671875" style="39" customWidth="1"/>
    <col min="515" max="515" width="14.44140625" style="39" customWidth="1"/>
    <col min="516" max="516" width="7.109375" style="39" customWidth="1"/>
    <col min="517" max="517" width="5.5546875" style="39" customWidth="1"/>
    <col min="518" max="518" width="9" style="39" customWidth="1"/>
    <col min="519" max="520" width="9.88671875" style="39" customWidth="1"/>
    <col min="521" max="521" width="11.109375" style="39" customWidth="1"/>
    <col min="522" max="522" width="2.88671875" style="39" customWidth="1"/>
    <col min="523" max="523" width="3.5546875" style="39" customWidth="1"/>
    <col min="524" max="768" width="9.109375" style="39"/>
    <col min="769" max="769" width="8.88671875" style="39" customWidth="1"/>
    <col min="770" max="770" width="9.88671875" style="39" customWidth="1"/>
    <col min="771" max="771" width="14.44140625" style="39" customWidth="1"/>
    <col min="772" max="772" width="7.109375" style="39" customWidth="1"/>
    <col min="773" max="773" width="5.5546875" style="39" customWidth="1"/>
    <col min="774" max="774" width="9" style="39" customWidth="1"/>
    <col min="775" max="776" width="9.88671875" style="39" customWidth="1"/>
    <col min="777" max="777" width="11.109375" style="39" customWidth="1"/>
    <col min="778" max="778" width="2.88671875" style="39" customWidth="1"/>
    <col min="779" max="779" width="3.5546875" style="39" customWidth="1"/>
    <col min="780" max="1024" width="9.109375" style="39"/>
    <col min="1025" max="1025" width="8.88671875" style="39" customWidth="1"/>
    <col min="1026" max="1026" width="9.88671875" style="39" customWidth="1"/>
    <col min="1027" max="1027" width="14.44140625" style="39" customWidth="1"/>
    <col min="1028" max="1028" width="7.109375" style="39" customWidth="1"/>
    <col min="1029" max="1029" width="5.5546875" style="39" customWidth="1"/>
    <col min="1030" max="1030" width="9" style="39" customWidth="1"/>
    <col min="1031" max="1032" width="9.88671875" style="39" customWidth="1"/>
    <col min="1033" max="1033" width="11.109375" style="39" customWidth="1"/>
    <col min="1034" max="1034" width="2.88671875" style="39" customWidth="1"/>
    <col min="1035" max="1035" width="3.5546875" style="39" customWidth="1"/>
    <col min="1036" max="1280" width="9.109375" style="39"/>
    <col min="1281" max="1281" width="8.88671875" style="39" customWidth="1"/>
    <col min="1282" max="1282" width="9.88671875" style="39" customWidth="1"/>
    <col min="1283" max="1283" width="14.44140625" style="39" customWidth="1"/>
    <col min="1284" max="1284" width="7.109375" style="39" customWidth="1"/>
    <col min="1285" max="1285" width="5.5546875" style="39" customWidth="1"/>
    <col min="1286" max="1286" width="9" style="39" customWidth="1"/>
    <col min="1287" max="1288" width="9.88671875" style="39" customWidth="1"/>
    <col min="1289" max="1289" width="11.109375" style="39" customWidth="1"/>
    <col min="1290" max="1290" width="2.88671875" style="39" customWidth="1"/>
    <col min="1291" max="1291" width="3.5546875" style="39" customWidth="1"/>
    <col min="1292" max="1536" width="9.109375" style="39"/>
    <col min="1537" max="1537" width="8.88671875" style="39" customWidth="1"/>
    <col min="1538" max="1538" width="9.88671875" style="39" customWidth="1"/>
    <col min="1539" max="1539" width="14.44140625" style="39" customWidth="1"/>
    <col min="1540" max="1540" width="7.109375" style="39" customWidth="1"/>
    <col min="1541" max="1541" width="5.5546875" style="39" customWidth="1"/>
    <col min="1542" max="1542" width="9" style="39" customWidth="1"/>
    <col min="1543" max="1544" width="9.88671875" style="39" customWidth="1"/>
    <col min="1545" max="1545" width="11.109375" style="39" customWidth="1"/>
    <col min="1546" max="1546" width="2.88671875" style="39" customWidth="1"/>
    <col min="1547" max="1547" width="3.5546875" style="39" customWidth="1"/>
    <col min="1548" max="1792" width="9.109375" style="39"/>
    <col min="1793" max="1793" width="8.88671875" style="39" customWidth="1"/>
    <col min="1794" max="1794" width="9.88671875" style="39" customWidth="1"/>
    <col min="1795" max="1795" width="14.44140625" style="39" customWidth="1"/>
    <col min="1796" max="1796" width="7.109375" style="39" customWidth="1"/>
    <col min="1797" max="1797" width="5.5546875" style="39" customWidth="1"/>
    <col min="1798" max="1798" width="9" style="39" customWidth="1"/>
    <col min="1799" max="1800" width="9.88671875" style="39" customWidth="1"/>
    <col min="1801" max="1801" width="11.109375" style="39" customWidth="1"/>
    <col min="1802" max="1802" width="2.88671875" style="39" customWidth="1"/>
    <col min="1803" max="1803" width="3.5546875" style="39" customWidth="1"/>
    <col min="1804" max="2048" width="9.109375" style="39"/>
    <col min="2049" max="2049" width="8.88671875" style="39" customWidth="1"/>
    <col min="2050" max="2050" width="9.88671875" style="39" customWidth="1"/>
    <col min="2051" max="2051" width="14.44140625" style="39" customWidth="1"/>
    <col min="2052" max="2052" width="7.109375" style="39" customWidth="1"/>
    <col min="2053" max="2053" width="5.5546875" style="39" customWidth="1"/>
    <col min="2054" max="2054" width="9" style="39" customWidth="1"/>
    <col min="2055" max="2056" width="9.88671875" style="39" customWidth="1"/>
    <col min="2057" max="2057" width="11.109375" style="39" customWidth="1"/>
    <col min="2058" max="2058" width="2.88671875" style="39" customWidth="1"/>
    <col min="2059" max="2059" width="3.5546875" style="39" customWidth="1"/>
    <col min="2060" max="2304" width="9.109375" style="39"/>
    <col min="2305" max="2305" width="8.88671875" style="39" customWidth="1"/>
    <col min="2306" max="2306" width="9.88671875" style="39" customWidth="1"/>
    <col min="2307" max="2307" width="14.44140625" style="39" customWidth="1"/>
    <col min="2308" max="2308" width="7.109375" style="39" customWidth="1"/>
    <col min="2309" max="2309" width="5.5546875" style="39" customWidth="1"/>
    <col min="2310" max="2310" width="9" style="39" customWidth="1"/>
    <col min="2311" max="2312" width="9.88671875" style="39" customWidth="1"/>
    <col min="2313" max="2313" width="11.109375" style="39" customWidth="1"/>
    <col min="2314" max="2314" width="2.88671875" style="39" customWidth="1"/>
    <col min="2315" max="2315" width="3.5546875" style="39" customWidth="1"/>
    <col min="2316" max="2560" width="9.109375" style="39"/>
    <col min="2561" max="2561" width="8.88671875" style="39" customWidth="1"/>
    <col min="2562" max="2562" width="9.88671875" style="39" customWidth="1"/>
    <col min="2563" max="2563" width="14.44140625" style="39" customWidth="1"/>
    <col min="2564" max="2564" width="7.109375" style="39" customWidth="1"/>
    <col min="2565" max="2565" width="5.5546875" style="39" customWidth="1"/>
    <col min="2566" max="2566" width="9" style="39" customWidth="1"/>
    <col min="2567" max="2568" width="9.88671875" style="39" customWidth="1"/>
    <col min="2569" max="2569" width="11.109375" style="39" customWidth="1"/>
    <col min="2570" max="2570" width="2.88671875" style="39" customWidth="1"/>
    <col min="2571" max="2571" width="3.5546875" style="39" customWidth="1"/>
    <col min="2572" max="2816" width="9.109375" style="39"/>
    <col min="2817" max="2817" width="8.88671875" style="39" customWidth="1"/>
    <col min="2818" max="2818" width="9.88671875" style="39" customWidth="1"/>
    <col min="2819" max="2819" width="14.44140625" style="39" customWidth="1"/>
    <col min="2820" max="2820" width="7.109375" style="39" customWidth="1"/>
    <col min="2821" max="2821" width="5.5546875" style="39" customWidth="1"/>
    <col min="2822" max="2822" width="9" style="39" customWidth="1"/>
    <col min="2823" max="2824" width="9.88671875" style="39" customWidth="1"/>
    <col min="2825" max="2825" width="11.109375" style="39" customWidth="1"/>
    <col min="2826" max="2826" width="2.88671875" style="39" customWidth="1"/>
    <col min="2827" max="2827" width="3.5546875" style="39" customWidth="1"/>
    <col min="2828" max="3072" width="9.109375" style="39"/>
    <col min="3073" max="3073" width="8.88671875" style="39" customWidth="1"/>
    <col min="3074" max="3074" width="9.88671875" style="39" customWidth="1"/>
    <col min="3075" max="3075" width="14.44140625" style="39" customWidth="1"/>
    <col min="3076" max="3076" width="7.109375" style="39" customWidth="1"/>
    <col min="3077" max="3077" width="5.5546875" style="39" customWidth="1"/>
    <col min="3078" max="3078" width="9" style="39" customWidth="1"/>
    <col min="3079" max="3080" width="9.88671875" style="39" customWidth="1"/>
    <col min="3081" max="3081" width="11.109375" style="39" customWidth="1"/>
    <col min="3082" max="3082" width="2.88671875" style="39" customWidth="1"/>
    <col min="3083" max="3083" width="3.5546875" style="39" customWidth="1"/>
    <col min="3084" max="3328" width="9.109375" style="39"/>
    <col min="3329" max="3329" width="8.88671875" style="39" customWidth="1"/>
    <col min="3330" max="3330" width="9.88671875" style="39" customWidth="1"/>
    <col min="3331" max="3331" width="14.44140625" style="39" customWidth="1"/>
    <col min="3332" max="3332" width="7.109375" style="39" customWidth="1"/>
    <col min="3333" max="3333" width="5.5546875" style="39" customWidth="1"/>
    <col min="3334" max="3334" width="9" style="39" customWidth="1"/>
    <col min="3335" max="3336" width="9.88671875" style="39" customWidth="1"/>
    <col min="3337" max="3337" width="11.109375" style="39" customWidth="1"/>
    <col min="3338" max="3338" width="2.88671875" style="39" customWidth="1"/>
    <col min="3339" max="3339" width="3.5546875" style="39" customWidth="1"/>
    <col min="3340" max="3584" width="9.109375" style="39"/>
    <col min="3585" max="3585" width="8.88671875" style="39" customWidth="1"/>
    <col min="3586" max="3586" width="9.88671875" style="39" customWidth="1"/>
    <col min="3587" max="3587" width="14.44140625" style="39" customWidth="1"/>
    <col min="3588" max="3588" width="7.109375" style="39" customWidth="1"/>
    <col min="3589" max="3589" width="5.5546875" style="39" customWidth="1"/>
    <col min="3590" max="3590" width="9" style="39" customWidth="1"/>
    <col min="3591" max="3592" width="9.88671875" style="39" customWidth="1"/>
    <col min="3593" max="3593" width="11.109375" style="39" customWidth="1"/>
    <col min="3594" max="3594" width="2.88671875" style="39" customWidth="1"/>
    <col min="3595" max="3595" width="3.5546875" style="39" customWidth="1"/>
    <col min="3596" max="3840" width="9.109375" style="39"/>
    <col min="3841" max="3841" width="8.88671875" style="39" customWidth="1"/>
    <col min="3842" max="3842" width="9.88671875" style="39" customWidth="1"/>
    <col min="3843" max="3843" width="14.44140625" style="39" customWidth="1"/>
    <col min="3844" max="3844" width="7.109375" style="39" customWidth="1"/>
    <col min="3845" max="3845" width="5.5546875" style="39" customWidth="1"/>
    <col min="3846" max="3846" width="9" style="39" customWidth="1"/>
    <col min="3847" max="3848" width="9.88671875" style="39" customWidth="1"/>
    <col min="3849" max="3849" width="11.109375" style="39" customWidth="1"/>
    <col min="3850" max="3850" width="2.88671875" style="39" customWidth="1"/>
    <col min="3851" max="3851" width="3.5546875" style="39" customWidth="1"/>
    <col min="3852" max="4096" width="9.109375" style="39"/>
    <col min="4097" max="4097" width="8.88671875" style="39" customWidth="1"/>
    <col min="4098" max="4098" width="9.88671875" style="39" customWidth="1"/>
    <col min="4099" max="4099" width="14.44140625" style="39" customWidth="1"/>
    <col min="4100" max="4100" width="7.109375" style="39" customWidth="1"/>
    <col min="4101" max="4101" width="5.5546875" style="39" customWidth="1"/>
    <col min="4102" max="4102" width="9" style="39" customWidth="1"/>
    <col min="4103" max="4104" width="9.88671875" style="39" customWidth="1"/>
    <col min="4105" max="4105" width="11.109375" style="39" customWidth="1"/>
    <col min="4106" max="4106" width="2.88671875" style="39" customWidth="1"/>
    <col min="4107" max="4107" width="3.5546875" style="39" customWidth="1"/>
    <col min="4108" max="4352" width="9.109375" style="39"/>
    <col min="4353" max="4353" width="8.88671875" style="39" customWidth="1"/>
    <col min="4354" max="4354" width="9.88671875" style="39" customWidth="1"/>
    <col min="4355" max="4355" width="14.44140625" style="39" customWidth="1"/>
    <col min="4356" max="4356" width="7.109375" style="39" customWidth="1"/>
    <col min="4357" max="4357" width="5.5546875" style="39" customWidth="1"/>
    <col min="4358" max="4358" width="9" style="39" customWidth="1"/>
    <col min="4359" max="4360" width="9.88671875" style="39" customWidth="1"/>
    <col min="4361" max="4361" width="11.109375" style="39" customWidth="1"/>
    <col min="4362" max="4362" width="2.88671875" style="39" customWidth="1"/>
    <col min="4363" max="4363" width="3.5546875" style="39" customWidth="1"/>
    <col min="4364" max="4608" width="9.109375" style="39"/>
    <col min="4609" max="4609" width="8.88671875" style="39" customWidth="1"/>
    <col min="4610" max="4610" width="9.88671875" style="39" customWidth="1"/>
    <col min="4611" max="4611" width="14.44140625" style="39" customWidth="1"/>
    <col min="4612" max="4612" width="7.109375" style="39" customWidth="1"/>
    <col min="4613" max="4613" width="5.5546875" style="39" customWidth="1"/>
    <col min="4614" max="4614" width="9" style="39" customWidth="1"/>
    <col min="4615" max="4616" width="9.88671875" style="39" customWidth="1"/>
    <col min="4617" max="4617" width="11.109375" style="39" customWidth="1"/>
    <col min="4618" max="4618" width="2.88671875" style="39" customWidth="1"/>
    <col min="4619" max="4619" width="3.5546875" style="39" customWidth="1"/>
    <col min="4620" max="4864" width="9.109375" style="39"/>
    <col min="4865" max="4865" width="8.88671875" style="39" customWidth="1"/>
    <col min="4866" max="4866" width="9.88671875" style="39" customWidth="1"/>
    <col min="4867" max="4867" width="14.44140625" style="39" customWidth="1"/>
    <col min="4868" max="4868" width="7.109375" style="39" customWidth="1"/>
    <col min="4869" max="4869" width="5.5546875" style="39" customWidth="1"/>
    <col min="4870" max="4870" width="9" style="39" customWidth="1"/>
    <col min="4871" max="4872" width="9.88671875" style="39" customWidth="1"/>
    <col min="4873" max="4873" width="11.109375" style="39" customWidth="1"/>
    <col min="4874" max="4874" width="2.88671875" style="39" customWidth="1"/>
    <col min="4875" max="4875" width="3.5546875" style="39" customWidth="1"/>
    <col min="4876" max="5120" width="9.109375" style="39"/>
    <col min="5121" max="5121" width="8.88671875" style="39" customWidth="1"/>
    <col min="5122" max="5122" width="9.88671875" style="39" customWidth="1"/>
    <col min="5123" max="5123" width="14.44140625" style="39" customWidth="1"/>
    <col min="5124" max="5124" width="7.109375" style="39" customWidth="1"/>
    <col min="5125" max="5125" width="5.5546875" style="39" customWidth="1"/>
    <col min="5126" max="5126" width="9" style="39" customWidth="1"/>
    <col min="5127" max="5128" width="9.88671875" style="39" customWidth="1"/>
    <col min="5129" max="5129" width="11.109375" style="39" customWidth="1"/>
    <col min="5130" max="5130" width="2.88671875" style="39" customWidth="1"/>
    <col min="5131" max="5131" width="3.5546875" style="39" customWidth="1"/>
    <col min="5132" max="5376" width="9.109375" style="39"/>
    <col min="5377" max="5377" width="8.88671875" style="39" customWidth="1"/>
    <col min="5378" max="5378" width="9.88671875" style="39" customWidth="1"/>
    <col min="5379" max="5379" width="14.44140625" style="39" customWidth="1"/>
    <col min="5380" max="5380" width="7.109375" style="39" customWidth="1"/>
    <col min="5381" max="5381" width="5.5546875" style="39" customWidth="1"/>
    <col min="5382" max="5382" width="9" style="39" customWidth="1"/>
    <col min="5383" max="5384" width="9.88671875" style="39" customWidth="1"/>
    <col min="5385" max="5385" width="11.109375" style="39" customWidth="1"/>
    <col min="5386" max="5386" width="2.88671875" style="39" customWidth="1"/>
    <col min="5387" max="5387" width="3.5546875" style="39" customWidth="1"/>
    <col min="5388" max="5632" width="9.109375" style="39"/>
    <col min="5633" max="5633" width="8.88671875" style="39" customWidth="1"/>
    <col min="5634" max="5634" width="9.88671875" style="39" customWidth="1"/>
    <col min="5635" max="5635" width="14.44140625" style="39" customWidth="1"/>
    <col min="5636" max="5636" width="7.109375" style="39" customWidth="1"/>
    <col min="5637" max="5637" width="5.5546875" style="39" customWidth="1"/>
    <col min="5638" max="5638" width="9" style="39" customWidth="1"/>
    <col min="5639" max="5640" width="9.88671875" style="39" customWidth="1"/>
    <col min="5641" max="5641" width="11.109375" style="39" customWidth="1"/>
    <col min="5642" max="5642" width="2.88671875" style="39" customWidth="1"/>
    <col min="5643" max="5643" width="3.5546875" style="39" customWidth="1"/>
    <col min="5644" max="5888" width="9.109375" style="39"/>
    <col min="5889" max="5889" width="8.88671875" style="39" customWidth="1"/>
    <col min="5890" max="5890" width="9.88671875" style="39" customWidth="1"/>
    <col min="5891" max="5891" width="14.44140625" style="39" customWidth="1"/>
    <col min="5892" max="5892" width="7.109375" style="39" customWidth="1"/>
    <col min="5893" max="5893" width="5.5546875" style="39" customWidth="1"/>
    <col min="5894" max="5894" width="9" style="39" customWidth="1"/>
    <col min="5895" max="5896" width="9.88671875" style="39" customWidth="1"/>
    <col min="5897" max="5897" width="11.109375" style="39" customWidth="1"/>
    <col min="5898" max="5898" width="2.88671875" style="39" customWidth="1"/>
    <col min="5899" max="5899" width="3.5546875" style="39" customWidth="1"/>
    <col min="5900" max="6144" width="9.109375" style="39"/>
    <col min="6145" max="6145" width="8.88671875" style="39" customWidth="1"/>
    <col min="6146" max="6146" width="9.88671875" style="39" customWidth="1"/>
    <col min="6147" max="6147" width="14.44140625" style="39" customWidth="1"/>
    <col min="6148" max="6148" width="7.109375" style="39" customWidth="1"/>
    <col min="6149" max="6149" width="5.5546875" style="39" customWidth="1"/>
    <col min="6150" max="6150" width="9" style="39" customWidth="1"/>
    <col min="6151" max="6152" width="9.88671875" style="39" customWidth="1"/>
    <col min="6153" max="6153" width="11.109375" style="39" customWidth="1"/>
    <col min="6154" max="6154" width="2.88671875" style="39" customWidth="1"/>
    <col min="6155" max="6155" width="3.5546875" style="39" customWidth="1"/>
    <col min="6156" max="6400" width="9.109375" style="39"/>
    <col min="6401" max="6401" width="8.88671875" style="39" customWidth="1"/>
    <col min="6402" max="6402" width="9.88671875" style="39" customWidth="1"/>
    <col min="6403" max="6403" width="14.44140625" style="39" customWidth="1"/>
    <col min="6404" max="6404" width="7.109375" style="39" customWidth="1"/>
    <col min="6405" max="6405" width="5.5546875" style="39" customWidth="1"/>
    <col min="6406" max="6406" width="9" style="39" customWidth="1"/>
    <col min="6407" max="6408" width="9.88671875" style="39" customWidth="1"/>
    <col min="6409" max="6409" width="11.109375" style="39" customWidth="1"/>
    <col min="6410" max="6410" width="2.88671875" style="39" customWidth="1"/>
    <col min="6411" max="6411" width="3.5546875" style="39" customWidth="1"/>
    <col min="6412" max="6656" width="9.109375" style="39"/>
    <col min="6657" max="6657" width="8.88671875" style="39" customWidth="1"/>
    <col min="6658" max="6658" width="9.88671875" style="39" customWidth="1"/>
    <col min="6659" max="6659" width="14.44140625" style="39" customWidth="1"/>
    <col min="6660" max="6660" width="7.109375" style="39" customWidth="1"/>
    <col min="6661" max="6661" width="5.5546875" style="39" customWidth="1"/>
    <col min="6662" max="6662" width="9" style="39" customWidth="1"/>
    <col min="6663" max="6664" width="9.88671875" style="39" customWidth="1"/>
    <col min="6665" max="6665" width="11.109375" style="39" customWidth="1"/>
    <col min="6666" max="6666" width="2.88671875" style="39" customWidth="1"/>
    <col min="6667" max="6667" width="3.5546875" style="39" customWidth="1"/>
    <col min="6668" max="6912" width="9.109375" style="39"/>
    <col min="6913" max="6913" width="8.88671875" style="39" customWidth="1"/>
    <col min="6914" max="6914" width="9.88671875" style="39" customWidth="1"/>
    <col min="6915" max="6915" width="14.44140625" style="39" customWidth="1"/>
    <col min="6916" max="6916" width="7.109375" style="39" customWidth="1"/>
    <col min="6917" max="6917" width="5.5546875" style="39" customWidth="1"/>
    <col min="6918" max="6918" width="9" style="39" customWidth="1"/>
    <col min="6919" max="6920" width="9.88671875" style="39" customWidth="1"/>
    <col min="6921" max="6921" width="11.109375" style="39" customWidth="1"/>
    <col min="6922" max="6922" width="2.88671875" style="39" customWidth="1"/>
    <col min="6923" max="6923" width="3.5546875" style="39" customWidth="1"/>
    <col min="6924" max="7168" width="9.109375" style="39"/>
    <col min="7169" max="7169" width="8.88671875" style="39" customWidth="1"/>
    <col min="7170" max="7170" width="9.88671875" style="39" customWidth="1"/>
    <col min="7171" max="7171" width="14.44140625" style="39" customWidth="1"/>
    <col min="7172" max="7172" width="7.109375" style="39" customWidth="1"/>
    <col min="7173" max="7173" width="5.5546875" style="39" customWidth="1"/>
    <col min="7174" max="7174" width="9" style="39" customWidth="1"/>
    <col min="7175" max="7176" width="9.88671875" style="39" customWidth="1"/>
    <col min="7177" max="7177" width="11.109375" style="39" customWidth="1"/>
    <col min="7178" max="7178" width="2.88671875" style="39" customWidth="1"/>
    <col min="7179" max="7179" width="3.5546875" style="39" customWidth="1"/>
    <col min="7180" max="7424" width="9.109375" style="39"/>
    <col min="7425" max="7425" width="8.88671875" style="39" customWidth="1"/>
    <col min="7426" max="7426" width="9.88671875" style="39" customWidth="1"/>
    <col min="7427" max="7427" width="14.44140625" style="39" customWidth="1"/>
    <col min="7428" max="7428" width="7.109375" style="39" customWidth="1"/>
    <col min="7429" max="7429" width="5.5546875" style="39" customWidth="1"/>
    <col min="7430" max="7430" width="9" style="39" customWidth="1"/>
    <col min="7431" max="7432" width="9.88671875" style="39" customWidth="1"/>
    <col min="7433" max="7433" width="11.109375" style="39" customWidth="1"/>
    <col min="7434" max="7434" width="2.88671875" style="39" customWidth="1"/>
    <col min="7435" max="7435" width="3.5546875" style="39" customWidth="1"/>
    <col min="7436" max="7680" width="9.109375" style="39"/>
    <col min="7681" max="7681" width="8.88671875" style="39" customWidth="1"/>
    <col min="7682" max="7682" width="9.88671875" style="39" customWidth="1"/>
    <col min="7683" max="7683" width="14.44140625" style="39" customWidth="1"/>
    <col min="7684" max="7684" width="7.109375" style="39" customWidth="1"/>
    <col min="7685" max="7685" width="5.5546875" style="39" customWidth="1"/>
    <col min="7686" max="7686" width="9" style="39" customWidth="1"/>
    <col min="7687" max="7688" width="9.88671875" style="39" customWidth="1"/>
    <col min="7689" max="7689" width="11.109375" style="39" customWidth="1"/>
    <col min="7690" max="7690" width="2.88671875" style="39" customWidth="1"/>
    <col min="7691" max="7691" width="3.5546875" style="39" customWidth="1"/>
    <col min="7692" max="7936" width="9.109375" style="39"/>
    <col min="7937" max="7937" width="8.88671875" style="39" customWidth="1"/>
    <col min="7938" max="7938" width="9.88671875" style="39" customWidth="1"/>
    <col min="7939" max="7939" width="14.44140625" style="39" customWidth="1"/>
    <col min="7940" max="7940" width="7.109375" style="39" customWidth="1"/>
    <col min="7941" max="7941" width="5.5546875" style="39" customWidth="1"/>
    <col min="7942" max="7942" width="9" style="39" customWidth="1"/>
    <col min="7943" max="7944" width="9.88671875" style="39" customWidth="1"/>
    <col min="7945" max="7945" width="11.109375" style="39" customWidth="1"/>
    <col min="7946" max="7946" width="2.88671875" style="39" customWidth="1"/>
    <col min="7947" max="7947" width="3.5546875" style="39" customWidth="1"/>
    <col min="7948" max="8192" width="9.109375" style="39"/>
    <col min="8193" max="8193" width="8.88671875" style="39" customWidth="1"/>
    <col min="8194" max="8194" width="9.88671875" style="39" customWidth="1"/>
    <col min="8195" max="8195" width="14.44140625" style="39" customWidth="1"/>
    <col min="8196" max="8196" width="7.109375" style="39" customWidth="1"/>
    <col min="8197" max="8197" width="5.5546875" style="39" customWidth="1"/>
    <col min="8198" max="8198" width="9" style="39" customWidth="1"/>
    <col min="8199" max="8200" width="9.88671875" style="39" customWidth="1"/>
    <col min="8201" max="8201" width="11.109375" style="39" customWidth="1"/>
    <col min="8202" max="8202" width="2.88671875" style="39" customWidth="1"/>
    <col min="8203" max="8203" width="3.5546875" style="39" customWidth="1"/>
    <col min="8204" max="8448" width="9.109375" style="39"/>
    <col min="8449" max="8449" width="8.88671875" style="39" customWidth="1"/>
    <col min="8450" max="8450" width="9.88671875" style="39" customWidth="1"/>
    <col min="8451" max="8451" width="14.44140625" style="39" customWidth="1"/>
    <col min="8452" max="8452" width="7.109375" style="39" customWidth="1"/>
    <col min="8453" max="8453" width="5.5546875" style="39" customWidth="1"/>
    <col min="8454" max="8454" width="9" style="39" customWidth="1"/>
    <col min="8455" max="8456" width="9.88671875" style="39" customWidth="1"/>
    <col min="8457" max="8457" width="11.109375" style="39" customWidth="1"/>
    <col min="8458" max="8458" width="2.88671875" style="39" customWidth="1"/>
    <col min="8459" max="8459" width="3.5546875" style="39" customWidth="1"/>
    <col min="8460" max="8704" width="9.109375" style="39"/>
    <col min="8705" max="8705" width="8.88671875" style="39" customWidth="1"/>
    <col min="8706" max="8706" width="9.88671875" style="39" customWidth="1"/>
    <col min="8707" max="8707" width="14.44140625" style="39" customWidth="1"/>
    <col min="8708" max="8708" width="7.109375" style="39" customWidth="1"/>
    <col min="8709" max="8709" width="5.5546875" style="39" customWidth="1"/>
    <col min="8710" max="8710" width="9" style="39" customWidth="1"/>
    <col min="8711" max="8712" width="9.88671875" style="39" customWidth="1"/>
    <col min="8713" max="8713" width="11.109375" style="39" customWidth="1"/>
    <col min="8714" max="8714" width="2.88671875" style="39" customWidth="1"/>
    <col min="8715" max="8715" width="3.5546875" style="39" customWidth="1"/>
    <col min="8716" max="8960" width="9.109375" style="39"/>
    <col min="8961" max="8961" width="8.88671875" style="39" customWidth="1"/>
    <col min="8962" max="8962" width="9.88671875" style="39" customWidth="1"/>
    <col min="8963" max="8963" width="14.44140625" style="39" customWidth="1"/>
    <col min="8964" max="8964" width="7.109375" style="39" customWidth="1"/>
    <col min="8965" max="8965" width="5.5546875" style="39" customWidth="1"/>
    <col min="8966" max="8966" width="9" style="39" customWidth="1"/>
    <col min="8967" max="8968" width="9.88671875" style="39" customWidth="1"/>
    <col min="8969" max="8969" width="11.109375" style="39" customWidth="1"/>
    <col min="8970" max="8970" width="2.88671875" style="39" customWidth="1"/>
    <col min="8971" max="8971" width="3.5546875" style="39" customWidth="1"/>
    <col min="8972" max="9216" width="9.109375" style="39"/>
    <col min="9217" max="9217" width="8.88671875" style="39" customWidth="1"/>
    <col min="9218" max="9218" width="9.88671875" style="39" customWidth="1"/>
    <col min="9219" max="9219" width="14.44140625" style="39" customWidth="1"/>
    <col min="9220" max="9220" width="7.109375" style="39" customWidth="1"/>
    <col min="9221" max="9221" width="5.5546875" style="39" customWidth="1"/>
    <col min="9222" max="9222" width="9" style="39" customWidth="1"/>
    <col min="9223" max="9224" width="9.88671875" style="39" customWidth="1"/>
    <col min="9225" max="9225" width="11.109375" style="39" customWidth="1"/>
    <col min="9226" max="9226" width="2.88671875" style="39" customWidth="1"/>
    <col min="9227" max="9227" width="3.5546875" style="39" customWidth="1"/>
    <col min="9228" max="9472" width="9.109375" style="39"/>
    <col min="9473" max="9473" width="8.88671875" style="39" customWidth="1"/>
    <col min="9474" max="9474" width="9.88671875" style="39" customWidth="1"/>
    <col min="9475" max="9475" width="14.44140625" style="39" customWidth="1"/>
    <col min="9476" max="9476" width="7.109375" style="39" customWidth="1"/>
    <col min="9477" max="9477" width="5.5546875" style="39" customWidth="1"/>
    <col min="9478" max="9478" width="9" style="39" customWidth="1"/>
    <col min="9479" max="9480" width="9.88671875" style="39" customWidth="1"/>
    <col min="9481" max="9481" width="11.109375" style="39" customWidth="1"/>
    <col min="9482" max="9482" width="2.88671875" style="39" customWidth="1"/>
    <col min="9483" max="9483" width="3.5546875" style="39" customWidth="1"/>
    <col min="9484" max="9728" width="9.109375" style="39"/>
    <col min="9729" max="9729" width="8.88671875" style="39" customWidth="1"/>
    <col min="9730" max="9730" width="9.88671875" style="39" customWidth="1"/>
    <col min="9731" max="9731" width="14.44140625" style="39" customWidth="1"/>
    <col min="9732" max="9732" width="7.109375" style="39" customWidth="1"/>
    <col min="9733" max="9733" width="5.5546875" style="39" customWidth="1"/>
    <col min="9734" max="9734" width="9" style="39" customWidth="1"/>
    <col min="9735" max="9736" width="9.88671875" style="39" customWidth="1"/>
    <col min="9737" max="9737" width="11.109375" style="39" customWidth="1"/>
    <col min="9738" max="9738" width="2.88671875" style="39" customWidth="1"/>
    <col min="9739" max="9739" width="3.5546875" style="39" customWidth="1"/>
    <col min="9740" max="9984" width="9.109375" style="39"/>
    <col min="9985" max="9985" width="8.88671875" style="39" customWidth="1"/>
    <col min="9986" max="9986" width="9.88671875" style="39" customWidth="1"/>
    <col min="9987" max="9987" width="14.44140625" style="39" customWidth="1"/>
    <col min="9988" max="9988" width="7.109375" style="39" customWidth="1"/>
    <col min="9989" max="9989" width="5.5546875" style="39" customWidth="1"/>
    <col min="9990" max="9990" width="9" style="39" customWidth="1"/>
    <col min="9991" max="9992" width="9.88671875" style="39" customWidth="1"/>
    <col min="9993" max="9993" width="11.109375" style="39" customWidth="1"/>
    <col min="9994" max="9994" width="2.88671875" style="39" customWidth="1"/>
    <col min="9995" max="9995" width="3.5546875" style="39" customWidth="1"/>
    <col min="9996" max="10240" width="9.109375" style="39"/>
    <col min="10241" max="10241" width="8.88671875" style="39" customWidth="1"/>
    <col min="10242" max="10242" width="9.88671875" style="39" customWidth="1"/>
    <col min="10243" max="10243" width="14.44140625" style="39" customWidth="1"/>
    <col min="10244" max="10244" width="7.109375" style="39" customWidth="1"/>
    <col min="10245" max="10245" width="5.5546875" style="39" customWidth="1"/>
    <col min="10246" max="10246" width="9" style="39" customWidth="1"/>
    <col min="10247" max="10248" width="9.88671875" style="39" customWidth="1"/>
    <col min="10249" max="10249" width="11.109375" style="39" customWidth="1"/>
    <col min="10250" max="10250" width="2.88671875" style="39" customWidth="1"/>
    <col min="10251" max="10251" width="3.5546875" style="39" customWidth="1"/>
    <col min="10252" max="10496" width="9.109375" style="39"/>
    <col min="10497" max="10497" width="8.88671875" style="39" customWidth="1"/>
    <col min="10498" max="10498" width="9.88671875" style="39" customWidth="1"/>
    <col min="10499" max="10499" width="14.44140625" style="39" customWidth="1"/>
    <col min="10500" max="10500" width="7.109375" style="39" customWidth="1"/>
    <col min="10501" max="10501" width="5.5546875" style="39" customWidth="1"/>
    <col min="10502" max="10502" width="9" style="39" customWidth="1"/>
    <col min="10503" max="10504" width="9.88671875" style="39" customWidth="1"/>
    <col min="10505" max="10505" width="11.109375" style="39" customWidth="1"/>
    <col min="10506" max="10506" width="2.88671875" style="39" customWidth="1"/>
    <col min="10507" max="10507" width="3.5546875" style="39" customWidth="1"/>
    <col min="10508" max="10752" width="9.109375" style="39"/>
    <col min="10753" max="10753" width="8.88671875" style="39" customWidth="1"/>
    <col min="10754" max="10754" width="9.88671875" style="39" customWidth="1"/>
    <col min="10755" max="10755" width="14.44140625" style="39" customWidth="1"/>
    <col min="10756" max="10756" width="7.109375" style="39" customWidth="1"/>
    <col min="10757" max="10757" width="5.5546875" style="39" customWidth="1"/>
    <col min="10758" max="10758" width="9" style="39" customWidth="1"/>
    <col min="10759" max="10760" width="9.88671875" style="39" customWidth="1"/>
    <col min="10761" max="10761" width="11.109375" style="39" customWidth="1"/>
    <col min="10762" max="10762" width="2.88671875" style="39" customWidth="1"/>
    <col min="10763" max="10763" width="3.5546875" style="39" customWidth="1"/>
    <col min="10764" max="11008" width="9.109375" style="39"/>
    <col min="11009" max="11009" width="8.88671875" style="39" customWidth="1"/>
    <col min="11010" max="11010" width="9.88671875" style="39" customWidth="1"/>
    <col min="11011" max="11011" width="14.44140625" style="39" customWidth="1"/>
    <col min="11012" max="11012" width="7.109375" style="39" customWidth="1"/>
    <col min="11013" max="11013" width="5.5546875" style="39" customWidth="1"/>
    <col min="11014" max="11014" width="9" style="39" customWidth="1"/>
    <col min="11015" max="11016" width="9.88671875" style="39" customWidth="1"/>
    <col min="11017" max="11017" width="11.109375" style="39" customWidth="1"/>
    <col min="11018" max="11018" width="2.88671875" style="39" customWidth="1"/>
    <col min="11019" max="11019" width="3.5546875" style="39" customWidth="1"/>
    <col min="11020" max="11264" width="9.109375" style="39"/>
    <col min="11265" max="11265" width="8.88671875" style="39" customWidth="1"/>
    <col min="11266" max="11266" width="9.88671875" style="39" customWidth="1"/>
    <col min="11267" max="11267" width="14.44140625" style="39" customWidth="1"/>
    <col min="11268" max="11268" width="7.109375" style="39" customWidth="1"/>
    <col min="11269" max="11269" width="5.5546875" style="39" customWidth="1"/>
    <col min="11270" max="11270" width="9" style="39" customWidth="1"/>
    <col min="11271" max="11272" width="9.88671875" style="39" customWidth="1"/>
    <col min="11273" max="11273" width="11.109375" style="39" customWidth="1"/>
    <col min="11274" max="11274" width="2.88671875" style="39" customWidth="1"/>
    <col min="11275" max="11275" width="3.5546875" style="39" customWidth="1"/>
    <col min="11276" max="11520" width="9.109375" style="39"/>
    <col min="11521" max="11521" width="8.88671875" style="39" customWidth="1"/>
    <col min="11522" max="11522" width="9.88671875" style="39" customWidth="1"/>
    <col min="11523" max="11523" width="14.44140625" style="39" customWidth="1"/>
    <col min="11524" max="11524" width="7.109375" style="39" customWidth="1"/>
    <col min="11525" max="11525" width="5.5546875" style="39" customWidth="1"/>
    <col min="11526" max="11526" width="9" style="39" customWidth="1"/>
    <col min="11527" max="11528" width="9.88671875" style="39" customWidth="1"/>
    <col min="11529" max="11529" width="11.109375" style="39" customWidth="1"/>
    <col min="11530" max="11530" width="2.88671875" style="39" customWidth="1"/>
    <col min="11531" max="11531" width="3.5546875" style="39" customWidth="1"/>
    <col min="11532" max="11776" width="9.109375" style="39"/>
    <col min="11777" max="11777" width="8.88671875" style="39" customWidth="1"/>
    <col min="11778" max="11778" width="9.88671875" style="39" customWidth="1"/>
    <col min="11779" max="11779" width="14.44140625" style="39" customWidth="1"/>
    <col min="11780" max="11780" width="7.109375" style="39" customWidth="1"/>
    <col min="11781" max="11781" width="5.5546875" style="39" customWidth="1"/>
    <col min="11782" max="11782" width="9" style="39" customWidth="1"/>
    <col min="11783" max="11784" width="9.88671875" style="39" customWidth="1"/>
    <col min="11785" max="11785" width="11.109375" style="39" customWidth="1"/>
    <col min="11786" max="11786" width="2.88671875" style="39" customWidth="1"/>
    <col min="11787" max="11787" width="3.5546875" style="39" customWidth="1"/>
    <col min="11788" max="12032" width="9.109375" style="39"/>
    <col min="12033" max="12033" width="8.88671875" style="39" customWidth="1"/>
    <col min="12034" max="12034" width="9.88671875" style="39" customWidth="1"/>
    <col min="12035" max="12035" width="14.44140625" style="39" customWidth="1"/>
    <col min="12036" max="12036" width="7.109375" style="39" customWidth="1"/>
    <col min="12037" max="12037" width="5.5546875" style="39" customWidth="1"/>
    <col min="12038" max="12038" width="9" style="39" customWidth="1"/>
    <col min="12039" max="12040" width="9.88671875" style="39" customWidth="1"/>
    <col min="12041" max="12041" width="11.109375" style="39" customWidth="1"/>
    <col min="12042" max="12042" width="2.88671875" style="39" customWidth="1"/>
    <col min="12043" max="12043" width="3.5546875" style="39" customWidth="1"/>
    <col min="12044" max="12288" width="9.109375" style="39"/>
    <col min="12289" max="12289" width="8.88671875" style="39" customWidth="1"/>
    <col min="12290" max="12290" width="9.88671875" style="39" customWidth="1"/>
    <col min="12291" max="12291" width="14.44140625" style="39" customWidth="1"/>
    <col min="12292" max="12292" width="7.109375" style="39" customWidth="1"/>
    <col min="12293" max="12293" width="5.5546875" style="39" customWidth="1"/>
    <col min="12294" max="12294" width="9" style="39" customWidth="1"/>
    <col min="12295" max="12296" width="9.88671875" style="39" customWidth="1"/>
    <col min="12297" max="12297" width="11.109375" style="39" customWidth="1"/>
    <col min="12298" max="12298" width="2.88671875" style="39" customWidth="1"/>
    <col min="12299" max="12299" width="3.5546875" style="39" customWidth="1"/>
    <col min="12300" max="12544" width="9.109375" style="39"/>
    <col min="12545" max="12545" width="8.88671875" style="39" customWidth="1"/>
    <col min="12546" max="12546" width="9.88671875" style="39" customWidth="1"/>
    <col min="12547" max="12547" width="14.44140625" style="39" customWidth="1"/>
    <col min="12548" max="12548" width="7.109375" style="39" customWidth="1"/>
    <col min="12549" max="12549" width="5.5546875" style="39" customWidth="1"/>
    <col min="12550" max="12550" width="9" style="39" customWidth="1"/>
    <col min="12551" max="12552" width="9.88671875" style="39" customWidth="1"/>
    <col min="12553" max="12553" width="11.109375" style="39" customWidth="1"/>
    <col min="12554" max="12554" width="2.88671875" style="39" customWidth="1"/>
    <col min="12555" max="12555" width="3.5546875" style="39" customWidth="1"/>
    <col min="12556" max="12800" width="9.109375" style="39"/>
    <col min="12801" max="12801" width="8.88671875" style="39" customWidth="1"/>
    <col min="12802" max="12802" width="9.88671875" style="39" customWidth="1"/>
    <col min="12803" max="12803" width="14.44140625" style="39" customWidth="1"/>
    <col min="12804" max="12804" width="7.109375" style="39" customWidth="1"/>
    <col min="12805" max="12805" width="5.5546875" style="39" customWidth="1"/>
    <col min="12806" max="12806" width="9" style="39" customWidth="1"/>
    <col min="12807" max="12808" width="9.88671875" style="39" customWidth="1"/>
    <col min="12809" max="12809" width="11.109375" style="39" customWidth="1"/>
    <col min="12810" max="12810" width="2.88671875" style="39" customWidth="1"/>
    <col min="12811" max="12811" width="3.5546875" style="39" customWidth="1"/>
    <col min="12812" max="13056" width="9.109375" style="39"/>
    <col min="13057" max="13057" width="8.88671875" style="39" customWidth="1"/>
    <col min="13058" max="13058" width="9.88671875" style="39" customWidth="1"/>
    <col min="13059" max="13059" width="14.44140625" style="39" customWidth="1"/>
    <col min="13060" max="13060" width="7.109375" style="39" customWidth="1"/>
    <col min="13061" max="13061" width="5.5546875" style="39" customWidth="1"/>
    <col min="13062" max="13062" width="9" style="39" customWidth="1"/>
    <col min="13063" max="13064" width="9.88671875" style="39" customWidth="1"/>
    <col min="13065" max="13065" width="11.109375" style="39" customWidth="1"/>
    <col min="13066" max="13066" width="2.88671875" style="39" customWidth="1"/>
    <col min="13067" max="13067" width="3.5546875" style="39" customWidth="1"/>
    <col min="13068" max="13312" width="9.109375" style="39"/>
    <col min="13313" max="13313" width="8.88671875" style="39" customWidth="1"/>
    <col min="13314" max="13314" width="9.88671875" style="39" customWidth="1"/>
    <col min="13315" max="13315" width="14.44140625" style="39" customWidth="1"/>
    <col min="13316" max="13316" width="7.109375" style="39" customWidth="1"/>
    <col min="13317" max="13317" width="5.5546875" style="39" customWidth="1"/>
    <col min="13318" max="13318" width="9" style="39" customWidth="1"/>
    <col min="13319" max="13320" width="9.88671875" style="39" customWidth="1"/>
    <col min="13321" max="13321" width="11.109375" style="39" customWidth="1"/>
    <col min="13322" max="13322" width="2.88671875" style="39" customWidth="1"/>
    <col min="13323" max="13323" width="3.5546875" style="39" customWidth="1"/>
    <col min="13324" max="13568" width="9.109375" style="39"/>
    <col min="13569" max="13569" width="8.88671875" style="39" customWidth="1"/>
    <col min="13570" max="13570" width="9.88671875" style="39" customWidth="1"/>
    <col min="13571" max="13571" width="14.44140625" style="39" customWidth="1"/>
    <col min="13572" max="13572" width="7.109375" style="39" customWidth="1"/>
    <col min="13573" max="13573" width="5.5546875" style="39" customWidth="1"/>
    <col min="13574" max="13574" width="9" style="39" customWidth="1"/>
    <col min="13575" max="13576" width="9.88671875" style="39" customWidth="1"/>
    <col min="13577" max="13577" width="11.109375" style="39" customWidth="1"/>
    <col min="13578" max="13578" width="2.88671875" style="39" customWidth="1"/>
    <col min="13579" max="13579" width="3.5546875" style="39" customWidth="1"/>
    <col min="13580" max="13824" width="9.109375" style="39"/>
    <col min="13825" max="13825" width="8.88671875" style="39" customWidth="1"/>
    <col min="13826" max="13826" width="9.88671875" style="39" customWidth="1"/>
    <col min="13827" max="13827" width="14.44140625" style="39" customWidth="1"/>
    <col min="13828" max="13828" width="7.109375" style="39" customWidth="1"/>
    <col min="13829" max="13829" width="5.5546875" style="39" customWidth="1"/>
    <col min="13830" max="13830" width="9" style="39" customWidth="1"/>
    <col min="13831" max="13832" width="9.88671875" style="39" customWidth="1"/>
    <col min="13833" max="13833" width="11.109375" style="39" customWidth="1"/>
    <col min="13834" max="13834" width="2.88671875" style="39" customWidth="1"/>
    <col min="13835" max="13835" width="3.5546875" style="39" customWidth="1"/>
    <col min="13836" max="14080" width="9.109375" style="39"/>
    <col min="14081" max="14081" width="8.88671875" style="39" customWidth="1"/>
    <col min="14082" max="14082" width="9.88671875" style="39" customWidth="1"/>
    <col min="14083" max="14083" width="14.44140625" style="39" customWidth="1"/>
    <col min="14084" max="14084" width="7.109375" style="39" customWidth="1"/>
    <col min="14085" max="14085" width="5.5546875" style="39" customWidth="1"/>
    <col min="14086" max="14086" width="9" style="39" customWidth="1"/>
    <col min="14087" max="14088" width="9.88671875" style="39" customWidth="1"/>
    <col min="14089" max="14089" width="11.109375" style="39" customWidth="1"/>
    <col min="14090" max="14090" width="2.88671875" style="39" customWidth="1"/>
    <col min="14091" max="14091" width="3.5546875" style="39" customWidth="1"/>
    <col min="14092" max="14336" width="9.109375" style="39"/>
    <col min="14337" max="14337" width="8.88671875" style="39" customWidth="1"/>
    <col min="14338" max="14338" width="9.88671875" style="39" customWidth="1"/>
    <col min="14339" max="14339" width="14.44140625" style="39" customWidth="1"/>
    <col min="14340" max="14340" width="7.109375" style="39" customWidth="1"/>
    <col min="14341" max="14341" width="5.5546875" style="39" customWidth="1"/>
    <col min="14342" max="14342" width="9" style="39" customWidth="1"/>
    <col min="14343" max="14344" width="9.88671875" style="39" customWidth="1"/>
    <col min="14345" max="14345" width="11.109375" style="39" customWidth="1"/>
    <col min="14346" max="14346" width="2.88671875" style="39" customWidth="1"/>
    <col min="14347" max="14347" width="3.5546875" style="39" customWidth="1"/>
    <col min="14348" max="14592" width="9.109375" style="39"/>
    <col min="14593" max="14593" width="8.88671875" style="39" customWidth="1"/>
    <col min="14594" max="14594" width="9.88671875" style="39" customWidth="1"/>
    <col min="14595" max="14595" width="14.44140625" style="39" customWidth="1"/>
    <col min="14596" max="14596" width="7.109375" style="39" customWidth="1"/>
    <col min="14597" max="14597" width="5.5546875" style="39" customWidth="1"/>
    <col min="14598" max="14598" width="9" style="39" customWidth="1"/>
    <col min="14599" max="14600" width="9.88671875" style="39" customWidth="1"/>
    <col min="14601" max="14601" width="11.109375" style="39" customWidth="1"/>
    <col min="14602" max="14602" width="2.88671875" style="39" customWidth="1"/>
    <col min="14603" max="14603" width="3.5546875" style="39" customWidth="1"/>
    <col min="14604" max="14848" width="9.109375" style="39"/>
    <col min="14849" max="14849" width="8.88671875" style="39" customWidth="1"/>
    <col min="14850" max="14850" width="9.88671875" style="39" customWidth="1"/>
    <col min="14851" max="14851" width="14.44140625" style="39" customWidth="1"/>
    <col min="14852" max="14852" width="7.109375" style="39" customWidth="1"/>
    <col min="14853" max="14853" width="5.5546875" style="39" customWidth="1"/>
    <col min="14854" max="14854" width="9" style="39" customWidth="1"/>
    <col min="14855" max="14856" width="9.88671875" style="39" customWidth="1"/>
    <col min="14857" max="14857" width="11.109375" style="39" customWidth="1"/>
    <col min="14858" max="14858" width="2.88671875" style="39" customWidth="1"/>
    <col min="14859" max="14859" width="3.5546875" style="39" customWidth="1"/>
    <col min="14860" max="15104" width="9.109375" style="39"/>
    <col min="15105" max="15105" width="8.88671875" style="39" customWidth="1"/>
    <col min="15106" max="15106" width="9.88671875" style="39" customWidth="1"/>
    <col min="15107" max="15107" width="14.44140625" style="39" customWidth="1"/>
    <col min="15108" max="15108" width="7.109375" style="39" customWidth="1"/>
    <col min="15109" max="15109" width="5.5546875" style="39" customWidth="1"/>
    <col min="15110" max="15110" width="9" style="39" customWidth="1"/>
    <col min="15111" max="15112" width="9.88671875" style="39" customWidth="1"/>
    <col min="15113" max="15113" width="11.109375" style="39" customWidth="1"/>
    <col min="15114" max="15114" width="2.88671875" style="39" customWidth="1"/>
    <col min="15115" max="15115" width="3.5546875" style="39" customWidth="1"/>
    <col min="15116" max="15360" width="9.109375" style="39"/>
    <col min="15361" max="15361" width="8.88671875" style="39" customWidth="1"/>
    <col min="15362" max="15362" width="9.88671875" style="39" customWidth="1"/>
    <col min="15363" max="15363" width="14.44140625" style="39" customWidth="1"/>
    <col min="15364" max="15364" width="7.109375" style="39" customWidth="1"/>
    <col min="15365" max="15365" width="5.5546875" style="39" customWidth="1"/>
    <col min="15366" max="15366" width="9" style="39" customWidth="1"/>
    <col min="15367" max="15368" width="9.88671875" style="39" customWidth="1"/>
    <col min="15369" max="15369" width="11.109375" style="39" customWidth="1"/>
    <col min="15370" max="15370" width="2.88671875" style="39" customWidth="1"/>
    <col min="15371" max="15371" width="3.5546875" style="39" customWidth="1"/>
    <col min="15372" max="15616" width="9.109375" style="39"/>
    <col min="15617" max="15617" width="8.88671875" style="39" customWidth="1"/>
    <col min="15618" max="15618" width="9.88671875" style="39" customWidth="1"/>
    <col min="15619" max="15619" width="14.44140625" style="39" customWidth="1"/>
    <col min="15620" max="15620" width="7.109375" style="39" customWidth="1"/>
    <col min="15621" max="15621" width="5.5546875" style="39" customWidth="1"/>
    <col min="15622" max="15622" width="9" style="39" customWidth="1"/>
    <col min="15623" max="15624" width="9.88671875" style="39" customWidth="1"/>
    <col min="15625" max="15625" width="11.109375" style="39" customWidth="1"/>
    <col min="15626" max="15626" width="2.88671875" style="39" customWidth="1"/>
    <col min="15627" max="15627" width="3.5546875" style="39" customWidth="1"/>
    <col min="15628" max="15872" width="9.109375" style="39"/>
    <col min="15873" max="15873" width="8.88671875" style="39" customWidth="1"/>
    <col min="15874" max="15874" width="9.88671875" style="39" customWidth="1"/>
    <col min="15875" max="15875" width="14.44140625" style="39" customWidth="1"/>
    <col min="15876" max="15876" width="7.109375" style="39" customWidth="1"/>
    <col min="15877" max="15877" width="5.5546875" style="39" customWidth="1"/>
    <col min="15878" max="15878" width="9" style="39" customWidth="1"/>
    <col min="15879" max="15880" width="9.88671875" style="39" customWidth="1"/>
    <col min="15881" max="15881" width="11.109375" style="39" customWidth="1"/>
    <col min="15882" max="15882" width="2.88671875" style="39" customWidth="1"/>
    <col min="15883" max="15883" width="3.5546875" style="39" customWidth="1"/>
    <col min="15884" max="16128" width="9.109375" style="39"/>
    <col min="16129" max="16129" width="8.88671875" style="39" customWidth="1"/>
    <col min="16130" max="16130" width="9.88671875" style="39" customWidth="1"/>
    <col min="16131" max="16131" width="14.44140625" style="39" customWidth="1"/>
    <col min="16132" max="16132" width="7.109375" style="39" customWidth="1"/>
    <col min="16133" max="16133" width="5.5546875" style="39" customWidth="1"/>
    <col min="16134" max="16134" width="9" style="39" customWidth="1"/>
    <col min="16135" max="16136" width="9.88671875" style="39" customWidth="1"/>
    <col min="16137" max="16137" width="11.109375" style="39" customWidth="1"/>
    <col min="16138" max="16138" width="2.88671875" style="39" customWidth="1"/>
    <col min="16139" max="16139" width="3.5546875" style="39" customWidth="1"/>
    <col min="16140" max="16384" width="9.109375" style="39"/>
  </cols>
  <sheetData>
    <row r="1" spans="1:13" ht="46.5" customHeight="1" x14ac:dyDescent="0.3">
      <c r="A1" s="138" t="s">
        <v>284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3" ht="16.5" customHeight="1" x14ac:dyDescent="0.3">
      <c r="A2" s="141" t="s">
        <v>0</v>
      </c>
      <c r="B2" s="142"/>
      <c r="C2" s="142"/>
      <c r="D2" s="142"/>
      <c r="E2" s="142"/>
      <c r="F2" s="142"/>
      <c r="G2" s="142"/>
      <c r="H2" s="142"/>
      <c r="I2" s="142"/>
      <c r="J2" s="143"/>
    </row>
    <row r="3" spans="1:13" x14ac:dyDescent="0.3">
      <c r="A3" s="131" t="s">
        <v>1</v>
      </c>
      <c r="B3" s="132"/>
      <c r="C3" s="132"/>
      <c r="D3" s="132"/>
      <c r="E3" s="133"/>
      <c r="F3" s="144" t="str">
        <f ca="1">TEXT(TODAY(),"DD/MM/YYYY")</f>
        <v>09/07/2025</v>
      </c>
      <c r="G3" s="145"/>
      <c r="H3" s="145"/>
      <c r="I3" s="145"/>
      <c r="J3" s="146"/>
    </row>
    <row r="4" spans="1:13" ht="15" customHeight="1" x14ac:dyDescent="0.3">
      <c r="A4" s="131" t="s">
        <v>2</v>
      </c>
      <c r="B4" s="132"/>
      <c r="C4" s="132"/>
      <c r="D4" s="132"/>
      <c r="E4" s="133"/>
      <c r="F4" s="150" t="s">
        <v>180</v>
      </c>
      <c r="G4" s="151"/>
      <c r="H4" s="151"/>
      <c r="I4" s="151"/>
      <c r="J4" s="152"/>
    </row>
    <row r="5" spans="1:13" x14ac:dyDescent="0.3">
      <c r="A5" s="131" t="s">
        <v>3</v>
      </c>
      <c r="B5" s="132"/>
      <c r="C5" s="132"/>
      <c r="D5" s="132"/>
      <c r="E5" s="133"/>
      <c r="F5" s="144">
        <v>45847</v>
      </c>
      <c r="G5" s="145"/>
      <c r="H5" s="145"/>
      <c r="I5" s="145"/>
      <c r="J5" s="146"/>
    </row>
    <row r="6" spans="1:13" ht="16.5" customHeight="1" x14ac:dyDescent="0.3">
      <c r="A6" s="131" t="s">
        <v>4</v>
      </c>
      <c r="B6" s="132"/>
      <c r="C6" s="132"/>
      <c r="D6" s="132"/>
      <c r="E6" s="133"/>
      <c r="F6" s="137" t="s">
        <v>224</v>
      </c>
      <c r="G6" s="87"/>
      <c r="H6" s="87"/>
      <c r="I6" s="87"/>
      <c r="J6" s="88"/>
    </row>
    <row r="7" spans="1:13" ht="15" customHeight="1" x14ac:dyDescent="0.3">
      <c r="A7" s="131" t="s">
        <v>5</v>
      </c>
      <c r="B7" s="132"/>
      <c r="C7" s="132"/>
      <c r="D7" s="132"/>
      <c r="E7" s="133"/>
      <c r="F7" s="137" t="str">
        <f>F6</f>
        <v>M/s. SR Infra</v>
      </c>
      <c r="G7" s="87"/>
      <c r="H7" s="87"/>
      <c r="I7" s="87"/>
      <c r="J7" s="88"/>
    </row>
    <row r="8" spans="1:13" x14ac:dyDescent="0.3">
      <c r="A8" s="131" t="s">
        <v>6</v>
      </c>
      <c r="B8" s="132"/>
      <c r="C8" s="132"/>
      <c r="D8" s="132"/>
      <c r="E8" s="133"/>
      <c r="F8" s="147" t="s">
        <v>183</v>
      </c>
      <c r="G8" s="148"/>
      <c r="H8" s="148"/>
      <c r="I8" s="148"/>
      <c r="J8" s="149"/>
    </row>
    <row r="9" spans="1:13" x14ac:dyDescent="0.3">
      <c r="A9" s="131" t="s">
        <v>7</v>
      </c>
      <c r="B9" s="132"/>
      <c r="C9" s="132"/>
      <c r="D9" s="132"/>
      <c r="E9" s="133"/>
      <c r="F9" s="131" t="s">
        <v>181</v>
      </c>
      <c r="G9" s="132"/>
      <c r="H9" s="132"/>
      <c r="I9" s="132"/>
      <c r="J9" s="133"/>
    </row>
    <row r="10" spans="1:13" x14ac:dyDescent="0.3">
      <c r="A10" s="131" t="s">
        <v>290</v>
      </c>
      <c r="B10" s="132"/>
      <c r="C10" s="132"/>
      <c r="D10" s="132"/>
      <c r="E10" s="133"/>
      <c r="F10" s="131" t="s">
        <v>36</v>
      </c>
      <c r="G10" s="132"/>
      <c r="H10" s="132"/>
      <c r="I10" s="132"/>
      <c r="J10" s="133"/>
    </row>
    <row r="11" spans="1:13" x14ac:dyDescent="0.3">
      <c r="A11" s="131" t="s">
        <v>8</v>
      </c>
      <c r="B11" s="132"/>
      <c r="C11" s="132"/>
      <c r="D11" s="132"/>
      <c r="E11" s="133"/>
      <c r="F11" s="153" t="s">
        <v>182</v>
      </c>
      <c r="G11" s="154"/>
      <c r="H11" s="154"/>
      <c r="I11" s="154"/>
      <c r="J11" s="155"/>
    </row>
    <row r="12" spans="1:13" x14ac:dyDescent="0.3">
      <c r="A12" s="131" t="s">
        <v>9</v>
      </c>
      <c r="B12" s="132"/>
      <c r="C12" s="132"/>
      <c r="D12" s="132"/>
      <c r="E12" s="133"/>
      <c r="F12" s="156" t="s">
        <v>10</v>
      </c>
      <c r="G12" s="157"/>
      <c r="H12" s="157"/>
      <c r="I12" s="157"/>
      <c r="J12" s="158"/>
    </row>
    <row r="13" spans="1:13" x14ac:dyDescent="0.3">
      <c r="A13" s="131" t="s">
        <v>11</v>
      </c>
      <c r="B13" s="132"/>
      <c r="C13" s="132"/>
      <c r="D13" s="132"/>
      <c r="E13" s="133"/>
      <c r="F13" s="131" t="s">
        <v>184</v>
      </c>
      <c r="G13" s="132"/>
      <c r="H13" s="132"/>
      <c r="I13" s="132"/>
      <c r="J13" s="133"/>
      <c r="L13" s="79" t="s">
        <v>291</v>
      </c>
      <c r="M13" s="78"/>
    </row>
    <row r="14" spans="1:13" ht="32.25" customHeight="1" x14ac:dyDescent="0.3">
      <c r="A14" s="159" t="s">
        <v>12</v>
      </c>
      <c r="B14" s="159"/>
      <c r="C14" s="137" t="str">
        <f>CONCATENATE((IF(OR(F8="",F8="NA"),"",F8)),", ",(IF(OR(A15="",A15="NA"),"",A15)),".",(IF(OR(C15="",C15="NA"),"",C15)),", ",(IF(OR(C16="",C16="NA"),"",C16)),", ",(IF(OR(H16="",H16="NA"),"",H16)),", ",(IF(OR(C17="",C17="NA"),"",C17)),", ",(IF(OR(C18="",C18="NA"),"",C18)),", ",(IF(OR(H17="",H17="NA"),"",H17)),".")</f>
        <v>Shree SR Homes, Gut No.191/1, Station Road, Makane, Saphale, Palghar, Palghar.</v>
      </c>
      <c r="D14" s="87"/>
      <c r="E14" s="87"/>
      <c r="F14" s="87"/>
      <c r="G14" s="87"/>
      <c r="H14" s="87"/>
      <c r="I14" s="87"/>
      <c r="J14" s="88"/>
    </row>
    <row r="15" spans="1:13" ht="15.75" customHeight="1" x14ac:dyDescent="0.3">
      <c r="A15" s="137" t="s">
        <v>185</v>
      </c>
      <c r="B15" s="88"/>
      <c r="C15" s="137" t="s">
        <v>186</v>
      </c>
      <c r="D15" s="87"/>
      <c r="E15" s="87"/>
      <c r="F15" s="87"/>
      <c r="G15" s="87"/>
      <c r="H15" s="87"/>
      <c r="I15" s="87"/>
      <c r="J15" s="88"/>
    </row>
    <row r="16" spans="1:13" ht="15.75" customHeight="1" x14ac:dyDescent="0.3">
      <c r="A16" s="137" t="s">
        <v>13</v>
      </c>
      <c r="B16" s="88"/>
      <c r="C16" s="123" t="s">
        <v>216</v>
      </c>
      <c r="D16" s="123"/>
      <c r="E16" s="123"/>
      <c r="F16" s="124" t="s">
        <v>142</v>
      </c>
      <c r="G16" s="125"/>
      <c r="H16" s="137" t="s">
        <v>187</v>
      </c>
      <c r="I16" s="87"/>
      <c r="J16" s="88"/>
    </row>
    <row r="17" spans="1:10" x14ac:dyDescent="0.3">
      <c r="A17" s="123" t="s">
        <v>15</v>
      </c>
      <c r="B17" s="123"/>
      <c r="C17" s="123" t="s">
        <v>188</v>
      </c>
      <c r="D17" s="123"/>
      <c r="E17" s="123"/>
      <c r="F17" s="124" t="s">
        <v>14</v>
      </c>
      <c r="G17" s="125"/>
      <c r="H17" s="126" t="s">
        <v>160</v>
      </c>
      <c r="I17" s="126"/>
      <c r="J17" s="126"/>
    </row>
    <row r="18" spans="1:10" x14ac:dyDescent="0.3">
      <c r="A18" s="123" t="s">
        <v>143</v>
      </c>
      <c r="B18" s="123"/>
      <c r="C18" s="137" t="s">
        <v>160</v>
      </c>
      <c r="D18" s="87"/>
      <c r="E18" s="88"/>
      <c r="F18" s="124" t="s">
        <v>16</v>
      </c>
      <c r="G18" s="125"/>
      <c r="H18" s="137">
        <v>401303</v>
      </c>
      <c r="I18" s="87"/>
      <c r="J18" s="88"/>
    </row>
    <row r="19" spans="1:10" ht="32.25" customHeight="1" x14ac:dyDescent="0.3">
      <c r="A19" s="123" t="s">
        <v>17</v>
      </c>
      <c r="B19" s="123"/>
      <c r="C19" s="123" t="s">
        <v>218</v>
      </c>
      <c r="D19" s="123"/>
      <c r="E19" s="123"/>
      <c r="F19" s="159" t="s">
        <v>18</v>
      </c>
      <c r="G19" s="159"/>
      <c r="H19" s="157" t="s">
        <v>272</v>
      </c>
      <c r="I19" s="157"/>
      <c r="J19" s="158"/>
    </row>
    <row r="20" spans="1:10" ht="15" customHeight="1" x14ac:dyDescent="0.3">
      <c r="A20" s="124" t="s">
        <v>156</v>
      </c>
      <c r="B20" s="160"/>
      <c r="C20" s="160"/>
      <c r="D20" s="160"/>
      <c r="E20" s="125"/>
      <c r="F20" s="164" t="s">
        <v>19</v>
      </c>
      <c r="G20" s="165"/>
      <c r="H20" s="165"/>
      <c r="I20" s="165"/>
      <c r="J20" s="166"/>
    </row>
    <row r="21" spans="1:10" ht="18.75" customHeight="1" x14ac:dyDescent="0.3">
      <c r="A21" s="161"/>
      <c r="B21" s="162"/>
      <c r="C21" s="162"/>
      <c r="D21" s="162"/>
      <c r="E21" s="163"/>
      <c r="F21" s="167"/>
      <c r="G21" s="168"/>
      <c r="H21" s="168"/>
      <c r="I21" s="168"/>
      <c r="J21" s="169"/>
    </row>
    <row r="22" spans="1:10" ht="15" customHeight="1" x14ac:dyDescent="0.3">
      <c r="A22" s="124" t="s">
        <v>20</v>
      </c>
      <c r="B22" s="160"/>
      <c r="C22" s="160"/>
      <c r="D22" s="160"/>
      <c r="E22" s="125"/>
      <c r="F22" s="124" t="s">
        <v>21</v>
      </c>
      <c r="G22" s="160"/>
      <c r="H22" s="160"/>
      <c r="I22" s="160"/>
      <c r="J22" s="125"/>
    </row>
    <row r="23" spans="1:10" x14ac:dyDescent="0.3">
      <c r="A23" s="161"/>
      <c r="B23" s="162"/>
      <c r="C23" s="162"/>
      <c r="D23" s="162"/>
      <c r="E23" s="163"/>
      <c r="F23" s="161"/>
      <c r="G23" s="162"/>
      <c r="H23" s="162"/>
      <c r="I23" s="162"/>
      <c r="J23" s="163"/>
    </row>
    <row r="24" spans="1:10" ht="15" customHeight="1" x14ac:dyDescent="0.3">
      <c r="A24" s="131" t="s">
        <v>22</v>
      </c>
      <c r="B24" s="132"/>
      <c r="C24" s="132"/>
      <c r="D24" s="132"/>
      <c r="E24" s="133"/>
      <c r="F24" s="150" t="s">
        <v>23</v>
      </c>
      <c r="G24" s="151"/>
      <c r="H24" s="151"/>
      <c r="I24" s="151"/>
      <c r="J24" s="152"/>
    </row>
    <row r="25" spans="1:10" x14ac:dyDescent="0.3">
      <c r="A25" s="131" t="s">
        <v>24</v>
      </c>
      <c r="B25" s="132"/>
      <c r="C25" s="132"/>
      <c r="D25" s="132"/>
      <c r="E25" s="133"/>
      <c r="F25" s="150" t="s">
        <v>25</v>
      </c>
      <c r="G25" s="151"/>
      <c r="H25" s="151"/>
      <c r="I25" s="151"/>
      <c r="J25" s="152"/>
    </row>
    <row r="26" spans="1:10" ht="15" customHeight="1" x14ac:dyDescent="0.3">
      <c r="A26" s="131" t="s">
        <v>26</v>
      </c>
      <c r="B26" s="132"/>
      <c r="C26" s="132"/>
      <c r="D26" s="132"/>
      <c r="E26" s="133"/>
      <c r="F26" s="150" t="s">
        <v>27</v>
      </c>
      <c r="G26" s="151"/>
      <c r="H26" s="151"/>
      <c r="I26" s="151"/>
      <c r="J26" s="152"/>
    </row>
    <row r="27" spans="1:10" x14ac:dyDescent="0.3">
      <c r="A27" s="131" t="s">
        <v>28</v>
      </c>
      <c r="B27" s="132"/>
      <c r="C27" s="132"/>
      <c r="D27" s="132"/>
      <c r="E27" s="133"/>
      <c r="F27" s="150" t="s">
        <v>29</v>
      </c>
      <c r="G27" s="151"/>
      <c r="H27" s="151"/>
      <c r="I27" s="151"/>
      <c r="J27" s="152"/>
    </row>
    <row r="28" spans="1:10" x14ac:dyDescent="0.3">
      <c r="A28" s="127" t="s">
        <v>30</v>
      </c>
      <c r="B28" s="128"/>
      <c r="C28" s="127" t="s">
        <v>31</v>
      </c>
      <c r="D28" s="128"/>
      <c r="E28" s="127" t="s">
        <v>32</v>
      </c>
      <c r="F28" s="128"/>
      <c r="G28" s="127" t="s">
        <v>34</v>
      </c>
      <c r="H28" s="128"/>
      <c r="I28" s="127" t="s">
        <v>33</v>
      </c>
      <c r="J28" s="128"/>
    </row>
    <row r="29" spans="1:10" x14ac:dyDescent="0.3">
      <c r="A29" s="129" t="s">
        <v>35</v>
      </c>
      <c r="B29" s="130"/>
      <c r="C29" s="129" t="s">
        <v>36</v>
      </c>
      <c r="D29" s="130"/>
      <c r="E29" s="129" t="s">
        <v>36</v>
      </c>
      <c r="F29" s="130"/>
      <c r="G29" s="129" t="s">
        <v>36</v>
      </c>
      <c r="H29" s="130"/>
      <c r="I29" s="129" t="s">
        <v>36</v>
      </c>
      <c r="J29" s="130"/>
    </row>
    <row r="30" spans="1:10" x14ac:dyDescent="0.3">
      <c r="A30" s="129" t="s">
        <v>37</v>
      </c>
      <c r="B30" s="130"/>
      <c r="C30" s="129" t="s">
        <v>217</v>
      </c>
      <c r="D30" s="130"/>
      <c r="E30" s="129" t="s">
        <v>13</v>
      </c>
      <c r="F30" s="130"/>
      <c r="G30" s="129" t="s">
        <v>217</v>
      </c>
      <c r="H30" s="130"/>
      <c r="I30" s="129" t="s">
        <v>217</v>
      </c>
      <c r="J30" s="130"/>
    </row>
    <row r="31" spans="1:10" x14ac:dyDescent="0.3">
      <c r="A31" s="131" t="s">
        <v>38</v>
      </c>
      <c r="B31" s="132"/>
      <c r="C31" s="132"/>
      <c r="D31" s="132"/>
      <c r="E31" s="132"/>
      <c r="F31" s="132"/>
      <c r="G31" s="132"/>
      <c r="H31" s="132"/>
      <c r="I31" s="132"/>
      <c r="J31" s="133"/>
    </row>
    <row r="32" spans="1:10" x14ac:dyDescent="0.3">
      <c r="A32" s="131" t="s">
        <v>39</v>
      </c>
      <c r="B32" s="132"/>
      <c r="C32" s="132"/>
      <c r="D32" s="132"/>
      <c r="E32" s="132"/>
      <c r="F32" s="132"/>
      <c r="G32" s="132"/>
      <c r="H32" s="132"/>
      <c r="I32" s="132"/>
      <c r="J32" s="133"/>
    </row>
    <row r="33" spans="1:10" x14ac:dyDescent="0.3">
      <c r="A33" s="131" t="s">
        <v>40</v>
      </c>
      <c r="B33" s="133"/>
      <c r="C33" s="147" t="s">
        <v>285</v>
      </c>
      <c r="D33" s="148"/>
      <c r="E33" s="148"/>
      <c r="F33" s="148"/>
      <c r="G33" s="148"/>
      <c r="H33" s="148"/>
      <c r="I33" s="148"/>
      <c r="J33" s="149"/>
    </row>
    <row r="34" spans="1:10" x14ac:dyDescent="0.3">
      <c r="A34" s="131" t="s">
        <v>281</v>
      </c>
      <c r="B34" s="133"/>
      <c r="C34" s="248" t="s">
        <v>282</v>
      </c>
      <c r="D34" s="132"/>
      <c r="E34" s="132"/>
      <c r="F34" s="132"/>
      <c r="G34" s="132"/>
      <c r="H34" s="132"/>
      <c r="I34" s="132"/>
      <c r="J34" s="133"/>
    </row>
    <row r="35" spans="1:10" x14ac:dyDescent="0.3">
      <c r="A35" s="147" t="s">
        <v>41</v>
      </c>
      <c r="B35" s="148"/>
      <c r="C35" s="148"/>
      <c r="D35" s="148"/>
      <c r="E35" s="148"/>
      <c r="F35" s="148"/>
      <c r="G35" s="148"/>
      <c r="H35" s="148"/>
      <c r="I35" s="148"/>
      <c r="J35" s="149"/>
    </row>
    <row r="36" spans="1:10" ht="15" customHeight="1" x14ac:dyDescent="0.3">
      <c r="A36" s="137" t="s">
        <v>42</v>
      </c>
      <c r="B36" s="87"/>
      <c r="C36" s="87"/>
      <c r="D36" s="87"/>
      <c r="E36" s="88"/>
      <c r="F36" s="177" t="s">
        <v>219</v>
      </c>
      <c r="G36" s="178"/>
      <c r="H36" s="178"/>
      <c r="I36" s="178"/>
      <c r="J36" s="179"/>
    </row>
    <row r="37" spans="1:10" ht="15" customHeight="1" x14ac:dyDescent="0.3">
      <c r="A37" s="161" t="s">
        <v>43</v>
      </c>
      <c r="B37" s="162"/>
      <c r="C37" s="162"/>
      <c r="D37" s="162"/>
      <c r="E37" s="162"/>
      <c r="F37" s="137" t="s">
        <v>44</v>
      </c>
      <c r="G37" s="87"/>
      <c r="H37" s="87"/>
      <c r="I37" s="87"/>
      <c r="J37" s="88"/>
    </row>
    <row r="38" spans="1:10" x14ac:dyDescent="0.3">
      <c r="A38" s="147" t="s">
        <v>45</v>
      </c>
      <c r="B38" s="148"/>
      <c r="C38" s="148"/>
      <c r="D38" s="148"/>
      <c r="E38" s="148"/>
      <c r="F38" s="148"/>
      <c r="G38" s="148"/>
      <c r="H38" s="148"/>
      <c r="I38" s="148"/>
      <c r="J38" s="149"/>
    </row>
    <row r="39" spans="1:10" x14ac:dyDescent="0.3">
      <c r="A39" s="131" t="s">
        <v>46</v>
      </c>
      <c r="B39" s="132"/>
      <c r="C39" s="132"/>
      <c r="D39" s="132"/>
      <c r="E39" s="133"/>
      <c r="F39" s="174">
        <v>3599.01</v>
      </c>
      <c r="G39" s="175"/>
      <c r="H39" s="175"/>
      <c r="I39" s="175"/>
      <c r="J39" s="176"/>
    </row>
    <row r="40" spans="1:10" x14ac:dyDescent="0.3">
      <c r="A40" s="131" t="s">
        <v>47</v>
      </c>
      <c r="B40" s="132"/>
      <c r="C40" s="132"/>
      <c r="D40" s="132"/>
      <c r="E40" s="133"/>
      <c r="F40" s="134">
        <v>1.1000000000000001</v>
      </c>
      <c r="G40" s="135"/>
      <c r="H40" s="135"/>
      <c r="I40" s="135"/>
      <c r="J40" s="136"/>
    </row>
    <row r="41" spans="1:10" x14ac:dyDescent="0.3">
      <c r="A41" s="131" t="s">
        <v>48</v>
      </c>
      <c r="B41" s="132"/>
      <c r="C41" s="132"/>
      <c r="D41" s="132"/>
      <c r="E41" s="133"/>
      <c r="F41" s="240">
        <f>F43/F39-F40</f>
        <v>0.35032106051386336</v>
      </c>
      <c r="G41" s="241"/>
      <c r="H41" s="241"/>
      <c r="I41" s="241"/>
      <c r="J41" s="242"/>
    </row>
    <row r="42" spans="1:10" x14ac:dyDescent="0.3">
      <c r="A42" s="131" t="s">
        <v>49</v>
      </c>
      <c r="B42" s="132"/>
      <c r="C42" s="132"/>
      <c r="D42" s="132"/>
      <c r="E42" s="133"/>
      <c r="F42" s="134">
        <f>F40+F41</f>
        <v>1.4503210605138634</v>
      </c>
      <c r="G42" s="135"/>
      <c r="H42" s="135"/>
      <c r="I42" s="135"/>
      <c r="J42" s="136"/>
    </row>
    <row r="43" spans="1:10" x14ac:dyDescent="0.3">
      <c r="A43" s="131" t="s">
        <v>50</v>
      </c>
      <c r="B43" s="132"/>
      <c r="C43" s="132"/>
      <c r="D43" s="132"/>
      <c r="E43" s="133"/>
      <c r="F43" s="134">
        <v>5219.72</v>
      </c>
      <c r="G43" s="135"/>
      <c r="H43" s="135"/>
      <c r="I43" s="135"/>
      <c r="J43" s="136"/>
    </row>
    <row r="44" spans="1:10" x14ac:dyDescent="0.3">
      <c r="A44" s="131" t="s">
        <v>51</v>
      </c>
      <c r="B44" s="132"/>
      <c r="C44" s="132"/>
      <c r="D44" s="132"/>
      <c r="E44" s="133"/>
      <c r="F44" s="153" t="s">
        <v>273</v>
      </c>
      <c r="G44" s="154"/>
      <c r="H44" s="154"/>
      <c r="I44" s="154"/>
      <c r="J44" s="155"/>
    </row>
    <row r="45" spans="1:10" x14ac:dyDescent="0.3">
      <c r="A45" s="147" t="s">
        <v>52</v>
      </c>
      <c r="B45" s="148"/>
      <c r="C45" s="148"/>
      <c r="D45" s="148"/>
      <c r="E45" s="148"/>
      <c r="F45" s="148"/>
      <c r="G45" s="148"/>
      <c r="H45" s="148"/>
      <c r="I45" s="148"/>
      <c r="J45" s="149"/>
    </row>
    <row r="46" spans="1:10" x14ac:dyDescent="0.3">
      <c r="A46" s="137" t="s">
        <v>53</v>
      </c>
      <c r="B46" s="88"/>
      <c r="C46" s="137" t="s">
        <v>189</v>
      </c>
      <c r="D46" s="87"/>
      <c r="E46" s="87"/>
      <c r="F46" s="88"/>
      <c r="G46" s="38" t="s">
        <v>54</v>
      </c>
      <c r="H46" s="137" t="s">
        <v>190</v>
      </c>
      <c r="I46" s="87"/>
      <c r="J46" s="88"/>
    </row>
    <row r="47" spans="1:10" x14ac:dyDescent="0.3">
      <c r="A47" s="137" t="s">
        <v>55</v>
      </c>
      <c r="B47" s="88"/>
      <c r="C47" s="137" t="str">
        <f>C46</f>
        <v>MAHSUL/KS.1/MJ 1/NAP/SR/54/18</v>
      </c>
      <c r="D47" s="87"/>
      <c r="E47" s="87"/>
      <c r="F47" s="88"/>
      <c r="G47" s="38" t="s">
        <v>54</v>
      </c>
      <c r="H47" s="137" t="str">
        <f>H46</f>
        <v>07/06/2019.</v>
      </c>
      <c r="I47" s="87"/>
      <c r="J47" s="88"/>
    </row>
    <row r="48" spans="1:10" ht="34.5" customHeight="1" x14ac:dyDescent="0.3">
      <c r="A48" s="137" t="s">
        <v>56</v>
      </c>
      <c r="B48" s="88"/>
      <c r="C48" s="137" t="s">
        <v>267</v>
      </c>
      <c r="D48" s="132"/>
      <c r="E48" s="132"/>
      <c r="F48" s="133"/>
      <c r="G48" s="40" t="s">
        <v>54</v>
      </c>
      <c r="H48" s="131" t="str">
        <f>H46</f>
        <v>07/06/2019.</v>
      </c>
      <c r="I48" s="132"/>
      <c r="J48" s="133"/>
    </row>
    <row r="49" spans="1:13" ht="15" customHeight="1" x14ac:dyDescent="0.3">
      <c r="A49" s="137" t="s">
        <v>57</v>
      </c>
      <c r="B49" s="88"/>
      <c r="C49" s="137" t="s">
        <v>152</v>
      </c>
      <c r="D49" s="132"/>
      <c r="E49" s="132"/>
      <c r="F49" s="133" t="s">
        <v>58</v>
      </c>
      <c r="G49" s="38" t="s">
        <v>54</v>
      </c>
      <c r="H49" s="137" t="s">
        <v>36</v>
      </c>
      <c r="I49" s="87" t="s">
        <v>36</v>
      </c>
      <c r="J49" s="88"/>
    </row>
    <row r="50" spans="1:13" s="41" customFormat="1" x14ac:dyDescent="0.3">
      <c r="A50" s="170" t="s">
        <v>59</v>
      </c>
      <c r="B50" s="170"/>
      <c r="C50" s="170"/>
      <c r="D50" s="171" t="str">
        <f>H48</f>
        <v>07/06/2019.</v>
      </c>
      <c r="E50" s="171"/>
      <c r="F50" s="153" t="s">
        <v>60</v>
      </c>
      <c r="G50" s="172"/>
      <c r="H50" s="173">
        <v>46021</v>
      </c>
      <c r="I50" s="154"/>
      <c r="J50" s="155"/>
    </row>
    <row r="51" spans="1:13" x14ac:dyDescent="0.3">
      <c r="A51" s="180" t="s">
        <v>61</v>
      </c>
      <c r="B51" s="181"/>
      <c r="C51" s="181"/>
      <c r="D51" s="181"/>
      <c r="E51" s="181"/>
      <c r="F51" s="181"/>
      <c r="G51" s="181"/>
      <c r="H51" s="181"/>
      <c r="I51" s="181"/>
      <c r="J51" s="182"/>
    </row>
    <row r="52" spans="1:13" s="41" customFormat="1" ht="15.75" customHeight="1" x14ac:dyDescent="0.3">
      <c r="A52" s="153" t="s">
        <v>62</v>
      </c>
      <c r="B52" s="154"/>
      <c r="C52" s="155"/>
      <c r="D52" s="183">
        <f>F43</f>
        <v>5219.72</v>
      </c>
      <c r="E52" s="184"/>
      <c r="F52" s="185" t="s">
        <v>63</v>
      </c>
      <c r="G52" s="186"/>
      <c r="H52" s="187" t="s">
        <v>214</v>
      </c>
      <c r="I52" s="188"/>
      <c r="J52" s="189"/>
    </row>
    <row r="53" spans="1:13" x14ac:dyDescent="0.3">
      <c r="A53" s="192" t="s">
        <v>64</v>
      </c>
      <c r="B53" s="192"/>
      <c r="C53" s="193" t="s">
        <v>264</v>
      </c>
      <c r="D53" s="194"/>
      <c r="E53" s="194"/>
      <c r="F53" s="194"/>
      <c r="G53" s="194"/>
      <c r="H53" s="194"/>
      <c r="I53" s="194"/>
      <c r="J53" s="195"/>
    </row>
    <row r="54" spans="1:13" x14ac:dyDescent="0.3">
      <c r="A54" s="192"/>
      <c r="B54" s="192"/>
      <c r="C54" s="196" t="s">
        <v>265</v>
      </c>
      <c r="D54" s="197"/>
      <c r="E54" s="197"/>
      <c r="F54" s="197"/>
      <c r="G54" s="197"/>
      <c r="H54" s="197"/>
      <c r="I54" s="197"/>
      <c r="J54" s="198"/>
    </row>
    <row r="55" spans="1:13" x14ac:dyDescent="0.3">
      <c r="A55" s="192"/>
      <c r="B55" s="192"/>
      <c r="C55" s="199" t="s">
        <v>266</v>
      </c>
      <c r="D55" s="200"/>
      <c r="E55" s="200"/>
      <c r="F55" s="200"/>
      <c r="G55" s="200"/>
      <c r="H55" s="200"/>
      <c r="I55" s="200"/>
      <c r="J55" s="201"/>
    </row>
    <row r="56" spans="1:13" ht="15.75" customHeight="1" x14ac:dyDescent="0.3">
      <c r="A56" s="252" t="s">
        <v>274</v>
      </c>
      <c r="B56" s="253"/>
      <c r="C56" s="193" t="s">
        <v>264</v>
      </c>
      <c r="D56" s="194"/>
      <c r="E56" s="194"/>
      <c r="F56" s="194"/>
      <c r="G56" s="194"/>
      <c r="H56" s="194"/>
      <c r="I56" s="194"/>
      <c r="J56" s="195"/>
    </row>
    <row r="57" spans="1:13" x14ac:dyDescent="0.3">
      <c r="A57" s="254"/>
      <c r="B57" s="255"/>
      <c r="C57" s="196" t="s">
        <v>286</v>
      </c>
      <c r="D57" s="197"/>
      <c r="E57" s="197"/>
      <c r="F57" s="197"/>
      <c r="G57" s="197"/>
      <c r="H57" s="197"/>
      <c r="I57" s="197"/>
      <c r="J57" s="198"/>
    </row>
    <row r="58" spans="1:13" x14ac:dyDescent="0.3">
      <c r="A58" s="254"/>
      <c r="B58" s="255"/>
      <c r="C58" s="196" t="s">
        <v>287</v>
      </c>
      <c r="D58" s="197"/>
      <c r="E58" s="197"/>
      <c r="F58" s="197"/>
      <c r="G58" s="197"/>
      <c r="H58" s="197"/>
      <c r="I58" s="197"/>
      <c r="J58" s="198"/>
    </row>
    <row r="59" spans="1:13" x14ac:dyDescent="0.3">
      <c r="A59" s="254"/>
      <c r="B59" s="255"/>
      <c r="C59" s="199" t="s">
        <v>288</v>
      </c>
      <c r="D59" s="200"/>
      <c r="E59" s="200"/>
      <c r="F59" s="200"/>
      <c r="G59" s="200"/>
      <c r="H59" s="200"/>
      <c r="I59" s="200"/>
      <c r="J59" s="201"/>
    </row>
    <row r="60" spans="1:13" x14ac:dyDescent="0.3">
      <c r="A60" s="256"/>
      <c r="B60" s="257"/>
      <c r="C60" s="153" t="s">
        <v>289</v>
      </c>
      <c r="D60" s="154"/>
      <c r="E60" s="154"/>
      <c r="F60" s="154"/>
      <c r="G60" s="154"/>
      <c r="H60" s="154"/>
      <c r="I60" s="154"/>
      <c r="J60" s="155"/>
    </row>
    <row r="61" spans="1:13" ht="15.75" customHeight="1" x14ac:dyDescent="0.3">
      <c r="A61" s="131" t="s">
        <v>65</v>
      </c>
      <c r="B61" s="132"/>
      <c r="C61" s="132"/>
      <c r="D61" s="137" t="s">
        <v>66</v>
      </c>
      <c r="E61" s="87"/>
      <c r="F61" s="87"/>
      <c r="G61" s="87"/>
      <c r="H61" s="87"/>
      <c r="I61" s="87"/>
      <c r="J61" s="88"/>
    </row>
    <row r="62" spans="1:13" s="41" customFormat="1" x14ac:dyDescent="0.3">
      <c r="A62" s="153" t="s">
        <v>215</v>
      </c>
      <c r="B62" s="154"/>
      <c r="C62" s="154"/>
      <c r="D62" s="154"/>
      <c r="E62" s="154"/>
      <c r="F62" s="154"/>
      <c r="G62" s="154"/>
      <c r="H62" s="154"/>
      <c r="I62" s="154"/>
      <c r="J62" s="155"/>
    </row>
    <row r="63" spans="1:13" ht="15" customHeight="1" thickBot="1" x14ac:dyDescent="0.35">
      <c r="A63" s="202" t="s">
        <v>67</v>
      </c>
      <c r="B63" s="203"/>
      <c r="C63" s="203"/>
      <c r="D63" s="203"/>
      <c r="E63" s="203"/>
      <c r="F63" s="203"/>
      <c r="G63" s="203"/>
      <c r="H63" s="203"/>
      <c r="I63" s="203"/>
      <c r="J63" s="204"/>
    </row>
    <row r="64" spans="1:13" ht="15" customHeight="1" x14ac:dyDescent="0.3">
      <c r="A64" s="190" t="s">
        <v>239</v>
      </c>
      <c r="B64" s="191"/>
      <c r="C64" s="108" t="str">
        <f>C56</f>
        <v>A &amp; B Wing = G + 1st to 4th Floor</v>
      </c>
      <c r="D64" s="108"/>
      <c r="E64" s="108"/>
      <c r="F64" s="108"/>
      <c r="G64" s="108"/>
      <c r="H64" s="108"/>
      <c r="I64" s="108"/>
      <c r="J64" s="109"/>
      <c r="K64" s="42" t="str">
        <f ca="1">(IF(C69=0,"Work not yet Started.",IF(D69=25%,"Piling work in process",IF(D69=50%,"Excavation work in process",IF(D69=100%,"Excavation work completed, ","0")))&amp;(IF(C70=0%,"",IF(C70=M71,"Footing work is process",IF(C70=M72,"Footing work Completed",IF(C70=M73,"1st Basement Completed",IF(C70=M74,"1st &amp; 2nd Basement Completed",IF(C70=M75,"1st to 3rd Basement Completed",IF(C70=M76,"1st to 4th Basement Completed",IF(C70=M77,"Plinth work is process",IF(C70=M78,"Plinth work completed","0")))))))))))&amp;(IF(C71&gt;0,", RCC upto "&amp;C71&amp;" Slab completed",""))&amp;(IF(C72&gt;0,", Brickwork upto "&amp;C72&amp;" Floor completed"," "))&amp;(IF(C73&gt;0,", Internal Plaster upto "&amp;C73&amp;" Floor completed"," "))&amp;(IF(C74&gt;0,", External Plaster upto "&amp;C74&amp;" Floor completed"," "))&amp;(IF(C75&gt;0,", Flooring upto "&amp;C75&amp;" Floor completed"," "))&amp;(IF(C76&gt;0,", Painting upto "&amp;C76&amp;" Floor completed"," "))&amp;(IF(C77&gt;0,", Finishing upto "&amp;C77&amp;"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4 Floor completed, Finishing upto 4 Floor completed</v>
      </c>
      <c r="L64" s="42"/>
      <c r="M64" s="43"/>
    </row>
    <row r="65" spans="1:13" ht="15" customHeight="1" x14ac:dyDescent="0.3">
      <c r="A65" s="44" t="s">
        <v>138</v>
      </c>
      <c r="B65" s="45">
        <v>0</v>
      </c>
      <c r="C65" s="45" t="s">
        <v>140</v>
      </c>
      <c r="D65" s="110">
        <v>1</v>
      </c>
      <c r="E65" s="111"/>
      <c r="F65" s="46" t="s">
        <v>139</v>
      </c>
      <c r="G65" s="45">
        <v>0</v>
      </c>
      <c r="H65" s="45" t="s">
        <v>240</v>
      </c>
      <c r="I65" s="103">
        <f ca="1">--TRIM(RIGHT(SUBSTITUTE(LEFT(C64,_xlfn.AGGREGATE(16,6,FIND({0,1,2,3,4,5,6,7,8,9},C64,ROW(INDIRECT("1:"&amp;LEN(C64)))),1))," ",REPT(" ",LEN(C64))),LEN(C64)))</f>
        <v>4</v>
      </c>
      <c r="J65" s="112"/>
      <c r="K65" s="47" t="s">
        <v>241</v>
      </c>
      <c r="L65" s="47"/>
      <c r="M65" s="48"/>
    </row>
    <row r="66" spans="1:13" ht="15" customHeight="1" x14ac:dyDescent="0.3">
      <c r="A66" s="80" t="s">
        <v>246</v>
      </c>
      <c r="B66" s="81"/>
      <c r="C66" s="82">
        <v>1</v>
      </c>
      <c r="D66" s="83"/>
      <c r="E66" s="81"/>
      <c r="F66" s="84" t="s">
        <v>247</v>
      </c>
      <c r="G66" s="81"/>
      <c r="H66" s="82">
        <v>1</v>
      </c>
      <c r="I66" s="83"/>
      <c r="J66" s="85"/>
      <c r="K66" s="47"/>
      <c r="L66" s="47"/>
      <c r="M66" s="48"/>
    </row>
    <row r="67" spans="1:13" ht="16.2" thickBot="1" x14ac:dyDescent="0.35">
      <c r="A67" s="95" t="s">
        <v>242</v>
      </c>
      <c r="B67" s="96"/>
      <c r="C67" s="97" t="str">
        <f>K65</f>
        <v>All work Completed. Provide OC.</v>
      </c>
      <c r="D67" s="97"/>
      <c r="E67" s="97"/>
      <c r="F67" s="97"/>
      <c r="G67" s="97"/>
      <c r="H67" s="97"/>
      <c r="I67" s="97"/>
      <c r="J67" s="98"/>
      <c r="K67" s="47" t="s">
        <v>243</v>
      </c>
      <c r="L67" s="47"/>
      <c r="M67" s="48"/>
    </row>
    <row r="68" spans="1:13" ht="15" hidden="1" customHeight="1" x14ac:dyDescent="0.3">
      <c r="A68" s="102" t="s">
        <v>68</v>
      </c>
      <c r="B68" s="103"/>
      <c r="C68" s="49" t="s">
        <v>244</v>
      </c>
      <c r="D68" s="90" t="s">
        <v>245</v>
      </c>
      <c r="E68" s="90"/>
      <c r="F68" s="90" t="s">
        <v>246</v>
      </c>
      <c r="G68" s="90"/>
      <c r="H68" s="90" t="s">
        <v>247</v>
      </c>
      <c r="I68" s="90"/>
      <c r="J68" s="99"/>
      <c r="K68" s="50" t="s">
        <v>248</v>
      </c>
      <c r="M68" s="51">
        <f ca="1">I65*25%</f>
        <v>1</v>
      </c>
    </row>
    <row r="69" spans="1:13" ht="15" hidden="1" customHeight="1" x14ac:dyDescent="0.3">
      <c r="A69" s="102" t="s">
        <v>249</v>
      </c>
      <c r="B69" s="103"/>
      <c r="C69" s="52">
        <f ca="1">M70</f>
        <v>4</v>
      </c>
      <c r="D69" s="91">
        <f ca="1">((100/I65)*C69)/100</f>
        <v>1</v>
      </c>
      <c r="E69" s="91"/>
      <c r="F69" s="91" t="str">
        <f>(IF(C67=K65,"100%",IF(C67=K67,"100%",(((C70/I65*10)+(40/(D65+G65+I65)*C71)+(7.5/(I65)*C72)+(7.5/(I65)*C73)+(10/I65*C74)+(10/I65*C75)+(5/I65*C76)+(5/I65*C77)+(5/I65*C78))/100))))</f>
        <v>100%</v>
      </c>
      <c r="G69" s="91"/>
      <c r="H69" s="91">
        <f ca="1">((((C69/I65)*20)+((C70/I65)*25)+(30/(I65+G65+D65)*C71)+(5/I65*C72)+(5/I65*C73)+(5/I65*C74)+(5/I65*C75)+(0/I65*C76)+(0/I65*C77)+(5/I65*C78))/100)</f>
        <v>1</v>
      </c>
      <c r="I69" s="91"/>
      <c r="J69" s="100"/>
      <c r="K69" s="50" t="s">
        <v>146</v>
      </c>
      <c r="L69" s="53"/>
      <c r="M69" s="54">
        <f ca="1">I65*50%</f>
        <v>2</v>
      </c>
    </row>
    <row r="70" spans="1:13" ht="15" hidden="1" customHeight="1" x14ac:dyDescent="0.3">
      <c r="A70" s="102" t="s">
        <v>69</v>
      </c>
      <c r="B70" s="103"/>
      <c r="C70" s="55">
        <f ca="1">M78</f>
        <v>4</v>
      </c>
      <c r="D70" s="91">
        <f ca="1">((100/I65)*C70)/100</f>
        <v>1</v>
      </c>
      <c r="E70" s="91"/>
      <c r="F70" s="91"/>
      <c r="G70" s="91"/>
      <c r="H70" s="91"/>
      <c r="I70" s="91"/>
      <c r="J70" s="100"/>
      <c r="K70" s="50" t="s">
        <v>147</v>
      </c>
      <c r="L70" s="53"/>
      <c r="M70" s="54">
        <f ca="1">I65</f>
        <v>4</v>
      </c>
    </row>
    <row r="71" spans="1:13" ht="15" hidden="1" customHeight="1" x14ac:dyDescent="0.3">
      <c r="A71" s="102" t="s">
        <v>250</v>
      </c>
      <c r="B71" s="103"/>
      <c r="C71" s="55">
        <f ca="1">D65+G65+I65</f>
        <v>5</v>
      </c>
      <c r="D71" s="91">
        <f ca="1">((100/(D65+G65+I65))*C71)/100</f>
        <v>1</v>
      </c>
      <c r="E71" s="91"/>
      <c r="F71" s="91"/>
      <c r="G71" s="91"/>
      <c r="H71" s="91"/>
      <c r="I71" s="91"/>
      <c r="J71" s="100"/>
      <c r="K71" s="50" t="s">
        <v>148</v>
      </c>
      <c r="L71" s="53"/>
      <c r="M71" s="56">
        <f ca="1">(IF(B65=0,I65/4,(I65/(B65+4))))</f>
        <v>1</v>
      </c>
    </row>
    <row r="72" spans="1:13" ht="15" hidden="1" customHeight="1" x14ac:dyDescent="0.3">
      <c r="A72" s="102" t="s">
        <v>251</v>
      </c>
      <c r="B72" s="103" t="s">
        <v>252</v>
      </c>
      <c r="C72" s="52">
        <v>4</v>
      </c>
      <c r="D72" s="91">
        <f ca="1">((100/I65)*C72)/100</f>
        <v>1</v>
      </c>
      <c r="E72" s="91"/>
      <c r="F72" s="91"/>
      <c r="G72" s="91"/>
      <c r="H72" s="91"/>
      <c r="I72" s="91"/>
      <c r="J72" s="100"/>
      <c r="K72" s="50" t="s">
        <v>149</v>
      </c>
      <c r="L72" s="53"/>
      <c r="M72" s="56">
        <f ca="1">(IF(B65=0,I65/4+M71,(I65/(B65+4)+M71)))</f>
        <v>2</v>
      </c>
    </row>
    <row r="73" spans="1:13" ht="15" hidden="1" customHeight="1" x14ac:dyDescent="0.3">
      <c r="A73" s="102" t="s">
        <v>253</v>
      </c>
      <c r="B73" s="103" t="s">
        <v>252</v>
      </c>
      <c r="C73" s="52">
        <v>4</v>
      </c>
      <c r="D73" s="91">
        <f ca="1">((100/I65)*C73)/100</f>
        <v>1</v>
      </c>
      <c r="E73" s="91"/>
      <c r="F73" s="91"/>
      <c r="G73" s="91"/>
      <c r="H73" s="91"/>
      <c r="I73" s="91"/>
      <c r="J73" s="100"/>
      <c r="K73" s="50" t="s">
        <v>254</v>
      </c>
      <c r="L73" s="57"/>
      <c r="M73" s="56">
        <f>(IF(B65=0,0,(I65/(B65+4)+M72)))</f>
        <v>0</v>
      </c>
    </row>
    <row r="74" spans="1:13" ht="15" hidden="1" customHeight="1" x14ac:dyDescent="0.3">
      <c r="A74" s="102" t="s">
        <v>255</v>
      </c>
      <c r="B74" s="103" t="s">
        <v>256</v>
      </c>
      <c r="C74" s="52">
        <v>4</v>
      </c>
      <c r="D74" s="91">
        <f ca="1">((100/(I65))*C74)/100</f>
        <v>1</v>
      </c>
      <c r="E74" s="91"/>
      <c r="F74" s="91"/>
      <c r="G74" s="91"/>
      <c r="H74" s="91"/>
      <c r="I74" s="91"/>
      <c r="J74" s="100"/>
      <c r="K74" s="50" t="s">
        <v>257</v>
      </c>
      <c r="L74" s="57"/>
      <c r="M74" s="56">
        <f>(IF(B65&gt;1,(I65/(B65+4)+M73),0))</f>
        <v>0</v>
      </c>
    </row>
    <row r="75" spans="1:13" ht="15" hidden="1" customHeight="1" x14ac:dyDescent="0.3">
      <c r="A75" s="102" t="s">
        <v>258</v>
      </c>
      <c r="B75" s="103" t="s">
        <v>258</v>
      </c>
      <c r="C75" s="52">
        <v>4</v>
      </c>
      <c r="D75" s="91">
        <f ca="1">((100/I65)*C75)/100</f>
        <v>1</v>
      </c>
      <c r="E75" s="91"/>
      <c r="F75" s="91"/>
      <c r="G75" s="91"/>
      <c r="H75" s="91"/>
      <c r="I75" s="91"/>
      <c r="J75" s="100"/>
      <c r="K75" s="50" t="s">
        <v>259</v>
      </c>
      <c r="L75" s="58"/>
      <c r="M75" s="59">
        <f>(IF(B65&gt;2,(I65/(B65+4)+M74),0))</f>
        <v>0</v>
      </c>
    </row>
    <row r="76" spans="1:13" ht="15" hidden="1" customHeight="1" x14ac:dyDescent="0.3">
      <c r="A76" s="102" t="s">
        <v>260</v>
      </c>
      <c r="B76" s="103"/>
      <c r="C76" s="52">
        <v>4</v>
      </c>
      <c r="D76" s="91">
        <f ca="1">((100/I65)*C76)/100</f>
        <v>1</v>
      </c>
      <c r="E76" s="91"/>
      <c r="F76" s="91"/>
      <c r="G76" s="91"/>
      <c r="H76" s="91"/>
      <c r="I76" s="91"/>
      <c r="J76" s="100"/>
      <c r="K76" s="50" t="s">
        <v>261</v>
      </c>
      <c r="L76" s="60"/>
      <c r="M76" s="61">
        <f>(IF(B65&gt;3,(I65/(B65+4)+M75),0))</f>
        <v>0</v>
      </c>
    </row>
    <row r="77" spans="1:13" ht="15" hidden="1" customHeight="1" x14ac:dyDescent="0.3">
      <c r="A77" s="102" t="s">
        <v>262</v>
      </c>
      <c r="B77" s="103" t="s">
        <v>262</v>
      </c>
      <c r="C77" s="52">
        <v>4</v>
      </c>
      <c r="D77" s="91">
        <f ca="1">((100/(I65))*C77)/100</f>
        <v>1</v>
      </c>
      <c r="E77" s="91"/>
      <c r="F77" s="91"/>
      <c r="G77" s="91"/>
      <c r="H77" s="91"/>
      <c r="I77" s="91"/>
      <c r="J77" s="100"/>
      <c r="K77" s="50" t="s">
        <v>150</v>
      </c>
      <c r="L77" s="53"/>
      <c r="M77" s="56">
        <f ca="1">(IF(B65=0,I65/4+M72,(I65/(B65+4)+M72+MAX(0,M73-M72)+MAX(0,M74-M73)+MAX(0,M75-M74)+MAX(0,M76-M75))))</f>
        <v>3</v>
      </c>
    </row>
    <row r="78" spans="1:13" ht="15" hidden="1" customHeight="1" thickBot="1" x14ac:dyDescent="0.35">
      <c r="A78" s="104" t="s">
        <v>263</v>
      </c>
      <c r="B78" s="105"/>
      <c r="C78" s="62">
        <v>4</v>
      </c>
      <c r="D78" s="94">
        <f ca="1">((100/(I65))*C78)/100</f>
        <v>1</v>
      </c>
      <c r="E78" s="94"/>
      <c r="F78" s="94"/>
      <c r="G78" s="94"/>
      <c r="H78" s="94"/>
      <c r="I78" s="94"/>
      <c r="J78" s="101"/>
      <c r="K78" s="63" t="s">
        <v>151</v>
      </c>
      <c r="L78" s="64"/>
      <c r="M78" s="65">
        <f ca="1">(IF(B65=0,I65/4+M77,(I65/(B65+4)+M77)))</f>
        <v>4</v>
      </c>
    </row>
    <row r="79" spans="1:13" ht="15" customHeight="1" x14ac:dyDescent="0.3">
      <c r="A79" s="106" t="s">
        <v>239</v>
      </c>
      <c r="B79" s="107"/>
      <c r="C79" s="108" t="str">
        <f>C57</f>
        <v>C Wing = G + 1st to 4th Floor</v>
      </c>
      <c r="D79" s="108"/>
      <c r="E79" s="108"/>
      <c r="F79" s="108"/>
      <c r="G79" s="108"/>
      <c r="H79" s="108"/>
      <c r="I79" s="108"/>
      <c r="J79" s="109"/>
      <c r="K79" s="42" t="str">
        <f ca="1">(IF(C83=0,"Work not yet Started.",IF(D83=25%,"Piling work in process",IF(D83=50%,"Excavation work in process",IF(D83=100%,"Excavation work completed, ","0")))&amp;(IF(C84=0%,"",IF(C84=M85,"Footing work is process",IF(C84=M86,"Footing work Completed",IF(C84=M87,"1st Basement Completed",IF(C84=M88,"1st &amp; 2nd Basement Completed",IF(C84=M89,"1st to 3rd Basement Completed",IF(C84=M90,"1st to 4th Basement Completed",IF(C84=M91,"Plinth work is process",IF(C84=M92,"Plinth work completed","0")))))))))))&amp;(IF(C85&gt;0,", RCC upto "&amp;C85&amp;" Slab completed",""))&amp;(IF(C86&gt;0,", Brickwork upto "&amp;C86&amp;" Floor completed"," "))&amp;(IF(C87&gt;0,", Internal Plaster upto "&amp;C87&amp;" Floor completed"," "))&amp;(IF(C88&gt;0,", External Plaster upto "&amp;C88&amp;" Floor completed"," "))&amp;(IF(C89&gt;0,", Flooring upto "&amp;C89&amp;" Floor completed"," "))&amp;(IF(C90&gt;0,", Painting upto "&amp;C90&amp;" Floor completed"," "))&amp;(IF(C91&gt;0,", Finishing upto "&amp;C91&amp;" Floor completed"," ")))</f>
        <v xml:space="preserve">Excavation work completed, Plinth work completed, RCC upto 5 Slab completed, Brickwork upto 4 Floor completed, Internal Plaster upto 2 Floor completed, External Plaster upto 3 Floor completed   </v>
      </c>
      <c r="L79" s="42"/>
      <c r="M79" s="43"/>
    </row>
    <row r="80" spans="1:13" ht="15" customHeight="1" x14ac:dyDescent="0.3">
      <c r="A80" s="44" t="s">
        <v>138</v>
      </c>
      <c r="B80" s="45">
        <v>0</v>
      </c>
      <c r="C80" s="45" t="s">
        <v>140</v>
      </c>
      <c r="D80" s="110">
        <v>1</v>
      </c>
      <c r="E80" s="111"/>
      <c r="F80" s="46" t="s">
        <v>139</v>
      </c>
      <c r="G80" s="45">
        <v>0</v>
      </c>
      <c r="H80" s="45" t="s">
        <v>240</v>
      </c>
      <c r="I80" s="103">
        <f ca="1">--TRIM(RIGHT(SUBSTITUTE(LEFT(C79,_xlfn.AGGREGATE(16,6,FIND({0,1,2,3,4,5,6,7,8,9},C79,ROW(INDIRECT("1:"&amp;LEN(C79)))),1))," ",REPT(" ",LEN(C79))),LEN(C79)))</f>
        <v>4</v>
      </c>
      <c r="J80" s="112"/>
      <c r="K80" s="47" t="s">
        <v>241</v>
      </c>
      <c r="L80" s="47"/>
      <c r="M80" s="48"/>
    </row>
    <row r="81" spans="1:13" ht="48" customHeight="1" x14ac:dyDescent="0.3">
      <c r="A81" s="95" t="s">
        <v>242</v>
      </c>
      <c r="B81" s="96"/>
      <c r="C81" s="97" t="str">
        <f ca="1">K79</f>
        <v xml:space="preserve">Excavation work completed, Plinth work completed, RCC upto 5 Slab completed, Brickwork upto 4 Floor completed, Internal Plaster upto 2 Floor completed, External Plaster upto 3 Floor completed   </v>
      </c>
      <c r="D81" s="97"/>
      <c r="E81" s="97"/>
      <c r="F81" s="97"/>
      <c r="G81" s="97"/>
      <c r="H81" s="97"/>
      <c r="I81" s="97"/>
      <c r="J81" s="98"/>
      <c r="K81" s="47" t="s">
        <v>243</v>
      </c>
      <c r="L81" s="47"/>
      <c r="M81" s="48"/>
    </row>
    <row r="82" spans="1:13" ht="15" customHeight="1" x14ac:dyDescent="0.3">
      <c r="A82" s="102" t="s">
        <v>68</v>
      </c>
      <c r="B82" s="103"/>
      <c r="C82" s="49" t="s">
        <v>244</v>
      </c>
      <c r="D82" s="90" t="s">
        <v>245</v>
      </c>
      <c r="E82" s="90"/>
      <c r="F82" s="90" t="s">
        <v>246</v>
      </c>
      <c r="G82" s="90"/>
      <c r="H82" s="90" t="s">
        <v>247</v>
      </c>
      <c r="I82" s="90"/>
      <c r="J82" s="99"/>
      <c r="K82" s="50" t="s">
        <v>248</v>
      </c>
      <c r="M82" s="51">
        <f ca="1">I80*25%</f>
        <v>1</v>
      </c>
    </row>
    <row r="83" spans="1:13" ht="15" customHeight="1" x14ac:dyDescent="0.3">
      <c r="A83" s="102" t="s">
        <v>249</v>
      </c>
      <c r="B83" s="103"/>
      <c r="C83" s="52">
        <f ca="1">M84</f>
        <v>4</v>
      </c>
      <c r="D83" s="91">
        <f ca="1">((100/I80)*C83)/100</f>
        <v>1</v>
      </c>
      <c r="E83" s="91"/>
      <c r="F83" s="91">
        <f ca="1">(IF(C81=K80,"100%",IF(C81=K81,"100%",(((C84/I80*10)+(40/(D80+G80+I80)*C85)+(7.5/(I80)*C86)+(7.5/(I80)*C87)+(10/I80*C88)+(10/I80*C89)+(5/I80*C90)+(5/I80*C91)+(5/I80*C92))/100))))</f>
        <v>0.6875</v>
      </c>
      <c r="G83" s="91"/>
      <c r="H83" s="91">
        <f ca="1">((((C83/I80)*20)+((C84/I80)*25)+(30/(I80+G80+D80)*C85)+(5/I80*C86)+(5/I80*C87)+(5/I80*C88)+(5/I80*C89)+(0/I80*C90)+(0/I80*C91)+(5/I80*C92))/100)</f>
        <v>0.86250000000000004</v>
      </c>
      <c r="I83" s="91"/>
      <c r="J83" s="100"/>
      <c r="K83" s="50" t="s">
        <v>146</v>
      </c>
      <c r="L83" s="53"/>
      <c r="M83" s="54">
        <f ca="1">I80*50%</f>
        <v>2</v>
      </c>
    </row>
    <row r="84" spans="1:13" ht="15" customHeight="1" x14ac:dyDescent="0.3">
      <c r="A84" s="102" t="s">
        <v>69</v>
      </c>
      <c r="B84" s="103"/>
      <c r="C84" s="55">
        <f ca="1">M92</f>
        <v>4</v>
      </c>
      <c r="D84" s="91">
        <f ca="1">((100/I80)*C84)/100</f>
        <v>1</v>
      </c>
      <c r="E84" s="91"/>
      <c r="F84" s="91"/>
      <c r="G84" s="91"/>
      <c r="H84" s="91"/>
      <c r="I84" s="91"/>
      <c r="J84" s="100"/>
      <c r="K84" s="50" t="s">
        <v>147</v>
      </c>
      <c r="L84" s="53"/>
      <c r="M84" s="54">
        <f ca="1">I80</f>
        <v>4</v>
      </c>
    </row>
    <row r="85" spans="1:13" ht="15" customHeight="1" x14ac:dyDescent="0.3">
      <c r="A85" s="102" t="s">
        <v>250</v>
      </c>
      <c r="B85" s="103"/>
      <c r="C85" s="55">
        <v>5</v>
      </c>
      <c r="D85" s="91">
        <f ca="1">((100/(D80+G80+I80))*C85)/100</f>
        <v>1</v>
      </c>
      <c r="E85" s="91"/>
      <c r="F85" s="91"/>
      <c r="G85" s="91"/>
      <c r="H85" s="91"/>
      <c r="I85" s="91"/>
      <c r="J85" s="100"/>
      <c r="K85" s="50" t="s">
        <v>148</v>
      </c>
      <c r="L85" s="53"/>
      <c r="M85" s="56">
        <f ca="1">(IF(B80=0,I80/4,(I80/(B80+4))))</f>
        <v>1</v>
      </c>
    </row>
    <row r="86" spans="1:13" ht="15" customHeight="1" x14ac:dyDescent="0.3">
      <c r="A86" s="102" t="s">
        <v>251</v>
      </c>
      <c r="B86" s="103" t="s">
        <v>252</v>
      </c>
      <c r="C86" s="52">
        <v>4</v>
      </c>
      <c r="D86" s="91">
        <f ca="1">((100/I80)*C86)/100</f>
        <v>1</v>
      </c>
      <c r="E86" s="91"/>
      <c r="F86" s="91"/>
      <c r="G86" s="91"/>
      <c r="H86" s="91"/>
      <c r="I86" s="91"/>
      <c r="J86" s="100"/>
      <c r="K86" s="50" t="s">
        <v>149</v>
      </c>
      <c r="L86" s="53"/>
      <c r="M86" s="56">
        <f ca="1">(IF(B80=0,I80/4+M85,(I80/(B80+4)+M85)))</f>
        <v>2</v>
      </c>
    </row>
    <row r="87" spans="1:13" ht="15" customHeight="1" x14ac:dyDescent="0.3">
      <c r="A87" s="102" t="s">
        <v>253</v>
      </c>
      <c r="B87" s="103" t="s">
        <v>252</v>
      </c>
      <c r="C87" s="52">
        <v>2</v>
      </c>
      <c r="D87" s="91">
        <f ca="1">((100/I80)*C87)/100</f>
        <v>0.5</v>
      </c>
      <c r="E87" s="91"/>
      <c r="F87" s="91"/>
      <c r="G87" s="91"/>
      <c r="H87" s="91"/>
      <c r="I87" s="91"/>
      <c r="J87" s="100"/>
      <c r="K87" s="50" t="s">
        <v>254</v>
      </c>
      <c r="L87" s="57"/>
      <c r="M87" s="56">
        <f>(IF(B80=0,0,(I80/(B80+4)+M86)))</f>
        <v>0</v>
      </c>
    </row>
    <row r="88" spans="1:13" ht="15" customHeight="1" x14ac:dyDescent="0.3">
      <c r="A88" s="102" t="s">
        <v>255</v>
      </c>
      <c r="B88" s="103" t="s">
        <v>256</v>
      </c>
      <c r="C88" s="52">
        <v>3</v>
      </c>
      <c r="D88" s="91">
        <f ca="1">((100/(I80))*C88)/100</f>
        <v>0.75</v>
      </c>
      <c r="E88" s="91"/>
      <c r="F88" s="91"/>
      <c r="G88" s="91"/>
      <c r="H88" s="91"/>
      <c r="I88" s="91"/>
      <c r="J88" s="100"/>
      <c r="K88" s="50" t="s">
        <v>257</v>
      </c>
      <c r="L88" s="57"/>
      <c r="M88" s="56">
        <f>(IF(B80&gt;1,(I80/(B80+4)+M87),0))</f>
        <v>0</v>
      </c>
    </row>
    <row r="89" spans="1:13" ht="15" customHeight="1" x14ac:dyDescent="0.3">
      <c r="A89" s="102" t="s">
        <v>258</v>
      </c>
      <c r="B89" s="103" t="s">
        <v>258</v>
      </c>
      <c r="C89" s="52">
        <v>0</v>
      </c>
      <c r="D89" s="91">
        <f ca="1">((100/I80)*C89)/100</f>
        <v>0</v>
      </c>
      <c r="E89" s="91"/>
      <c r="F89" s="91"/>
      <c r="G89" s="91"/>
      <c r="H89" s="91"/>
      <c r="I89" s="91"/>
      <c r="J89" s="100"/>
      <c r="K89" s="50" t="s">
        <v>259</v>
      </c>
      <c r="L89" s="58"/>
      <c r="M89" s="59">
        <f>(IF(B80&gt;2,(I80/(B80+4)+M88),0))</f>
        <v>0</v>
      </c>
    </row>
    <row r="90" spans="1:13" ht="15" customHeight="1" x14ac:dyDescent="0.3">
      <c r="A90" s="102" t="s">
        <v>260</v>
      </c>
      <c r="B90" s="103"/>
      <c r="C90" s="52">
        <v>0</v>
      </c>
      <c r="D90" s="91">
        <f ca="1">((100/I80)*C90)/100</f>
        <v>0</v>
      </c>
      <c r="E90" s="91"/>
      <c r="F90" s="91"/>
      <c r="G90" s="91"/>
      <c r="H90" s="91"/>
      <c r="I90" s="91"/>
      <c r="J90" s="100"/>
      <c r="K90" s="50" t="s">
        <v>261</v>
      </c>
      <c r="L90" s="60"/>
      <c r="M90" s="61">
        <f>(IF(B80&gt;3,(I80/(B80+4)+M89),0))</f>
        <v>0</v>
      </c>
    </row>
    <row r="91" spans="1:13" ht="15" customHeight="1" x14ac:dyDescent="0.3">
      <c r="A91" s="102" t="s">
        <v>262</v>
      </c>
      <c r="B91" s="103" t="s">
        <v>262</v>
      </c>
      <c r="C91" s="52">
        <v>0</v>
      </c>
      <c r="D91" s="91">
        <f ca="1">((100/(I80))*C91)/100</f>
        <v>0</v>
      </c>
      <c r="E91" s="91"/>
      <c r="F91" s="91"/>
      <c r="G91" s="91"/>
      <c r="H91" s="91"/>
      <c r="I91" s="91"/>
      <c r="J91" s="100"/>
      <c r="K91" s="50" t="s">
        <v>150</v>
      </c>
      <c r="L91" s="53"/>
      <c r="M91" s="56">
        <f ca="1">(IF(B80=0,I80/4+M86,(I80/(B80+4)+M86+MAX(0,M87-M86)+MAX(0,M88-M87)+MAX(0,M89-M88)+MAX(0,M90-M89))))</f>
        <v>3</v>
      </c>
    </row>
    <row r="92" spans="1:13" ht="15" customHeight="1" thickBot="1" x14ac:dyDescent="0.35">
      <c r="A92" s="104" t="s">
        <v>263</v>
      </c>
      <c r="B92" s="105"/>
      <c r="C92" s="62">
        <v>0</v>
      </c>
      <c r="D92" s="94">
        <f ca="1">((100/(I80))*C92)/100</f>
        <v>0</v>
      </c>
      <c r="E92" s="94"/>
      <c r="F92" s="94"/>
      <c r="G92" s="94"/>
      <c r="H92" s="94"/>
      <c r="I92" s="94"/>
      <c r="J92" s="101"/>
      <c r="K92" s="63" t="s">
        <v>151</v>
      </c>
      <c r="L92" s="64"/>
      <c r="M92" s="65">
        <f ca="1">(IF(B80=0,I80/4+M91,(I80/(B80+4)+M91)))</f>
        <v>4</v>
      </c>
    </row>
    <row r="93" spans="1:13" ht="15" customHeight="1" x14ac:dyDescent="0.3">
      <c r="A93" s="106" t="s">
        <v>239</v>
      </c>
      <c r="B93" s="107"/>
      <c r="C93" s="108" t="str">
        <f>C58</f>
        <v>D Wing = G + 1st to 4th Floor</v>
      </c>
      <c r="D93" s="108"/>
      <c r="E93" s="108"/>
      <c r="F93" s="108"/>
      <c r="G93" s="108"/>
      <c r="H93" s="108"/>
      <c r="I93" s="108"/>
      <c r="J93" s="109"/>
      <c r="K93" s="42" t="str">
        <f ca="1">(IF(C97=0,"Work not yet Started.",IF(D97=25%,"Piling work in process",IF(D97=50%,"Excavation work in process",IF(D97=100%,"Excavation work completed, ","0")))&amp;(IF(C98=0%,"",IF(C98=M99,"Footing work is process",IF(C98=M100,"Footing work Completed",IF(C98=M101,"1st Basement Completed",IF(C98=M102,"1st &amp; 2nd Basement Completed",IF(C98=M103,"1st to 3rd Basement Completed",IF(C98=M104,"1st to 4th Basement Completed",IF(C98=M105,"Plinth work is process",IF(C98=M106,"Plinth work completed","0")))))))))))&amp;(IF(C99&gt;0,", RCC upto "&amp;C99&amp;" Slab completed",""))&amp;(IF(C100&gt;0,", Brickwork upto "&amp;C100&amp;" Floor completed"," "))&amp;(IF(C101&gt;0,", Internal Plaster upto "&amp;C101&amp;" Floor completed"," "))&amp;(IF(C102&gt;0,", External Plaster upto "&amp;C102&amp;" Floor completed"," "))&amp;(IF(C103&gt;0,", Flooring upto "&amp;C103&amp;" Floor completed"," "))&amp;(IF(C104&gt;0,", Painting upto "&amp;C104&amp;" Floor completed"," "))&amp;(IF(C105&gt;0,", Finishing upto "&amp;C105&amp;" Floor completed"," ")))</f>
        <v xml:space="preserve">Excavation work completed, Plinth work completed, RCC upto 5 Slab completed, Brickwork upto 4 Floor completed, Internal Plaster upto 1 Floor completed, External Plaster upto 3 Floor completed   </v>
      </c>
      <c r="L93" s="42"/>
      <c r="M93" s="43"/>
    </row>
    <row r="94" spans="1:13" ht="15" customHeight="1" x14ac:dyDescent="0.3">
      <c r="A94" s="44" t="s">
        <v>138</v>
      </c>
      <c r="B94" s="45">
        <v>0</v>
      </c>
      <c r="C94" s="45" t="s">
        <v>140</v>
      </c>
      <c r="D94" s="110">
        <v>1</v>
      </c>
      <c r="E94" s="111"/>
      <c r="F94" s="46" t="s">
        <v>139</v>
      </c>
      <c r="G94" s="45">
        <v>0</v>
      </c>
      <c r="H94" s="45" t="s">
        <v>240</v>
      </c>
      <c r="I94" s="103">
        <f ca="1">--TRIM(RIGHT(SUBSTITUTE(LEFT(C93,_xlfn.AGGREGATE(16,6,FIND({0,1,2,3,4,5,6,7,8,9},C93,ROW(INDIRECT("1:"&amp;LEN(C93)))),1))," ",REPT(" ",LEN(C93))),LEN(C93)))</f>
        <v>4</v>
      </c>
      <c r="J94" s="112"/>
      <c r="K94" s="47" t="s">
        <v>241</v>
      </c>
      <c r="L94" s="47"/>
      <c r="M94" s="48"/>
    </row>
    <row r="95" spans="1:13" ht="51.75" customHeight="1" x14ac:dyDescent="0.3">
      <c r="A95" s="95" t="s">
        <v>242</v>
      </c>
      <c r="B95" s="96"/>
      <c r="C95" s="97" t="str">
        <f ca="1">K93</f>
        <v xml:space="preserve">Excavation work completed, Plinth work completed, RCC upto 5 Slab completed, Brickwork upto 4 Floor completed, Internal Plaster upto 1 Floor completed, External Plaster upto 3 Floor completed   </v>
      </c>
      <c r="D95" s="97"/>
      <c r="E95" s="97"/>
      <c r="F95" s="97"/>
      <c r="G95" s="97"/>
      <c r="H95" s="97"/>
      <c r="I95" s="97"/>
      <c r="J95" s="98"/>
      <c r="K95" s="47" t="s">
        <v>243</v>
      </c>
      <c r="L95" s="47"/>
      <c r="M95" s="48"/>
    </row>
    <row r="96" spans="1:13" ht="15" customHeight="1" x14ac:dyDescent="0.3">
      <c r="A96" s="102" t="s">
        <v>68</v>
      </c>
      <c r="B96" s="103"/>
      <c r="C96" s="49" t="s">
        <v>244</v>
      </c>
      <c r="D96" s="90" t="s">
        <v>245</v>
      </c>
      <c r="E96" s="90"/>
      <c r="F96" s="90" t="s">
        <v>246</v>
      </c>
      <c r="G96" s="90"/>
      <c r="H96" s="90" t="s">
        <v>247</v>
      </c>
      <c r="I96" s="90"/>
      <c r="J96" s="99"/>
      <c r="K96" s="50" t="s">
        <v>248</v>
      </c>
      <c r="M96" s="51">
        <f ca="1">I94*25%</f>
        <v>1</v>
      </c>
    </row>
    <row r="97" spans="1:13" ht="15" customHeight="1" x14ac:dyDescent="0.3">
      <c r="A97" s="102" t="s">
        <v>249</v>
      </c>
      <c r="B97" s="103"/>
      <c r="C97" s="52">
        <f ca="1">M98</f>
        <v>4</v>
      </c>
      <c r="D97" s="91">
        <f ca="1">((100/I94)*C97)/100</f>
        <v>1</v>
      </c>
      <c r="E97" s="91"/>
      <c r="F97" s="91">
        <f ca="1">(IF(C95=K94,"100%",IF(C95=K95,"100%",(((C98/I94*10)+(40/(D94+G94+I94)*C99)+(7.5/(I94)*C100)+(7.5/(I94)*C101)+(10/I94*C102)+(10/I94*C103)+(5/I94*C104)+(5/I94*C105)+(5/I94*C106))/100))))</f>
        <v>0.66874999999999996</v>
      </c>
      <c r="G97" s="91"/>
      <c r="H97" s="91">
        <f ca="1">((((C97/I94)*20)+((C98/I94)*25)+(30/(I94+G94+D94)*C99)+(5/I94*C100)+(5/I94*C101)+(5/I94*C102)+(5/I94*C103)+(0/I94*C104)+(0/I94*C105)+(5/I94*C106))/100)</f>
        <v>0.85</v>
      </c>
      <c r="I97" s="91"/>
      <c r="J97" s="100"/>
      <c r="K97" s="50" t="s">
        <v>146</v>
      </c>
      <c r="L97" s="53"/>
      <c r="M97" s="54">
        <f ca="1">I94*50%</f>
        <v>2</v>
      </c>
    </row>
    <row r="98" spans="1:13" ht="15" customHeight="1" x14ac:dyDescent="0.3">
      <c r="A98" s="102" t="s">
        <v>69</v>
      </c>
      <c r="B98" s="103"/>
      <c r="C98" s="55">
        <f ca="1">M106</f>
        <v>4</v>
      </c>
      <c r="D98" s="91">
        <f ca="1">((100/I94)*C98)/100</f>
        <v>1</v>
      </c>
      <c r="E98" s="91"/>
      <c r="F98" s="91"/>
      <c r="G98" s="91"/>
      <c r="H98" s="91"/>
      <c r="I98" s="91"/>
      <c r="J98" s="100"/>
      <c r="K98" s="50" t="s">
        <v>147</v>
      </c>
      <c r="L98" s="53"/>
      <c r="M98" s="54">
        <f ca="1">I94</f>
        <v>4</v>
      </c>
    </row>
    <row r="99" spans="1:13" ht="15" customHeight="1" x14ac:dyDescent="0.3">
      <c r="A99" s="102" t="s">
        <v>250</v>
      </c>
      <c r="B99" s="103"/>
      <c r="C99" s="55">
        <v>5</v>
      </c>
      <c r="D99" s="91">
        <f ca="1">((100/(D94+G94+I94))*C99)/100</f>
        <v>1</v>
      </c>
      <c r="E99" s="91"/>
      <c r="F99" s="91"/>
      <c r="G99" s="91"/>
      <c r="H99" s="91"/>
      <c r="I99" s="91"/>
      <c r="J99" s="100"/>
      <c r="K99" s="50" t="s">
        <v>148</v>
      </c>
      <c r="L99" s="53"/>
      <c r="M99" s="56">
        <f ca="1">(IF(B94=0,I94/4,(I94/(B94+4))))</f>
        <v>1</v>
      </c>
    </row>
    <row r="100" spans="1:13" ht="15" customHeight="1" x14ac:dyDescent="0.3">
      <c r="A100" s="102" t="s">
        <v>251</v>
      </c>
      <c r="B100" s="103" t="s">
        <v>252</v>
      </c>
      <c r="C100" s="52">
        <v>4</v>
      </c>
      <c r="D100" s="91">
        <f ca="1">((100/I94)*C100)/100</f>
        <v>1</v>
      </c>
      <c r="E100" s="91"/>
      <c r="F100" s="91"/>
      <c r="G100" s="91"/>
      <c r="H100" s="91"/>
      <c r="I100" s="91"/>
      <c r="J100" s="100"/>
      <c r="K100" s="50" t="s">
        <v>149</v>
      </c>
      <c r="L100" s="53"/>
      <c r="M100" s="56">
        <f ca="1">(IF(B94=0,I94/4+M99,(I94/(B94+4)+M99)))</f>
        <v>2</v>
      </c>
    </row>
    <row r="101" spans="1:13" ht="15" customHeight="1" x14ac:dyDescent="0.3">
      <c r="A101" s="102" t="s">
        <v>253</v>
      </c>
      <c r="B101" s="103" t="s">
        <v>252</v>
      </c>
      <c r="C101" s="52">
        <v>1</v>
      </c>
      <c r="D101" s="91">
        <f ca="1">((100/I94)*C101)/100</f>
        <v>0.25</v>
      </c>
      <c r="E101" s="91"/>
      <c r="F101" s="91"/>
      <c r="G101" s="91"/>
      <c r="H101" s="91"/>
      <c r="I101" s="91"/>
      <c r="J101" s="100"/>
      <c r="K101" s="50" t="s">
        <v>254</v>
      </c>
      <c r="L101" s="57"/>
      <c r="M101" s="56">
        <f>(IF(B94=0,0,(I94/(B94+4)+M100)))</f>
        <v>0</v>
      </c>
    </row>
    <row r="102" spans="1:13" ht="15" customHeight="1" x14ac:dyDescent="0.3">
      <c r="A102" s="102" t="s">
        <v>255</v>
      </c>
      <c r="B102" s="103" t="s">
        <v>256</v>
      </c>
      <c r="C102" s="52">
        <v>3</v>
      </c>
      <c r="D102" s="91">
        <f ca="1">((100/(I94))*C102)/100</f>
        <v>0.75</v>
      </c>
      <c r="E102" s="91"/>
      <c r="F102" s="91"/>
      <c r="G102" s="91"/>
      <c r="H102" s="91"/>
      <c r="I102" s="91"/>
      <c r="J102" s="100"/>
      <c r="K102" s="50" t="s">
        <v>257</v>
      </c>
      <c r="L102" s="57"/>
      <c r="M102" s="56">
        <f>(IF(B94&gt;1,(I94/(B94+4)+M101),0))</f>
        <v>0</v>
      </c>
    </row>
    <row r="103" spans="1:13" ht="15" customHeight="1" x14ac:dyDescent="0.3">
      <c r="A103" s="102" t="s">
        <v>258</v>
      </c>
      <c r="B103" s="103" t="s">
        <v>258</v>
      </c>
      <c r="C103" s="52">
        <v>0</v>
      </c>
      <c r="D103" s="91">
        <f ca="1">((100/I94)*C103)/100</f>
        <v>0</v>
      </c>
      <c r="E103" s="91"/>
      <c r="F103" s="91"/>
      <c r="G103" s="91"/>
      <c r="H103" s="91"/>
      <c r="I103" s="91"/>
      <c r="J103" s="100"/>
      <c r="K103" s="50" t="s">
        <v>259</v>
      </c>
      <c r="L103" s="58"/>
      <c r="M103" s="59">
        <f>(IF(B94&gt;2,(I94/(B94+4)+M102),0))</f>
        <v>0</v>
      </c>
    </row>
    <row r="104" spans="1:13" ht="15" customHeight="1" x14ac:dyDescent="0.3">
      <c r="A104" s="102" t="s">
        <v>260</v>
      </c>
      <c r="B104" s="103"/>
      <c r="C104" s="52">
        <v>0</v>
      </c>
      <c r="D104" s="91">
        <f ca="1">((100/I94)*C104)/100</f>
        <v>0</v>
      </c>
      <c r="E104" s="91"/>
      <c r="F104" s="91"/>
      <c r="G104" s="91"/>
      <c r="H104" s="91"/>
      <c r="I104" s="91"/>
      <c r="J104" s="100"/>
      <c r="K104" s="50" t="s">
        <v>261</v>
      </c>
      <c r="L104" s="60"/>
      <c r="M104" s="61">
        <f>(IF(B94&gt;3,(I94/(B94+4)+M103),0))</f>
        <v>0</v>
      </c>
    </row>
    <row r="105" spans="1:13" ht="15" customHeight="1" x14ac:dyDescent="0.3">
      <c r="A105" s="102" t="s">
        <v>262</v>
      </c>
      <c r="B105" s="103" t="s">
        <v>262</v>
      </c>
      <c r="C105" s="52">
        <v>0</v>
      </c>
      <c r="D105" s="91">
        <f ca="1">((100/(I94))*C105)/100</f>
        <v>0</v>
      </c>
      <c r="E105" s="91"/>
      <c r="F105" s="91"/>
      <c r="G105" s="91"/>
      <c r="H105" s="91"/>
      <c r="I105" s="91"/>
      <c r="J105" s="100"/>
      <c r="K105" s="50" t="s">
        <v>150</v>
      </c>
      <c r="L105" s="53"/>
      <c r="M105" s="56">
        <f ca="1">(IF(B94=0,I94/4+M100,(I94/(B94+4)+M100+MAX(0,M101-M100)+MAX(0,M102-M101)+MAX(0,M103-M102)+MAX(0,M104-M103))))</f>
        <v>3</v>
      </c>
    </row>
    <row r="106" spans="1:13" ht="15" customHeight="1" thickBot="1" x14ac:dyDescent="0.35">
      <c r="A106" s="104" t="s">
        <v>263</v>
      </c>
      <c r="B106" s="105"/>
      <c r="C106" s="62">
        <v>0</v>
      </c>
      <c r="D106" s="94">
        <f ca="1">((100/(I94))*C106)/100</f>
        <v>0</v>
      </c>
      <c r="E106" s="94"/>
      <c r="F106" s="94"/>
      <c r="G106" s="94"/>
      <c r="H106" s="94"/>
      <c r="I106" s="94"/>
      <c r="J106" s="101"/>
      <c r="K106" s="63" t="s">
        <v>151</v>
      </c>
      <c r="L106" s="64"/>
      <c r="M106" s="65">
        <f ca="1">(IF(B94=0,I94/4+M105,(I94/(B94+4)+M105)))</f>
        <v>4</v>
      </c>
    </row>
    <row r="107" spans="1:13" x14ac:dyDescent="0.3">
      <c r="A107" s="106" t="s">
        <v>239</v>
      </c>
      <c r="B107" s="107"/>
      <c r="C107" s="108" t="str">
        <f>C59</f>
        <v>E Wing = G + 1st to 4th Floor</v>
      </c>
      <c r="D107" s="108"/>
      <c r="E107" s="108"/>
      <c r="F107" s="108"/>
      <c r="G107" s="108"/>
      <c r="H107" s="108"/>
      <c r="I107" s="108"/>
      <c r="J107" s="109"/>
      <c r="K107" s="42" t="str">
        <f ca="1">(IF(C111=0,"Work not yet Started.",IF(D111=25%,"Piling work in process",IF(D111=50%,"Excavation work in process",IF(D111=100%,"Excavation work completed, ","0")))&amp;(IF(C112=0%,"",IF(C112=M113,"Footing work is process",IF(C112=M114,"Footing work Completed",IF(C112=M115,"1st Basement Completed",IF(C112=M116,"1st &amp; 2nd Basement Completed",IF(C112=M117,"1st to 3rd Basement Completed",IF(C112=M118,"1st to 4th Basement Completed",IF(C112=M119,"Plinth work is process",IF(C112=M120,"Plinth work completed","0")))))))))))&amp;(IF(C113&gt;0,", RCC upto "&amp;C113&amp;" Slab completed",""))&amp;(IF(C114&gt;0,", Brickwork upto "&amp;C114&amp;" Floor completed"," "))&amp;(IF(C115&gt;0,", Internal Plaster upto "&amp;C115&amp;" Floor completed"," "))&amp;(IF(C116&gt;0,", External Plaster upto "&amp;C116&amp;" Floor completed"," "))&amp;(IF(C117&gt;0,", Flooring upto "&amp;C117&amp;" Floor completed"," "))&amp;(IF(C118&gt;0,", Painting upto "&amp;C118&amp;" Floor completed"," "))&amp;(IF(C119&gt;0,", Finishing upto "&amp;C119&amp;" Floor completed"," ")))</f>
        <v xml:space="preserve">Excavation work completed, Plinth work completed, RCC upto 1 Slab completed      </v>
      </c>
      <c r="L107" s="42"/>
      <c r="M107" s="43"/>
    </row>
    <row r="108" spans="1:13" ht="15" customHeight="1" x14ac:dyDescent="0.3">
      <c r="A108" s="44" t="s">
        <v>138</v>
      </c>
      <c r="B108" s="45">
        <v>0</v>
      </c>
      <c r="C108" s="45" t="s">
        <v>140</v>
      </c>
      <c r="D108" s="110">
        <v>1</v>
      </c>
      <c r="E108" s="111"/>
      <c r="F108" s="46" t="s">
        <v>139</v>
      </c>
      <c r="G108" s="45">
        <v>0</v>
      </c>
      <c r="H108" s="45" t="s">
        <v>240</v>
      </c>
      <c r="I108" s="103">
        <f ca="1">--TRIM(RIGHT(SUBSTITUTE(LEFT(C107,_xlfn.AGGREGATE(16,6,FIND({0,1,2,3,4,5,6,7,8,9},C107,ROW(INDIRECT("1:"&amp;LEN(C107)))),1))," ",REPT(" ",LEN(C107))),LEN(C107)))</f>
        <v>4</v>
      </c>
      <c r="J108" s="112"/>
      <c r="K108" s="47" t="s">
        <v>241</v>
      </c>
      <c r="L108" s="47"/>
      <c r="M108" s="48"/>
    </row>
    <row r="109" spans="1:13" x14ac:dyDescent="0.3">
      <c r="A109" s="95" t="s">
        <v>242</v>
      </c>
      <c r="B109" s="96"/>
      <c r="C109" s="97" t="str">
        <f ca="1">K107</f>
        <v xml:space="preserve">Excavation work completed, Plinth work completed, RCC upto 1 Slab completed      </v>
      </c>
      <c r="D109" s="97"/>
      <c r="E109" s="97"/>
      <c r="F109" s="97"/>
      <c r="G109" s="97"/>
      <c r="H109" s="97"/>
      <c r="I109" s="97"/>
      <c r="J109" s="98"/>
      <c r="K109" s="47" t="s">
        <v>243</v>
      </c>
      <c r="L109" s="47"/>
      <c r="M109" s="48"/>
    </row>
    <row r="110" spans="1:13" ht="15" customHeight="1" x14ac:dyDescent="0.3">
      <c r="A110" s="89" t="s">
        <v>68</v>
      </c>
      <c r="B110" s="90"/>
      <c r="C110" s="49" t="s">
        <v>244</v>
      </c>
      <c r="D110" s="90" t="s">
        <v>245</v>
      </c>
      <c r="E110" s="90"/>
      <c r="F110" s="90" t="s">
        <v>246</v>
      </c>
      <c r="G110" s="90"/>
      <c r="H110" s="90" t="s">
        <v>247</v>
      </c>
      <c r="I110" s="90"/>
      <c r="J110" s="99"/>
      <c r="K110" s="50" t="s">
        <v>248</v>
      </c>
      <c r="M110" s="51">
        <f ca="1">I108*25%</f>
        <v>1</v>
      </c>
    </row>
    <row r="111" spans="1:13" ht="15" customHeight="1" x14ac:dyDescent="0.3">
      <c r="A111" s="89" t="s">
        <v>249</v>
      </c>
      <c r="B111" s="90"/>
      <c r="C111" s="52">
        <v>4</v>
      </c>
      <c r="D111" s="91">
        <f ca="1">((100/I108)*C111)/100</f>
        <v>1</v>
      </c>
      <c r="E111" s="91"/>
      <c r="F111" s="91">
        <f ca="1">(IF(C109=K108,"100%",IF(C109=K109,"100%",(((C112/I108*10)+(40/(D108+G108+I108)*C113)+(7.5/(I108)*C114)+(7.5/(I108)*C115)+(10/I108*C116)+(10/I108*C117)+(5/I108*C118)+(5/I108*C119)+(5/I108*C120))/100))))</f>
        <v>0.18</v>
      </c>
      <c r="G111" s="91"/>
      <c r="H111" s="91">
        <f ca="1">((((C111/I108)*20)+((C112/I108)*25)+(30/(I108+G108+D108)*C113)+(5/I108*C114)+(5/I108*C115)+(5/I108*C116)+(5/I108*C117)+(0/I108*C118)+(0/I108*C119)+(5/I108*C120))/100)</f>
        <v>0.51</v>
      </c>
      <c r="I111" s="91"/>
      <c r="J111" s="100"/>
      <c r="K111" s="50" t="s">
        <v>146</v>
      </c>
      <c r="L111" s="53"/>
      <c r="M111" s="54">
        <f ca="1">I108*50%</f>
        <v>2</v>
      </c>
    </row>
    <row r="112" spans="1:13" ht="15" customHeight="1" x14ac:dyDescent="0.3">
      <c r="A112" s="89" t="s">
        <v>69</v>
      </c>
      <c r="B112" s="90"/>
      <c r="C112" s="55">
        <f ca="1">M120</f>
        <v>4</v>
      </c>
      <c r="D112" s="91">
        <f ca="1">((100/I108)*C112)/100</f>
        <v>1</v>
      </c>
      <c r="E112" s="91"/>
      <c r="F112" s="91"/>
      <c r="G112" s="91"/>
      <c r="H112" s="91"/>
      <c r="I112" s="91"/>
      <c r="J112" s="100"/>
      <c r="K112" s="50" t="s">
        <v>147</v>
      </c>
      <c r="L112" s="53"/>
      <c r="M112" s="54">
        <f ca="1">I108</f>
        <v>4</v>
      </c>
    </row>
    <row r="113" spans="1:13" ht="15" customHeight="1" x14ac:dyDescent="0.3">
      <c r="A113" s="89" t="s">
        <v>250</v>
      </c>
      <c r="B113" s="90"/>
      <c r="C113" s="55">
        <v>1</v>
      </c>
      <c r="D113" s="91">
        <f ca="1">((100/(D108+G108+I108))*C113)/100</f>
        <v>0.2</v>
      </c>
      <c r="E113" s="91"/>
      <c r="F113" s="91"/>
      <c r="G113" s="91"/>
      <c r="H113" s="91"/>
      <c r="I113" s="91"/>
      <c r="J113" s="100"/>
      <c r="K113" s="50" t="s">
        <v>148</v>
      </c>
      <c r="L113" s="53"/>
      <c r="M113" s="56">
        <f ca="1">(IF(B108=0,I108/4,(I108/(B108+4))))</f>
        <v>1</v>
      </c>
    </row>
    <row r="114" spans="1:13" ht="15" customHeight="1" x14ac:dyDescent="0.3">
      <c r="A114" s="89" t="s">
        <v>251</v>
      </c>
      <c r="B114" s="90" t="s">
        <v>252</v>
      </c>
      <c r="C114" s="52">
        <v>0</v>
      </c>
      <c r="D114" s="91">
        <f ca="1">((100/I108)*C114)/100</f>
        <v>0</v>
      </c>
      <c r="E114" s="91"/>
      <c r="F114" s="91"/>
      <c r="G114" s="91"/>
      <c r="H114" s="91"/>
      <c r="I114" s="91"/>
      <c r="J114" s="100"/>
      <c r="K114" s="50" t="s">
        <v>149</v>
      </c>
      <c r="L114" s="53"/>
      <c r="M114" s="56">
        <f ca="1">(IF(B108=0,I108/4+M113,(I108/(B108+4)+M113)))</f>
        <v>2</v>
      </c>
    </row>
    <row r="115" spans="1:13" ht="15" customHeight="1" x14ac:dyDescent="0.3">
      <c r="A115" s="89" t="s">
        <v>253</v>
      </c>
      <c r="B115" s="90" t="s">
        <v>252</v>
      </c>
      <c r="C115" s="52">
        <v>0</v>
      </c>
      <c r="D115" s="91">
        <f ca="1">((100/I108)*C115)/100</f>
        <v>0</v>
      </c>
      <c r="E115" s="91"/>
      <c r="F115" s="91"/>
      <c r="G115" s="91"/>
      <c r="H115" s="91"/>
      <c r="I115" s="91"/>
      <c r="J115" s="100"/>
      <c r="K115" s="50" t="s">
        <v>254</v>
      </c>
      <c r="L115" s="57"/>
      <c r="M115" s="56">
        <f>(IF(B108=0,0,(I108/(B108+4)+M114)))</f>
        <v>0</v>
      </c>
    </row>
    <row r="116" spans="1:13" ht="15" customHeight="1" x14ac:dyDescent="0.3">
      <c r="A116" s="89" t="s">
        <v>255</v>
      </c>
      <c r="B116" s="90" t="s">
        <v>256</v>
      </c>
      <c r="C116" s="52">
        <v>0</v>
      </c>
      <c r="D116" s="91">
        <f ca="1">((100/(I108))*C116)/100</f>
        <v>0</v>
      </c>
      <c r="E116" s="91"/>
      <c r="F116" s="91"/>
      <c r="G116" s="91"/>
      <c r="H116" s="91"/>
      <c r="I116" s="91"/>
      <c r="J116" s="100"/>
      <c r="K116" s="50" t="s">
        <v>257</v>
      </c>
      <c r="L116" s="57"/>
      <c r="M116" s="56">
        <f>(IF(B108&gt;1,(I108/(B108+4)+M115),0))</f>
        <v>0</v>
      </c>
    </row>
    <row r="117" spans="1:13" ht="15" customHeight="1" x14ac:dyDescent="0.3">
      <c r="A117" s="89" t="s">
        <v>258</v>
      </c>
      <c r="B117" s="90" t="s">
        <v>258</v>
      </c>
      <c r="C117" s="52">
        <v>0</v>
      </c>
      <c r="D117" s="91">
        <f ca="1">((100/I108)*C117)/100</f>
        <v>0</v>
      </c>
      <c r="E117" s="91"/>
      <c r="F117" s="91"/>
      <c r="G117" s="91"/>
      <c r="H117" s="91"/>
      <c r="I117" s="91"/>
      <c r="J117" s="100"/>
      <c r="K117" s="50" t="s">
        <v>259</v>
      </c>
      <c r="L117" s="58"/>
      <c r="M117" s="59">
        <f>(IF(B108&gt;2,(I108/(B108+4)+M116),0))</f>
        <v>0</v>
      </c>
    </row>
    <row r="118" spans="1:13" ht="15" customHeight="1" x14ac:dyDescent="0.3">
      <c r="A118" s="89" t="s">
        <v>260</v>
      </c>
      <c r="B118" s="90"/>
      <c r="C118" s="52">
        <v>0</v>
      </c>
      <c r="D118" s="91">
        <f ca="1">((100/I108)*C118)/100</f>
        <v>0</v>
      </c>
      <c r="E118" s="91"/>
      <c r="F118" s="91"/>
      <c r="G118" s="91"/>
      <c r="H118" s="91"/>
      <c r="I118" s="91"/>
      <c r="J118" s="100"/>
      <c r="K118" s="50" t="s">
        <v>261</v>
      </c>
      <c r="L118" s="60"/>
      <c r="M118" s="61">
        <f>(IF(B108&gt;3,(I108/(B108+4)+M117),0))</f>
        <v>0</v>
      </c>
    </row>
    <row r="119" spans="1:13" ht="15" customHeight="1" x14ac:dyDescent="0.3">
      <c r="A119" s="89" t="s">
        <v>262</v>
      </c>
      <c r="B119" s="90" t="s">
        <v>262</v>
      </c>
      <c r="C119" s="52">
        <v>0</v>
      </c>
      <c r="D119" s="91">
        <f ca="1">((100/(I108))*C119)/100</f>
        <v>0</v>
      </c>
      <c r="E119" s="91"/>
      <c r="F119" s="91"/>
      <c r="G119" s="91"/>
      <c r="H119" s="91"/>
      <c r="I119" s="91"/>
      <c r="J119" s="100"/>
      <c r="K119" s="50" t="s">
        <v>150</v>
      </c>
      <c r="L119" s="53"/>
      <c r="M119" s="56">
        <f ca="1">(IF(B108=0,I108/4+M114,(I108/(B108+4)+M114+MAX(0,M115-M114)+MAX(0,M116-M115)+MAX(0,M117-M116)+MAX(0,M118-M117))))</f>
        <v>3</v>
      </c>
    </row>
    <row r="120" spans="1:13" ht="15" customHeight="1" thickBot="1" x14ac:dyDescent="0.35">
      <c r="A120" s="92" t="s">
        <v>263</v>
      </c>
      <c r="B120" s="93"/>
      <c r="C120" s="62">
        <v>0</v>
      </c>
      <c r="D120" s="94">
        <f ca="1">((100/(I108))*C120)/100</f>
        <v>0</v>
      </c>
      <c r="E120" s="94"/>
      <c r="F120" s="94"/>
      <c r="G120" s="94"/>
      <c r="H120" s="94"/>
      <c r="I120" s="94"/>
      <c r="J120" s="101"/>
      <c r="K120" s="63" t="s">
        <v>151</v>
      </c>
      <c r="L120" s="64"/>
      <c r="M120" s="65">
        <f ca="1">(IF(B108=0,I108/4+M119,(I108/(B108+4)+M119)))</f>
        <v>4</v>
      </c>
    </row>
    <row r="121" spans="1:13" ht="15" customHeight="1" x14ac:dyDescent="0.3">
      <c r="A121" s="106" t="s">
        <v>239</v>
      </c>
      <c r="B121" s="107"/>
      <c r="C121" s="108" t="str">
        <f>C60</f>
        <v>F Wing = G + 1st to 4th Floor</v>
      </c>
      <c r="D121" s="108"/>
      <c r="E121" s="108"/>
      <c r="F121" s="108"/>
      <c r="G121" s="108"/>
      <c r="H121" s="108"/>
      <c r="I121" s="108"/>
      <c r="J121" s="109"/>
      <c r="K121" s="42" t="str">
        <f ca="1">(IF(C125=0,"Work not yet Started.",IF(D125=25%,"Piling work in process",IF(D125=50%,"Excavation work in process",IF(D125=100%,"Excavation work completed, ","0")))&amp;(IF(C126=0%,"",IF(C126=M127,"Footing work is process",IF(C126=M128,"Footing work Completed",IF(C126=M129,"1st Basement Completed",IF(C126=M130,"1st &amp; 2nd Basement Completed",IF(C126=M131,"1st to 3rd Basement Completed",IF(C126=M132,"1st to 4th Basement Completed",IF(C126=M133,"Plinth work is process",IF(C126=M134,"Plinth work completed","0")))))))))))&amp;(IF(C127&gt;0,", RCC upto "&amp;C127&amp;" Slab completed",""))&amp;(IF(C128&gt;0,", Brickwork upto "&amp;C128&amp;" Floor completed"," "))&amp;(IF(C129&gt;0,", Internal Plaster upto "&amp;C129&amp;" Floor completed"," "))&amp;(IF(C130&gt;0,", External Plaster upto "&amp;C130&amp;" Floor completed"," "))&amp;(IF(C131&gt;0,", Flooring upto "&amp;C131&amp;" Floor completed"," "))&amp;(IF(C132&gt;0,", Painting upto "&amp;C132&amp;" Floor completed"," "))&amp;(IF(C133&gt;0,", Finishing upto "&amp;C133&amp;" Floor completed"," ")))</f>
        <v xml:space="preserve">Excavation work completed, Plinth work completed, RCC upto 1 Slab completed      </v>
      </c>
      <c r="L121" s="42"/>
      <c r="M121" s="43"/>
    </row>
    <row r="122" spans="1:13" ht="15" customHeight="1" x14ac:dyDescent="0.3">
      <c r="A122" s="44" t="s">
        <v>138</v>
      </c>
      <c r="B122" s="45">
        <v>0</v>
      </c>
      <c r="C122" s="45" t="s">
        <v>140</v>
      </c>
      <c r="D122" s="110">
        <v>1</v>
      </c>
      <c r="E122" s="111"/>
      <c r="F122" s="46" t="s">
        <v>139</v>
      </c>
      <c r="G122" s="45">
        <v>0</v>
      </c>
      <c r="H122" s="45" t="s">
        <v>240</v>
      </c>
      <c r="I122" s="103">
        <f ca="1">--TRIM(RIGHT(SUBSTITUTE(LEFT(C121,_xlfn.AGGREGATE(16,6,FIND({0,1,2,3,4,5,6,7,8,9},C121,ROW(INDIRECT("1:"&amp;LEN(C121)))),1))," ",REPT(" ",LEN(C121))),LEN(C121)))</f>
        <v>4</v>
      </c>
      <c r="J122" s="112"/>
      <c r="K122" s="47" t="s">
        <v>241</v>
      </c>
      <c r="L122" s="47"/>
      <c r="M122" s="48"/>
    </row>
    <row r="123" spans="1:13" ht="33" customHeight="1" x14ac:dyDescent="0.3">
      <c r="A123" s="95" t="s">
        <v>242</v>
      </c>
      <c r="B123" s="96"/>
      <c r="C123" s="97" t="str">
        <f ca="1">K121</f>
        <v xml:space="preserve">Excavation work completed, Plinth work completed, RCC upto 1 Slab completed      </v>
      </c>
      <c r="D123" s="97"/>
      <c r="E123" s="97"/>
      <c r="F123" s="97"/>
      <c r="G123" s="97"/>
      <c r="H123" s="97"/>
      <c r="I123" s="97"/>
      <c r="J123" s="98"/>
      <c r="K123" s="47" t="s">
        <v>243</v>
      </c>
      <c r="L123" s="47"/>
      <c r="M123" s="48"/>
    </row>
    <row r="124" spans="1:13" ht="15" customHeight="1" x14ac:dyDescent="0.3">
      <c r="A124" s="89" t="s">
        <v>68</v>
      </c>
      <c r="B124" s="90"/>
      <c r="C124" s="49" t="s">
        <v>244</v>
      </c>
      <c r="D124" s="90" t="s">
        <v>245</v>
      </c>
      <c r="E124" s="90"/>
      <c r="F124" s="90" t="s">
        <v>246</v>
      </c>
      <c r="G124" s="90"/>
      <c r="H124" s="90" t="s">
        <v>247</v>
      </c>
      <c r="I124" s="90"/>
      <c r="J124" s="99"/>
      <c r="K124" s="50" t="s">
        <v>248</v>
      </c>
      <c r="M124" s="51">
        <f ca="1">I122*25%</f>
        <v>1</v>
      </c>
    </row>
    <row r="125" spans="1:13" ht="15" customHeight="1" x14ac:dyDescent="0.3">
      <c r="A125" s="89" t="s">
        <v>249</v>
      </c>
      <c r="B125" s="90"/>
      <c r="C125" s="52">
        <v>4</v>
      </c>
      <c r="D125" s="91">
        <f ca="1">((100/I122)*C125)/100</f>
        <v>1</v>
      </c>
      <c r="E125" s="91"/>
      <c r="F125" s="91">
        <f ca="1">(IF(C123=K122,"100%",IF(C123=K123,"100%",(((C126/I122*10)+(40/(D122+G122+I122)*C127)+(7.5/(I122)*C128)+(7.5/(I122)*C129)+(10/I122*C130)+(10/I122*C131)+(5/I122*C132)+(5/I122*C133)+(5/I122*C134))/100))))</f>
        <v>0.18</v>
      </c>
      <c r="G125" s="91"/>
      <c r="H125" s="91">
        <f ca="1">((((C125/I122)*20)+((C126/I122)*25)+(30/(I122+G122+D122)*C127)+(5/I122*C128)+(5/I122*C129)+(5/I122*C130)+(5/I122*C131)+(0/I122*C132)+(0/I122*C133)+(5/I122*C134))/100)</f>
        <v>0.51</v>
      </c>
      <c r="I125" s="91"/>
      <c r="J125" s="100"/>
      <c r="K125" s="50" t="s">
        <v>146</v>
      </c>
      <c r="L125" s="53"/>
      <c r="M125" s="54">
        <f ca="1">I122*50%</f>
        <v>2</v>
      </c>
    </row>
    <row r="126" spans="1:13" ht="15" customHeight="1" x14ac:dyDescent="0.3">
      <c r="A126" s="89" t="s">
        <v>69</v>
      </c>
      <c r="B126" s="90"/>
      <c r="C126" s="55">
        <f ca="1">M134</f>
        <v>4</v>
      </c>
      <c r="D126" s="91">
        <f ca="1">((100/I122)*C126)/100</f>
        <v>1</v>
      </c>
      <c r="E126" s="91"/>
      <c r="F126" s="91"/>
      <c r="G126" s="91"/>
      <c r="H126" s="91"/>
      <c r="I126" s="91"/>
      <c r="J126" s="100"/>
      <c r="K126" s="50" t="s">
        <v>147</v>
      </c>
      <c r="L126" s="53"/>
      <c r="M126" s="54">
        <f ca="1">I122</f>
        <v>4</v>
      </c>
    </row>
    <row r="127" spans="1:13" ht="15" customHeight="1" x14ac:dyDescent="0.3">
      <c r="A127" s="89" t="s">
        <v>250</v>
      </c>
      <c r="B127" s="90"/>
      <c r="C127" s="55">
        <v>1</v>
      </c>
      <c r="D127" s="91">
        <f ca="1">((100/(D122+G122+I122))*C127)/100</f>
        <v>0.2</v>
      </c>
      <c r="E127" s="91"/>
      <c r="F127" s="91"/>
      <c r="G127" s="91"/>
      <c r="H127" s="91"/>
      <c r="I127" s="91"/>
      <c r="J127" s="100"/>
      <c r="K127" s="50" t="s">
        <v>148</v>
      </c>
      <c r="L127" s="53"/>
      <c r="M127" s="56">
        <f ca="1">(IF(B122=0,I122/4,(I122/(B122+4))))</f>
        <v>1</v>
      </c>
    </row>
    <row r="128" spans="1:13" ht="15" customHeight="1" x14ac:dyDescent="0.3">
      <c r="A128" s="89" t="s">
        <v>251</v>
      </c>
      <c r="B128" s="90" t="s">
        <v>252</v>
      </c>
      <c r="C128" s="52">
        <v>0</v>
      </c>
      <c r="D128" s="91">
        <f ca="1">((100/I122)*C128)/100</f>
        <v>0</v>
      </c>
      <c r="E128" s="91"/>
      <c r="F128" s="91"/>
      <c r="G128" s="91"/>
      <c r="H128" s="91"/>
      <c r="I128" s="91"/>
      <c r="J128" s="100"/>
      <c r="K128" s="50" t="s">
        <v>149</v>
      </c>
      <c r="L128" s="53"/>
      <c r="M128" s="56">
        <f ca="1">(IF(B122=0,I122/4+M127,(I122/(B122+4)+M127)))</f>
        <v>2</v>
      </c>
    </row>
    <row r="129" spans="1:24" ht="15" customHeight="1" x14ac:dyDescent="0.3">
      <c r="A129" s="89" t="s">
        <v>253</v>
      </c>
      <c r="B129" s="90" t="s">
        <v>252</v>
      </c>
      <c r="C129" s="52">
        <v>0</v>
      </c>
      <c r="D129" s="91">
        <f ca="1">((100/I122)*C129)/100</f>
        <v>0</v>
      </c>
      <c r="E129" s="91"/>
      <c r="F129" s="91"/>
      <c r="G129" s="91"/>
      <c r="H129" s="91"/>
      <c r="I129" s="91"/>
      <c r="J129" s="100"/>
      <c r="K129" s="50" t="s">
        <v>254</v>
      </c>
      <c r="L129" s="57"/>
      <c r="M129" s="56">
        <f>(IF(B122=0,0,(I122/(B122+4)+M128)))</f>
        <v>0</v>
      </c>
    </row>
    <row r="130" spans="1:24" ht="15" customHeight="1" x14ac:dyDescent="0.3">
      <c r="A130" s="89" t="s">
        <v>255</v>
      </c>
      <c r="B130" s="90" t="s">
        <v>256</v>
      </c>
      <c r="C130" s="52">
        <v>0</v>
      </c>
      <c r="D130" s="91">
        <f ca="1">((100/(I122))*C130)/100</f>
        <v>0</v>
      </c>
      <c r="E130" s="91"/>
      <c r="F130" s="91"/>
      <c r="G130" s="91"/>
      <c r="H130" s="91"/>
      <c r="I130" s="91"/>
      <c r="J130" s="100"/>
      <c r="K130" s="50" t="s">
        <v>257</v>
      </c>
      <c r="L130" s="57"/>
      <c r="M130" s="56">
        <f>(IF(B122&gt;1,(I122/(B122+4)+M129),0))</f>
        <v>0</v>
      </c>
    </row>
    <row r="131" spans="1:24" ht="15" customHeight="1" x14ac:dyDescent="0.3">
      <c r="A131" s="89" t="s">
        <v>258</v>
      </c>
      <c r="B131" s="90" t="s">
        <v>258</v>
      </c>
      <c r="C131" s="52">
        <v>0</v>
      </c>
      <c r="D131" s="91">
        <f ca="1">((100/I122)*C131)/100</f>
        <v>0</v>
      </c>
      <c r="E131" s="91"/>
      <c r="F131" s="91"/>
      <c r="G131" s="91"/>
      <c r="H131" s="91"/>
      <c r="I131" s="91"/>
      <c r="J131" s="100"/>
      <c r="K131" s="50" t="s">
        <v>259</v>
      </c>
      <c r="L131" s="58"/>
      <c r="M131" s="59">
        <f>(IF(B122&gt;2,(I122/(B122+4)+M130),0))</f>
        <v>0</v>
      </c>
    </row>
    <row r="132" spans="1:24" ht="15" customHeight="1" x14ac:dyDescent="0.3">
      <c r="A132" s="89" t="s">
        <v>260</v>
      </c>
      <c r="B132" s="90"/>
      <c r="C132" s="52">
        <v>0</v>
      </c>
      <c r="D132" s="91">
        <f ca="1">((100/I122)*C132)/100</f>
        <v>0</v>
      </c>
      <c r="E132" s="91"/>
      <c r="F132" s="91"/>
      <c r="G132" s="91"/>
      <c r="H132" s="91"/>
      <c r="I132" s="91"/>
      <c r="J132" s="100"/>
      <c r="K132" s="50" t="s">
        <v>261</v>
      </c>
      <c r="L132" s="60"/>
      <c r="M132" s="61">
        <f>(IF(B122&gt;3,(I122/(B122+4)+M131),0))</f>
        <v>0</v>
      </c>
    </row>
    <row r="133" spans="1:24" ht="15" customHeight="1" x14ac:dyDescent="0.3">
      <c r="A133" s="89" t="s">
        <v>262</v>
      </c>
      <c r="B133" s="90" t="s">
        <v>262</v>
      </c>
      <c r="C133" s="52">
        <v>0</v>
      </c>
      <c r="D133" s="91">
        <f ca="1">((100/(I122))*C133)/100</f>
        <v>0</v>
      </c>
      <c r="E133" s="91"/>
      <c r="F133" s="91"/>
      <c r="G133" s="91"/>
      <c r="H133" s="91"/>
      <c r="I133" s="91"/>
      <c r="J133" s="100"/>
      <c r="K133" s="50" t="s">
        <v>150</v>
      </c>
      <c r="L133" s="53"/>
      <c r="M133" s="56">
        <f ca="1">(IF(B122=0,I122/4+M128,(I122/(B122+4)+M128+MAX(0,M129-M128)+MAX(0,M130-M129)+MAX(0,M131-M130)+MAX(0,M132-M131))))</f>
        <v>3</v>
      </c>
    </row>
    <row r="134" spans="1:24" ht="15" customHeight="1" thickBot="1" x14ac:dyDescent="0.35">
      <c r="A134" s="92" t="s">
        <v>263</v>
      </c>
      <c r="B134" s="93"/>
      <c r="C134" s="62">
        <v>0</v>
      </c>
      <c r="D134" s="94">
        <f ca="1">((100/(I122))*C134)/100</f>
        <v>0</v>
      </c>
      <c r="E134" s="94"/>
      <c r="F134" s="94"/>
      <c r="G134" s="94"/>
      <c r="H134" s="94"/>
      <c r="I134" s="94"/>
      <c r="J134" s="101"/>
      <c r="K134" s="63" t="s">
        <v>151</v>
      </c>
      <c r="L134" s="64"/>
      <c r="M134" s="65">
        <f ca="1">(IF(B122=0,I122/4+M133,(I122/(B122+4)+M133)))</f>
        <v>4</v>
      </c>
    </row>
    <row r="135" spans="1:24" s="41" customFormat="1" x14ac:dyDescent="0.3">
      <c r="A135" s="153" t="s">
        <v>220</v>
      </c>
      <c r="B135" s="154"/>
      <c r="C135" s="154"/>
      <c r="D135" s="154"/>
      <c r="E135" s="154"/>
      <c r="F135" s="154"/>
      <c r="G135" s="154"/>
      <c r="H135" s="154"/>
      <c r="I135" s="154"/>
      <c r="J135" s="155"/>
    </row>
    <row r="136" spans="1:24" x14ac:dyDescent="0.3">
      <c r="A136" s="131" t="s">
        <v>74</v>
      </c>
      <c r="B136" s="132"/>
      <c r="C136" s="132"/>
      <c r="D136" s="132"/>
      <c r="E136" s="132"/>
      <c r="F136" s="132"/>
      <c r="G136" s="132"/>
      <c r="H136" s="132"/>
      <c r="I136" s="132"/>
      <c r="J136" s="133"/>
    </row>
    <row r="137" spans="1:24" ht="15" customHeight="1" x14ac:dyDescent="0.3">
      <c r="A137" s="205" t="s">
        <v>144</v>
      </c>
      <c r="B137" s="206"/>
      <c r="C137" s="207" t="s">
        <v>145</v>
      </c>
      <c r="D137" s="208"/>
      <c r="E137" s="208"/>
      <c r="F137" s="208"/>
      <c r="G137" s="208"/>
      <c r="H137" s="208"/>
      <c r="I137" s="208"/>
      <c r="J137" s="209"/>
    </row>
    <row r="138" spans="1:24" x14ac:dyDescent="0.3">
      <c r="A138" s="147" t="s">
        <v>75</v>
      </c>
      <c r="B138" s="148"/>
      <c r="C138" s="148"/>
      <c r="D138" s="148"/>
      <c r="E138" s="148"/>
      <c r="F138" s="148"/>
      <c r="G138" s="148"/>
      <c r="H138" s="148"/>
      <c r="I138" s="148"/>
      <c r="J138" s="149"/>
    </row>
    <row r="139" spans="1:24" x14ac:dyDescent="0.3">
      <c r="A139" s="131" t="s">
        <v>153</v>
      </c>
      <c r="B139" s="132"/>
      <c r="C139" s="132"/>
      <c r="D139" s="132"/>
      <c r="E139" s="132"/>
      <c r="F139" s="133"/>
      <c r="G139" s="131">
        <v>3900</v>
      </c>
      <c r="H139" s="132"/>
      <c r="I139" s="132"/>
      <c r="J139" s="133"/>
      <c r="L139" s="39" t="s">
        <v>268</v>
      </c>
      <c r="N139" s="39" t="s">
        <v>269</v>
      </c>
      <c r="O139" s="39" t="s">
        <v>270</v>
      </c>
      <c r="P139" s="66">
        <v>44818</v>
      </c>
    </row>
    <row r="140" spans="1:24" s="41" customFormat="1" x14ac:dyDescent="0.3">
      <c r="A140" s="153" t="s">
        <v>154</v>
      </c>
      <c r="B140" s="154"/>
      <c r="C140" s="154"/>
      <c r="D140" s="154"/>
      <c r="E140" s="154"/>
      <c r="F140" s="155"/>
      <c r="G140" s="153" t="s">
        <v>221</v>
      </c>
      <c r="H140" s="154"/>
      <c r="I140" s="154"/>
      <c r="J140" s="155"/>
    </row>
    <row r="141" spans="1:24" x14ac:dyDescent="0.3">
      <c r="A141" s="131" t="s">
        <v>222</v>
      </c>
      <c r="B141" s="132"/>
      <c r="C141" s="132"/>
      <c r="D141" s="132"/>
      <c r="E141" s="132"/>
      <c r="F141" s="133"/>
      <c r="G141" s="137" t="s">
        <v>161</v>
      </c>
      <c r="H141" s="87"/>
      <c r="I141" s="87"/>
      <c r="J141" s="88"/>
    </row>
    <row r="142" spans="1:24" x14ac:dyDescent="0.3">
      <c r="A142" s="131" t="s">
        <v>271</v>
      </c>
      <c r="B142" s="132"/>
      <c r="C142" s="132"/>
      <c r="D142" s="132"/>
      <c r="E142" s="132"/>
      <c r="F142" s="133"/>
      <c r="G142" s="137" t="s">
        <v>161</v>
      </c>
      <c r="H142" s="87"/>
      <c r="I142" s="87"/>
      <c r="J142" s="88"/>
      <c r="O142" s="86" t="s">
        <v>191</v>
      </c>
      <c r="P142" s="86"/>
      <c r="Q142" s="86"/>
      <c r="R142" s="86"/>
      <c r="S142" s="86"/>
      <c r="T142" s="86"/>
      <c r="U142" s="87" t="s">
        <v>192</v>
      </c>
      <c r="V142" s="87"/>
      <c r="W142" s="87"/>
      <c r="X142" s="88"/>
    </row>
    <row r="143" spans="1:24" x14ac:dyDescent="0.3">
      <c r="A143" s="131" t="s">
        <v>76</v>
      </c>
      <c r="B143" s="132"/>
      <c r="C143" s="132"/>
      <c r="D143" s="132"/>
      <c r="E143" s="132"/>
      <c r="F143" s="133"/>
      <c r="G143" s="137" t="s">
        <v>223</v>
      </c>
      <c r="H143" s="87"/>
      <c r="I143" s="87"/>
      <c r="J143" s="88"/>
    </row>
    <row r="144" spans="1:24" hidden="1" x14ac:dyDescent="0.3">
      <c r="A144" s="131" t="s">
        <v>77</v>
      </c>
      <c r="B144" s="132"/>
      <c r="C144" s="132"/>
      <c r="D144" s="132"/>
      <c r="E144" s="132"/>
      <c r="F144" s="133"/>
      <c r="G144" s="137" t="s">
        <v>36</v>
      </c>
      <c r="H144" s="87"/>
      <c r="I144" s="87"/>
      <c r="J144" s="88"/>
    </row>
    <row r="145" spans="1:10" s="67" customFormat="1" ht="14.4" customHeight="1" x14ac:dyDescent="0.3">
      <c r="A145" s="147" t="s">
        <v>78</v>
      </c>
      <c r="B145" s="148"/>
      <c r="C145" s="148"/>
      <c r="D145" s="148"/>
      <c r="E145" s="148"/>
      <c r="F145" s="149"/>
      <c r="G145" s="131">
        <f>G139*0.8</f>
        <v>3120</v>
      </c>
      <c r="H145" s="132"/>
      <c r="I145" s="132"/>
      <c r="J145" s="133"/>
    </row>
    <row r="146" spans="1:10" s="68" customFormat="1" ht="15.75" customHeight="1" x14ac:dyDescent="0.3">
      <c r="A146" s="213" t="s">
        <v>155</v>
      </c>
      <c r="B146" s="214"/>
      <c r="C146" s="214"/>
      <c r="D146" s="214"/>
      <c r="E146" s="214"/>
      <c r="F146" s="214"/>
      <c r="G146" s="214"/>
      <c r="H146" s="214"/>
      <c r="I146" s="214"/>
      <c r="J146" s="215"/>
    </row>
    <row r="147" spans="1:10" s="68" customFormat="1" ht="15.75" customHeight="1" x14ac:dyDescent="0.3">
      <c r="A147" s="224" t="s">
        <v>79</v>
      </c>
      <c r="B147" s="226"/>
      <c r="C147" s="69" t="s">
        <v>212</v>
      </c>
      <c r="D147" s="249" t="s">
        <v>80</v>
      </c>
      <c r="E147" s="250"/>
      <c r="F147" s="251"/>
      <c r="G147" s="224" t="s">
        <v>81</v>
      </c>
      <c r="H147" s="225"/>
      <c r="I147" s="225"/>
      <c r="J147" s="226"/>
    </row>
    <row r="148" spans="1:10" s="68" customFormat="1" x14ac:dyDescent="0.3">
      <c r="A148" s="216" t="s">
        <v>275</v>
      </c>
      <c r="B148" s="217"/>
      <c r="C148" s="70">
        <f>COUNT(D169:E174)</f>
        <v>6</v>
      </c>
      <c r="D148" s="218">
        <f>SUM(D169:E174)</f>
        <v>1055.08728</v>
      </c>
      <c r="E148" s="219"/>
      <c r="F148" s="220"/>
      <c r="G148" s="210">
        <f>SUM(G169:G174)</f>
        <v>1582.6309199999996</v>
      </c>
      <c r="H148" s="211"/>
      <c r="I148" s="211"/>
      <c r="J148" s="212"/>
    </row>
    <row r="149" spans="1:10" s="68" customFormat="1" x14ac:dyDescent="0.3">
      <c r="A149" s="216" t="s">
        <v>276</v>
      </c>
      <c r="B149" s="217"/>
      <c r="C149" s="70">
        <f>COUNT(D200:E204)</f>
        <v>5</v>
      </c>
      <c r="D149" s="218">
        <f>SUM(D200:E204)</f>
        <v>741.96251999999993</v>
      </c>
      <c r="E149" s="219"/>
      <c r="F149" s="220"/>
      <c r="G149" s="210">
        <f>SUM(G200:G204)</f>
        <v>1112.9437800000001</v>
      </c>
      <c r="H149" s="211"/>
      <c r="I149" s="211"/>
      <c r="J149" s="212"/>
    </row>
    <row r="150" spans="1:10" s="68" customFormat="1" x14ac:dyDescent="0.3">
      <c r="A150" s="216" t="s">
        <v>277</v>
      </c>
      <c r="B150" s="217"/>
      <c r="C150" s="70">
        <f>COUNT(D224:E228)</f>
        <v>5</v>
      </c>
      <c r="D150" s="218">
        <f>SUM(D224:E228)</f>
        <v>741.96251999999993</v>
      </c>
      <c r="E150" s="219"/>
      <c r="F150" s="220"/>
      <c r="G150" s="210">
        <f>SUM(G224:G228)</f>
        <v>1112.9437800000001</v>
      </c>
      <c r="H150" s="211"/>
      <c r="I150" s="211"/>
      <c r="J150" s="212"/>
    </row>
    <row r="151" spans="1:10" s="68" customFormat="1" x14ac:dyDescent="0.3">
      <c r="A151" s="216" t="s">
        <v>278</v>
      </c>
      <c r="B151" s="217"/>
      <c r="C151" s="70">
        <f>COUNT(D247:E252)</f>
        <v>6</v>
      </c>
      <c r="D151" s="218">
        <f>SUM(D247:E252)</f>
        <v>1055.08728</v>
      </c>
      <c r="E151" s="219"/>
      <c r="F151" s="220"/>
      <c r="G151" s="210">
        <f>SUM(G247:G252)</f>
        <v>1582.6309199999998</v>
      </c>
      <c r="H151" s="211"/>
      <c r="I151" s="211"/>
      <c r="J151" s="212"/>
    </row>
    <row r="152" spans="1:10" s="68" customFormat="1" x14ac:dyDescent="0.3">
      <c r="A152" s="213" t="s">
        <v>83</v>
      </c>
      <c r="B152" s="214"/>
      <c r="C152" s="71">
        <f>SUM(C148:C151)</f>
        <v>22</v>
      </c>
      <c r="D152" s="221">
        <f>SUM(D148:F149)</f>
        <v>1797.0497999999998</v>
      </c>
      <c r="E152" s="222"/>
      <c r="F152" s="223"/>
      <c r="G152" s="224">
        <f>SUM(G148:J149)</f>
        <v>2695.5746999999997</v>
      </c>
      <c r="H152" s="225"/>
      <c r="I152" s="225"/>
      <c r="J152" s="226"/>
    </row>
    <row r="153" spans="1:10" s="68" customFormat="1" x14ac:dyDescent="0.3">
      <c r="A153" s="213" t="s">
        <v>137</v>
      </c>
      <c r="B153" s="214"/>
      <c r="C153" s="214"/>
      <c r="D153" s="214"/>
      <c r="E153" s="214"/>
      <c r="F153" s="214"/>
      <c r="G153" s="214"/>
      <c r="H153" s="214"/>
      <c r="I153" s="214"/>
      <c r="J153" s="215"/>
    </row>
    <row r="154" spans="1:10" s="68" customFormat="1" x14ac:dyDescent="0.3">
      <c r="A154" s="224" t="s">
        <v>79</v>
      </c>
      <c r="B154" s="226"/>
      <c r="C154" s="69" t="s">
        <v>213</v>
      </c>
      <c r="D154" s="249" t="s">
        <v>80</v>
      </c>
      <c r="E154" s="250"/>
      <c r="F154" s="251"/>
      <c r="G154" s="224" t="s">
        <v>81</v>
      </c>
      <c r="H154" s="225"/>
      <c r="I154" s="225"/>
      <c r="J154" s="226"/>
    </row>
    <row r="155" spans="1:10" s="68" customFormat="1" x14ac:dyDescent="0.3">
      <c r="A155" s="216" t="s">
        <v>275</v>
      </c>
      <c r="B155" s="217"/>
      <c r="C155" s="72">
        <f>COUNT(D175:E176)+COUNT(D178:E183)+COUNT(D185:E190)+COUNT(D192:E197)*2</f>
        <v>26</v>
      </c>
      <c r="D155" s="218">
        <f>SUM(D175:E176)+SUM(D178:E183)+SUM(D185:E190)+SUM(D192:E197)*2</f>
        <v>8811.6041519999999</v>
      </c>
      <c r="E155" s="219"/>
      <c r="F155" s="220"/>
      <c r="G155" s="210">
        <f>SUM(D175:E176)+SUM(D178:E183)+SUM(D185:E190)+SUM(D192:E197)*2</f>
        <v>8811.6041519999999</v>
      </c>
      <c r="H155" s="211"/>
      <c r="I155" s="211"/>
      <c r="J155" s="212"/>
    </row>
    <row r="156" spans="1:10" s="68" customFormat="1" x14ac:dyDescent="0.3">
      <c r="A156" s="216" t="s">
        <v>276</v>
      </c>
      <c r="B156" s="217"/>
      <c r="C156" s="72">
        <f>COUNT(D205:E206)+COUNT(D208:E211)+COUNT(D213:E216)+COUNT(D218:E221)*2</f>
        <v>18</v>
      </c>
      <c r="D156" s="218">
        <f>SUM(D205:E206)+SUM(D208:E211)+SUM(D213:E216)+SUM(D218:E221)*2</f>
        <v>4941.1334699999998</v>
      </c>
      <c r="E156" s="219"/>
      <c r="F156" s="220"/>
      <c r="G156" s="210">
        <f>SUM(D205:E206)+SUM(D208:E211)+SUM(D213:E216)+SUM(D218:E221)*2</f>
        <v>4941.1334699999998</v>
      </c>
      <c r="H156" s="211"/>
      <c r="I156" s="211"/>
      <c r="J156" s="212"/>
    </row>
    <row r="157" spans="1:10" s="68" customFormat="1" x14ac:dyDescent="0.3">
      <c r="A157" s="216" t="s">
        <v>277</v>
      </c>
      <c r="B157" s="217"/>
      <c r="C157" s="72">
        <f>COUNT(D229)+COUNT(D231:E234)+COUNT(D236:E239)+COUNT(D241:E244)*2</f>
        <v>17</v>
      </c>
      <c r="D157" s="218">
        <f>SUM(D229)+SUM(D231:E234)+SUM(D236:E239)+SUM(D241:E244)*2</f>
        <v>4715.1971100000001</v>
      </c>
      <c r="E157" s="219"/>
      <c r="F157" s="220"/>
      <c r="G157" s="210">
        <f>SUM(D229)+SUM(D231:E234)+SUM(D236:E239)+SUM(D241:E244)*2</f>
        <v>4715.1971100000001</v>
      </c>
      <c r="H157" s="211"/>
      <c r="I157" s="211"/>
      <c r="J157" s="212"/>
    </row>
    <row r="158" spans="1:10" s="68" customFormat="1" x14ac:dyDescent="0.3">
      <c r="A158" s="216" t="s">
        <v>278</v>
      </c>
      <c r="B158" s="217"/>
      <c r="C158" s="72">
        <f>COUNT(D253:E254)+COUNT(D256:E261)+COUNT(D263:E268)+COUNT(D270:E275)*2</f>
        <v>26</v>
      </c>
      <c r="D158" s="218">
        <f>SUM(D253:E254)+SUM(D256:E261)+SUM(D263:E268)+SUM(D270:E275)*2</f>
        <v>8900.9130600000008</v>
      </c>
      <c r="E158" s="219"/>
      <c r="F158" s="220"/>
      <c r="G158" s="210">
        <f>SUM(D253:E254)+SUM(D256:E261)+SUM(D263:E268)+SUM(D270:E275)*2</f>
        <v>8900.9130600000008</v>
      </c>
      <c r="H158" s="211"/>
      <c r="I158" s="211"/>
      <c r="J158" s="212"/>
    </row>
    <row r="159" spans="1:10" s="68" customFormat="1" x14ac:dyDescent="0.3">
      <c r="A159" s="216" t="s">
        <v>279</v>
      </c>
      <c r="B159" s="217"/>
      <c r="C159" s="72">
        <f>COUNT(D278:E282)+COUNT(D284:E289)+COUNT(D291:E296)+COUNT(D298:E303)*2</f>
        <v>29</v>
      </c>
      <c r="D159" s="218">
        <f>SUM(D278:E282)+SUM(D284:E289)+SUM(D291:E296)+SUM(D298:E303)*2</f>
        <v>10987.191540000002</v>
      </c>
      <c r="E159" s="219"/>
      <c r="F159" s="220"/>
      <c r="G159" s="210">
        <f>SUM(D278:E282)+SUM(D284:E289)+SUM(D291:E296)+SUM(D298:E303)*2</f>
        <v>10987.191540000002</v>
      </c>
      <c r="H159" s="211"/>
      <c r="I159" s="211"/>
      <c r="J159" s="212"/>
    </row>
    <row r="160" spans="1:10" s="68" customFormat="1" x14ac:dyDescent="0.3">
      <c r="A160" s="216" t="s">
        <v>280</v>
      </c>
      <c r="B160" s="217"/>
      <c r="C160" s="72">
        <f>COUNT(D306:E311)+COUNT(D313:E318)+COUNT(D320:E325)+COUNT(D327:E332)*2</f>
        <v>30</v>
      </c>
      <c r="D160" s="218">
        <f>SUM(D306:E311)+SUM(D313:E318)+SUM(D320:E325)+SUM(D327:E332)*2</f>
        <v>10423.29249</v>
      </c>
      <c r="E160" s="219"/>
      <c r="F160" s="220"/>
      <c r="G160" s="210">
        <f>SUM(D306:E311)+SUM(D313:E318)+SUM(D320:E325)+SUM(D327:E332)*2</f>
        <v>10423.29249</v>
      </c>
      <c r="H160" s="211"/>
      <c r="I160" s="211"/>
      <c r="J160" s="212"/>
    </row>
    <row r="161" spans="1:10" s="68" customFormat="1" x14ac:dyDescent="0.3">
      <c r="A161" s="213" t="s">
        <v>83</v>
      </c>
      <c r="B161" s="214"/>
      <c r="C161" s="69">
        <f>SUM(C155:C160)</f>
        <v>146</v>
      </c>
      <c r="D161" s="221">
        <f>SUM(D155:F160)</f>
        <v>48779.331822</v>
      </c>
      <c r="E161" s="222"/>
      <c r="F161" s="223"/>
      <c r="G161" s="224">
        <f>SUM(G155:J160)</f>
        <v>48779.331822</v>
      </c>
      <c r="H161" s="225"/>
      <c r="I161" s="225"/>
      <c r="J161" s="226"/>
    </row>
    <row r="162" spans="1:10" s="68" customFormat="1" x14ac:dyDescent="0.3">
      <c r="A162" s="213" t="s">
        <v>283</v>
      </c>
      <c r="B162" s="214"/>
      <c r="C162" s="71">
        <f>C152+C161</f>
        <v>168</v>
      </c>
      <c r="D162" s="221">
        <f>D152+D161</f>
        <v>50576.381622000001</v>
      </c>
      <c r="E162" s="222"/>
      <c r="F162" s="223"/>
      <c r="G162" s="224">
        <f>G152+G161</f>
        <v>51474.906521999997</v>
      </c>
      <c r="H162" s="225"/>
      <c r="I162" s="225"/>
      <c r="J162" s="226"/>
    </row>
    <row r="163" spans="1:10" s="67" customFormat="1" x14ac:dyDescent="0.3">
      <c r="A163" s="141" t="s">
        <v>84</v>
      </c>
      <c r="B163" s="142"/>
      <c r="C163" s="142"/>
      <c r="D163" s="142"/>
      <c r="E163" s="142"/>
      <c r="F163" s="142"/>
      <c r="G163" s="142"/>
      <c r="H163" s="142"/>
      <c r="I163" s="142"/>
      <c r="J163" s="143"/>
    </row>
    <row r="164" spans="1:10" x14ac:dyDescent="0.3">
      <c r="A164" s="141" t="s">
        <v>85</v>
      </c>
      <c r="B164" s="142"/>
      <c r="C164" s="142"/>
      <c r="D164" s="142"/>
      <c r="E164" s="142"/>
      <c r="F164" s="142"/>
      <c r="G164" s="142"/>
      <c r="H164" s="142"/>
      <c r="I164" s="142"/>
      <c r="J164" s="143"/>
    </row>
    <row r="165" spans="1:10" s="41" customFormat="1" ht="57" customHeight="1" x14ac:dyDescent="0.3">
      <c r="A165" s="22" t="s">
        <v>196</v>
      </c>
      <c r="B165" s="22" t="s">
        <v>197</v>
      </c>
      <c r="C165" s="22" t="s">
        <v>86</v>
      </c>
      <c r="D165" s="232" t="s">
        <v>87</v>
      </c>
      <c r="E165" s="233"/>
      <c r="F165" s="23" t="s">
        <v>88</v>
      </c>
      <c r="G165" s="22" t="s">
        <v>89</v>
      </c>
      <c r="H165" s="22" t="s">
        <v>90</v>
      </c>
      <c r="I165" s="232" t="s">
        <v>91</v>
      </c>
      <c r="J165" s="233"/>
    </row>
    <row r="166" spans="1:10" s="73" customFormat="1" x14ac:dyDescent="0.3">
      <c r="A166" s="227" t="s">
        <v>193</v>
      </c>
      <c r="B166" s="228"/>
      <c r="C166" s="228"/>
      <c r="D166" s="228"/>
      <c r="E166" s="228"/>
      <c r="F166" s="228"/>
      <c r="G166" s="228"/>
      <c r="H166" s="228"/>
      <c r="I166" s="228"/>
      <c r="J166" s="229"/>
    </row>
    <row r="167" spans="1:10" s="73" customFormat="1" x14ac:dyDescent="0.3">
      <c r="A167" s="227" t="s">
        <v>194</v>
      </c>
      <c r="B167" s="228"/>
      <c r="C167" s="228"/>
      <c r="D167" s="228"/>
      <c r="E167" s="228"/>
      <c r="F167" s="228"/>
      <c r="G167" s="228"/>
      <c r="H167" s="228"/>
      <c r="I167" s="228"/>
      <c r="J167" s="229"/>
    </row>
    <row r="168" spans="1:10" s="73" customFormat="1" x14ac:dyDescent="0.3">
      <c r="A168" s="227" t="s">
        <v>195</v>
      </c>
      <c r="B168" s="228"/>
      <c r="C168" s="228"/>
      <c r="D168" s="228"/>
      <c r="E168" s="228"/>
      <c r="F168" s="228"/>
      <c r="G168" s="228"/>
      <c r="H168" s="228"/>
      <c r="I168" s="228"/>
      <c r="J168" s="229"/>
    </row>
    <row r="169" spans="1:10" s="73" customFormat="1" x14ac:dyDescent="0.3">
      <c r="A169" s="24">
        <v>22</v>
      </c>
      <c r="B169" s="24">
        <v>1</v>
      </c>
      <c r="C169" s="1" t="s">
        <v>198</v>
      </c>
      <c r="D169" s="230">
        <f>26.11*10.764</f>
        <v>281.04803999999996</v>
      </c>
      <c r="E169" s="231"/>
      <c r="F169" s="1">
        <v>0</v>
      </c>
      <c r="G169" s="1">
        <f t="shared" ref="G169:G174" si="0">D169*1.5+F169</f>
        <v>421.57205999999996</v>
      </c>
      <c r="H169" s="1" t="s">
        <v>92</v>
      </c>
      <c r="I169" s="234" t="s">
        <v>202</v>
      </c>
      <c r="J169" s="235"/>
    </row>
    <row r="170" spans="1:10" s="73" customFormat="1" x14ac:dyDescent="0.3">
      <c r="A170" s="24">
        <v>21</v>
      </c>
      <c r="B170" s="24">
        <v>2</v>
      </c>
      <c r="C170" s="1" t="s">
        <v>198</v>
      </c>
      <c r="D170" s="230">
        <f>12.01*10.764</f>
        <v>129.27563999999998</v>
      </c>
      <c r="E170" s="231"/>
      <c r="F170" s="1">
        <v>0</v>
      </c>
      <c r="G170" s="1">
        <f t="shared" si="0"/>
        <v>193.91345999999999</v>
      </c>
      <c r="H170" s="1" t="s">
        <v>92</v>
      </c>
      <c r="I170" s="236"/>
      <c r="J170" s="237"/>
    </row>
    <row r="171" spans="1:10" s="73" customFormat="1" x14ac:dyDescent="0.3">
      <c r="A171" s="24">
        <v>20</v>
      </c>
      <c r="B171" s="24">
        <v>3</v>
      </c>
      <c r="C171" s="1" t="s">
        <v>198</v>
      </c>
      <c r="D171" s="230">
        <f>15.78*10.764</f>
        <v>169.85591999999997</v>
      </c>
      <c r="E171" s="231"/>
      <c r="F171" s="1">
        <v>0</v>
      </c>
      <c r="G171" s="1">
        <f t="shared" si="0"/>
        <v>254.78387999999995</v>
      </c>
      <c r="H171" s="1" t="s">
        <v>92</v>
      </c>
      <c r="I171" s="236"/>
      <c r="J171" s="237"/>
    </row>
    <row r="172" spans="1:10" s="73" customFormat="1" x14ac:dyDescent="0.3">
      <c r="A172" s="24">
        <v>19</v>
      </c>
      <c r="B172" s="24">
        <v>4</v>
      </c>
      <c r="C172" s="1" t="s">
        <v>198</v>
      </c>
      <c r="D172" s="230">
        <f>13.75*10.764</f>
        <v>148.005</v>
      </c>
      <c r="E172" s="231"/>
      <c r="F172" s="1">
        <v>0</v>
      </c>
      <c r="G172" s="1">
        <f t="shared" si="0"/>
        <v>222.00749999999999</v>
      </c>
      <c r="H172" s="1" t="s">
        <v>92</v>
      </c>
      <c r="I172" s="236"/>
      <c r="J172" s="237"/>
    </row>
    <row r="173" spans="1:10" s="73" customFormat="1" x14ac:dyDescent="0.3">
      <c r="A173" s="24">
        <v>18</v>
      </c>
      <c r="B173" s="24">
        <v>5</v>
      </c>
      <c r="C173" s="1" t="s">
        <v>198</v>
      </c>
      <c r="D173" s="230">
        <f>15.76*10.764</f>
        <v>169.64063999999999</v>
      </c>
      <c r="E173" s="231"/>
      <c r="F173" s="1">
        <v>0</v>
      </c>
      <c r="G173" s="1">
        <f t="shared" si="0"/>
        <v>254.46096</v>
      </c>
      <c r="H173" s="1" t="s">
        <v>92</v>
      </c>
      <c r="I173" s="236"/>
      <c r="J173" s="237"/>
    </row>
    <row r="174" spans="1:10" s="73" customFormat="1" x14ac:dyDescent="0.3">
      <c r="A174" s="24">
        <v>17</v>
      </c>
      <c r="B174" s="24">
        <v>7</v>
      </c>
      <c r="C174" s="1" t="s">
        <v>198</v>
      </c>
      <c r="D174" s="230">
        <f>14.61*10.764</f>
        <v>157.26203999999998</v>
      </c>
      <c r="E174" s="231"/>
      <c r="F174" s="1">
        <v>0</v>
      </c>
      <c r="G174" s="1">
        <f t="shared" si="0"/>
        <v>235.89305999999999</v>
      </c>
      <c r="H174" s="1" t="s">
        <v>92</v>
      </c>
      <c r="I174" s="236"/>
      <c r="J174" s="237"/>
    </row>
    <row r="175" spans="1:10" s="73" customFormat="1" x14ac:dyDescent="0.3">
      <c r="A175" s="230">
        <v>1</v>
      </c>
      <c r="B175" s="231"/>
      <c r="C175" s="1" t="s">
        <v>199</v>
      </c>
      <c r="D175" s="230">
        <f>(24.14+1*2.75+1.4*2.55)*10.764</f>
        <v>327.87144000000001</v>
      </c>
      <c r="E175" s="231"/>
      <c r="F175" s="1">
        <v>0</v>
      </c>
      <c r="G175" s="1">
        <f>D175*1.45+F175</f>
        <v>475.413588</v>
      </c>
      <c r="H175" s="1" t="s">
        <v>92</v>
      </c>
      <c r="I175" s="236"/>
      <c r="J175" s="237"/>
    </row>
    <row r="176" spans="1:10" s="73" customFormat="1" x14ac:dyDescent="0.3">
      <c r="A176" s="230">
        <v>2</v>
      </c>
      <c r="B176" s="231"/>
      <c r="C176" s="1" t="s">
        <v>200</v>
      </c>
      <c r="D176" s="230">
        <f>(16.69+1*2.75+1.4*2.55)*10.764</f>
        <v>247.67964000000001</v>
      </c>
      <c r="E176" s="231"/>
      <c r="F176" s="1">
        <v>0</v>
      </c>
      <c r="G176" s="1">
        <f>D176*1.45+F176</f>
        <v>359.13547799999998</v>
      </c>
      <c r="H176" s="1" t="s">
        <v>92</v>
      </c>
      <c r="I176" s="238"/>
      <c r="J176" s="239"/>
    </row>
    <row r="177" spans="1:10" s="73" customFormat="1" x14ac:dyDescent="0.3">
      <c r="A177" s="227" t="s">
        <v>209</v>
      </c>
      <c r="B177" s="228"/>
      <c r="C177" s="228"/>
      <c r="D177" s="228"/>
      <c r="E177" s="228"/>
      <c r="F177" s="228"/>
      <c r="G177" s="228"/>
      <c r="H177" s="228"/>
      <c r="I177" s="228"/>
      <c r="J177" s="229"/>
    </row>
    <row r="178" spans="1:10" s="73" customFormat="1" x14ac:dyDescent="0.3">
      <c r="A178" s="230">
        <v>1</v>
      </c>
      <c r="B178" s="231"/>
      <c r="C178" s="1" t="s">
        <v>199</v>
      </c>
      <c r="D178" s="230">
        <f>(23.92+1*2.75+2.15*1.5+0.6*2.75+0.75*2.75)*10.764</f>
        <v>361.75112999999999</v>
      </c>
      <c r="E178" s="231"/>
      <c r="F178" s="1">
        <f>(1.1*2.75)*10.764</f>
        <v>32.561100000000003</v>
      </c>
      <c r="G178" s="1">
        <f t="shared" ref="G178:G183" si="1">D178*1.45+F178</f>
        <v>557.10023849999993</v>
      </c>
      <c r="H178" s="1" t="s">
        <v>92</v>
      </c>
      <c r="I178" s="234" t="str">
        <f>A177</f>
        <v>1st Floor</v>
      </c>
      <c r="J178" s="235"/>
    </row>
    <row r="179" spans="1:10" s="73" customFormat="1" x14ac:dyDescent="0.3">
      <c r="A179" s="230">
        <v>2</v>
      </c>
      <c r="B179" s="231"/>
      <c r="C179" s="1" t="s">
        <v>199</v>
      </c>
      <c r="D179" s="230">
        <f>(26.26+2.15*1.4+2.4*0.6+2.75*0.75)*10.764</f>
        <v>352.76319000000007</v>
      </c>
      <c r="E179" s="231"/>
      <c r="F179" s="1">
        <f>(1.1*2.75)*10.764</f>
        <v>32.561100000000003</v>
      </c>
      <c r="G179" s="1">
        <f t="shared" si="1"/>
        <v>544.06772550000005</v>
      </c>
      <c r="H179" s="1" t="s">
        <v>92</v>
      </c>
      <c r="I179" s="236"/>
      <c r="J179" s="237"/>
    </row>
    <row r="180" spans="1:10" s="73" customFormat="1" x14ac:dyDescent="0.3">
      <c r="A180" s="230">
        <v>3</v>
      </c>
      <c r="B180" s="231"/>
      <c r="C180" s="1" t="s">
        <v>199</v>
      </c>
      <c r="D180" s="230">
        <f>(25.19+2.15*1.4+2.75*1)*10.764</f>
        <v>333.14580000000001</v>
      </c>
      <c r="E180" s="231"/>
      <c r="F180" s="1">
        <f>(1.1*2.75+1.1*1.7)*10.764</f>
        <v>52.689779999999999</v>
      </c>
      <c r="G180" s="1">
        <f t="shared" si="1"/>
        <v>535.75119000000007</v>
      </c>
      <c r="H180" s="1" t="s">
        <v>92</v>
      </c>
      <c r="I180" s="236"/>
      <c r="J180" s="237"/>
    </row>
    <row r="181" spans="1:10" s="73" customFormat="1" x14ac:dyDescent="0.3">
      <c r="A181" s="230">
        <v>4</v>
      </c>
      <c r="B181" s="231"/>
      <c r="C181" s="1" t="s">
        <v>206</v>
      </c>
      <c r="D181" s="230">
        <f>(38+2.4*1+2.15*1.5)*10.764</f>
        <v>469.5795</v>
      </c>
      <c r="E181" s="231"/>
      <c r="F181" s="1">
        <f>(5.7*2.2+1.2*2.4+2.75*2.4+1.4*3.2)*10.764</f>
        <v>285.24600000000004</v>
      </c>
      <c r="G181" s="1">
        <f t="shared" si="1"/>
        <v>966.13627500000007</v>
      </c>
      <c r="H181" s="1" t="s">
        <v>92</v>
      </c>
      <c r="I181" s="236"/>
      <c r="J181" s="237"/>
    </row>
    <row r="182" spans="1:10" s="73" customFormat="1" x14ac:dyDescent="0.3">
      <c r="A182" s="230">
        <v>5</v>
      </c>
      <c r="B182" s="231"/>
      <c r="C182" s="1" t="s">
        <v>200</v>
      </c>
      <c r="D182" s="230">
        <f>(18.92+2.55*1.4)*10.764</f>
        <v>242.08235999999999</v>
      </c>
      <c r="E182" s="231"/>
      <c r="F182" s="1">
        <f>(2.7*2.4+2.4*2.75)*10.764</f>
        <v>140.79311999999999</v>
      </c>
      <c r="G182" s="1">
        <f t="shared" si="1"/>
        <v>491.81254199999995</v>
      </c>
      <c r="H182" s="1" t="s">
        <v>92</v>
      </c>
      <c r="I182" s="236"/>
      <c r="J182" s="237"/>
    </row>
    <row r="183" spans="1:10" s="73" customFormat="1" x14ac:dyDescent="0.3">
      <c r="A183" s="230">
        <v>6</v>
      </c>
      <c r="B183" s="231"/>
      <c r="C183" s="1" t="s">
        <v>200</v>
      </c>
      <c r="D183" s="230">
        <f>(18.92+2.55*1.4)*10.764</f>
        <v>242.08235999999999</v>
      </c>
      <c r="E183" s="231"/>
      <c r="F183" s="1">
        <f>(1.1*2.75)*10.764</f>
        <v>32.561100000000003</v>
      </c>
      <c r="G183" s="1">
        <f t="shared" si="1"/>
        <v>383.58052199999997</v>
      </c>
      <c r="H183" s="1" t="s">
        <v>92</v>
      </c>
      <c r="I183" s="238"/>
      <c r="J183" s="239"/>
    </row>
    <row r="184" spans="1:10" s="73" customFormat="1" x14ac:dyDescent="0.3">
      <c r="A184" s="227" t="s">
        <v>210</v>
      </c>
      <c r="B184" s="228"/>
      <c r="C184" s="228"/>
      <c r="D184" s="228"/>
      <c r="E184" s="228"/>
      <c r="F184" s="228"/>
      <c r="G184" s="228"/>
      <c r="H184" s="228"/>
      <c r="I184" s="228"/>
      <c r="J184" s="229"/>
    </row>
    <row r="185" spans="1:10" s="73" customFormat="1" x14ac:dyDescent="0.3">
      <c r="A185" s="230">
        <v>1</v>
      </c>
      <c r="B185" s="231"/>
      <c r="C185" s="1" t="s">
        <v>199</v>
      </c>
      <c r="D185" s="230">
        <f>(23.92+1*2.75+2.15*1.5+0.6*2.4+0.75*2.75)*10.764</f>
        <v>359.49069000000009</v>
      </c>
      <c r="E185" s="231"/>
      <c r="F185" s="1">
        <f t="shared" ref="F185:F190" si="2">(1.1*2.75)*10.764</f>
        <v>32.561100000000003</v>
      </c>
      <c r="G185" s="1">
        <f t="shared" ref="G185:G190" si="3">D185*1.45+F185</f>
        <v>553.82260050000014</v>
      </c>
      <c r="H185" s="1" t="s">
        <v>92</v>
      </c>
      <c r="I185" s="234" t="str">
        <f>A184</f>
        <v>3rd Floor</v>
      </c>
      <c r="J185" s="235"/>
    </row>
    <row r="186" spans="1:10" s="73" customFormat="1" x14ac:dyDescent="0.3">
      <c r="A186" s="230">
        <v>2</v>
      </c>
      <c r="B186" s="231"/>
      <c r="C186" s="1" t="s">
        <v>199</v>
      </c>
      <c r="D186" s="230">
        <f>(26.26+2.15*1.4+2.4*0.6+2.75*0.75)*10.764</f>
        <v>352.76319000000007</v>
      </c>
      <c r="E186" s="231"/>
      <c r="F186" s="1">
        <f t="shared" si="2"/>
        <v>32.561100000000003</v>
      </c>
      <c r="G186" s="1">
        <f t="shared" si="3"/>
        <v>544.06772550000005</v>
      </c>
      <c r="H186" s="1" t="s">
        <v>92</v>
      </c>
      <c r="I186" s="236"/>
      <c r="J186" s="237"/>
    </row>
    <row r="187" spans="1:10" s="73" customFormat="1" x14ac:dyDescent="0.3">
      <c r="A187" s="230">
        <v>3</v>
      </c>
      <c r="B187" s="231"/>
      <c r="C187" s="1" t="s">
        <v>199</v>
      </c>
      <c r="D187" s="230">
        <f>(25.19+2.15*1.4+2.75*1+2.75*0.75)*10.764</f>
        <v>355.34655000000004</v>
      </c>
      <c r="E187" s="231"/>
      <c r="F187" s="1">
        <f t="shared" si="2"/>
        <v>32.561100000000003</v>
      </c>
      <c r="G187" s="1">
        <f t="shared" si="3"/>
        <v>547.81359750000001</v>
      </c>
      <c r="H187" s="1" t="s">
        <v>92</v>
      </c>
      <c r="I187" s="236"/>
      <c r="J187" s="237"/>
    </row>
    <row r="188" spans="1:10" s="73" customFormat="1" x14ac:dyDescent="0.3">
      <c r="A188" s="230">
        <v>4</v>
      </c>
      <c r="B188" s="231"/>
      <c r="C188" s="1" t="s">
        <v>206</v>
      </c>
      <c r="D188" s="230">
        <f>(38+2.4*1+2.15*1.5+2.4*0.75+2.75*0.75)*10.764</f>
        <v>511.15544999999992</v>
      </c>
      <c r="E188" s="231"/>
      <c r="F188" s="1">
        <f t="shared" si="2"/>
        <v>32.561100000000003</v>
      </c>
      <c r="G188" s="1">
        <f t="shared" si="3"/>
        <v>773.73650249999992</v>
      </c>
      <c r="H188" s="1" t="s">
        <v>92</v>
      </c>
      <c r="I188" s="236"/>
      <c r="J188" s="237"/>
    </row>
    <row r="189" spans="1:10" s="73" customFormat="1" x14ac:dyDescent="0.3">
      <c r="A189" s="230">
        <v>5</v>
      </c>
      <c r="B189" s="231"/>
      <c r="C189" s="1" t="s">
        <v>200</v>
      </c>
      <c r="D189" s="230">
        <f>(18.92+2.55*1.4)*10.764</f>
        <v>242.08235999999999</v>
      </c>
      <c r="E189" s="231"/>
      <c r="F189" s="1">
        <f t="shared" si="2"/>
        <v>32.561100000000003</v>
      </c>
      <c r="G189" s="1">
        <f t="shared" si="3"/>
        <v>383.58052199999997</v>
      </c>
      <c r="H189" s="1" t="s">
        <v>92</v>
      </c>
      <c r="I189" s="236"/>
      <c r="J189" s="237"/>
    </row>
    <row r="190" spans="1:10" s="73" customFormat="1" x14ac:dyDescent="0.3">
      <c r="A190" s="230">
        <v>6</v>
      </c>
      <c r="B190" s="231"/>
      <c r="C190" s="1" t="s">
        <v>200</v>
      </c>
      <c r="D190" s="230">
        <f>(18.92+2.55*1.4)*10.764</f>
        <v>242.08235999999999</v>
      </c>
      <c r="E190" s="231"/>
      <c r="F190" s="1">
        <f t="shared" si="2"/>
        <v>32.561100000000003</v>
      </c>
      <c r="G190" s="1">
        <f t="shared" si="3"/>
        <v>383.58052199999997</v>
      </c>
      <c r="H190" s="1" t="s">
        <v>92</v>
      </c>
      <c r="I190" s="238"/>
      <c r="J190" s="239"/>
    </row>
    <row r="191" spans="1:10" s="73" customFormat="1" x14ac:dyDescent="0.3">
      <c r="A191" s="227" t="s">
        <v>211</v>
      </c>
      <c r="B191" s="228"/>
      <c r="C191" s="228"/>
      <c r="D191" s="228"/>
      <c r="E191" s="228"/>
      <c r="F191" s="228"/>
      <c r="G191" s="228"/>
      <c r="H191" s="228"/>
      <c r="I191" s="228"/>
      <c r="J191" s="229"/>
    </row>
    <row r="192" spans="1:10" s="73" customFormat="1" x14ac:dyDescent="0.3">
      <c r="A192" s="230">
        <v>1</v>
      </c>
      <c r="B192" s="231"/>
      <c r="C192" s="1" t="s">
        <v>199</v>
      </c>
      <c r="D192" s="230">
        <f>(26.26+2.15*1.5+2.75*0.75+2.4*0.5)*10.764</f>
        <v>352.49409000000003</v>
      </c>
      <c r="E192" s="231"/>
      <c r="F192" s="1">
        <f t="shared" ref="F192:F197" si="4">(1.1*2.75)*10.764</f>
        <v>32.561100000000003</v>
      </c>
      <c r="G192" s="1">
        <f t="shared" ref="G192:G197" si="5">D192*1.45+F192</f>
        <v>543.67753049999999</v>
      </c>
      <c r="H192" s="1" t="s">
        <v>92</v>
      </c>
      <c r="I192" s="234" t="str">
        <f>A191</f>
        <v>2nd &amp; 4th Floor</v>
      </c>
      <c r="J192" s="235"/>
    </row>
    <row r="193" spans="1:10" s="73" customFormat="1" x14ac:dyDescent="0.3">
      <c r="A193" s="230">
        <v>2</v>
      </c>
      <c r="B193" s="231"/>
      <c r="C193" s="1" t="s">
        <v>199</v>
      </c>
      <c r="D193" s="230">
        <f>(23.92+2.75*1+2.75*0.75+2.15*1.4+2.4*0.5)*10.764</f>
        <v>354.59307000000001</v>
      </c>
      <c r="E193" s="231"/>
      <c r="F193" s="1">
        <f t="shared" si="4"/>
        <v>32.561100000000003</v>
      </c>
      <c r="G193" s="1">
        <f t="shared" si="5"/>
        <v>546.72105150000004</v>
      </c>
      <c r="H193" s="1" t="s">
        <v>92</v>
      </c>
      <c r="I193" s="236"/>
      <c r="J193" s="237"/>
    </row>
    <row r="194" spans="1:10" s="73" customFormat="1" x14ac:dyDescent="0.3">
      <c r="A194" s="230">
        <v>3</v>
      </c>
      <c r="B194" s="231"/>
      <c r="C194" s="1" t="s">
        <v>199</v>
      </c>
      <c r="D194" s="230">
        <f>(26.47+1*2.75+0.75*2.75+1.66*1.4)*10.764</f>
        <v>361.74036599999994</v>
      </c>
      <c r="E194" s="231"/>
      <c r="F194" s="1">
        <f t="shared" si="4"/>
        <v>32.561100000000003</v>
      </c>
      <c r="G194" s="1">
        <f t="shared" si="5"/>
        <v>557.08463069999993</v>
      </c>
      <c r="H194" s="1" t="s">
        <v>92</v>
      </c>
      <c r="I194" s="236"/>
      <c r="J194" s="237"/>
    </row>
    <row r="195" spans="1:10" s="73" customFormat="1" x14ac:dyDescent="0.3">
      <c r="A195" s="230">
        <v>4</v>
      </c>
      <c r="B195" s="231"/>
      <c r="C195" s="1" t="s">
        <v>206</v>
      </c>
      <c r="D195" s="230">
        <f>(37.15+2.75*1.05+2.75*0.75+2.15*1.5)*10.764</f>
        <v>487.87830000000002</v>
      </c>
      <c r="E195" s="231"/>
      <c r="F195" s="1">
        <f t="shared" si="4"/>
        <v>32.561100000000003</v>
      </c>
      <c r="G195" s="1">
        <f t="shared" si="5"/>
        <v>739.98463500000003</v>
      </c>
      <c r="H195" s="1" t="s">
        <v>92</v>
      </c>
      <c r="I195" s="236"/>
      <c r="J195" s="237"/>
    </row>
    <row r="196" spans="1:10" s="73" customFormat="1" x14ac:dyDescent="0.3">
      <c r="A196" s="230">
        <v>5</v>
      </c>
      <c r="B196" s="231"/>
      <c r="C196" s="1" t="s">
        <v>200</v>
      </c>
      <c r="D196" s="230">
        <f>(19.63+2.75*1.05+2.75*0.75)*10.764</f>
        <v>264.57911999999999</v>
      </c>
      <c r="E196" s="231"/>
      <c r="F196" s="1">
        <f t="shared" si="4"/>
        <v>32.561100000000003</v>
      </c>
      <c r="G196" s="1">
        <f t="shared" si="5"/>
        <v>416.20082399999995</v>
      </c>
      <c r="H196" s="1" t="s">
        <v>92</v>
      </c>
      <c r="I196" s="236"/>
      <c r="J196" s="237"/>
    </row>
    <row r="197" spans="1:10" s="73" customFormat="1" x14ac:dyDescent="0.3">
      <c r="A197" s="230">
        <v>6</v>
      </c>
      <c r="B197" s="231"/>
      <c r="C197" s="1" t="s">
        <v>200</v>
      </c>
      <c r="D197" s="230">
        <f>(19.63+2.75*1.05+2.75*0.75)*10.764</f>
        <v>264.57911999999999</v>
      </c>
      <c r="E197" s="231"/>
      <c r="F197" s="1">
        <f t="shared" si="4"/>
        <v>32.561100000000003</v>
      </c>
      <c r="G197" s="1">
        <f t="shared" si="5"/>
        <v>416.20082399999995</v>
      </c>
      <c r="H197" s="1" t="s">
        <v>92</v>
      </c>
      <c r="I197" s="238"/>
      <c r="J197" s="239"/>
    </row>
    <row r="198" spans="1:10" s="73" customFormat="1" x14ac:dyDescent="0.3">
      <c r="A198" s="227" t="s">
        <v>201</v>
      </c>
      <c r="B198" s="228"/>
      <c r="C198" s="228"/>
      <c r="D198" s="228"/>
      <c r="E198" s="228"/>
      <c r="F198" s="228"/>
      <c r="G198" s="228"/>
      <c r="H198" s="228"/>
      <c r="I198" s="228"/>
      <c r="J198" s="229"/>
    </row>
    <row r="199" spans="1:10" s="73" customFormat="1" x14ac:dyDescent="0.3">
      <c r="A199" s="227" t="s">
        <v>195</v>
      </c>
      <c r="B199" s="228"/>
      <c r="C199" s="228"/>
      <c r="D199" s="228"/>
      <c r="E199" s="228"/>
      <c r="F199" s="228"/>
      <c r="G199" s="228"/>
      <c r="H199" s="228"/>
      <c r="I199" s="228"/>
      <c r="J199" s="229"/>
    </row>
    <row r="200" spans="1:10" s="73" customFormat="1" x14ac:dyDescent="0.3">
      <c r="A200" s="24">
        <v>16</v>
      </c>
      <c r="B200" s="24">
        <v>8</v>
      </c>
      <c r="C200" s="1" t="s">
        <v>198</v>
      </c>
      <c r="D200" s="230">
        <f>14.61*10.764</f>
        <v>157.26203999999998</v>
      </c>
      <c r="E200" s="231"/>
      <c r="F200" s="1">
        <v>0</v>
      </c>
      <c r="G200" s="1">
        <f>D200*1.5+F200</f>
        <v>235.89305999999999</v>
      </c>
      <c r="H200" s="1" t="s">
        <v>92</v>
      </c>
      <c r="I200" s="234" t="s">
        <v>202</v>
      </c>
      <c r="J200" s="235"/>
    </row>
    <row r="201" spans="1:10" s="73" customFormat="1" x14ac:dyDescent="0.3">
      <c r="A201" s="24">
        <v>15</v>
      </c>
      <c r="B201" s="24">
        <v>9</v>
      </c>
      <c r="C201" s="1" t="s">
        <v>198</v>
      </c>
      <c r="D201" s="230">
        <f>16.46*10.764</f>
        <v>177.17544000000001</v>
      </c>
      <c r="E201" s="231"/>
      <c r="F201" s="1">
        <v>0</v>
      </c>
      <c r="G201" s="1">
        <f>D201*1.5+F201</f>
        <v>265.76316000000003</v>
      </c>
      <c r="H201" s="1" t="s">
        <v>92</v>
      </c>
      <c r="I201" s="236"/>
      <c r="J201" s="237"/>
    </row>
    <row r="202" spans="1:10" s="73" customFormat="1" x14ac:dyDescent="0.3">
      <c r="A202" s="24">
        <v>14</v>
      </c>
      <c r="B202" s="24">
        <v>10</v>
      </c>
      <c r="C202" s="1" t="s">
        <v>198</v>
      </c>
      <c r="D202" s="230">
        <f>6.79*10.764</f>
        <v>73.087559999999996</v>
      </c>
      <c r="E202" s="231"/>
      <c r="F202" s="1">
        <v>0</v>
      </c>
      <c r="G202" s="1">
        <f>D202*1.5+F202</f>
        <v>109.63133999999999</v>
      </c>
      <c r="H202" s="1" t="s">
        <v>92</v>
      </c>
      <c r="I202" s="236"/>
      <c r="J202" s="237"/>
    </row>
    <row r="203" spans="1:10" s="73" customFormat="1" x14ac:dyDescent="0.3">
      <c r="A203" s="24">
        <v>13</v>
      </c>
      <c r="B203" s="24">
        <v>11</v>
      </c>
      <c r="C203" s="1" t="s">
        <v>198</v>
      </c>
      <c r="D203" s="230">
        <f>16.46*10.764</f>
        <v>177.17544000000001</v>
      </c>
      <c r="E203" s="231"/>
      <c r="F203" s="1">
        <v>0</v>
      </c>
      <c r="G203" s="1">
        <f>D203*1.5+F203</f>
        <v>265.76316000000003</v>
      </c>
      <c r="H203" s="1" t="s">
        <v>92</v>
      </c>
      <c r="I203" s="236"/>
      <c r="J203" s="237"/>
    </row>
    <row r="204" spans="1:10" s="73" customFormat="1" x14ac:dyDescent="0.3">
      <c r="A204" s="24">
        <v>12</v>
      </c>
      <c r="B204" s="24">
        <v>12</v>
      </c>
      <c r="C204" s="1" t="s">
        <v>198</v>
      </c>
      <c r="D204" s="230">
        <f>14.61*10.764</f>
        <v>157.26203999999998</v>
      </c>
      <c r="E204" s="231"/>
      <c r="F204" s="1">
        <v>0</v>
      </c>
      <c r="G204" s="1">
        <f>D204*1.5+F204</f>
        <v>235.89305999999999</v>
      </c>
      <c r="H204" s="1" t="s">
        <v>92</v>
      </c>
      <c r="I204" s="236"/>
      <c r="J204" s="237"/>
    </row>
    <row r="205" spans="1:10" s="73" customFormat="1" x14ac:dyDescent="0.3">
      <c r="A205" s="230">
        <v>1</v>
      </c>
      <c r="B205" s="231"/>
      <c r="C205" s="1" t="s">
        <v>200</v>
      </c>
      <c r="D205" s="230">
        <f>(18.92+2.55*1.4)*10.764</f>
        <v>242.08235999999999</v>
      </c>
      <c r="E205" s="231"/>
      <c r="F205" s="1">
        <v>0</v>
      </c>
      <c r="G205" s="1">
        <f>D205*1.45+F205</f>
        <v>351.01942199999996</v>
      </c>
      <c r="H205" s="1" t="s">
        <v>92</v>
      </c>
      <c r="I205" s="236"/>
      <c r="J205" s="237"/>
    </row>
    <row r="206" spans="1:10" s="73" customFormat="1" x14ac:dyDescent="0.3">
      <c r="A206" s="230">
        <v>2</v>
      </c>
      <c r="B206" s="231"/>
      <c r="C206" s="1" t="s">
        <v>200</v>
      </c>
      <c r="D206" s="230">
        <f>(18.92+2.55*1.4)*10.764</f>
        <v>242.08235999999999</v>
      </c>
      <c r="E206" s="231"/>
      <c r="F206" s="1">
        <v>0</v>
      </c>
      <c r="G206" s="1">
        <f>D206*1.45+F206</f>
        <v>351.01942199999996</v>
      </c>
      <c r="H206" s="1" t="s">
        <v>92</v>
      </c>
      <c r="I206" s="238"/>
      <c r="J206" s="239"/>
    </row>
    <row r="207" spans="1:10" s="73" customFormat="1" x14ac:dyDescent="0.3">
      <c r="A207" s="227" t="s">
        <v>209</v>
      </c>
      <c r="B207" s="228"/>
      <c r="C207" s="228"/>
      <c r="D207" s="228"/>
      <c r="E207" s="228"/>
      <c r="F207" s="228"/>
      <c r="G207" s="228"/>
      <c r="H207" s="228"/>
      <c r="I207" s="228"/>
      <c r="J207" s="229"/>
    </row>
    <row r="208" spans="1:10" s="73" customFormat="1" x14ac:dyDescent="0.3">
      <c r="A208" s="230">
        <v>1</v>
      </c>
      <c r="B208" s="231"/>
      <c r="C208" s="1" t="s">
        <v>200</v>
      </c>
      <c r="D208" s="230">
        <f>(18.92+2.55*1.4)*10.764</f>
        <v>242.08235999999999</v>
      </c>
      <c r="E208" s="231"/>
      <c r="F208" s="1">
        <f>(1.1*2.75)*10.764</f>
        <v>32.561100000000003</v>
      </c>
      <c r="G208" s="1">
        <f>D208*1.45+F208</f>
        <v>383.58052199999997</v>
      </c>
      <c r="H208" s="1" t="s">
        <v>92</v>
      </c>
      <c r="I208" s="234" t="str">
        <f>A207</f>
        <v>1st Floor</v>
      </c>
      <c r="J208" s="235"/>
    </row>
    <row r="209" spans="1:10" s="73" customFormat="1" x14ac:dyDescent="0.3">
      <c r="A209" s="230">
        <v>2</v>
      </c>
      <c r="B209" s="231"/>
      <c r="C209" s="1" t="s">
        <v>200</v>
      </c>
      <c r="D209" s="230">
        <f>(19.2+2.55*1.4+1.6*0.5)*10.764</f>
        <v>253.70747999999998</v>
      </c>
      <c r="E209" s="231"/>
      <c r="F209" s="1">
        <f>(2.7*2.4+2.4*2.75)*10.764</f>
        <v>140.79311999999999</v>
      </c>
      <c r="G209" s="1">
        <f>D209*1.45+F209</f>
        <v>508.66896599999995</v>
      </c>
      <c r="H209" s="1" t="s">
        <v>92</v>
      </c>
      <c r="I209" s="236"/>
      <c r="J209" s="237"/>
    </row>
    <row r="210" spans="1:10" s="73" customFormat="1" x14ac:dyDescent="0.3">
      <c r="A210" s="230">
        <v>3</v>
      </c>
      <c r="B210" s="231"/>
      <c r="C210" s="1" t="s">
        <v>199</v>
      </c>
      <c r="D210" s="230">
        <f>(27.27+1.6*0.5+2.4*1.1)*10.764</f>
        <v>330.56243999999998</v>
      </c>
      <c r="E210" s="231"/>
      <c r="F210" s="1">
        <f>(2.7*2.4+2.75*2.4+2.7*1.1)*10.764</f>
        <v>172.76220000000001</v>
      </c>
      <c r="G210" s="1">
        <f>D210*1.45+F210</f>
        <v>652.07773799999995</v>
      </c>
      <c r="H210" s="1" t="s">
        <v>92</v>
      </c>
      <c r="I210" s="236"/>
      <c r="J210" s="237"/>
    </row>
    <row r="211" spans="1:10" s="73" customFormat="1" x14ac:dyDescent="0.3">
      <c r="A211" s="230">
        <v>4</v>
      </c>
      <c r="B211" s="231"/>
      <c r="C211" s="1" t="s">
        <v>200</v>
      </c>
      <c r="D211" s="230">
        <f>(18.92+2.55*1.4)*10.764</f>
        <v>242.08235999999999</v>
      </c>
      <c r="E211" s="231"/>
      <c r="F211" s="1">
        <f>(1.1*2.75)*10.764</f>
        <v>32.561100000000003</v>
      </c>
      <c r="G211" s="1">
        <f>D211*1.45+F211</f>
        <v>383.58052199999997</v>
      </c>
      <c r="H211" s="1" t="s">
        <v>92</v>
      </c>
      <c r="I211" s="238"/>
      <c r="J211" s="239"/>
    </row>
    <row r="212" spans="1:10" s="73" customFormat="1" x14ac:dyDescent="0.3">
      <c r="A212" s="227" t="s">
        <v>210</v>
      </c>
      <c r="B212" s="228"/>
      <c r="C212" s="228"/>
      <c r="D212" s="228"/>
      <c r="E212" s="228"/>
      <c r="F212" s="228"/>
      <c r="G212" s="228"/>
      <c r="H212" s="228"/>
      <c r="I212" s="228"/>
      <c r="J212" s="229"/>
    </row>
    <row r="213" spans="1:10" s="73" customFormat="1" x14ac:dyDescent="0.3">
      <c r="A213" s="230">
        <v>1</v>
      </c>
      <c r="B213" s="231"/>
      <c r="C213" s="1" t="s">
        <v>200</v>
      </c>
      <c r="D213" s="230">
        <f>(18.92+2.55*1.4)*10.764</f>
        <v>242.08235999999999</v>
      </c>
      <c r="E213" s="231"/>
      <c r="F213" s="1">
        <f>(1.1*2.75)*10.764</f>
        <v>32.561100000000003</v>
      </c>
      <c r="G213" s="1">
        <f>D213*1.45+F213</f>
        <v>383.58052199999997</v>
      </c>
      <c r="H213" s="1" t="s">
        <v>92</v>
      </c>
      <c r="I213" s="234" t="str">
        <f>A212</f>
        <v>3rd Floor</v>
      </c>
      <c r="J213" s="235"/>
    </row>
    <row r="214" spans="1:10" s="73" customFormat="1" x14ac:dyDescent="0.3">
      <c r="A214" s="230">
        <v>2</v>
      </c>
      <c r="B214" s="231"/>
      <c r="C214" s="1" t="s">
        <v>200</v>
      </c>
      <c r="D214" s="230">
        <f>(19.2+2.55*1.4+1.6*0.5)*10.764</f>
        <v>253.70747999999998</v>
      </c>
      <c r="E214" s="231"/>
      <c r="F214" s="1">
        <f>(1.1*2.75)*10.764</f>
        <v>32.561100000000003</v>
      </c>
      <c r="G214" s="1">
        <f>D214*1.45+F214</f>
        <v>400.43694599999998</v>
      </c>
      <c r="H214" s="1" t="s">
        <v>92</v>
      </c>
      <c r="I214" s="236"/>
      <c r="J214" s="237"/>
    </row>
    <row r="215" spans="1:10" s="73" customFormat="1" x14ac:dyDescent="0.3">
      <c r="A215" s="230">
        <v>3</v>
      </c>
      <c r="B215" s="231"/>
      <c r="C215" s="1" t="s">
        <v>199</v>
      </c>
      <c r="D215" s="230">
        <f>(27.27+1.6*0.5+2.4*1.1+2.4*0.75+2.75*0.75)*10.764</f>
        <v>372.13838999999996</v>
      </c>
      <c r="E215" s="231"/>
      <c r="F215" s="1">
        <f>(1.1*2.75)*10.764</f>
        <v>32.561100000000003</v>
      </c>
      <c r="G215" s="1">
        <f>D215*1.45+F215</f>
        <v>572.16176549999989</v>
      </c>
      <c r="H215" s="1" t="s">
        <v>92</v>
      </c>
      <c r="I215" s="236"/>
      <c r="J215" s="237"/>
    </row>
    <row r="216" spans="1:10" s="73" customFormat="1" x14ac:dyDescent="0.3">
      <c r="A216" s="230">
        <v>4</v>
      </c>
      <c r="B216" s="231"/>
      <c r="C216" s="1" t="s">
        <v>200</v>
      </c>
      <c r="D216" s="230">
        <f>(18.92+2.55*1.4)*10.764</f>
        <v>242.08235999999999</v>
      </c>
      <c r="E216" s="231"/>
      <c r="F216" s="1">
        <f>(1.1*2.75)*10.764</f>
        <v>32.561100000000003</v>
      </c>
      <c r="G216" s="1">
        <f>D216*1.45+F216</f>
        <v>383.58052199999997</v>
      </c>
      <c r="H216" s="1" t="s">
        <v>92</v>
      </c>
      <c r="I216" s="238"/>
      <c r="J216" s="239"/>
    </row>
    <row r="217" spans="1:10" s="73" customFormat="1" x14ac:dyDescent="0.3">
      <c r="A217" s="227" t="s">
        <v>211</v>
      </c>
      <c r="B217" s="228"/>
      <c r="C217" s="228"/>
      <c r="D217" s="228"/>
      <c r="E217" s="228"/>
      <c r="F217" s="228"/>
      <c r="G217" s="228"/>
      <c r="H217" s="228"/>
      <c r="I217" s="228"/>
      <c r="J217" s="229"/>
    </row>
    <row r="218" spans="1:10" s="73" customFormat="1" x14ac:dyDescent="0.3">
      <c r="A218" s="230">
        <v>1</v>
      </c>
      <c r="B218" s="231"/>
      <c r="C218" s="1" t="s">
        <v>200</v>
      </c>
      <c r="D218" s="230">
        <f>(19.63+2.75*1.05+2.75*0.75)*10.764</f>
        <v>264.57911999999999</v>
      </c>
      <c r="E218" s="231"/>
      <c r="F218" s="1">
        <f>(1.1*2.75)*10.764</f>
        <v>32.561100000000003</v>
      </c>
      <c r="G218" s="1">
        <f>D218*1.45+F218</f>
        <v>416.20082399999995</v>
      </c>
      <c r="H218" s="1" t="s">
        <v>92</v>
      </c>
      <c r="I218" s="234" t="str">
        <f>A217</f>
        <v>2nd &amp; 4th Floor</v>
      </c>
      <c r="J218" s="235"/>
    </row>
    <row r="219" spans="1:10" s="73" customFormat="1" x14ac:dyDescent="0.3">
      <c r="A219" s="230">
        <v>2</v>
      </c>
      <c r="B219" s="231"/>
      <c r="C219" s="1" t="s">
        <v>200</v>
      </c>
      <c r="D219" s="230">
        <f>(19.2+2.75*1.05+2.75*0.75)*10.764</f>
        <v>259.95059999999995</v>
      </c>
      <c r="E219" s="231"/>
      <c r="F219" s="1">
        <f>(1.1*2.75)*10.764</f>
        <v>32.561100000000003</v>
      </c>
      <c r="G219" s="1">
        <f>D219*1.45+F219</f>
        <v>409.48946999999993</v>
      </c>
      <c r="H219" s="1" t="s">
        <v>92</v>
      </c>
      <c r="I219" s="236"/>
      <c r="J219" s="237"/>
    </row>
    <row r="220" spans="1:10" s="73" customFormat="1" x14ac:dyDescent="0.3">
      <c r="A220" s="230">
        <v>3</v>
      </c>
      <c r="B220" s="231"/>
      <c r="C220" s="1" t="s">
        <v>199</v>
      </c>
      <c r="D220" s="230">
        <f>(26.36+2.55*1.4+2.4*0.75+1.6*0.5)*10.764</f>
        <v>350.15291999999999</v>
      </c>
      <c r="E220" s="231"/>
      <c r="F220" s="1">
        <f>(1.1*2.75)*10.764</f>
        <v>32.561100000000003</v>
      </c>
      <c r="G220" s="1">
        <f>D220*1.45+F220</f>
        <v>540.28283399999998</v>
      </c>
      <c r="H220" s="1" t="s">
        <v>92</v>
      </c>
      <c r="I220" s="236"/>
      <c r="J220" s="237"/>
    </row>
    <row r="221" spans="1:10" s="73" customFormat="1" x14ac:dyDescent="0.3">
      <c r="A221" s="230">
        <v>4</v>
      </c>
      <c r="B221" s="231"/>
      <c r="C221" s="1" t="s">
        <v>200</v>
      </c>
      <c r="D221" s="230">
        <f>(19.63+2.75*1.05+2.75*0.75)*10.764</f>
        <v>264.57911999999999</v>
      </c>
      <c r="E221" s="231"/>
      <c r="F221" s="1">
        <f>(1.1*2.75)*10.764</f>
        <v>32.561100000000003</v>
      </c>
      <c r="G221" s="1">
        <f>D221*1.45+F221</f>
        <v>416.20082399999995</v>
      </c>
      <c r="H221" s="1" t="s">
        <v>92</v>
      </c>
      <c r="I221" s="238"/>
      <c r="J221" s="239"/>
    </row>
    <row r="222" spans="1:10" s="73" customFormat="1" x14ac:dyDescent="0.3">
      <c r="A222" s="227" t="s">
        <v>203</v>
      </c>
      <c r="B222" s="228"/>
      <c r="C222" s="228"/>
      <c r="D222" s="228"/>
      <c r="E222" s="228"/>
      <c r="F222" s="228"/>
      <c r="G222" s="228"/>
      <c r="H222" s="228"/>
      <c r="I222" s="228"/>
      <c r="J222" s="229"/>
    </row>
    <row r="223" spans="1:10" s="73" customFormat="1" x14ac:dyDescent="0.3">
      <c r="A223" s="227" t="s">
        <v>195</v>
      </c>
      <c r="B223" s="228"/>
      <c r="C223" s="228"/>
      <c r="D223" s="228"/>
      <c r="E223" s="228"/>
      <c r="F223" s="228"/>
      <c r="G223" s="228"/>
      <c r="H223" s="228"/>
      <c r="I223" s="228"/>
      <c r="J223" s="229"/>
    </row>
    <row r="224" spans="1:10" s="73" customFormat="1" x14ac:dyDescent="0.3">
      <c r="A224" s="24">
        <v>11</v>
      </c>
      <c r="B224" s="24">
        <v>13</v>
      </c>
      <c r="C224" s="1" t="s">
        <v>198</v>
      </c>
      <c r="D224" s="230">
        <f>14.61*10.764</f>
        <v>157.26203999999998</v>
      </c>
      <c r="E224" s="231"/>
      <c r="F224" s="1">
        <v>0</v>
      </c>
      <c r="G224" s="1">
        <f>D224*1.5+F224</f>
        <v>235.89305999999999</v>
      </c>
      <c r="H224" s="1" t="s">
        <v>92</v>
      </c>
      <c r="I224" s="234" t="s">
        <v>202</v>
      </c>
      <c r="J224" s="235"/>
    </row>
    <row r="225" spans="1:10" s="73" customFormat="1" x14ac:dyDescent="0.3">
      <c r="A225" s="24">
        <v>10</v>
      </c>
      <c r="B225" s="24">
        <v>14</v>
      </c>
      <c r="C225" s="1" t="s">
        <v>198</v>
      </c>
      <c r="D225" s="230">
        <f>16.46*10.764</f>
        <v>177.17544000000001</v>
      </c>
      <c r="E225" s="231"/>
      <c r="F225" s="1">
        <v>0</v>
      </c>
      <c r="G225" s="1">
        <f>D225*1.5+F225</f>
        <v>265.76316000000003</v>
      </c>
      <c r="H225" s="1" t="s">
        <v>92</v>
      </c>
      <c r="I225" s="236"/>
      <c r="J225" s="237"/>
    </row>
    <row r="226" spans="1:10" s="73" customFormat="1" x14ac:dyDescent="0.3">
      <c r="A226" s="24">
        <v>9</v>
      </c>
      <c r="B226" s="24">
        <v>15</v>
      </c>
      <c r="C226" s="1" t="s">
        <v>198</v>
      </c>
      <c r="D226" s="230">
        <f>6.79*10.764</f>
        <v>73.087559999999996</v>
      </c>
      <c r="E226" s="231"/>
      <c r="F226" s="1">
        <v>0</v>
      </c>
      <c r="G226" s="1">
        <f>D226*1.5+F226</f>
        <v>109.63133999999999</v>
      </c>
      <c r="H226" s="1" t="s">
        <v>92</v>
      </c>
      <c r="I226" s="236"/>
      <c r="J226" s="237"/>
    </row>
    <row r="227" spans="1:10" s="73" customFormat="1" x14ac:dyDescent="0.3">
      <c r="A227" s="24">
        <v>8</v>
      </c>
      <c r="B227" s="24">
        <v>16</v>
      </c>
      <c r="C227" s="1" t="s">
        <v>198</v>
      </c>
      <c r="D227" s="230">
        <f>16.46*10.764</f>
        <v>177.17544000000001</v>
      </c>
      <c r="E227" s="231"/>
      <c r="F227" s="1">
        <v>0</v>
      </c>
      <c r="G227" s="1">
        <f>D227*1.5+F227</f>
        <v>265.76316000000003</v>
      </c>
      <c r="H227" s="1" t="s">
        <v>92</v>
      </c>
      <c r="I227" s="236"/>
      <c r="J227" s="237"/>
    </row>
    <row r="228" spans="1:10" s="73" customFormat="1" x14ac:dyDescent="0.3">
      <c r="A228" s="24">
        <v>7</v>
      </c>
      <c r="B228" s="24">
        <v>17</v>
      </c>
      <c r="C228" s="1" t="s">
        <v>198</v>
      </c>
      <c r="D228" s="230">
        <f>14.61*10.764</f>
        <v>157.26203999999998</v>
      </c>
      <c r="E228" s="231"/>
      <c r="F228" s="1">
        <v>0</v>
      </c>
      <c r="G228" s="1">
        <f>D228*1.5+F228</f>
        <v>235.89305999999999</v>
      </c>
      <c r="H228" s="1" t="s">
        <v>92</v>
      </c>
      <c r="I228" s="236"/>
      <c r="J228" s="237"/>
    </row>
    <row r="229" spans="1:10" s="73" customFormat="1" x14ac:dyDescent="0.3">
      <c r="A229" s="230">
        <v>1</v>
      </c>
      <c r="B229" s="231"/>
      <c r="C229" s="1" t="s">
        <v>200</v>
      </c>
      <c r="D229" s="230">
        <f>(18.92+2.55*1.4)*10.764</f>
        <v>242.08235999999999</v>
      </c>
      <c r="E229" s="231"/>
      <c r="F229" s="1">
        <v>0</v>
      </c>
      <c r="G229" s="1">
        <f>D229*1.45+F229</f>
        <v>351.01942199999996</v>
      </c>
      <c r="H229" s="1" t="s">
        <v>92</v>
      </c>
      <c r="I229" s="238"/>
      <c r="J229" s="239"/>
    </row>
    <row r="230" spans="1:10" s="73" customFormat="1" x14ac:dyDescent="0.3">
      <c r="A230" s="227" t="s">
        <v>209</v>
      </c>
      <c r="B230" s="228"/>
      <c r="C230" s="228"/>
      <c r="D230" s="228"/>
      <c r="E230" s="228"/>
      <c r="F230" s="228"/>
      <c r="G230" s="228"/>
      <c r="H230" s="228"/>
      <c r="I230" s="228"/>
      <c r="J230" s="229"/>
    </row>
    <row r="231" spans="1:10" s="73" customFormat="1" x14ac:dyDescent="0.3">
      <c r="A231" s="230">
        <v>1</v>
      </c>
      <c r="B231" s="231"/>
      <c r="C231" s="1" t="s">
        <v>200</v>
      </c>
      <c r="D231" s="230">
        <f>(18.92+2.55*1.4)*10.764</f>
        <v>242.08235999999999</v>
      </c>
      <c r="E231" s="231"/>
      <c r="F231" s="1">
        <f>(1.1*2.75)*10.764</f>
        <v>32.561100000000003</v>
      </c>
      <c r="G231" s="1">
        <f>D231*1.45+F231</f>
        <v>383.58052199999997</v>
      </c>
      <c r="H231" s="1" t="s">
        <v>92</v>
      </c>
      <c r="I231" s="234" t="str">
        <f>A230</f>
        <v>1st Floor</v>
      </c>
      <c r="J231" s="235"/>
    </row>
    <row r="232" spans="1:10" s="73" customFormat="1" x14ac:dyDescent="0.3">
      <c r="A232" s="230">
        <v>2</v>
      </c>
      <c r="B232" s="231"/>
      <c r="C232" s="1" t="s">
        <v>199</v>
      </c>
      <c r="D232" s="230">
        <f>(27.27+1.6*0.5+2.4*1.1)*10.764</f>
        <v>330.56243999999998</v>
      </c>
      <c r="E232" s="231"/>
      <c r="F232" s="1">
        <f>(2.7*2.4+2.75*2.4+2.7*1.1)*10.764</f>
        <v>172.76220000000001</v>
      </c>
      <c r="G232" s="1">
        <f>D232*1.45+F232</f>
        <v>652.07773799999995</v>
      </c>
      <c r="H232" s="1" t="s">
        <v>92</v>
      </c>
      <c r="I232" s="236"/>
      <c r="J232" s="237"/>
    </row>
    <row r="233" spans="1:10" s="73" customFormat="1" x14ac:dyDescent="0.3">
      <c r="A233" s="230">
        <v>3</v>
      </c>
      <c r="B233" s="231"/>
      <c r="C233" s="1" t="s">
        <v>200</v>
      </c>
      <c r="D233" s="230">
        <f>(19.62+2.55*1.4+1.6*0.5)*10.764</f>
        <v>258.22836000000001</v>
      </c>
      <c r="E233" s="231"/>
      <c r="F233" s="1">
        <f>(2.7*2.4+2.4*2.75)*10.764</f>
        <v>140.79311999999999</v>
      </c>
      <c r="G233" s="1">
        <f>D233*1.45+F233</f>
        <v>515.224242</v>
      </c>
      <c r="H233" s="1" t="s">
        <v>92</v>
      </c>
      <c r="I233" s="236"/>
      <c r="J233" s="237"/>
    </row>
    <row r="234" spans="1:10" s="73" customFormat="1" x14ac:dyDescent="0.3">
      <c r="A234" s="230">
        <v>4</v>
      </c>
      <c r="B234" s="231"/>
      <c r="C234" s="1" t="s">
        <v>200</v>
      </c>
      <c r="D234" s="230">
        <f>(18.92+2.55*1.4)*10.764</f>
        <v>242.08235999999999</v>
      </c>
      <c r="E234" s="231"/>
      <c r="F234" s="1">
        <f>(1.1*2.75)*10.764</f>
        <v>32.561100000000003</v>
      </c>
      <c r="G234" s="1">
        <f>D234*1.45+F234</f>
        <v>383.58052199999997</v>
      </c>
      <c r="H234" s="1" t="s">
        <v>92</v>
      </c>
      <c r="I234" s="238"/>
      <c r="J234" s="239"/>
    </row>
    <row r="235" spans="1:10" s="73" customFormat="1" ht="15.75" customHeight="1" x14ac:dyDescent="0.3">
      <c r="A235" s="227" t="s">
        <v>210</v>
      </c>
      <c r="B235" s="228"/>
      <c r="C235" s="228"/>
      <c r="D235" s="228"/>
      <c r="E235" s="228"/>
      <c r="F235" s="228"/>
      <c r="G235" s="228"/>
      <c r="H235" s="228"/>
      <c r="I235" s="228"/>
      <c r="J235" s="229"/>
    </row>
    <row r="236" spans="1:10" s="73" customFormat="1" x14ac:dyDescent="0.3">
      <c r="A236" s="230">
        <v>1</v>
      </c>
      <c r="B236" s="231"/>
      <c r="C236" s="1" t="s">
        <v>200</v>
      </c>
      <c r="D236" s="230">
        <f>(18.92+2.55*1.4)*10.764</f>
        <v>242.08235999999999</v>
      </c>
      <c r="E236" s="231"/>
      <c r="F236" s="1">
        <f>(1.1*2.75)*10.764</f>
        <v>32.561100000000003</v>
      </c>
      <c r="G236" s="1">
        <f>D236*1.45+F236</f>
        <v>383.58052199999997</v>
      </c>
      <c r="H236" s="1" t="s">
        <v>92</v>
      </c>
      <c r="I236" s="234" t="str">
        <f>A235</f>
        <v>3rd Floor</v>
      </c>
      <c r="J236" s="235"/>
    </row>
    <row r="237" spans="1:10" s="73" customFormat="1" x14ac:dyDescent="0.3">
      <c r="A237" s="230">
        <v>2</v>
      </c>
      <c r="B237" s="231"/>
      <c r="C237" s="1" t="s">
        <v>199</v>
      </c>
      <c r="D237" s="230">
        <f>(27.27+1.6*0.5+2.4*1.1+2.4*0.75+2.75*0.75)*10.764</f>
        <v>372.13838999999996</v>
      </c>
      <c r="E237" s="231"/>
      <c r="F237" s="1">
        <f>(2.55*1.1)*10.764</f>
        <v>30.193020000000001</v>
      </c>
      <c r="G237" s="1">
        <f>D237*1.45+F237</f>
        <v>569.79368549999992</v>
      </c>
      <c r="H237" s="1" t="s">
        <v>92</v>
      </c>
      <c r="I237" s="236"/>
      <c r="J237" s="237"/>
    </row>
    <row r="238" spans="1:10" s="73" customFormat="1" x14ac:dyDescent="0.3">
      <c r="A238" s="230">
        <v>3</v>
      </c>
      <c r="B238" s="231"/>
      <c r="C238" s="1" t="s">
        <v>200</v>
      </c>
      <c r="D238" s="230">
        <f>(19.62+2.55*1.4+1.6*0.5)*10.764</f>
        <v>258.22836000000001</v>
      </c>
      <c r="E238" s="231"/>
      <c r="F238" s="1">
        <f>(1.1*2.75)*10.764</f>
        <v>32.561100000000003</v>
      </c>
      <c r="G238" s="1">
        <f>D238*1.45+F238</f>
        <v>406.99222200000003</v>
      </c>
      <c r="H238" s="1" t="s">
        <v>92</v>
      </c>
      <c r="I238" s="236"/>
      <c r="J238" s="237"/>
    </row>
    <row r="239" spans="1:10" s="73" customFormat="1" x14ac:dyDescent="0.3">
      <c r="A239" s="230">
        <v>4</v>
      </c>
      <c r="B239" s="231"/>
      <c r="C239" s="1" t="s">
        <v>200</v>
      </c>
      <c r="D239" s="230">
        <f>(18.92+2.55*1.4)*10.764</f>
        <v>242.08235999999999</v>
      </c>
      <c r="E239" s="231"/>
      <c r="F239" s="1">
        <f>(1.1*2.75)*10.764</f>
        <v>32.561100000000003</v>
      </c>
      <c r="G239" s="1">
        <f>D239*1.45+F239</f>
        <v>383.58052199999997</v>
      </c>
      <c r="H239" s="1" t="s">
        <v>92</v>
      </c>
      <c r="I239" s="238"/>
      <c r="J239" s="239"/>
    </row>
    <row r="240" spans="1:10" s="73" customFormat="1" ht="15.75" customHeight="1" x14ac:dyDescent="0.3">
      <c r="A240" s="227" t="s">
        <v>211</v>
      </c>
      <c r="B240" s="228"/>
      <c r="C240" s="228"/>
      <c r="D240" s="228"/>
      <c r="E240" s="228"/>
      <c r="F240" s="228"/>
      <c r="G240" s="228"/>
      <c r="H240" s="228"/>
      <c r="I240" s="228"/>
      <c r="J240" s="229"/>
    </row>
    <row r="241" spans="1:10" s="73" customFormat="1" x14ac:dyDescent="0.3">
      <c r="A241" s="230">
        <v>1</v>
      </c>
      <c r="B241" s="231"/>
      <c r="C241" s="1" t="s">
        <v>200</v>
      </c>
      <c r="D241" s="230">
        <f>(19.63+2.75*1.05+2.75*0.75)*10.764</f>
        <v>264.57911999999999</v>
      </c>
      <c r="E241" s="231"/>
      <c r="F241" s="1">
        <f>(1.1*2.75)*10.764</f>
        <v>32.561100000000003</v>
      </c>
      <c r="G241" s="1">
        <f>D241*1.45+F241</f>
        <v>416.20082399999995</v>
      </c>
      <c r="H241" s="1" t="s">
        <v>92</v>
      </c>
      <c r="I241" s="234" t="str">
        <f>A240</f>
        <v>2nd &amp; 4th Floor</v>
      </c>
      <c r="J241" s="235"/>
    </row>
    <row r="242" spans="1:10" s="73" customFormat="1" x14ac:dyDescent="0.3">
      <c r="A242" s="230">
        <v>2</v>
      </c>
      <c r="B242" s="231"/>
      <c r="C242" s="1" t="s">
        <v>199</v>
      </c>
      <c r="D242" s="230">
        <f>(26.36+2.55*1.4+2.4*0.75)*10.764</f>
        <v>341.54172</v>
      </c>
      <c r="E242" s="231"/>
      <c r="F242" s="1">
        <f>(1.1*2.75)*10.764</f>
        <v>32.561100000000003</v>
      </c>
      <c r="G242" s="1">
        <f>D242*1.45+F242</f>
        <v>527.79659399999991</v>
      </c>
      <c r="H242" s="1" t="s">
        <v>92</v>
      </c>
      <c r="I242" s="236"/>
      <c r="J242" s="237"/>
    </row>
    <row r="243" spans="1:10" s="73" customFormat="1" x14ac:dyDescent="0.3">
      <c r="A243" s="230">
        <v>3</v>
      </c>
      <c r="B243" s="231"/>
      <c r="C243" s="1" t="s">
        <v>200</v>
      </c>
      <c r="D243" s="230">
        <f>(20.33+2.75*1.05+2.75*0.75)*10.764</f>
        <v>272.11391999999995</v>
      </c>
      <c r="E243" s="231"/>
      <c r="F243" s="1">
        <f>(1.1*2.75)*10.764</f>
        <v>32.561100000000003</v>
      </c>
      <c r="G243" s="1">
        <f>D243*1.45+F243</f>
        <v>427.12628399999994</v>
      </c>
      <c r="H243" s="1" t="s">
        <v>92</v>
      </c>
      <c r="I243" s="236"/>
      <c r="J243" s="237"/>
    </row>
    <row r="244" spans="1:10" s="73" customFormat="1" x14ac:dyDescent="0.3">
      <c r="A244" s="230">
        <v>4</v>
      </c>
      <c r="B244" s="231"/>
      <c r="C244" s="1" t="s">
        <v>200</v>
      </c>
      <c r="D244" s="230">
        <f>(19.63+2.75*1.05+2.75*0.75)*10.764</f>
        <v>264.57911999999999</v>
      </c>
      <c r="E244" s="231"/>
      <c r="F244" s="1">
        <f>(1.1*2.75)*10.764</f>
        <v>32.561100000000003</v>
      </c>
      <c r="G244" s="1">
        <f>D244*1.45+F244</f>
        <v>416.20082399999995</v>
      </c>
      <c r="H244" s="1" t="s">
        <v>92</v>
      </c>
      <c r="I244" s="238"/>
      <c r="J244" s="239"/>
    </row>
    <row r="245" spans="1:10" s="73" customFormat="1" x14ac:dyDescent="0.3">
      <c r="A245" s="227" t="s">
        <v>204</v>
      </c>
      <c r="B245" s="228"/>
      <c r="C245" s="228"/>
      <c r="D245" s="228"/>
      <c r="E245" s="228"/>
      <c r="F245" s="228"/>
      <c r="G245" s="228"/>
      <c r="H245" s="228"/>
      <c r="I245" s="228"/>
      <c r="J245" s="229"/>
    </row>
    <row r="246" spans="1:10" s="73" customFormat="1" x14ac:dyDescent="0.3">
      <c r="A246" s="227" t="s">
        <v>195</v>
      </c>
      <c r="B246" s="228"/>
      <c r="C246" s="228"/>
      <c r="D246" s="228"/>
      <c r="E246" s="228"/>
      <c r="F246" s="228"/>
      <c r="G246" s="228"/>
      <c r="H246" s="228"/>
      <c r="I246" s="228"/>
      <c r="J246" s="229"/>
    </row>
    <row r="247" spans="1:10" s="73" customFormat="1" x14ac:dyDescent="0.3">
      <c r="A247" s="24">
        <v>6</v>
      </c>
      <c r="B247" s="24">
        <v>18</v>
      </c>
      <c r="C247" s="1" t="s">
        <v>198</v>
      </c>
      <c r="D247" s="230">
        <f>14.61*10.764</f>
        <v>157.26203999999998</v>
      </c>
      <c r="E247" s="231"/>
      <c r="F247" s="1">
        <v>0</v>
      </c>
      <c r="G247" s="1">
        <f t="shared" ref="G247:G252" si="6">D247*1.5+F247</f>
        <v>235.89305999999999</v>
      </c>
      <c r="H247" s="1" t="s">
        <v>92</v>
      </c>
      <c r="I247" s="234" t="s">
        <v>202</v>
      </c>
      <c r="J247" s="235"/>
    </row>
    <row r="248" spans="1:10" s="73" customFormat="1" x14ac:dyDescent="0.3">
      <c r="A248" s="24">
        <v>5</v>
      </c>
      <c r="B248" s="24">
        <v>19</v>
      </c>
      <c r="C248" s="1" t="s">
        <v>198</v>
      </c>
      <c r="D248" s="230">
        <f>15.76*10.764</f>
        <v>169.64063999999999</v>
      </c>
      <c r="E248" s="231"/>
      <c r="F248" s="1">
        <v>0</v>
      </c>
      <c r="G248" s="1">
        <f t="shared" si="6"/>
        <v>254.46096</v>
      </c>
      <c r="H248" s="1" t="s">
        <v>92</v>
      </c>
      <c r="I248" s="236"/>
      <c r="J248" s="237"/>
    </row>
    <row r="249" spans="1:10" s="73" customFormat="1" x14ac:dyDescent="0.3">
      <c r="A249" s="24">
        <v>4</v>
      </c>
      <c r="B249" s="24">
        <v>20</v>
      </c>
      <c r="C249" s="1" t="s">
        <v>198</v>
      </c>
      <c r="D249" s="230">
        <f>13.75*10.764</f>
        <v>148.005</v>
      </c>
      <c r="E249" s="231"/>
      <c r="F249" s="1">
        <v>0</v>
      </c>
      <c r="G249" s="1">
        <f t="shared" si="6"/>
        <v>222.00749999999999</v>
      </c>
      <c r="H249" s="1" t="s">
        <v>92</v>
      </c>
      <c r="I249" s="236"/>
      <c r="J249" s="237"/>
    </row>
    <row r="250" spans="1:10" s="73" customFormat="1" x14ac:dyDescent="0.3">
      <c r="A250" s="24">
        <v>3</v>
      </c>
      <c r="B250" s="24">
        <v>21</v>
      </c>
      <c r="C250" s="1" t="s">
        <v>198</v>
      </c>
      <c r="D250" s="230">
        <f>15.78*10.764</f>
        <v>169.85591999999997</v>
      </c>
      <c r="E250" s="231"/>
      <c r="F250" s="1">
        <v>0</v>
      </c>
      <c r="G250" s="1">
        <f t="shared" si="6"/>
        <v>254.78387999999995</v>
      </c>
      <c r="H250" s="1" t="s">
        <v>92</v>
      </c>
      <c r="I250" s="236"/>
      <c r="J250" s="237"/>
    </row>
    <row r="251" spans="1:10" s="73" customFormat="1" x14ac:dyDescent="0.3">
      <c r="A251" s="24">
        <v>2</v>
      </c>
      <c r="B251" s="24">
        <v>22</v>
      </c>
      <c r="C251" s="1" t="s">
        <v>198</v>
      </c>
      <c r="D251" s="230">
        <f>12.01*10.764</f>
        <v>129.27563999999998</v>
      </c>
      <c r="E251" s="231"/>
      <c r="F251" s="1">
        <v>0</v>
      </c>
      <c r="G251" s="1">
        <f t="shared" si="6"/>
        <v>193.91345999999999</v>
      </c>
      <c r="H251" s="1" t="s">
        <v>92</v>
      </c>
      <c r="I251" s="236"/>
      <c r="J251" s="237"/>
    </row>
    <row r="252" spans="1:10" s="73" customFormat="1" x14ac:dyDescent="0.3">
      <c r="A252" s="24">
        <v>1</v>
      </c>
      <c r="B252" s="24">
        <v>23</v>
      </c>
      <c r="C252" s="1" t="s">
        <v>198</v>
      </c>
      <c r="D252" s="230">
        <f>26.11*10.764</f>
        <v>281.04803999999996</v>
      </c>
      <c r="E252" s="231"/>
      <c r="F252" s="1">
        <v>0</v>
      </c>
      <c r="G252" s="1">
        <f t="shared" si="6"/>
        <v>421.57205999999996</v>
      </c>
      <c r="H252" s="1" t="s">
        <v>92</v>
      </c>
      <c r="I252" s="236"/>
      <c r="J252" s="237"/>
    </row>
    <row r="253" spans="1:10" s="73" customFormat="1" x14ac:dyDescent="0.3">
      <c r="A253" s="230">
        <v>1</v>
      </c>
      <c r="B253" s="231"/>
      <c r="C253" s="1" t="s">
        <v>200</v>
      </c>
      <c r="D253" s="230">
        <f>(16.57+2.6*1.4)*10.764</f>
        <v>217.54043999999999</v>
      </c>
      <c r="E253" s="231"/>
      <c r="F253" s="1">
        <v>0</v>
      </c>
      <c r="G253" s="1">
        <f>D253*1.45+F253</f>
        <v>315.43363799999997</v>
      </c>
      <c r="H253" s="1" t="s">
        <v>92</v>
      </c>
      <c r="I253" s="236"/>
      <c r="J253" s="237"/>
    </row>
    <row r="254" spans="1:10" s="73" customFormat="1" x14ac:dyDescent="0.3">
      <c r="A254" s="230">
        <v>2</v>
      </c>
      <c r="B254" s="231"/>
      <c r="C254" s="1" t="s">
        <v>199</v>
      </c>
      <c r="D254" s="230">
        <f>(23.91+1*2.75+2.2*1.4)*10.764</f>
        <v>320.12135999999998</v>
      </c>
      <c r="E254" s="231"/>
      <c r="F254" s="1">
        <v>0</v>
      </c>
      <c r="G254" s="1">
        <f>D254*1.45+F254</f>
        <v>464.17597199999994</v>
      </c>
      <c r="H254" s="1" t="s">
        <v>92</v>
      </c>
      <c r="I254" s="238"/>
      <c r="J254" s="239"/>
    </row>
    <row r="255" spans="1:10" s="73" customFormat="1" x14ac:dyDescent="0.3">
      <c r="A255" s="227" t="s">
        <v>209</v>
      </c>
      <c r="B255" s="228"/>
      <c r="C255" s="228"/>
      <c r="D255" s="228"/>
      <c r="E255" s="228"/>
      <c r="F255" s="228"/>
      <c r="G255" s="228"/>
      <c r="H255" s="228"/>
      <c r="I255" s="228"/>
      <c r="J255" s="229"/>
    </row>
    <row r="256" spans="1:10" s="73" customFormat="1" x14ac:dyDescent="0.3">
      <c r="A256" s="230">
        <v>1</v>
      </c>
      <c r="B256" s="231"/>
      <c r="C256" s="1" t="s">
        <v>200</v>
      </c>
      <c r="D256" s="230">
        <f>(19.49+2.75*1.1+2.75*0.75)*10.764</f>
        <v>264.55221</v>
      </c>
      <c r="E256" s="231"/>
      <c r="F256" s="1">
        <f>(1.1*2.75)*10.764</f>
        <v>32.561100000000003</v>
      </c>
      <c r="G256" s="1">
        <f t="shared" ref="G256:G261" si="7">D256*1.45+F256</f>
        <v>416.16180450000002</v>
      </c>
      <c r="H256" s="1" t="s">
        <v>92</v>
      </c>
      <c r="I256" s="234" t="str">
        <f>A255</f>
        <v>1st Floor</v>
      </c>
      <c r="J256" s="235"/>
    </row>
    <row r="257" spans="1:10" s="73" customFormat="1" x14ac:dyDescent="0.3">
      <c r="A257" s="230">
        <v>2</v>
      </c>
      <c r="B257" s="231"/>
      <c r="C257" s="1" t="s">
        <v>200</v>
      </c>
      <c r="D257" s="230">
        <f>(18.92+2.55*1.4)*10.764</f>
        <v>242.08235999999999</v>
      </c>
      <c r="E257" s="231"/>
      <c r="F257" s="1">
        <f>(2.7*2.4+2.4*2.75)*10.764</f>
        <v>140.79311999999999</v>
      </c>
      <c r="G257" s="1">
        <f t="shared" si="7"/>
        <v>491.81254199999995</v>
      </c>
      <c r="H257" s="1" t="s">
        <v>92</v>
      </c>
      <c r="I257" s="236"/>
      <c r="J257" s="237"/>
    </row>
    <row r="258" spans="1:10" s="73" customFormat="1" x14ac:dyDescent="0.3">
      <c r="A258" s="230">
        <v>3</v>
      </c>
      <c r="B258" s="231"/>
      <c r="C258" s="1" t="s">
        <v>206</v>
      </c>
      <c r="D258" s="230">
        <f>(38+2.15*1.5+2.4*1)*10.764</f>
        <v>469.5795</v>
      </c>
      <c r="E258" s="231"/>
      <c r="F258" s="1">
        <f>(5.7*2.2+1.2*2.4+2.75*2.4+1.4*3.2)*10.764</f>
        <v>285.24600000000004</v>
      </c>
      <c r="G258" s="1">
        <f t="shared" si="7"/>
        <v>966.13627500000007</v>
      </c>
      <c r="H258" s="1" t="s">
        <v>92</v>
      </c>
      <c r="I258" s="236"/>
      <c r="J258" s="237"/>
    </row>
    <row r="259" spans="1:10" s="73" customFormat="1" x14ac:dyDescent="0.3">
      <c r="A259" s="230">
        <v>4</v>
      </c>
      <c r="B259" s="231"/>
      <c r="C259" s="1" t="s">
        <v>199</v>
      </c>
      <c r="D259" s="230">
        <f>(26.26+2.15*1.5)*10.764</f>
        <v>317.37653999999998</v>
      </c>
      <c r="E259" s="231"/>
      <c r="F259" s="1">
        <f>(1.1*2.75+1.1*1.7)*10.764</f>
        <v>52.689779999999999</v>
      </c>
      <c r="G259" s="1">
        <f t="shared" si="7"/>
        <v>512.885763</v>
      </c>
      <c r="H259" s="1" t="s">
        <v>92</v>
      </c>
      <c r="I259" s="236"/>
      <c r="J259" s="237"/>
    </row>
    <row r="260" spans="1:10" s="73" customFormat="1" x14ac:dyDescent="0.3">
      <c r="A260" s="230">
        <v>5</v>
      </c>
      <c r="B260" s="231"/>
      <c r="C260" s="1" t="s">
        <v>199</v>
      </c>
      <c r="D260" s="230">
        <f>(26.26+2.15*1.5+0.75*2.75+0.5*2.4)*10.764</f>
        <v>352.49409000000003</v>
      </c>
      <c r="E260" s="231"/>
      <c r="F260" s="1">
        <f>(1.1*2.75)*10.764</f>
        <v>32.561100000000003</v>
      </c>
      <c r="G260" s="1">
        <f t="shared" si="7"/>
        <v>543.67753049999999</v>
      </c>
      <c r="H260" s="1" t="s">
        <v>92</v>
      </c>
      <c r="I260" s="236"/>
      <c r="J260" s="237"/>
    </row>
    <row r="261" spans="1:10" s="73" customFormat="1" x14ac:dyDescent="0.3">
      <c r="A261" s="230">
        <v>6</v>
      </c>
      <c r="B261" s="231"/>
      <c r="C261" s="1" t="s">
        <v>199</v>
      </c>
      <c r="D261" s="230">
        <f>(26.26+2.15*1.5+0.75*2.75+0.5*2.4)*10.764</f>
        <v>352.49409000000003</v>
      </c>
      <c r="E261" s="231"/>
      <c r="F261" s="1">
        <f>(1.1*2.75)*10.764</f>
        <v>32.561100000000003</v>
      </c>
      <c r="G261" s="1">
        <f t="shared" si="7"/>
        <v>543.67753049999999</v>
      </c>
      <c r="H261" s="1" t="s">
        <v>92</v>
      </c>
      <c r="I261" s="238"/>
      <c r="J261" s="239"/>
    </row>
    <row r="262" spans="1:10" s="73" customFormat="1" x14ac:dyDescent="0.3">
      <c r="A262" s="227" t="s">
        <v>210</v>
      </c>
      <c r="B262" s="228"/>
      <c r="C262" s="228"/>
      <c r="D262" s="228"/>
      <c r="E262" s="228"/>
      <c r="F262" s="228"/>
      <c r="G262" s="228"/>
      <c r="H262" s="228"/>
      <c r="I262" s="228"/>
      <c r="J262" s="229"/>
    </row>
    <row r="263" spans="1:10" s="73" customFormat="1" x14ac:dyDescent="0.3">
      <c r="A263" s="230">
        <v>1</v>
      </c>
      <c r="B263" s="231"/>
      <c r="C263" s="1" t="s">
        <v>200</v>
      </c>
      <c r="D263" s="230">
        <f>(19.49+2.75*1.1+2.75*0.75)*10.764</f>
        <v>264.55221</v>
      </c>
      <c r="E263" s="231"/>
      <c r="F263" s="1">
        <f t="shared" ref="F263:F268" si="8">(1.1*2.75)*10.764</f>
        <v>32.561100000000003</v>
      </c>
      <c r="G263" s="1">
        <f t="shared" ref="G263:G268" si="9">D263*1.45+F263</f>
        <v>416.16180450000002</v>
      </c>
      <c r="H263" s="1" t="s">
        <v>92</v>
      </c>
      <c r="I263" s="234" t="str">
        <f>A262</f>
        <v>3rd Floor</v>
      </c>
      <c r="J263" s="235"/>
    </row>
    <row r="264" spans="1:10" s="73" customFormat="1" x14ac:dyDescent="0.3">
      <c r="A264" s="230">
        <v>2</v>
      </c>
      <c r="B264" s="231"/>
      <c r="C264" s="1" t="s">
        <v>200</v>
      </c>
      <c r="D264" s="230">
        <f>(18.92+2.55*1.4)*10.764</f>
        <v>242.08235999999999</v>
      </c>
      <c r="E264" s="231"/>
      <c r="F264" s="1">
        <f t="shared" si="8"/>
        <v>32.561100000000003</v>
      </c>
      <c r="G264" s="1">
        <f t="shared" si="9"/>
        <v>383.58052199999997</v>
      </c>
      <c r="H264" s="1" t="s">
        <v>92</v>
      </c>
      <c r="I264" s="236"/>
      <c r="J264" s="237"/>
    </row>
    <row r="265" spans="1:10" s="73" customFormat="1" x14ac:dyDescent="0.3">
      <c r="A265" s="230">
        <v>3</v>
      </c>
      <c r="B265" s="231"/>
      <c r="C265" s="1" t="s">
        <v>206</v>
      </c>
      <c r="D265" s="230">
        <f>(38+2.15*1.5+2.4*1+2.75*0.75+2.4*0.75)*10.764</f>
        <v>511.15544999999992</v>
      </c>
      <c r="E265" s="231"/>
      <c r="F265" s="1">
        <f t="shared" si="8"/>
        <v>32.561100000000003</v>
      </c>
      <c r="G265" s="1">
        <f t="shared" si="9"/>
        <v>773.73650249999992</v>
      </c>
      <c r="H265" s="1">
        <f>2731760/G265</f>
        <v>3530.6076308581555</v>
      </c>
      <c r="I265" s="236"/>
      <c r="J265" s="237"/>
    </row>
    <row r="266" spans="1:10" s="73" customFormat="1" x14ac:dyDescent="0.3">
      <c r="A266" s="230">
        <v>4</v>
      </c>
      <c r="B266" s="231"/>
      <c r="C266" s="1" t="s">
        <v>199</v>
      </c>
      <c r="D266" s="230">
        <f>(26.26+2.15*1.5+0.5*2.75+2.75*0.75)*10.764</f>
        <v>354.37778999999995</v>
      </c>
      <c r="E266" s="231"/>
      <c r="F266" s="1">
        <f t="shared" si="8"/>
        <v>32.561100000000003</v>
      </c>
      <c r="G266" s="1">
        <f t="shared" si="9"/>
        <v>546.40889549999997</v>
      </c>
      <c r="H266" s="1" t="s">
        <v>92</v>
      </c>
      <c r="I266" s="236"/>
      <c r="J266" s="237"/>
    </row>
    <row r="267" spans="1:10" s="73" customFormat="1" x14ac:dyDescent="0.3">
      <c r="A267" s="230">
        <v>5</v>
      </c>
      <c r="B267" s="231"/>
      <c r="C267" s="1" t="s">
        <v>199</v>
      </c>
      <c r="D267" s="230">
        <f>(26.26+2.15*1.5+0.75*2.75+0.5*2.4+2.75*0.75)*10.764</f>
        <v>374.69484</v>
      </c>
      <c r="E267" s="231"/>
      <c r="F267" s="1">
        <f t="shared" si="8"/>
        <v>32.561100000000003</v>
      </c>
      <c r="G267" s="1">
        <f t="shared" si="9"/>
        <v>575.86861799999997</v>
      </c>
      <c r="H267" s="1" t="s">
        <v>92</v>
      </c>
      <c r="I267" s="236"/>
      <c r="J267" s="237"/>
    </row>
    <row r="268" spans="1:10" s="73" customFormat="1" x14ac:dyDescent="0.3">
      <c r="A268" s="230">
        <v>6</v>
      </c>
      <c r="B268" s="231"/>
      <c r="C268" s="1" t="s">
        <v>199</v>
      </c>
      <c r="D268" s="230">
        <f>(26.26+2.15*1.5+0.75*2.75+0.5*2.4+2.75*0.75)*10.764</f>
        <v>374.69484</v>
      </c>
      <c r="E268" s="231"/>
      <c r="F268" s="1">
        <f t="shared" si="8"/>
        <v>32.561100000000003</v>
      </c>
      <c r="G268" s="1">
        <f t="shared" si="9"/>
        <v>575.86861799999997</v>
      </c>
      <c r="H268" s="1" t="s">
        <v>92</v>
      </c>
      <c r="I268" s="238"/>
      <c r="J268" s="239"/>
    </row>
    <row r="269" spans="1:10" s="73" customFormat="1" x14ac:dyDescent="0.3">
      <c r="A269" s="227" t="s">
        <v>211</v>
      </c>
      <c r="B269" s="228"/>
      <c r="C269" s="228"/>
      <c r="D269" s="228"/>
      <c r="E269" s="228"/>
      <c r="F269" s="228"/>
      <c r="G269" s="228"/>
      <c r="H269" s="228"/>
      <c r="I269" s="228"/>
      <c r="J269" s="229"/>
    </row>
    <row r="270" spans="1:10" s="73" customFormat="1" x14ac:dyDescent="0.3">
      <c r="A270" s="230">
        <v>1</v>
      </c>
      <c r="B270" s="231"/>
      <c r="C270" s="1" t="s">
        <v>200</v>
      </c>
      <c r="D270" s="230">
        <f>(19.49+2.75*1.1+2.75*0.75)*10.764</f>
        <v>264.55221</v>
      </c>
      <c r="E270" s="231"/>
      <c r="F270" s="1">
        <f t="shared" ref="F270:F275" si="10">(1.1*2.75)*10.764</f>
        <v>32.561100000000003</v>
      </c>
      <c r="G270" s="1">
        <f t="shared" ref="G270:G275" si="11">D270*1.45+F270</f>
        <v>416.16180450000002</v>
      </c>
      <c r="H270" s="1" t="s">
        <v>92</v>
      </c>
      <c r="I270" s="234" t="str">
        <f>A269</f>
        <v>2nd &amp; 4th Floor</v>
      </c>
      <c r="J270" s="235"/>
    </row>
    <row r="271" spans="1:10" s="73" customFormat="1" x14ac:dyDescent="0.3">
      <c r="A271" s="230">
        <v>2</v>
      </c>
      <c r="B271" s="231"/>
      <c r="C271" s="1" t="s">
        <v>200</v>
      </c>
      <c r="D271" s="230">
        <f>(18.92+2.55*1.4)*10.764</f>
        <v>242.08235999999999</v>
      </c>
      <c r="E271" s="231"/>
      <c r="F271" s="1">
        <f t="shared" si="10"/>
        <v>32.561100000000003</v>
      </c>
      <c r="G271" s="1">
        <f t="shared" si="11"/>
        <v>383.58052199999997</v>
      </c>
      <c r="H271" s="1" t="s">
        <v>92</v>
      </c>
      <c r="I271" s="236"/>
      <c r="J271" s="237"/>
    </row>
    <row r="272" spans="1:10" s="73" customFormat="1" x14ac:dyDescent="0.3">
      <c r="A272" s="230">
        <v>3</v>
      </c>
      <c r="B272" s="231"/>
      <c r="C272" s="1" t="s">
        <v>206</v>
      </c>
      <c r="D272" s="230">
        <f>(38+2.15*1.5+2.4*1+2.75*0.75+2.4*0.75)*10.764</f>
        <v>511.15544999999992</v>
      </c>
      <c r="E272" s="231"/>
      <c r="F272" s="1">
        <f t="shared" si="10"/>
        <v>32.561100000000003</v>
      </c>
      <c r="G272" s="1">
        <f t="shared" si="11"/>
        <v>773.73650249999992</v>
      </c>
      <c r="H272" s="1" t="s">
        <v>92</v>
      </c>
      <c r="I272" s="236"/>
      <c r="J272" s="237"/>
    </row>
    <row r="273" spans="1:10" s="73" customFormat="1" x14ac:dyDescent="0.3">
      <c r="A273" s="230">
        <v>4</v>
      </c>
      <c r="B273" s="231"/>
      <c r="C273" s="1" t="s">
        <v>199</v>
      </c>
      <c r="D273" s="230">
        <f>(26.26+2.15*1.5+0.5*2.75+2.75*0.75)*10.764</f>
        <v>354.37778999999995</v>
      </c>
      <c r="E273" s="231"/>
      <c r="F273" s="1">
        <f t="shared" si="10"/>
        <v>32.561100000000003</v>
      </c>
      <c r="G273" s="1">
        <f t="shared" si="11"/>
        <v>546.40889549999997</v>
      </c>
      <c r="H273" s="1" t="s">
        <v>92</v>
      </c>
      <c r="I273" s="236"/>
      <c r="J273" s="237"/>
    </row>
    <row r="274" spans="1:10" s="73" customFormat="1" x14ac:dyDescent="0.3">
      <c r="A274" s="230">
        <v>5</v>
      </c>
      <c r="B274" s="231"/>
      <c r="C274" s="1" t="s">
        <v>199</v>
      </c>
      <c r="D274" s="230">
        <f>(26.26+2.15*1.5+0.75*2.75+0.5*2.4+2.75*0.75)*10.764</f>
        <v>374.69484</v>
      </c>
      <c r="E274" s="231"/>
      <c r="F274" s="1">
        <f t="shared" si="10"/>
        <v>32.561100000000003</v>
      </c>
      <c r="G274" s="1">
        <f t="shared" si="11"/>
        <v>575.86861799999997</v>
      </c>
      <c r="H274" s="1" t="s">
        <v>92</v>
      </c>
      <c r="I274" s="236"/>
      <c r="J274" s="237"/>
    </row>
    <row r="275" spans="1:10" s="73" customFormat="1" x14ac:dyDescent="0.3">
      <c r="A275" s="230">
        <v>6</v>
      </c>
      <c r="B275" s="231"/>
      <c r="C275" s="1" t="s">
        <v>199</v>
      </c>
      <c r="D275" s="230">
        <f>(26.26+2.15*1.5+0.75*2.75+0.5*2.4+2.75*0.75)*10.764</f>
        <v>374.69484</v>
      </c>
      <c r="E275" s="231"/>
      <c r="F275" s="1">
        <f t="shared" si="10"/>
        <v>32.561100000000003</v>
      </c>
      <c r="G275" s="1">
        <f t="shared" si="11"/>
        <v>575.86861799999997</v>
      </c>
      <c r="H275" s="1" t="s">
        <v>92</v>
      </c>
      <c r="I275" s="238"/>
      <c r="J275" s="239"/>
    </row>
    <row r="276" spans="1:10" s="73" customFormat="1" x14ac:dyDescent="0.3">
      <c r="A276" s="227" t="s">
        <v>207</v>
      </c>
      <c r="B276" s="228"/>
      <c r="C276" s="228"/>
      <c r="D276" s="228"/>
      <c r="E276" s="228"/>
      <c r="F276" s="228"/>
      <c r="G276" s="228"/>
      <c r="H276" s="228"/>
      <c r="I276" s="228"/>
      <c r="J276" s="229"/>
    </row>
    <row r="277" spans="1:10" s="73" customFormat="1" x14ac:dyDescent="0.3">
      <c r="A277" s="227" t="s">
        <v>205</v>
      </c>
      <c r="B277" s="228"/>
      <c r="C277" s="228"/>
      <c r="D277" s="228"/>
      <c r="E277" s="228"/>
      <c r="F277" s="228"/>
      <c r="G277" s="228"/>
      <c r="H277" s="228"/>
      <c r="I277" s="228"/>
      <c r="J277" s="229"/>
    </row>
    <row r="278" spans="1:10" s="73" customFormat="1" x14ac:dyDescent="0.3">
      <c r="A278" s="230">
        <v>1</v>
      </c>
      <c r="B278" s="231"/>
      <c r="C278" s="1" t="s">
        <v>199</v>
      </c>
      <c r="D278" s="230">
        <f>(23.92+1*2.75+2.15*1.5)*10.764</f>
        <v>321.78978000000001</v>
      </c>
      <c r="E278" s="231"/>
      <c r="F278" s="1">
        <v>0</v>
      </c>
      <c r="G278" s="1">
        <f>D278*1.45+F278</f>
        <v>466.59518099999997</v>
      </c>
      <c r="H278" s="1" t="s">
        <v>92</v>
      </c>
      <c r="I278" s="234" t="str">
        <f>I247</f>
        <v>Ground Floor</v>
      </c>
      <c r="J278" s="235"/>
    </row>
    <row r="279" spans="1:10" s="73" customFormat="1" x14ac:dyDescent="0.3">
      <c r="A279" s="230">
        <v>2</v>
      </c>
      <c r="B279" s="231"/>
      <c r="C279" s="1" t="s">
        <v>199</v>
      </c>
      <c r="D279" s="230">
        <f>(23.92+1*2.75+2.15*1.5)*10.764</f>
        <v>321.78978000000001</v>
      </c>
      <c r="E279" s="231"/>
      <c r="F279" s="1">
        <v>0</v>
      </c>
      <c r="G279" s="1">
        <f>D279*1.45+F279</f>
        <v>466.59518099999997</v>
      </c>
      <c r="H279" s="1" t="s">
        <v>92</v>
      </c>
      <c r="I279" s="236"/>
      <c r="J279" s="237"/>
    </row>
    <row r="280" spans="1:10" s="73" customFormat="1" x14ac:dyDescent="0.3">
      <c r="A280" s="230">
        <v>3</v>
      </c>
      <c r="B280" s="231"/>
      <c r="C280" s="1" t="s">
        <v>199</v>
      </c>
      <c r="D280" s="230">
        <f>(24.98+2.75*1+2.15*1.5)*10.764</f>
        <v>333.19961999999998</v>
      </c>
      <c r="E280" s="231"/>
      <c r="F280" s="1">
        <v>0</v>
      </c>
      <c r="G280" s="1">
        <f>D280*1.45+F280</f>
        <v>483.13944899999996</v>
      </c>
      <c r="H280" s="1" t="s">
        <v>92</v>
      </c>
      <c r="I280" s="236"/>
      <c r="J280" s="237"/>
    </row>
    <row r="281" spans="1:10" s="73" customFormat="1" x14ac:dyDescent="0.3">
      <c r="A281" s="230">
        <v>4</v>
      </c>
      <c r="B281" s="231"/>
      <c r="C281" s="1" t="s">
        <v>206</v>
      </c>
      <c r="D281" s="230">
        <f>(37.7+1*2.75+2.15*1.5)*10.764</f>
        <v>470.11770000000001</v>
      </c>
      <c r="E281" s="231"/>
      <c r="F281" s="1">
        <v>0</v>
      </c>
      <c r="G281" s="1">
        <f>D281*1.45+F281</f>
        <v>681.67066499999999</v>
      </c>
      <c r="H281" s="1" t="s">
        <v>92</v>
      </c>
      <c r="I281" s="236"/>
      <c r="J281" s="237"/>
    </row>
    <row r="282" spans="1:10" s="73" customFormat="1" x14ac:dyDescent="0.3">
      <c r="A282" s="230">
        <v>5</v>
      </c>
      <c r="B282" s="231"/>
      <c r="C282" s="1" t="s">
        <v>199</v>
      </c>
      <c r="D282" s="230">
        <f>(23.92+1*2.75+2.15*1.5)*10.764</f>
        <v>321.78978000000001</v>
      </c>
      <c r="E282" s="231"/>
      <c r="F282" s="1">
        <v>0</v>
      </c>
      <c r="G282" s="1">
        <f>D282*1.45+F282</f>
        <v>466.59518099999997</v>
      </c>
      <c r="H282" s="1" t="s">
        <v>92</v>
      </c>
      <c r="I282" s="238"/>
      <c r="J282" s="239"/>
    </row>
    <row r="283" spans="1:10" s="73" customFormat="1" x14ac:dyDescent="0.3">
      <c r="A283" s="227" t="s">
        <v>209</v>
      </c>
      <c r="B283" s="228"/>
      <c r="C283" s="228"/>
      <c r="D283" s="228"/>
      <c r="E283" s="228"/>
      <c r="F283" s="228"/>
      <c r="G283" s="228"/>
      <c r="H283" s="228"/>
      <c r="I283" s="228"/>
      <c r="J283" s="229"/>
    </row>
    <row r="284" spans="1:10" s="73" customFormat="1" x14ac:dyDescent="0.3">
      <c r="A284" s="230">
        <v>1</v>
      </c>
      <c r="B284" s="231"/>
      <c r="C284" s="1" t="s">
        <v>199</v>
      </c>
      <c r="D284" s="230">
        <f>(26.26+2.15*1.5+0.75*2.75+0.5*2.4)*10.764</f>
        <v>352.49409000000003</v>
      </c>
      <c r="E284" s="231"/>
      <c r="F284" s="1">
        <f t="shared" ref="F284:F303" si="12">(1.1*2.75)*10.764</f>
        <v>32.561100000000003</v>
      </c>
      <c r="G284" s="1">
        <f t="shared" ref="G284:G289" si="13">D284*1.45+F284</f>
        <v>543.67753049999999</v>
      </c>
      <c r="H284" s="1" t="s">
        <v>92</v>
      </c>
      <c r="I284" s="234" t="str">
        <f>A283</f>
        <v>1st Floor</v>
      </c>
      <c r="J284" s="235"/>
    </row>
    <row r="285" spans="1:10" s="73" customFormat="1" x14ac:dyDescent="0.3">
      <c r="A285" s="230">
        <v>2</v>
      </c>
      <c r="B285" s="231"/>
      <c r="C285" s="1" t="s">
        <v>199</v>
      </c>
      <c r="D285" s="230">
        <f>(26.26+2.15*1.5+0.75*2.75+0.5*2.4)*10.764</f>
        <v>352.49409000000003</v>
      </c>
      <c r="E285" s="231"/>
      <c r="F285" s="1">
        <f t="shared" si="12"/>
        <v>32.561100000000003</v>
      </c>
      <c r="G285" s="1">
        <f t="shared" si="13"/>
        <v>543.67753049999999</v>
      </c>
      <c r="H285" s="1" t="s">
        <v>92</v>
      </c>
      <c r="I285" s="236"/>
      <c r="J285" s="237"/>
    </row>
    <row r="286" spans="1:10" s="73" customFormat="1" x14ac:dyDescent="0.3">
      <c r="A286" s="230">
        <v>3</v>
      </c>
      <c r="B286" s="231"/>
      <c r="C286" s="1" t="s">
        <v>199</v>
      </c>
      <c r="D286" s="230">
        <f>(24.98+2.15*1.5+2.75*1+0.75*2.75)*10.764</f>
        <v>355.40036999999995</v>
      </c>
      <c r="E286" s="231"/>
      <c r="F286" s="1">
        <f t="shared" si="12"/>
        <v>32.561100000000003</v>
      </c>
      <c r="G286" s="1">
        <f t="shared" si="13"/>
        <v>547.89163649999989</v>
      </c>
      <c r="H286" s="1" t="s">
        <v>92</v>
      </c>
      <c r="I286" s="236"/>
      <c r="J286" s="237"/>
    </row>
    <row r="287" spans="1:10" s="73" customFormat="1" x14ac:dyDescent="0.3">
      <c r="A287" s="230">
        <v>4</v>
      </c>
      <c r="B287" s="231"/>
      <c r="C287" s="1" t="s">
        <v>206</v>
      </c>
      <c r="D287" s="230">
        <f>(38+2.15*1.5+0.75*3.15+2.4*1+2.4*0.75)*10.764</f>
        <v>514.38464999999985</v>
      </c>
      <c r="E287" s="231"/>
      <c r="F287" s="1">
        <f t="shared" si="12"/>
        <v>32.561100000000003</v>
      </c>
      <c r="G287" s="1">
        <f t="shared" si="13"/>
        <v>778.41884249999976</v>
      </c>
      <c r="H287" s="1" t="s">
        <v>92</v>
      </c>
      <c r="I287" s="236"/>
      <c r="J287" s="237"/>
    </row>
    <row r="288" spans="1:10" s="73" customFormat="1" x14ac:dyDescent="0.3">
      <c r="A288" s="230">
        <v>5</v>
      </c>
      <c r="B288" s="231"/>
      <c r="C288" s="1" t="s">
        <v>199</v>
      </c>
      <c r="D288" s="230">
        <f>(26.26+2.15*1.5+0.75*2.75+0.5*2.4)*10.764</f>
        <v>352.49409000000003</v>
      </c>
      <c r="E288" s="231"/>
      <c r="F288" s="1">
        <f t="shared" si="12"/>
        <v>32.561100000000003</v>
      </c>
      <c r="G288" s="1">
        <f t="shared" si="13"/>
        <v>543.67753049999999</v>
      </c>
      <c r="H288" s="1" t="s">
        <v>92</v>
      </c>
      <c r="I288" s="236"/>
      <c r="J288" s="237"/>
    </row>
    <row r="289" spans="1:10" s="73" customFormat="1" x14ac:dyDescent="0.3">
      <c r="A289" s="230">
        <v>6</v>
      </c>
      <c r="B289" s="231"/>
      <c r="C289" s="1" t="s">
        <v>199</v>
      </c>
      <c r="D289" s="230">
        <f>(26.26+2.15*1.5+0.75*2.75+0.5*2.4)*10.764</f>
        <v>352.49409000000003</v>
      </c>
      <c r="E289" s="231"/>
      <c r="F289" s="1">
        <f t="shared" si="12"/>
        <v>32.561100000000003</v>
      </c>
      <c r="G289" s="1">
        <f t="shared" si="13"/>
        <v>543.67753049999999</v>
      </c>
      <c r="H289" s="1" t="s">
        <v>92</v>
      </c>
      <c r="I289" s="238"/>
      <c r="J289" s="239"/>
    </row>
    <row r="290" spans="1:10" s="73" customFormat="1" x14ac:dyDescent="0.3">
      <c r="A290" s="227" t="s">
        <v>210</v>
      </c>
      <c r="B290" s="228"/>
      <c r="C290" s="228"/>
      <c r="D290" s="228"/>
      <c r="E290" s="228"/>
      <c r="F290" s="228"/>
      <c r="G290" s="228"/>
      <c r="H290" s="228"/>
      <c r="I290" s="228"/>
      <c r="J290" s="229"/>
    </row>
    <row r="291" spans="1:10" s="73" customFormat="1" x14ac:dyDescent="0.3">
      <c r="A291" s="230">
        <v>1</v>
      </c>
      <c r="B291" s="231"/>
      <c r="C291" s="1" t="s">
        <v>199</v>
      </c>
      <c r="D291" s="230">
        <f>(26.26+2.15*1.5+0.75*2.75+0.5*2.4)*10.764</f>
        <v>352.49409000000003</v>
      </c>
      <c r="E291" s="231"/>
      <c r="F291" s="1">
        <f t="shared" si="12"/>
        <v>32.561100000000003</v>
      </c>
      <c r="G291" s="1">
        <f t="shared" ref="G291:G296" si="14">D291*1.45+F291</f>
        <v>543.67753049999999</v>
      </c>
      <c r="H291" s="1" t="s">
        <v>92</v>
      </c>
      <c r="I291" s="234" t="str">
        <f>A290</f>
        <v>3rd Floor</v>
      </c>
      <c r="J291" s="235"/>
    </row>
    <row r="292" spans="1:10" s="73" customFormat="1" x14ac:dyDescent="0.3">
      <c r="A292" s="230">
        <v>2</v>
      </c>
      <c r="B292" s="231"/>
      <c r="C292" s="1" t="s">
        <v>199</v>
      </c>
      <c r="D292" s="230">
        <f>(26.26+2.15*1.5+0.75*2.75+0.5*2.4)*10.764</f>
        <v>352.49409000000003</v>
      </c>
      <c r="E292" s="231"/>
      <c r="F292" s="1">
        <f t="shared" si="12"/>
        <v>32.561100000000003</v>
      </c>
      <c r="G292" s="1">
        <f t="shared" si="14"/>
        <v>543.67753049999999</v>
      </c>
      <c r="H292" s="1" t="s">
        <v>92</v>
      </c>
      <c r="I292" s="236"/>
      <c r="J292" s="237"/>
    </row>
    <row r="293" spans="1:10" s="73" customFormat="1" x14ac:dyDescent="0.3">
      <c r="A293" s="230">
        <v>3</v>
      </c>
      <c r="B293" s="231"/>
      <c r="C293" s="1" t="s">
        <v>199</v>
      </c>
      <c r="D293" s="230">
        <f>(24.98+2.15*1.5+2.75*1+0.75*2.75)*10.764</f>
        <v>355.40036999999995</v>
      </c>
      <c r="E293" s="231"/>
      <c r="F293" s="1">
        <f t="shared" si="12"/>
        <v>32.561100000000003</v>
      </c>
      <c r="G293" s="1">
        <f t="shared" si="14"/>
        <v>547.89163649999989</v>
      </c>
      <c r="H293" s="1" t="s">
        <v>92</v>
      </c>
      <c r="I293" s="236"/>
      <c r="J293" s="237"/>
    </row>
    <row r="294" spans="1:10" s="73" customFormat="1" x14ac:dyDescent="0.3">
      <c r="A294" s="230">
        <v>4</v>
      </c>
      <c r="B294" s="231"/>
      <c r="C294" s="1" t="s">
        <v>206</v>
      </c>
      <c r="D294" s="230">
        <f>(38+2.15*1.5+0.75*3.15+2.4*1+2.4*0.75)*10.764</f>
        <v>514.38464999999985</v>
      </c>
      <c r="E294" s="231"/>
      <c r="F294" s="1">
        <f t="shared" si="12"/>
        <v>32.561100000000003</v>
      </c>
      <c r="G294" s="1">
        <f t="shared" si="14"/>
        <v>778.41884249999976</v>
      </c>
      <c r="H294" s="1" t="s">
        <v>92</v>
      </c>
      <c r="I294" s="236"/>
      <c r="J294" s="237"/>
    </row>
    <row r="295" spans="1:10" s="73" customFormat="1" x14ac:dyDescent="0.3">
      <c r="A295" s="230">
        <v>5</v>
      </c>
      <c r="B295" s="231"/>
      <c r="C295" s="1" t="s">
        <v>199</v>
      </c>
      <c r="D295" s="230">
        <f>(26.26+2.15*1.5+0.75*2.75+0.5*2.4)*10.764</f>
        <v>352.49409000000003</v>
      </c>
      <c r="E295" s="231"/>
      <c r="F295" s="1">
        <f t="shared" si="12"/>
        <v>32.561100000000003</v>
      </c>
      <c r="G295" s="1">
        <f t="shared" si="14"/>
        <v>543.67753049999999</v>
      </c>
      <c r="H295" s="1" t="s">
        <v>92</v>
      </c>
      <c r="I295" s="236"/>
      <c r="J295" s="237"/>
    </row>
    <row r="296" spans="1:10" s="73" customFormat="1" x14ac:dyDescent="0.3">
      <c r="A296" s="230">
        <v>6</v>
      </c>
      <c r="B296" s="231"/>
      <c r="C296" s="1" t="s">
        <v>199</v>
      </c>
      <c r="D296" s="230">
        <f>(26.26+2.15*1.5+0.75*2.75+0.5*2.4)*10.764</f>
        <v>352.49409000000003</v>
      </c>
      <c r="E296" s="231"/>
      <c r="F296" s="1">
        <f t="shared" si="12"/>
        <v>32.561100000000003</v>
      </c>
      <c r="G296" s="1">
        <f t="shared" si="14"/>
        <v>543.67753049999999</v>
      </c>
      <c r="H296" s="1" t="s">
        <v>92</v>
      </c>
      <c r="I296" s="238"/>
      <c r="J296" s="239"/>
    </row>
    <row r="297" spans="1:10" s="73" customFormat="1" x14ac:dyDescent="0.3">
      <c r="A297" s="227" t="s">
        <v>211</v>
      </c>
      <c r="B297" s="228"/>
      <c r="C297" s="228"/>
      <c r="D297" s="228"/>
      <c r="E297" s="228"/>
      <c r="F297" s="228"/>
      <c r="G297" s="228"/>
      <c r="H297" s="228"/>
      <c r="I297" s="228"/>
      <c r="J297" s="229"/>
    </row>
    <row r="298" spans="1:10" s="73" customFormat="1" x14ac:dyDescent="0.3">
      <c r="A298" s="230">
        <v>1</v>
      </c>
      <c r="B298" s="231"/>
      <c r="C298" s="1" t="s">
        <v>199</v>
      </c>
      <c r="D298" s="230">
        <f>(26.26+2.15*1.5+0.75*2.75+0.5*2.4+1*2.75)*10.764</f>
        <v>382.09509000000003</v>
      </c>
      <c r="E298" s="231"/>
      <c r="F298" s="1">
        <f t="shared" si="12"/>
        <v>32.561100000000003</v>
      </c>
      <c r="G298" s="1">
        <f t="shared" ref="G298:G303" si="15">D298*1.45+F298</f>
        <v>586.59898050000004</v>
      </c>
      <c r="H298" s="1" t="s">
        <v>92</v>
      </c>
      <c r="I298" s="234" t="str">
        <f>A297</f>
        <v>2nd &amp; 4th Floor</v>
      </c>
      <c r="J298" s="235"/>
    </row>
    <row r="299" spans="1:10" s="73" customFormat="1" x14ac:dyDescent="0.3">
      <c r="A299" s="230">
        <v>2</v>
      </c>
      <c r="B299" s="231"/>
      <c r="C299" s="1" t="s">
        <v>199</v>
      </c>
      <c r="D299" s="230">
        <f>(23.92+1*2.75+2.75*0.75+2.15*1.5+2.75*0.5)*10.764</f>
        <v>358.79103000000003</v>
      </c>
      <c r="E299" s="231"/>
      <c r="F299" s="1">
        <f t="shared" si="12"/>
        <v>32.561100000000003</v>
      </c>
      <c r="G299" s="1">
        <f t="shared" si="15"/>
        <v>552.80809350000004</v>
      </c>
      <c r="H299" s="1" t="s">
        <v>92</v>
      </c>
      <c r="I299" s="236"/>
      <c r="J299" s="237"/>
    </row>
    <row r="300" spans="1:10" s="73" customFormat="1" x14ac:dyDescent="0.3">
      <c r="A300" s="230">
        <v>3</v>
      </c>
      <c r="B300" s="231"/>
      <c r="C300" s="1" t="s">
        <v>199</v>
      </c>
      <c r="D300" s="230">
        <f>(24.98+1*2.75+0.75*2.75+2.15*1.5)*10.764</f>
        <v>355.40036999999995</v>
      </c>
      <c r="E300" s="231"/>
      <c r="F300" s="1">
        <f t="shared" si="12"/>
        <v>32.561100000000003</v>
      </c>
      <c r="G300" s="1">
        <f t="shared" si="15"/>
        <v>547.89163649999989</v>
      </c>
      <c r="H300" s="1" t="s">
        <v>92</v>
      </c>
      <c r="I300" s="236"/>
      <c r="J300" s="237"/>
    </row>
    <row r="301" spans="1:10" s="73" customFormat="1" x14ac:dyDescent="0.3">
      <c r="A301" s="230">
        <v>4</v>
      </c>
      <c r="B301" s="231"/>
      <c r="C301" s="1" t="s">
        <v>206</v>
      </c>
      <c r="D301" s="230">
        <f>(37.15+2.75*1.2+2.75*0.75+2.15*1.5)*10.764</f>
        <v>492.31844999999993</v>
      </c>
      <c r="E301" s="231"/>
      <c r="F301" s="1">
        <f>(3.15*1.1+2.4*1.1)*10.764</f>
        <v>65.714219999999997</v>
      </c>
      <c r="G301" s="1">
        <f t="shared" si="15"/>
        <v>779.57597249999981</v>
      </c>
      <c r="H301" s="1" t="s">
        <v>92</v>
      </c>
      <c r="I301" s="236"/>
      <c r="J301" s="237"/>
    </row>
    <row r="302" spans="1:10" s="73" customFormat="1" x14ac:dyDescent="0.3">
      <c r="A302" s="230">
        <v>5</v>
      </c>
      <c r="B302" s="231"/>
      <c r="C302" s="1" t="s">
        <v>199</v>
      </c>
      <c r="D302" s="230">
        <f>(23.92+1*2.75+2.75*0.75+2.15*1.5+2.75*0.5)*10.764</f>
        <v>358.79103000000003</v>
      </c>
      <c r="E302" s="231"/>
      <c r="F302" s="1">
        <f t="shared" si="12"/>
        <v>32.561100000000003</v>
      </c>
      <c r="G302" s="1">
        <f t="shared" si="15"/>
        <v>552.80809350000004</v>
      </c>
      <c r="H302" s="1" t="s">
        <v>92</v>
      </c>
      <c r="I302" s="236"/>
      <c r="J302" s="237"/>
    </row>
    <row r="303" spans="1:10" s="73" customFormat="1" x14ac:dyDescent="0.3">
      <c r="A303" s="230">
        <v>6</v>
      </c>
      <c r="B303" s="231"/>
      <c r="C303" s="1" t="s">
        <v>199</v>
      </c>
      <c r="D303" s="230">
        <f>(26.26+2.15*1.5+0.75*2.75+0.5*2.4+1*2.75)*10.764</f>
        <v>382.09509000000003</v>
      </c>
      <c r="E303" s="231"/>
      <c r="F303" s="1">
        <f t="shared" si="12"/>
        <v>32.561100000000003</v>
      </c>
      <c r="G303" s="1">
        <f t="shared" si="15"/>
        <v>586.59898050000004</v>
      </c>
      <c r="H303" s="1" t="s">
        <v>92</v>
      </c>
      <c r="I303" s="238"/>
      <c r="J303" s="239"/>
    </row>
    <row r="304" spans="1:10" s="73" customFormat="1" x14ac:dyDescent="0.3">
      <c r="A304" s="227" t="s">
        <v>208</v>
      </c>
      <c r="B304" s="228"/>
      <c r="C304" s="228"/>
      <c r="D304" s="228"/>
      <c r="E304" s="228"/>
      <c r="F304" s="228"/>
      <c r="G304" s="228"/>
      <c r="H304" s="228"/>
      <c r="I304" s="228"/>
      <c r="J304" s="229"/>
    </row>
    <row r="305" spans="1:10" s="73" customFormat="1" x14ac:dyDescent="0.3">
      <c r="A305" s="227" t="s">
        <v>205</v>
      </c>
      <c r="B305" s="228"/>
      <c r="C305" s="228"/>
      <c r="D305" s="228"/>
      <c r="E305" s="228"/>
      <c r="F305" s="228"/>
      <c r="G305" s="228"/>
      <c r="H305" s="228"/>
      <c r="I305" s="228"/>
      <c r="J305" s="229"/>
    </row>
    <row r="306" spans="1:10" s="73" customFormat="1" x14ac:dyDescent="0.3">
      <c r="A306" s="230">
        <v>1</v>
      </c>
      <c r="B306" s="231"/>
      <c r="C306" s="1" t="s">
        <v>199</v>
      </c>
      <c r="D306" s="230">
        <f>(26.26+2.15*1.5)*10.764</f>
        <v>317.37653999999998</v>
      </c>
      <c r="E306" s="231"/>
      <c r="F306" s="1">
        <v>0</v>
      </c>
      <c r="G306" s="1">
        <f t="shared" ref="G306:G311" si="16">D306*1.45+F306</f>
        <v>460.19598299999996</v>
      </c>
      <c r="H306" s="1" t="s">
        <v>92</v>
      </c>
      <c r="I306" s="234" t="str">
        <f>I278</f>
        <v>Ground Floor</v>
      </c>
      <c r="J306" s="235"/>
    </row>
    <row r="307" spans="1:10" s="73" customFormat="1" x14ac:dyDescent="0.3">
      <c r="A307" s="230">
        <v>2</v>
      </c>
      <c r="B307" s="231"/>
      <c r="C307" s="1" t="s">
        <v>199</v>
      </c>
      <c r="D307" s="230">
        <f>(23.92+1*2.75+2.15*1.5)*10.764</f>
        <v>321.78978000000001</v>
      </c>
      <c r="E307" s="231"/>
      <c r="F307" s="1">
        <v>0</v>
      </c>
      <c r="G307" s="1">
        <f t="shared" si="16"/>
        <v>466.59518099999997</v>
      </c>
      <c r="H307" s="1" t="s">
        <v>92</v>
      </c>
      <c r="I307" s="236"/>
      <c r="J307" s="237"/>
    </row>
    <row r="308" spans="1:10" s="73" customFormat="1" x14ac:dyDescent="0.3">
      <c r="A308" s="230">
        <v>3</v>
      </c>
      <c r="B308" s="231"/>
      <c r="C308" s="1" t="s">
        <v>199</v>
      </c>
      <c r="D308" s="230">
        <f>(24.41+2.75*1+2.35*1.5)*10.764</f>
        <v>330.29334</v>
      </c>
      <c r="E308" s="231"/>
      <c r="F308" s="1">
        <v>0</v>
      </c>
      <c r="G308" s="1">
        <f t="shared" si="16"/>
        <v>478.925343</v>
      </c>
      <c r="H308" s="1" t="s">
        <v>92</v>
      </c>
      <c r="I308" s="236"/>
      <c r="J308" s="237"/>
    </row>
    <row r="309" spans="1:10" s="73" customFormat="1" x14ac:dyDescent="0.3">
      <c r="A309" s="230">
        <v>4</v>
      </c>
      <c r="B309" s="231"/>
      <c r="C309" s="1" t="s">
        <v>199</v>
      </c>
      <c r="D309" s="230">
        <f>(24.98+1*2.75+2.15*1.5)*10.764</f>
        <v>333.19961999999998</v>
      </c>
      <c r="E309" s="231"/>
      <c r="F309" s="1">
        <v>0</v>
      </c>
      <c r="G309" s="1">
        <f t="shared" si="16"/>
        <v>483.13944899999996</v>
      </c>
      <c r="H309" s="1" t="s">
        <v>92</v>
      </c>
      <c r="I309" s="236"/>
      <c r="J309" s="237"/>
    </row>
    <row r="310" spans="1:10" s="73" customFormat="1" x14ac:dyDescent="0.3">
      <c r="A310" s="230">
        <v>5</v>
      </c>
      <c r="B310" s="231"/>
      <c r="C310" s="1" t="s">
        <v>199</v>
      </c>
      <c r="D310" s="230">
        <f>(23.92+1*2.75+2.15*1.5)*10.764</f>
        <v>321.78978000000001</v>
      </c>
      <c r="E310" s="231"/>
      <c r="F310" s="1">
        <v>0</v>
      </c>
      <c r="G310" s="1">
        <f t="shared" si="16"/>
        <v>466.59518099999997</v>
      </c>
      <c r="H310" s="1" t="s">
        <v>92</v>
      </c>
      <c r="I310" s="236"/>
      <c r="J310" s="237"/>
    </row>
    <row r="311" spans="1:10" s="73" customFormat="1" x14ac:dyDescent="0.3">
      <c r="A311" s="230">
        <v>6</v>
      </c>
      <c r="B311" s="231"/>
      <c r="C311" s="1" t="s">
        <v>199</v>
      </c>
      <c r="D311" s="230">
        <f>(23.92+1*2.75+2.15*1.5)*10.764</f>
        <v>321.78978000000001</v>
      </c>
      <c r="E311" s="231"/>
      <c r="F311" s="1">
        <v>0</v>
      </c>
      <c r="G311" s="1">
        <f t="shared" si="16"/>
        <v>466.59518099999997</v>
      </c>
      <c r="H311" s="1" t="s">
        <v>92</v>
      </c>
      <c r="I311" s="238"/>
      <c r="J311" s="239"/>
    </row>
    <row r="312" spans="1:10" s="73" customFormat="1" x14ac:dyDescent="0.3">
      <c r="A312" s="227" t="s">
        <v>209</v>
      </c>
      <c r="B312" s="228"/>
      <c r="C312" s="228"/>
      <c r="D312" s="228"/>
      <c r="E312" s="228"/>
      <c r="F312" s="228"/>
      <c r="G312" s="228"/>
      <c r="H312" s="228"/>
      <c r="I312" s="228"/>
      <c r="J312" s="229"/>
    </row>
    <row r="313" spans="1:10" s="73" customFormat="1" x14ac:dyDescent="0.3">
      <c r="A313" s="230">
        <v>1</v>
      </c>
      <c r="B313" s="231"/>
      <c r="C313" s="1" t="s">
        <v>199</v>
      </c>
      <c r="D313" s="230">
        <f>(26.26+2.15*1.5+0.75*2.75+0.5*2.4)*10.764</f>
        <v>352.49409000000003</v>
      </c>
      <c r="E313" s="231"/>
      <c r="F313" s="1">
        <f t="shared" ref="F313:F332" si="17">(1.1*2.75)*10.764</f>
        <v>32.561100000000003</v>
      </c>
      <c r="G313" s="1">
        <f t="shared" ref="G313:G318" si="18">D313*1.45+F313</f>
        <v>543.67753049999999</v>
      </c>
      <c r="H313" s="1" t="s">
        <v>92</v>
      </c>
      <c r="I313" s="234" t="str">
        <f>A312</f>
        <v>1st Floor</v>
      </c>
      <c r="J313" s="235"/>
    </row>
    <row r="314" spans="1:10" s="73" customFormat="1" x14ac:dyDescent="0.3">
      <c r="A314" s="230">
        <v>2</v>
      </c>
      <c r="B314" s="231"/>
      <c r="C314" s="1" t="s">
        <v>199</v>
      </c>
      <c r="D314" s="230">
        <f>(26.26+2.15*1.5+0.75*2.75+0.5*2.4)*10.764</f>
        <v>352.49409000000003</v>
      </c>
      <c r="E314" s="231"/>
      <c r="F314" s="1">
        <f t="shared" si="17"/>
        <v>32.561100000000003</v>
      </c>
      <c r="G314" s="1">
        <f t="shared" si="18"/>
        <v>543.67753049999999</v>
      </c>
      <c r="H314" s="1" t="s">
        <v>92</v>
      </c>
      <c r="I314" s="236"/>
      <c r="J314" s="237"/>
    </row>
    <row r="315" spans="1:10" s="73" customFormat="1" x14ac:dyDescent="0.3">
      <c r="A315" s="230">
        <v>3</v>
      </c>
      <c r="B315" s="231"/>
      <c r="C315" s="1" t="s">
        <v>199</v>
      </c>
      <c r="D315" s="230">
        <f>(27.03+2.4*0.75+2.35*1.5)*10.764</f>
        <v>348.26922000000002</v>
      </c>
      <c r="E315" s="231"/>
      <c r="F315" s="1">
        <f t="shared" si="17"/>
        <v>32.561100000000003</v>
      </c>
      <c r="G315" s="1">
        <f t="shared" si="18"/>
        <v>537.551469</v>
      </c>
      <c r="H315" s="1" t="s">
        <v>92</v>
      </c>
      <c r="I315" s="236"/>
      <c r="J315" s="237"/>
    </row>
    <row r="316" spans="1:10" s="73" customFormat="1" x14ac:dyDescent="0.3">
      <c r="A316" s="230">
        <v>4</v>
      </c>
      <c r="B316" s="231"/>
      <c r="C316" s="1" t="s">
        <v>199</v>
      </c>
      <c r="D316" s="230">
        <f>(24.98+2.15*1.5+2.75*1+0.75*2.75)*10.764</f>
        <v>355.40036999999995</v>
      </c>
      <c r="E316" s="231"/>
      <c r="F316" s="1">
        <f t="shared" si="17"/>
        <v>32.561100000000003</v>
      </c>
      <c r="G316" s="1">
        <f t="shared" si="18"/>
        <v>547.89163649999989</v>
      </c>
      <c r="H316" s="1" t="s">
        <v>92</v>
      </c>
      <c r="I316" s="236"/>
      <c r="J316" s="237"/>
    </row>
    <row r="317" spans="1:10" s="73" customFormat="1" x14ac:dyDescent="0.3">
      <c r="A317" s="230">
        <v>5</v>
      </c>
      <c r="B317" s="231"/>
      <c r="C317" s="1" t="s">
        <v>199</v>
      </c>
      <c r="D317" s="230">
        <f>(26.26+2.15*1.4+2.4*0.5+2.75*0.75)*10.764</f>
        <v>350.17982999999998</v>
      </c>
      <c r="E317" s="231"/>
      <c r="F317" s="1">
        <f t="shared" si="17"/>
        <v>32.561100000000003</v>
      </c>
      <c r="G317" s="1">
        <f t="shared" si="18"/>
        <v>540.32185349999997</v>
      </c>
      <c r="H317" s="1" t="s">
        <v>92</v>
      </c>
      <c r="I317" s="236"/>
      <c r="J317" s="237"/>
    </row>
    <row r="318" spans="1:10" s="73" customFormat="1" x14ac:dyDescent="0.3">
      <c r="A318" s="230">
        <v>6</v>
      </c>
      <c r="B318" s="231"/>
      <c r="C318" s="1" t="s">
        <v>199</v>
      </c>
      <c r="D318" s="230">
        <f>(24.14+2.75*1+2.75*0.75+2.15*1.4+2.4*0.5)*10.764</f>
        <v>356.96114999999998</v>
      </c>
      <c r="E318" s="231"/>
      <c r="F318" s="1">
        <f t="shared" si="17"/>
        <v>32.561100000000003</v>
      </c>
      <c r="G318" s="1">
        <f t="shared" si="18"/>
        <v>550.15476749999993</v>
      </c>
      <c r="H318" s="1" t="s">
        <v>92</v>
      </c>
      <c r="I318" s="238"/>
      <c r="J318" s="239"/>
    </row>
    <row r="319" spans="1:10" s="73" customFormat="1" x14ac:dyDescent="0.3">
      <c r="A319" s="227" t="s">
        <v>210</v>
      </c>
      <c r="B319" s="228"/>
      <c r="C319" s="228"/>
      <c r="D319" s="228"/>
      <c r="E319" s="228"/>
      <c r="F319" s="228"/>
      <c r="G319" s="228"/>
      <c r="H319" s="228"/>
      <c r="I319" s="228"/>
      <c r="J319" s="229"/>
    </row>
    <row r="320" spans="1:10" s="73" customFormat="1" x14ac:dyDescent="0.3">
      <c r="A320" s="230">
        <v>1</v>
      </c>
      <c r="B320" s="231"/>
      <c r="C320" s="1" t="s">
        <v>199</v>
      </c>
      <c r="D320" s="230">
        <f>(26.26+2.15*1.5+0.75*2.75+0.5*2.4)*10.764</f>
        <v>352.49409000000003</v>
      </c>
      <c r="E320" s="231"/>
      <c r="F320" s="1">
        <f t="shared" si="17"/>
        <v>32.561100000000003</v>
      </c>
      <c r="G320" s="1">
        <f t="shared" ref="G320:G325" si="19">D320*1.45+F320</f>
        <v>543.67753049999999</v>
      </c>
      <c r="H320" s="1" t="s">
        <v>92</v>
      </c>
      <c r="I320" s="234" t="str">
        <f>A319</f>
        <v>3rd Floor</v>
      </c>
      <c r="J320" s="235"/>
    </row>
    <row r="321" spans="1:10" s="73" customFormat="1" x14ac:dyDescent="0.3">
      <c r="A321" s="230">
        <v>2</v>
      </c>
      <c r="B321" s="231"/>
      <c r="C321" s="1" t="s">
        <v>199</v>
      </c>
      <c r="D321" s="230">
        <f>(26.26+2.15*1.5+0.75*2.75+0.5*2.4)*10.764</f>
        <v>352.49409000000003</v>
      </c>
      <c r="E321" s="231"/>
      <c r="F321" s="1">
        <f t="shared" si="17"/>
        <v>32.561100000000003</v>
      </c>
      <c r="G321" s="1">
        <f t="shared" si="19"/>
        <v>543.67753049999999</v>
      </c>
      <c r="H321" s="1" t="s">
        <v>92</v>
      </c>
      <c r="I321" s="236"/>
      <c r="J321" s="237"/>
    </row>
    <row r="322" spans="1:10" s="73" customFormat="1" x14ac:dyDescent="0.3">
      <c r="A322" s="230">
        <v>3</v>
      </c>
      <c r="B322" s="231"/>
      <c r="C322" s="1" t="s">
        <v>199</v>
      </c>
      <c r="D322" s="230">
        <f>(27.03+2.4*0.75+2.35*1.5+2.35*0.75)*10.764</f>
        <v>367.24077000000005</v>
      </c>
      <c r="E322" s="231"/>
      <c r="F322" s="1">
        <f t="shared" si="17"/>
        <v>32.561100000000003</v>
      </c>
      <c r="G322" s="1">
        <f t="shared" si="19"/>
        <v>565.06021650000002</v>
      </c>
      <c r="H322" s="1" t="s">
        <v>92</v>
      </c>
      <c r="I322" s="236"/>
      <c r="J322" s="237"/>
    </row>
    <row r="323" spans="1:10" s="73" customFormat="1" x14ac:dyDescent="0.3">
      <c r="A323" s="230">
        <v>4</v>
      </c>
      <c r="B323" s="231"/>
      <c r="C323" s="1" t="s">
        <v>199</v>
      </c>
      <c r="D323" s="230">
        <f>(24.98+2.15*1.5+2.75*1+0.75*2.75)*10.764</f>
        <v>355.40036999999995</v>
      </c>
      <c r="E323" s="231"/>
      <c r="F323" s="1">
        <f t="shared" si="17"/>
        <v>32.561100000000003</v>
      </c>
      <c r="G323" s="1">
        <f t="shared" si="19"/>
        <v>547.89163649999989</v>
      </c>
      <c r="H323" s="1" t="s">
        <v>92</v>
      </c>
      <c r="I323" s="236"/>
      <c r="J323" s="237"/>
    </row>
    <row r="324" spans="1:10" s="73" customFormat="1" x14ac:dyDescent="0.3">
      <c r="A324" s="230">
        <v>5</v>
      </c>
      <c r="B324" s="231"/>
      <c r="C324" s="1" t="s">
        <v>199</v>
      </c>
      <c r="D324" s="230">
        <f>(26.26+2.15*1.4+2.4*0.5+2.75*0.75)*10.764</f>
        <v>350.17982999999998</v>
      </c>
      <c r="E324" s="231"/>
      <c r="F324" s="1">
        <f t="shared" si="17"/>
        <v>32.561100000000003</v>
      </c>
      <c r="G324" s="1">
        <f t="shared" si="19"/>
        <v>540.32185349999997</v>
      </c>
      <c r="H324" s="1" t="s">
        <v>92</v>
      </c>
      <c r="I324" s="236"/>
      <c r="J324" s="237"/>
    </row>
    <row r="325" spans="1:10" s="73" customFormat="1" x14ac:dyDescent="0.3">
      <c r="A325" s="230">
        <v>6</v>
      </c>
      <c r="B325" s="231"/>
      <c r="C325" s="1" t="s">
        <v>199</v>
      </c>
      <c r="D325" s="230">
        <f>(24.14+2.75*1+2.75*0.75+2.15*1.4+2.4*0.5)*10.764</f>
        <v>356.96114999999998</v>
      </c>
      <c r="E325" s="231"/>
      <c r="F325" s="1">
        <f t="shared" si="17"/>
        <v>32.561100000000003</v>
      </c>
      <c r="G325" s="1">
        <f t="shared" si="19"/>
        <v>550.15476749999993</v>
      </c>
      <c r="H325" s="1" t="s">
        <v>92</v>
      </c>
      <c r="I325" s="238"/>
      <c r="J325" s="239"/>
    </row>
    <row r="326" spans="1:10" s="73" customFormat="1" x14ac:dyDescent="0.3">
      <c r="A326" s="227" t="s">
        <v>211</v>
      </c>
      <c r="B326" s="228"/>
      <c r="C326" s="228"/>
      <c r="D326" s="228"/>
      <c r="E326" s="228"/>
      <c r="F326" s="228"/>
      <c r="G326" s="228"/>
      <c r="H326" s="228"/>
      <c r="I326" s="228"/>
      <c r="J326" s="229"/>
    </row>
    <row r="327" spans="1:10" s="73" customFormat="1" x14ac:dyDescent="0.3">
      <c r="A327" s="230">
        <v>1</v>
      </c>
      <c r="B327" s="231"/>
      <c r="C327" s="1" t="s">
        <v>199</v>
      </c>
      <c r="D327" s="230">
        <f>(23.92+1*2.75+2.75*0.75+2.15*1.5+2.4*0.5)*10.764</f>
        <v>356.90733000000006</v>
      </c>
      <c r="E327" s="231"/>
      <c r="F327" s="1">
        <f t="shared" si="17"/>
        <v>32.561100000000003</v>
      </c>
      <c r="G327" s="1">
        <f t="shared" ref="G327:G332" si="20">D327*1.45+F327</f>
        <v>550.07672850000006</v>
      </c>
      <c r="H327" s="1" t="s">
        <v>92</v>
      </c>
      <c r="I327" s="234" t="str">
        <f>A326</f>
        <v>2nd &amp; 4th Floor</v>
      </c>
      <c r="J327" s="235"/>
    </row>
    <row r="328" spans="1:10" s="73" customFormat="1" x14ac:dyDescent="0.3">
      <c r="A328" s="230">
        <v>2</v>
      </c>
      <c r="B328" s="231"/>
      <c r="C328" s="1" t="s">
        <v>199</v>
      </c>
      <c r="D328" s="230">
        <f>(23.92+1*2.75+2.75*0.75+2.15*1.5+2.4*0.5)*10.764</f>
        <v>356.90733000000006</v>
      </c>
      <c r="E328" s="231"/>
      <c r="F328" s="1">
        <f t="shared" si="17"/>
        <v>32.561100000000003</v>
      </c>
      <c r="G328" s="1">
        <f t="shared" si="20"/>
        <v>550.07672850000006</v>
      </c>
      <c r="H328" s="1" t="s">
        <v>92</v>
      </c>
      <c r="I328" s="236"/>
      <c r="J328" s="237"/>
    </row>
    <row r="329" spans="1:10" s="73" customFormat="1" x14ac:dyDescent="0.3">
      <c r="A329" s="230">
        <v>3</v>
      </c>
      <c r="B329" s="231"/>
      <c r="C329" s="1" t="s">
        <v>199</v>
      </c>
      <c r="D329" s="230">
        <f>(24.13+2.75*1.2+2.75*0.75+2.35*1.5)*10.764</f>
        <v>355.40036999999995</v>
      </c>
      <c r="E329" s="231"/>
      <c r="F329" s="1">
        <f t="shared" si="17"/>
        <v>32.561100000000003</v>
      </c>
      <c r="G329" s="1">
        <f t="shared" si="20"/>
        <v>547.89163649999989</v>
      </c>
      <c r="H329" s="1" t="s">
        <v>92</v>
      </c>
      <c r="I329" s="236"/>
      <c r="J329" s="237"/>
    </row>
    <row r="330" spans="1:10" s="73" customFormat="1" x14ac:dyDescent="0.3">
      <c r="A330" s="230">
        <v>4</v>
      </c>
      <c r="B330" s="231"/>
      <c r="C330" s="1" t="s">
        <v>199</v>
      </c>
      <c r="D330" s="230">
        <f>(23.92+2.75*1+2.75*0.75+2.15*1.5)*10.764</f>
        <v>343.99053000000004</v>
      </c>
      <c r="E330" s="231"/>
      <c r="F330" s="1">
        <f t="shared" si="17"/>
        <v>32.561100000000003</v>
      </c>
      <c r="G330" s="1">
        <f t="shared" si="20"/>
        <v>531.34736850000002</v>
      </c>
      <c r="H330" s="1" t="s">
        <v>92</v>
      </c>
      <c r="I330" s="236"/>
      <c r="J330" s="237"/>
    </row>
    <row r="331" spans="1:10" s="73" customFormat="1" x14ac:dyDescent="0.3">
      <c r="A331" s="230">
        <v>5</v>
      </c>
      <c r="B331" s="231"/>
      <c r="C331" s="1" t="s">
        <v>199</v>
      </c>
      <c r="D331" s="230">
        <f>(24.13+2.75*1+0.75*2.75+2.15*1.4+2.4*0.5)*10.764</f>
        <v>356.85351000000003</v>
      </c>
      <c r="E331" s="231"/>
      <c r="F331" s="1">
        <f t="shared" si="17"/>
        <v>32.561100000000003</v>
      </c>
      <c r="G331" s="1">
        <f t="shared" si="20"/>
        <v>549.99868950000007</v>
      </c>
      <c r="H331" s="1" t="s">
        <v>92</v>
      </c>
      <c r="I331" s="236"/>
      <c r="J331" s="237"/>
    </row>
    <row r="332" spans="1:10" s="73" customFormat="1" x14ac:dyDescent="0.3">
      <c r="A332" s="230">
        <v>6</v>
      </c>
      <c r="B332" s="231"/>
      <c r="C332" s="1" t="s">
        <v>199</v>
      </c>
      <c r="D332" s="230">
        <f>(26.47+2.15*1+2.75*0.75+2.4*0.5)*10.764</f>
        <v>343.18322999999992</v>
      </c>
      <c r="E332" s="231"/>
      <c r="F332" s="1">
        <f t="shared" si="17"/>
        <v>32.561100000000003</v>
      </c>
      <c r="G332" s="1">
        <f t="shared" si="20"/>
        <v>530.17678349999983</v>
      </c>
      <c r="H332" s="1" t="s">
        <v>92</v>
      </c>
      <c r="I332" s="238"/>
      <c r="J332" s="239"/>
    </row>
    <row r="333" spans="1:10" s="68" customFormat="1" x14ac:dyDescent="0.3">
      <c r="A333" s="246" t="s">
        <v>102</v>
      </c>
      <c r="B333" s="246"/>
      <c r="C333" s="246"/>
      <c r="D333" s="246"/>
      <c r="E333" s="246"/>
      <c r="F333" s="246"/>
      <c r="G333" s="246"/>
      <c r="H333" s="246"/>
      <c r="I333" s="246"/>
      <c r="J333" s="246"/>
    </row>
    <row r="334" spans="1:10" s="74" customFormat="1" ht="244.5" customHeight="1" x14ac:dyDescent="0.3">
      <c r="A334" s="247" t="s">
        <v>292</v>
      </c>
      <c r="B334" s="247"/>
      <c r="C334" s="247"/>
      <c r="D334" s="247"/>
      <c r="E334" s="247"/>
      <c r="F334" s="247"/>
      <c r="G334" s="247"/>
      <c r="H334" s="247"/>
      <c r="I334" s="247"/>
      <c r="J334" s="247"/>
    </row>
    <row r="335" spans="1:10" x14ac:dyDescent="0.3">
      <c r="A335" s="243" t="s">
        <v>93</v>
      </c>
      <c r="B335" s="244"/>
      <c r="C335" s="244"/>
      <c r="D335" s="244"/>
      <c r="E335" s="244"/>
      <c r="F335" s="244"/>
      <c r="G335" s="244"/>
      <c r="H335" s="244"/>
      <c r="I335" s="244"/>
      <c r="J335" s="245"/>
    </row>
    <row r="336" spans="1:10" x14ac:dyDescent="0.3">
      <c r="A336" s="131" t="s">
        <v>94</v>
      </c>
      <c r="B336" s="132"/>
      <c r="C336" s="132"/>
      <c r="D336" s="132"/>
      <c r="E336" s="132"/>
      <c r="F336" s="132"/>
      <c r="G336" s="132"/>
      <c r="H336" s="132"/>
      <c r="I336" s="132"/>
      <c r="J336" s="133"/>
    </row>
    <row r="337" spans="1:10" ht="15.75" customHeight="1" x14ac:dyDescent="0.3">
      <c r="A337" s="243" t="s">
        <v>95</v>
      </c>
      <c r="B337" s="244"/>
      <c r="C337" s="244"/>
      <c r="D337" s="244"/>
      <c r="E337" s="244"/>
      <c r="F337" s="244"/>
      <c r="G337" s="244"/>
      <c r="H337" s="244"/>
      <c r="I337" s="244"/>
      <c r="J337" s="245"/>
    </row>
    <row r="338" spans="1:10" x14ac:dyDescent="0.3">
      <c r="A338" s="131" t="s">
        <v>96</v>
      </c>
      <c r="B338" s="132"/>
      <c r="C338" s="132"/>
      <c r="D338" s="132"/>
      <c r="E338" s="132"/>
      <c r="F338" s="132"/>
      <c r="G338" s="132"/>
      <c r="H338" s="132"/>
      <c r="I338" s="132"/>
      <c r="J338" s="133"/>
    </row>
    <row r="339" spans="1:10" x14ac:dyDescent="0.3">
      <c r="A339" s="131" t="s">
        <v>97</v>
      </c>
      <c r="B339" s="132"/>
      <c r="C339" s="132"/>
      <c r="D339" s="132"/>
      <c r="E339" s="132"/>
      <c r="F339" s="132"/>
      <c r="G339" s="132"/>
      <c r="H339" s="132"/>
      <c r="I339" s="132"/>
      <c r="J339" s="133"/>
    </row>
    <row r="340" spans="1:10" x14ac:dyDescent="0.3">
      <c r="A340" s="131" t="s">
        <v>98</v>
      </c>
      <c r="B340" s="132"/>
      <c r="C340" s="132"/>
      <c r="D340" s="132"/>
      <c r="E340" s="132"/>
      <c r="F340" s="132"/>
      <c r="G340" s="132"/>
      <c r="H340" s="132"/>
      <c r="I340" s="132"/>
      <c r="J340" s="133"/>
    </row>
    <row r="341" spans="1:10" x14ac:dyDescent="0.3">
      <c r="A341" s="137" t="s">
        <v>99</v>
      </c>
      <c r="B341" s="87"/>
      <c r="C341" s="87"/>
      <c r="D341" s="87"/>
      <c r="E341" s="87"/>
      <c r="F341" s="87"/>
      <c r="G341" s="87"/>
      <c r="H341" s="87"/>
      <c r="I341" s="87"/>
      <c r="J341" s="88"/>
    </row>
    <row r="342" spans="1:10" s="41" customFormat="1" x14ac:dyDescent="0.3">
      <c r="A342" s="122" t="s">
        <v>177</v>
      </c>
      <c r="B342" s="122"/>
      <c r="C342" s="122" t="s">
        <v>294</v>
      </c>
      <c r="D342" s="122"/>
      <c r="E342" s="122" t="s">
        <v>178</v>
      </c>
      <c r="F342" s="122"/>
      <c r="G342" s="122"/>
      <c r="H342" s="122" t="s">
        <v>293</v>
      </c>
      <c r="I342" s="122"/>
      <c r="J342" s="122"/>
    </row>
    <row r="343" spans="1:10" x14ac:dyDescent="0.3">
      <c r="A343" s="113" t="s">
        <v>179</v>
      </c>
      <c r="B343" s="114"/>
      <c r="C343" s="114"/>
      <c r="D343" s="114"/>
      <c r="E343" s="114"/>
      <c r="F343" s="114"/>
      <c r="G343" s="114"/>
      <c r="H343" s="114"/>
      <c r="I343" s="114"/>
      <c r="J343" s="115"/>
    </row>
    <row r="344" spans="1:10" x14ac:dyDescent="0.3">
      <c r="A344" s="116"/>
      <c r="B344" s="117"/>
      <c r="C344" s="117"/>
      <c r="D344" s="117"/>
      <c r="E344" s="117"/>
      <c r="F344" s="117"/>
      <c r="G344" s="117"/>
      <c r="H344" s="117"/>
      <c r="I344" s="117"/>
      <c r="J344" s="118"/>
    </row>
    <row r="345" spans="1:10" x14ac:dyDescent="0.3">
      <c r="A345" s="116"/>
      <c r="B345" s="117"/>
      <c r="C345" s="117"/>
      <c r="D345" s="117"/>
      <c r="E345" s="117"/>
      <c r="F345" s="117"/>
      <c r="G345" s="117"/>
      <c r="H345" s="117"/>
      <c r="I345" s="117"/>
      <c r="J345" s="118"/>
    </row>
    <row r="346" spans="1:10" x14ac:dyDescent="0.3">
      <c r="A346" s="119"/>
      <c r="B346" s="120"/>
      <c r="C346" s="120"/>
      <c r="D346" s="120"/>
      <c r="E346" s="120"/>
      <c r="F346" s="120"/>
      <c r="G346" s="120"/>
      <c r="H346" s="120"/>
      <c r="I346" s="120"/>
      <c r="J346" s="121"/>
    </row>
    <row r="347" spans="1:10" x14ac:dyDescent="0.3">
      <c r="A347" s="75" t="s">
        <v>100</v>
      </c>
      <c r="B347" s="76"/>
      <c r="C347" s="76"/>
      <c r="D347" s="75" t="str">
        <f>F8</f>
        <v>Shree SR Homes</v>
      </c>
      <c r="G347" s="76"/>
      <c r="H347" s="76"/>
      <c r="I347" s="76"/>
      <c r="J347" s="76"/>
    </row>
    <row r="348" spans="1:10" x14ac:dyDescent="0.3">
      <c r="A348" s="76"/>
      <c r="B348" s="76"/>
      <c r="C348" s="76"/>
      <c r="D348" s="76"/>
      <c r="E348" s="76"/>
      <c r="F348" s="76"/>
      <c r="G348" s="76"/>
      <c r="H348" s="76"/>
      <c r="I348" s="76"/>
      <c r="J348" s="76"/>
    </row>
    <row r="349" spans="1:10" x14ac:dyDescent="0.3">
      <c r="A349" s="76"/>
      <c r="B349" s="76"/>
      <c r="C349" s="76"/>
      <c r="D349" s="76"/>
      <c r="E349" s="76"/>
      <c r="F349" s="76"/>
      <c r="G349" s="76"/>
      <c r="H349" s="76"/>
      <c r="I349" s="76"/>
      <c r="J349" s="76"/>
    </row>
    <row r="350" spans="1:10" ht="15" customHeight="1" x14ac:dyDescent="0.3"/>
    <row r="390" spans="1:1" x14ac:dyDescent="0.3">
      <c r="A390" s="77" t="s">
        <v>101</v>
      </c>
    </row>
  </sheetData>
  <mergeCells count="686">
    <mergeCell ref="A10:E10"/>
    <mergeCell ref="F10:J10"/>
    <mergeCell ref="A125:B125"/>
    <mergeCell ref="D125:E125"/>
    <mergeCell ref="F125:G134"/>
    <mergeCell ref="H125:J134"/>
    <mergeCell ref="A126:B126"/>
    <mergeCell ref="D126:E126"/>
    <mergeCell ref="A127:B127"/>
    <mergeCell ref="D127:E127"/>
    <mergeCell ref="A128:B128"/>
    <mergeCell ref="D128:E128"/>
    <mergeCell ref="A129:B129"/>
    <mergeCell ref="D129:E129"/>
    <mergeCell ref="A130:B130"/>
    <mergeCell ref="D130:E130"/>
    <mergeCell ref="A131:B131"/>
    <mergeCell ref="D131:E131"/>
    <mergeCell ref="A132:B132"/>
    <mergeCell ref="D132:E132"/>
    <mergeCell ref="A133:B133"/>
    <mergeCell ref="D133:E133"/>
    <mergeCell ref="A134:B134"/>
    <mergeCell ref="D134:E134"/>
    <mergeCell ref="F96:G96"/>
    <mergeCell ref="H96:J96"/>
    <mergeCell ref="A97:B97"/>
    <mergeCell ref="D97:E97"/>
    <mergeCell ref="F97:G106"/>
    <mergeCell ref="H97:J106"/>
    <mergeCell ref="A98:B98"/>
    <mergeCell ref="D98:E98"/>
    <mergeCell ref="A99:B99"/>
    <mergeCell ref="A121:B121"/>
    <mergeCell ref="C121:J121"/>
    <mergeCell ref="D122:E122"/>
    <mergeCell ref="I122:J122"/>
    <mergeCell ref="A123:B123"/>
    <mergeCell ref="C123:J123"/>
    <mergeCell ref="A124:B124"/>
    <mergeCell ref="D124:E124"/>
    <mergeCell ref="F124:G124"/>
    <mergeCell ref="H124:J124"/>
    <mergeCell ref="A34:B34"/>
    <mergeCell ref="C34:J34"/>
    <mergeCell ref="C33:J33"/>
    <mergeCell ref="A162:B162"/>
    <mergeCell ref="D162:F162"/>
    <mergeCell ref="G162:J162"/>
    <mergeCell ref="D147:F147"/>
    <mergeCell ref="G147:J147"/>
    <mergeCell ref="A148:B148"/>
    <mergeCell ref="D148:F148"/>
    <mergeCell ref="A156:B156"/>
    <mergeCell ref="D156:F156"/>
    <mergeCell ref="G156:J156"/>
    <mergeCell ref="A157:B157"/>
    <mergeCell ref="D157:F157"/>
    <mergeCell ref="G157:J157"/>
    <mergeCell ref="A155:B155"/>
    <mergeCell ref="A154:B154"/>
    <mergeCell ref="D154:F154"/>
    <mergeCell ref="D99:E99"/>
    <mergeCell ref="A100:B100"/>
    <mergeCell ref="D100:E100"/>
    <mergeCell ref="A101:B101"/>
    <mergeCell ref="D101:E101"/>
    <mergeCell ref="G154:J154"/>
    <mergeCell ref="D155:F155"/>
    <mergeCell ref="G155:J155"/>
    <mergeCell ref="A160:B160"/>
    <mergeCell ref="D160:F160"/>
    <mergeCell ref="G160:J160"/>
    <mergeCell ref="A158:B158"/>
    <mergeCell ref="D158:F158"/>
    <mergeCell ref="G158:J158"/>
    <mergeCell ref="A314:B314"/>
    <mergeCell ref="D314:E314"/>
    <mergeCell ref="A315:B315"/>
    <mergeCell ref="D315:E315"/>
    <mergeCell ref="A299:B299"/>
    <mergeCell ref="D299:E299"/>
    <mergeCell ref="A300:B300"/>
    <mergeCell ref="D300:E300"/>
    <mergeCell ref="A301:B301"/>
    <mergeCell ref="D301:E301"/>
    <mergeCell ref="A302:B302"/>
    <mergeCell ref="D302:E302"/>
    <mergeCell ref="A303:B303"/>
    <mergeCell ref="D303:E303"/>
    <mergeCell ref="A313:B313"/>
    <mergeCell ref="D313:E313"/>
    <mergeCell ref="A312:J312"/>
    <mergeCell ref="I313:J318"/>
    <mergeCell ref="A318:B318"/>
    <mergeCell ref="A316:B316"/>
    <mergeCell ref="D316:E316"/>
    <mergeCell ref="A317:B317"/>
    <mergeCell ref="D317:E317"/>
    <mergeCell ref="D318:E318"/>
    <mergeCell ref="A326:J326"/>
    <mergeCell ref="A327:B327"/>
    <mergeCell ref="D327:E327"/>
    <mergeCell ref="I327:J332"/>
    <mergeCell ref="A328:B328"/>
    <mergeCell ref="D328:E328"/>
    <mergeCell ref="A329:B329"/>
    <mergeCell ref="D329:E329"/>
    <mergeCell ref="A330:B330"/>
    <mergeCell ref="D330:E330"/>
    <mergeCell ref="A331:B331"/>
    <mergeCell ref="D331:E331"/>
    <mergeCell ref="A332:B332"/>
    <mergeCell ref="D332:E332"/>
    <mergeCell ref="D229:E229"/>
    <mergeCell ref="D227:E227"/>
    <mergeCell ref="D228:E228"/>
    <mergeCell ref="A290:J290"/>
    <mergeCell ref="A291:B291"/>
    <mergeCell ref="D291:E291"/>
    <mergeCell ref="I291:J296"/>
    <mergeCell ref="A292:B292"/>
    <mergeCell ref="D292:E292"/>
    <mergeCell ref="A293:B293"/>
    <mergeCell ref="D293:E293"/>
    <mergeCell ref="A294:B294"/>
    <mergeCell ref="D294:E294"/>
    <mergeCell ref="A295:B295"/>
    <mergeCell ref="D295:E295"/>
    <mergeCell ref="A296:B296"/>
    <mergeCell ref="D296:E296"/>
    <mergeCell ref="A270:B270"/>
    <mergeCell ref="D270:E270"/>
    <mergeCell ref="I270:J275"/>
    <mergeCell ref="A271:B271"/>
    <mergeCell ref="D271:E271"/>
    <mergeCell ref="A272:B272"/>
    <mergeCell ref="D272:E272"/>
    <mergeCell ref="D234:E234"/>
    <mergeCell ref="A212:J212"/>
    <mergeCell ref="A213:B213"/>
    <mergeCell ref="I236:J239"/>
    <mergeCell ref="A237:B237"/>
    <mergeCell ref="D237:E237"/>
    <mergeCell ref="A238:B238"/>
    <mergeCell ref="D238:E238"/>
    <mergeCell ref="A239:B239"/>
    <mergeCell ref="D239:E239"/>
    <mergeCell ref="A217:J217"/>
    <mergeCell ref="A218:B218"/>
    <mergeCell ref="D218:E218"/>
    <mergeCell ref="I218:J221"/>
    <mergeCell ref="A219:B219"/>
    <mergeCell ref="D219:E219"/>
    <mergeCell ref="A220:B220"/>
    <mergeCell ref="D220:E220"/>
    <mergeCell ref="A221:B221"/>
    <mergeCell ref="D221:E221"/>
    <mergeCell ref="D224:E224"/>
    <mergeCell ref="A223:J223"/>
    <mergeCell ref="I224:J229"/>
    <mergeCell ref="A229:B229"/>
    <mergeCell ref="A192:B192"/>
    <mergeCell ref="D192:E192"/>
    <mergeCell ref="I192:J197"/>
    <mergeCell ref="A193:B193"/>
    <mergeCell ref="D193:E193"/>
    <mergeCell ref="A194:B194"/>
    <mergeCell ref="D194:E194"/>
    <mergeCell ref="A195:B195"/>
    <mergeCell ref="D195:E195"/>
    <mergeCell ref="A196:B196"/>
    <mergeCell ref="D196:E196"/>
    <mergeCell ref="A197:B197"/>
    <mergeCell ref="D197:E197"/>
    <mergeCell ref="D213:E213"/>
    <mergeCell ref="I213:J216"/>
    <mergeCell ref="A214:B214"/>
    <mergeCell ref="D214:E214"/>
    <mergeCell ref="A215:B215"/>
    <mergeCell ref="D215:E215"/>
    <mergeCell ref="A211:B211"/>
    <mergeCell ref="A198:J198"/>
    <mergeCell ref="A199:J199"/>
    <mergeCell ref="D202:E202"/>
    <mergeCell ref="D203:E203"/>
    <mergeCell ref="D200:E200"/>
    <mergeCell ref="D201:E201"/>
    <mergeCell ref="I200:J206"/>
    <mergeCell ref="A206:B206"/>
    <mergeCell ref="D206:E206"/>
    <mergeCell ref="D204:E204"/>
    <mergeCell ref="A205:B205"/>
    <mergeCell ref="D205:E205"/>
    <mergeCell ref="A337:J337"/>
    <mergeCell ref="A338:J338"/>
    <mergeCell ref="A339:J339"/>
    <mergeCell ref="A340:J340"/>
    <mergeCell ref="A341:J341"/>
    <mergeCell ref="A149:B149"/>
    <mergeCell ref="D149:F149"/>
    <mergeCell ref="G149:J149"/>
    <mergeCell ref="A61:C61"/>
    <mergeCell ref="D61:J61"/>
    <mergeCell ref="A333:J333"/>
    <mergeCell ref="A334:J334"/>
    <mergeCell ref="A335:J335"/>
    <mergeCell ref="A336:J336"/>
    <mergeCell ref="A325:B325"/>
    <mergeCell ref="D325:E325"/>
    <mergeCell ref="A189:B189"/>
    <mergeCell ref="D189:E189"/>
    <mergeCell ref="A190:B190"/>
    <mergeCell ref="D190:E190"/>
    <mergeCell ref="A216:B216"/>
    <mergeCell ref="D216:E216"/>
    <mergeCell ref="A235:J235"/>
    <mergeCell ref="A191:J191"/>
    <mergeCell ref="A319:J319"/>
    <mergeCell ref="A41:E41"/>
    <mergeCell ref="F41:J41"/>
    <mergeCell ref="A42:E42"/>
    <mergeCell ref="F42:J42"/>
    <mergeCell ref="A43:E43"/>
    <mergeCell ref="F43:J43"/>
    <mergeCell ref="A44:E44"/>
    <mergeCell ref="F44:J44"/>
    <mergeCell ref="A45:J45"/>
    <mergeCell ref="A184:J184"/>
    <mergeCell ref="A185:B185"/>
    <mergeCell ref="D185:E185"/>
    <mergeCell ref="I185:J190"/>
    <mergeCell ref="A186:B186"/>
    <mergeCell ref="D186:E186"/>
    <mergeCell ref="A187:B187"/>
    <mergeCell ref="D187:E187"/>
    <mergeCell ref="A297:J297"/>
    <mergeCell ref="A298:B298"/>
    <mergeCell ref="D298:E298"/>
    <mergeCell ref="I298:J303"/>
    <mergeCell ref="A188:B188"/>
    <mergeCell ref="D188:E188"/>
    <mergeCell ref="A324:B324"/>
    <mergeCell ref="D324:E324"/>
    <mergeCell ref="I320:J325"/>
    <mergeCell ref="A323:B323"/>
    <mergeCell ref="D323:E323"/>
    <mergeCell ref="A320:B320"/>
    <mergeCell ref="D320:E320"/>
    <mergeCell ref="A321:B321"/>
    <mergeCell ref="D321:E321"/>
    <mergeCell ref="A322:B322"/>
    <mergeCell ref="D322:E322"/>
    <mergeCell ref="A262:J262"/>
    <mergeCell ref="A263:B263"/>
    <mergeCell ref="D263:E263"/>
    <mergeCell ref="I263:J268"/>
    <mergeCell ref="A264:B264"/>
    <mergeCell ref="D264:E264"/>
    <mergeCell ref="A265:B265"/>
    <mergeCell ref="D265:E265"/>
    <mergeCell ref="A278:B278"/>
    <mergeCell ref="D278:E278"/>
    <mergeCell ref="A273:B273"/>
    <mergeCell ref="D273:E273"/>
    <mergeCell ref="A274:B274"/>
    <mergeCell ref="D274:E274"/>
    <mergeCell ref="A275:B275"/>
    <mergeCell ref="D275:E275"/>
    <mergeCell ref="A283:J283"/>
    <mergeCell ref="I284:J289"/>
    <mergeCell ref="A288:B288"/>
    <mergeCell ref="D288:E288"/>
    <mergeCell ref="A289:B289"/>
    <mergeCell ref="D289:E289"/>
    <mergeCell ref="A286:B286"/>
    <mergeCell ref="D286:E286"/>
    <mergeCell ref="A287:B287"/>
    <mergeCell ref="D287:E287"/>
    <mergeCell ref="A284:B284"/>
    <mergeCell ref="D284:E284"/>
    <mergeCell ref="A285:B285"/>
    <mergeCell ref="D285:E285"/>
    <mergeCell ref="A259:B259"/>
    <mergeCell ref="D259:E259"/>
    <mergeCell ref="A260:B260"/>
    <mergeCell ref="D260:E260"/>
    <mergeCell ref="A257:B257"/>
    <mergeCell ref="D257:E257"/>
    <mergeCell ref="A258:B258"/>
    <mergeCell ref="D258:E258"/>
    <mergeCell ref="A261:B261"/>
    <mergeCell ref="D261:E261"/>
    <mergeCell ref="A240:J240"/>
    <mergeCell ref="A241:B241"/>
    <mergeCell ref="D241:E241"/>
    <mergeCell ref="I241:J244"/>
    <mergeCell ref="A242:B242"/>
    <mergeCell ref="D242:E242"/>
    <mergeCell ref="A243:B243"/>
    <mergeCell ref="D243:E243"/>
    <mergeCell ref="A244:B244"/>
    <mergeCell ref="D244:E244"/>
    <mergeCell ref="A245:J245"/>
    <mergeCell ref="A236:B236"/>
    <mergeCell ref="A178:B178"/>
    <mergeCell ref="D178:E178"/>
    <mergeCell ref="A179:B179"/>
    <mergeCell ref="D179:E179"/>
    <mergeCell ref="A177:J177"/>
    <mergeCell ref="I178:J183"/>
    <mergeCell ref="A182:B182"/>
    <mergeCell ref="D182:E182"/>
    <mergeCell ref="A183:B183"/>
    <mergeCell ref="D183:E183"/>
    <mergeCell ref="A180:B180"/>
    <mergeCell ref="D180:E180"/>
    <mergeCell ref="A181:B181"/>
    <mergeCell ref="D181:E181"/>
    <mergeCell ref="A207:J207"/>
    <mergeCell ref="A208:B208"/>
    <mergeCell ref="D208:E208"/>
    <mergeCell ref="I208:J211"/>
    <mergeCell ref="D210:E210"/>
    <mergeCell ref="D211:E211"/>
    <mergeCell ref="D225:E225"/>
    <mergeCell ref="D226:E226"/>
    <mergeCell ref="A306:B306"/>
    <mergeCell ref="D306:E306"/>
    <mergeCell ref="A307:B307"/>
    <mergeCell ref="D307:E307"/>
    <mergeCell ref="A304:J304"/>
    <mergeCell ref="A305:J305"/>
    <mergeCell ref="I306:J311"/>
    <mergeCell ref="A310:B310"/>
    <mergeCell ref="D310:E310"/>
    <mergeCell ref="A311:B311"/>
    <mergeCell ref="D311:E311"/>
    <mergeCell ref="A308:B308"/>
    <mergeCell ref="D308:E308"/>
    <mergeCell ref="A309:B309"/>
    <mergeCell ref="D309:E309"/>
    <mergeCell ref="A254:B254"/>
    <mergeCell ref="D254:E254"/>
    <mergeCell ref="A276:J276"/>
    <mergeCell ref="A277:J277"/>
    <mergeCell ref="I278:J282"/>
    <mergeCell ref="A281:B281"/>
    <mergeCell ref="D281:E281"/>
    <mergeCell ref="A282:B282"/>
    <mergeCell ref="D282:E282"/>
    <mergeCell ref="A279:B279"/>
    <mergeCell ref="D279:E279"/>
    <mergeCell ref="A280:B280"/>
    <mergeCell ref="D280:E280"/>
    <mergeCell ref="A256:B256"/>
    <mergeCell ref="D256:E256"/>
    <mergeCell ref="A266:B266"/>
    <mergeCell ref="D266:E266"/>
    <mergeCell ref="A267:B267"/>
    <mergeCell ref="D267:E267"/>
    <mergeCell ref="A268:B268"/>
    <mergeCell ref="D268:E268"/>
    <mergeCell ref="A269:J269"/>
    <mergeCell ref="A255:J255"/>
    <mergeCell ref="I256:J261"/>
    <mergeCell ref="D248:E248"/>
    <mergeCell ref="D249:E249"/>
    <mergeCell ref="A209:B209"/>
    <mergeCell ref="D209:E209"/>
    <mergeCell ref="A210:B210"/>
    <mergeCell ref="D247:E247"/>
    <mergeCell ref="A246:J246"/>
    <mergeCell ref="I247:J254"/>
    <mergeCell ref="D252:E252"/>
    <mergeCell ref="A253:B253"/>
    <mergeCell ref="D253:E253"/>
    <mergeCell ref="D250:E250"/>
    <mergeCell ref="D251:E251"/>
    <mergeCell ref="A231:B231"/>
    <mergeCell ref="D231:E231"/>
    <mergeCell ref="A232:B232"/>
    <mergeCell ref="D232:E232"/>
    <mergeCell ref="A230:J230"/>
    <mergeCell ref="I231:J234"/>
    <mergeCell ref="A233:B233"/>
    <mergeCell ref="D233:E233"/>
    <mergeCell ref="A234:B234"/>
    <mergeCell ref="A222:J222"/>
    <mergeCell ref="D236:E236"/>
    <mergeCell ref="A161:B161"/>
    <mergeCell ref="D161:F161"/>
    <mergeCell ref="G161:J161"/>
    <mergeCell ref="A163:J163"/>
    <mergeCell ref="A164:J164"/>
    <mergeCell ref="A159:B159"/>
    <mergeCell ref="A166:J166"/>
    <mergeCell ref="A167:J167"/>
    <mergeCell ref="D171:E171"/>
    <mergeCell ref="D165:E165"/>
    <mergeCell ref="I165:J165"/>
    <mergeCell ref="D169:E169"/>
    <mergeCell ref="D170:E170"/>
    <mergeCell ref="A168:J168"/>
    <mergeCell ref="I169:J176"/>
    <mergeCell ref="D173:E173"/>
    <mergeCell ref="D174:E174"/>
    <mergeCell ref="D172:E172"/>
    <mergeCell ref="A175:B175"/>
    <mergeCell ref="D175:E175"/>
    <mergeCell ref="A176:B176"/>
    <mergeCell ref="D176:E176"/>
    <mergeCell ref="D159:F159"/>
    <mergeCell ref="G159:J159"/>
    <mergeCell ref="C67:J67"/>
    <mergeCell ref="A68:B68"/>
    <mergeCell ref="D68:E68"/>
    <mergeCell ref="F68:G68"/>
    <mergeCell ref="H68:J68"/>
    <mergeCell ref="A69:B69"/>
    <mergeCell ref="D69:E69"/>
    <mergeCell ref="G148:J148"/>
    <mergeCell ref="A153:J153"/>
    <mergeCell ref="A150:B150"/>
    <mergeCell ref="D150:F150"/>
    <mergeCell ref="G150:J150"/>
    <mergeCell ref="A152:B152"/>
    <mergeCell ref="D152:F152"/>
    <mergeCell ref="G152:J152"/>
    <mergeCell ref="A151:B151"/>
    <mergeCell ref="D151:F151"/>
    <mergeCell ref="G151:J151"/>
    <mergeCell ref="A141:F141"/>
    <mergeCell ref="G141:J141"/>
    <mergeCell ref="A146:J146"/>
    <mergeCell ref="A144:F144"/>
    <mergeCell ref="G144:J144"/>
    <mergeCell ref="A147:B147"/>
    <mergeCell ref="A143:F143"/>
    <mergeCell ref="G143:J143"/>
    <mergeCell ref="A145:F145"/>
    <mergeCell ref="G145:J145"/>
    <mergeCell ref="A140:F140"/>
    <mergeCell ref="G140:J140"/>
    <mergeCell ref="A138:J138"/>
    <mergeCell ref="A139:F139"/>
    <mergeCell ref="G139:J139"/>
    <mergeCell ref="A142:F142"/>
    <mergeCell ref="G142:J142"/>
    <mergeCell ref="D71:E71"/>
    <mergeCell ref="A72:B72"/>
    <mergeCell ref="D72:E72"/>
    <mergeCell ref="A73:B73"/>
    <mergeCell ref="D73:E73"/>
    <mergeCell ref="A74:B74"/>
    <mergeCell ref="A136:J136"/>
    <mergeCell ref="A137:B137"/>
    <mergeCell ref="C137:J137"/>
    <mergeCell ref="A135:J135"/>
    <mergeCell ref="D74:E74"/>
    <mergeCell ref="A83:B83"/>
    <mergeCell ref="D83:E83"/>
    <mergeCell ref="F83:G92"/>
    <mergeCell ref="H83:J92"/>
    <mergeCell ref="A84:B84"/>
    <mergeCell ref="D84:E84"/>
    <mergeCell ref="A85:B85"/>
    <mergeCell ref="D85:E85"/>
    <mergeCell ref="A86:B86"/>
    <mergeCell ref="D86:E86"/>
    <mergeCell ref="A87:B87"/>
    <mergeCell ref="D87:E87"/>
    <mergeCell ref="A88:B88"/>
    <mergeCell ref="A51:J51"/>
    <mergeCell ref="A52:C52"/>
    <mergeCell ref="D52:E52"/>
    <mergeCell ref="F52:G52"/>
    <mergeCell ref="H52:J52"/>
    <mergeCell ref="A64:B64"/>
    <mergeCell ref="C64:J64"/>
    <mergeCell ref="D65:E65"/>
    <mergeCell ref="I65:J65"/>
    <mergeCell ref="A53:B55"/>
    <mergeCell ref="C53:J53"/>
    <mergeCell ref="C54:J54"/>
    <mergeCell ref="C55:J55"/>
    <mergeCell ref="A62:J62"/>
    <mergeCell ref="A63:J63"/>
    <mergeCell ref="C56:J56"/>
    <mergeCell ref="C57:J57"/>
    <mergeCell ref="C59:J59"/>
    <mergeCell ref="C58:J58"/>
    <mergeCell ref="C60:J60"/>
    <mergeCell ref="A56:B60"/>
    <mergeCell ref="A35:J35"/>
    <mergeCell ref="A37:E37"/>
    <mergeCell ref="F37:J37"/>
    <mergeCell ref="A38:J38"/>
    <mergeCell ref="H49:J49"/>
    <mergeCell ref="A49:B49"/>
    <mergeCell ref="C49:F49"/>
    <mergeCell ref="A50:C50"/>
    <mergeCell ref="D50:E50"/>
    <mergeCell ref="F50:G50"/>
    <mergeCell ref="H50:J50"/>
    <mergeCell ref="A39:E39"/>
    <mergeCell ref="F39:J39"/>
    <mergeCell ref="H46:J46"/>
    <mergeCell ref="H47:J47"/>
    <mergeCell ref="A47:B47"/>
    <mergeCell ref="C47:F47"/>
    <mergeCell ref="A48:B48"/>
    <mergeCell ref="C48:F48"/>
    <mergeCell ref="A46:B46"/>
    <mergeCell ref="C46:F46"/>
    <mergeCell ref="H48:J48"/>
    <mergeCell ref="F36:J36"/>
    <mergeCell ref="A33:B33"/>
    <mergeCell ref="A16:B16"/>
    <mergeCell ref="C16:E16"/>
    <mergeCell ref="F16:G16"/>
    <mergeCell ref="H16:J16"/>
    <mergeCell ref="A25:E25"/>
    <mergeCell ref="A26:E26"/>
    <mergeCell ref="F26:J26"/>
    <mergeCell ref="F25:J25"/>
    <mergeCell ref="A27:E27"/>
    <mergeCell ref="F27:J27"/>
    <mergeCell ref="A24:E24"/>
    <mergeCell ref="F24:J24"/>
    <mergeCell ref="A18:B18"/>
    <mergeCell ref="C18:E18"/>
    <mergeCell ref="F18:G18"/>
    <mergeCell ref="H18:J18"/>
    <mergeCell ref="A19:B19"/>
    <mergeCell ref="A20:E21"/>
    <mergeCell ref="F20:J21"/>
    <mergeCell ref="A22:E23"/>
    <mergeCell ref="F22:J23"/>
    <mergeCell ref="I30:J30"/>
    <mergeCell ref="A11:E11"/>
    <mergeCell ref="F11:J11"/>
    <mergeCell ref="A30:B30"/>
    <mergeCell ref="C30:D30"/>
    <mergeCell ref="E30:F30"/>
    <mergeCell ref="G30:H30"/>
    <mergeCell ref="A15:B15"/>
    <mergeCell ref="A12:E12"/>
    <mergeCell ref="F12:J12"/>
    <mergeCell ref="A13:E13"/>
    <mergeCell ref="F13:J13"/>
    <mergeCell ref="A14:B14"/>
    <mergeCell ref="C14:J14"/>
    <mergeCell ref="C15:J15"/>
    <mergeCell ref="C19:E19"/>
    <mergeCell ref="F19:G19"/>
    <mergeCell ref="H19:J19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5:E5"/>
    <mergeCell ref="F5:J5"/>
    <mergeCell ref="A6:E6"/>
    <mergeCell ref="F6:J6"/>
    <mergeCell ref="A7:E7"/>
    <mergeCell ref="F7:J7"/>
    <mergeCell ref="A343:J346"/>
    <mergeCell ref="A342:B342"/>
    <mergeCell ref="E342:G342"/>
    <mergeCell ref="C342:D342"/>
    <mergeCell ref="H342:J342"/>
    <mergeCell ref="A17:B17"/>
    <mergeCell ref="C17:E17"/>
    <mergeCell ref="F17:G17"/>
    <mergeCell ref="H17:J1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40:E40"/>
    <mergeCell ref="F40:J40"/>
    <mergeCell ref="A36:E36"/>
    <mergeCell ref="A31:J31"/>
    <mergeCell ref="A32:J32"/>
    <mergeCell ref="A67:B67"/>
    <mergeCell ref="D80:E80"/>
    <mergeCell ref="I80:J80"/>
    <mergeCell ref="A81:B81"/>
    <mergeCell ref="C81:J81"/>
    <mergeCell ref="A82:B82"/>
    <mergeCell ref="D82:E82"/>
    <mergeCell ref="F82:G82"/>
    <mergeCell ref="H82:J82"/>
    <mergeCell ref="A79:B79"/>
    <mergeCell ref="C79:J79"/>
    <mergeCell ref="A75:B75"/>
    <mergeCell ref="D75:E75"/>
    <mergeCell ref="A76:B76"/>
    <mergeCell ref="D76:E76"/>
    <mergeCell ref="A77:B77"/>
    <mergeCell ref="D77:E77"/>
    <mergeCell ref="A78:B78"/>
    <mergeCell ref="D78:E78"/>
    <mergeCell ref="F69:G78"/>
    <mergeCell ref="H69:J78"/>
    <mergeCell ref="A70:B70"/>
    <mergeCell ref="D70:E70"/>
    <mergeCell ref="A71:B71"/>
    <mergeCell ref="A117:B117"/>
    <mergeCell ref="D117:E117"/>
    <mergeCell ref="A118:B118"/>
    <mergeCell ref="D118:E118"/>
    <mergeCell ref="A90:B90"/>
    <mergeCell ref="D90:E90"/>
    <mergeCell ref="A91:B91"/>
    <mergeCell ref="D91:E91"/>
    <mergeCell ref="A92:B92"/>
    <mergeCell ref="D92:E92"/>
    <mergeCell ref="A107:B107"/>
    <mergeCell ref="C107:J107"/>
    <mergeCell ref="D108:E108"/>
    <mergeCell ref="I108:J108"/>
    <mergeCell ref="A93:B93"/>
    <mergeCell ref="C93:J93"/>
    <mergeCell ref="D94:E94"/>
    <mergeCell ref="I94:J94"/>
    <mergeCell ref="A95:B95"/>
    <mergeCell ref="C95:J95"/>
    <mergeCell ref="A96:B96"/>
    <mergeCell ref="A104:B104"/>
    <mergeCell ref="D104:E104"/>
    <mergeCell ref="A105:B105"/>
    <mergeCell ref="A114:B114"/>
    <mergeCell ref="D114:E114"/>
    <mergeCell ref="A115:B115"/>
    <mergeCell ref="D115:E115"/>
    <mergeCell ref="A116:B116"/>
    <mergeCell ref="D116:E116"/>
    <mergeCell ref="D88:E88"/>
    <mergeCell ref="A89:B89"/>
    <mergeCell ref="D89:E89"/>
    <mergeCell ref="D105:E105"/>
    <mergeCell ref="A106:B106"/>
    <mergeCell ref="A102:B102"/>
    <mergeCell ref="D102:E102"/>
    <mergeCell ref="A103:B103"/>
    <mergeCell ref="D103:E103"/>
    <mergeCell ref="D106:E106"/>
    <mergeCell ref="D96:E96"/>
    <mergeCell ref="A66:B66"/>
    <mergeCell ref="C66:E66"/>
    <mergeCell ref="F66:G66"/>
    <mergeCell ref="H66:J66"/>
    <mergeCell ref="O142:T142"/>
    <mergeCell ref="U142:X142"/>
    <mergeCell ref="A119:B119"/>
    <mergeCell ref="D119:E119"/>
    <mergeCell ref="A120:B120"/>
    <mergeCell ref="D120:E120"/>
    <mergeCell ref="A109:B109"/>
    <mergeCell ref="C109:J109"/>
    <mergeCell ref="A110:B110"/>
    <mergeCell ref="D110:E110"/>
    <mergeCell ref="F110:G110"/>
    <mergeCell ref="H110:J110"/>
    <mergeCell ref="A111:B111"/>
    <mergeCell ref="D111:E111"/>
    <mergeCell ref="F111:G120"/>
    <mergeCell ref="H111:J120"/>
    <mergeCell ref="A112:B112"/>
    <mergeCell ref="D112:E112"/>
    <mergeCell ref="A113:B113"/>
    <mergeCell ref="D113:E113"/>
  </mergeCells>
  <hyperlinks>
    <hyperlink ref="C34" r:id="rId1" xr:uid="{00000000-0004-0000-0000-000000000000}"/>
  </hyperlinks>
  <pageMargins left="0.43307086614173229" right="0.43307086614173229" top="0.78740157480314965" bottom="0.78740157480314965" header="0.19685039370078741" footer="0.19685039370078741"/>
  <pageSetup paperSize="9" fitToHeight="0" orientation="portrait" r:id="rId2"/>
  <headerFooter>
    <oddHeader>&amp;C&amp;"Times New Roman,Bold"&amp;20&amp;G</oddHeader>
    <oddFooter>&amp;L&amp;"Times New Roman,Bold"&amp;12Ref No: &amp;F&amp;C&amp;G&amp;R&amp;"Times New Roman,Bold"&amp;12&amp;P</oddFooter>
  </headerFooter>
  <rowBreaks count="4" manualBreakCount="4">
    <brk id="92" max="16383" man="1"/>
    <brk id="134" max="16383" man="1"/>
    <brk id="346" max="16383" man="1"/>
    <brk id="38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"/>
  <sheetViews>
    <sheetView workbookViewId="0">
      <selection activeCell="F26" sqref="F26"/>
    </sheetView>
  </sheetViews>
  <sheetFormatPr defaultRowHeight="14.4" x14ac:dyDescent="0.3"/>
  <cols>
    <col min="1" max="1" width="11.109375" bestFit="1" customWidth="1"/>
  </cols>
  <sheetData>
    <row r="2" spans="1:3" x14ac:dyDescent="0.3">
      <c r="A2" t="s">
        <v>225</v>
      </c>
      <c r="C2" t="s">
        <v>226</v>
      </c>
    </row>
    <row r="4" spans="1:3" x14ac:dyDescent="0.3">
      <c r="A4" s="25">
        <v>44215</v>
      </c>
      <c r="B4" t="s">
        <v>227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workbookViewId="0">
      <selection activeCell="I19" sqref="I19"/>
    </sheetView>
  </sheetViews>
  <sheetFormatPr defaultColWidth="8.88671875" defaultRowHeight="14.4" x14ac:dyDescent="0.3"/>
  <cols>
    <col min="1" max="1" width="10.5546875" style="27" bestFit="1" customWidth="1"/>
    <col min="2" max="2" width="22.109375" style="27" customWidth="1"/>
    <col min="3" max="3" width="37" style="27" customWidth="1"/>
    <col min="4" max="5" width="11.44140625" style="27" customWidth="1"/>
    <col min="6" max="6" width="14" style="27" customWidth="1"/>
    <col min="7" max="7" width="20" style="27" customWidth="1"/>
    <col min="8" max="8" width="16.44140625" style="27" customWidth="1"/>
    <col min="9" max="16384" width="8.88671875" style="27"/>
  </cols>
  <sheetData>
    <row r="1" spans="1:9" ht="15" customHeight="1" x14ac:dyDescent="0.3">
      <c r="A1" s="26">
        <v>44215</v>
      </c>
      <c r="B1" s="27" t="s">
        <v>227</v>
      </c>
    </row>
    <row r="2" spans="1:9" ht="15" customHeight="1" x14ac:dyDescent="0.3">
      <c r="A2" s="28"/>
      <c r="B2" s="28"/>
      <c r="C2" s="28"/>
      <c r="D2" s="28"/>
      <c r="E2" s="28"/>
      <c r="F2" s="28"/>
      <c r="G2" s="28"/>
      <c r="H2" s="28"/>
    </row>
    <row r="3" spans="1:9" ht="15.75" customHeight="1" x14ac:dyDescent="0.3">
      <c r="A3" s="28"/>
      <c r="B3" s="258" t="s">
        <v>228</v>
      </c>
      <c r="C3" s="258"/>
      <c r="D3" s="258"/>
      <c r="E3" s="258"/>
      <c r="F3" s="258"/>
      <c r="G3" s="258"/>
      <c r="H3" s="258"/>
    </row>
    <row r="4" spans="1:9" x14ac:dyDescent="0.3">
      <c r="A4" s="28"/>
      <c r="B4" s="29" t="s">
        <v>229</v>
      </c>
      <c r="C4" s="29" t="s">
        <v>230</v>
      </c>
      <c r="D4" s="29" t="s">
        <v>116</v>
      </c>
      <c r="E4" s="29" t="s">
        <v>231</v>
      </c>
      <c r="F4" s="29" t="s">
        <v>232</v>
      </c>
      <c r="G4" s="29" t="s">
        <v>233</v>
      </c>
      <c r="H4" s="29" t="s">
        <v>234</v>
      </c>
    </row>
    <row r="5" spans="1:9" ht="15" customHeight="1" x14ac:dyDescent="0.3">
      <c r="A5" s="28"/>
      <c r="B5" s="30" t="s">
        <v>235</v>
      </c>
      <c r="C5" s="31" t="s">
        <v>183</v>
      </c>
      <c r="D5" s="30" t="s">
        <v>200</v>
      </c>
      <c r="E5" s="30">
        <v>185</v>
      </c>
      <c r="F5" s="32">
        <f>E5*1.45</f>
        <v>268.25</v>
      </c>
      <c r="G5" s="32">
        <f>H5/F5</f>
        <v>4600.1863932898414</v>
      </c>
      <c r="H5" s="33">
        <v>1234000</v>
      </c>
    </row>
    <row r="6" spans="1:9" x14ac:dyDescent="0.3">
      <c r="A6" s="28"/>
      <c r="B6" s="30" t="s">
        <v>235</v>
      </c>
      <c r="C6" s="31" t="s">
        <v>183</v>
      </c>
      <c r="D6" s="30" t="s">
        <v>199</v>
      </c>
      <c r="E6" s="30">
        <v>267</v>
      </c>
      <c r="F6" s="32">
        <f t="shared" ref="F6:F9" si="0">E6*1.45</f>
        <v>387.15</v>
      </c>
      <c r="G6" s="32">
        <f t="shared" ref="G6:G9" si="1">H6/F6</f>
        <v>4228.335270566964</v>
      </c>
      <c r="H6" s="33">
        <v>1637000</v>
      </c>
    </row>
    <row r="7" spans="1:9" ht="15" customHeight="1" x14ac:dyDescent="0.3">
      <c r="A7" s="28"/>
      <c r="B7" s="30" t="s">
        <v>235</v>
      </c>
      <c r="C7" s="31" t="s">
        <v>183</v>
      </c>
      <c r="D7" s="30" t="s">
        <v>206</v>
      </c>
      <c r="E7" s="30">
        <v>409</v>
      </c>
      <c r="F7" s="32">
        <f t="shared" si="0"/>
        <v>593.04999999999995</v>
      </c>
      <c r="G7" s="32">
        <f t="shared" si="1"/>
        <v>3792.2603490430824</v>
      </c>
      <c r="H7" s="33">
        <v>2249000</v>
      </c>
    </row>
    <row r="8" spans="1:9" x14ac:dyDescent="0.3">
      <c r="A8" s="28"/>
      <c r="B8" s="30" t="s">
        <v>236</v>
      </c>
      <c r="C8" s="31" t="s">
        <v>183</v>
      </c>
      <c r="D8" s="30" t="s">
        <v>199</v>
      </c>
      <c r="E8" s="30">
        <v>185</v>
      </c>
      <c r="F8" s="32">
        <f t="shared" si="0"/>
        <v>268.25</v>
      </c>
      <c r="G8" s="32">
        <f t="shared" si="1"/>
        <v>4600.1863932898414</v>
      </c>
      <c r="H8" s="33">
        <v>1234000</v>
      </c>
    </row>
    <row r="9" spans="1:9" ht="15" customHeight="1" x14ac:dyDescent="0.3">
      <c r="A9" s="28"/>
      <c r="B9" s="30" t="s">
        <v>236</v>
      </c>
      <c r="C9" s="31" t="s">
        <v>183</v>
      </c>
      <c r="D9" s="30" t="s">
        <v>206</v>
      </c>
      <c r="E9" s="30">
        <v>423</v>
      </c>
      <c r="F9" s="32">
        <f t="shared" si="0"/>
        <v>613.35</v>
      </c>
      <c r="G9" s="32">
        <f t="shared" si="1"/>
        <v>4400.4239015244148</v>
      </c>
      <c r="H9" s="33">
        <v>2699000</v>
      </c>
    </row>
    <row r="10" spans="1:9" ht="15" customHeight="1" x14ac:dyDescent="0.3">
      <c r="A10" s="28"/>
      <c r="B10" s="34" t="s">
        <v>237</v>
      </c>
      <c r="C10" s="30"/>
      <c r="D10" s="30"/>
      <c r="E10" s="30"/>
      <c r="F10" s="30"/>
      <c r="G10" s="35">
        <f>AVERAGE(G5:G9)</f>
        <v>4324.2784615428291</v>
      </c>
      <c r="H10" s="30"/>
    </row>
    <row r="11" spans="1:9" ht="15" customHeight="1" x14ac:dyDescent="0.3">
      <c r="B11" s="34" t="s">
        <v>238</v>
      </c>
      <c r="C11" s="30"/>
      <c r="D11" s="30"/>
      <c r="E11" s="30"/>
      <c r="F11" s="36"/>
      <c r="G11" s="34">
        <v>4300</v>
      </c>
      <c r="H11" s="34"/>
      <c r="I11" s="37"/>
    </row>
    <row r="12" spans="1:9" ht="15" customHeight="1" x14ac:dyDescent="0.3"/>
    <row r="13" spans="1:9" ht="15" customHeight="1" x14ac:dyDescent="0.3"/>
    <row r="14" spans="1:9" ht="15" customHeight="1" x14ac:dyDescent="0.3"/>
  </sheetData>
  <mergeCells count="1">
    <mergeCell ref="B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9"/>
  <sheetViews>
    <sheetView workbookViewId="0">
      <selection activeCell="C10" sqref="C10"/>
    </sheetView>
  </sheetViews>
  <sheetFormatPr defaultRowHeight="13.8" x14ac:dyDescent="0.25"/>
  <cols>
    <col min="1" max="1" width="20.5546875" style="7" customWidth="1"/>
    <col min="2" max="2" width="11.88671875" style="7" customWidth="1"/>
    <col min="3" max="4" width="9.109375" style="7"/>
    <col min="5" max="5" width="10.109375" style="7" customWidth="1"/>
    <col min="6" max="6" width="10.88671875" style="7" customWidth="1"/>
    <col min="7" max="7" width="9.109375" style="7"/>
    <col min="8" max="8" width="10.44140625" style="7" customWidth="1"/>
    <col min="9" max="9" width="15.44140625" style="7" customWidth="1"/>
    <col min="10" max="258" width="9.109375" style="7"/>
    <col min="259" max="259" width="11.88671875" style="7" customWidth="1"/>
    <col min="260" max="260" width="9.109375" style="7"/>
    <col min="261" max="261" width="14.88671875" style="7" customWidth="1"/>
    <col min="262" max="262" width="10.88671875" style="7" customWidth="1"/>
    <col min="263" max="514" width="9.109375" style="7"/>
    <col min="515" max="515" width="11.88671875" style="7" customWidth="1"/>
    <col min="516" max="516" width="9.109375" style="7"/>
    <col min="517" max="517" width="14.88671875" style="7" customWidth="1"/>
    <col min="518" max="518" width="10.88671875" style="7" customWidth="1"/>
    <col min="519" max="770" width="9.109375" style="7"/>
    <col min="771" max="771" width="11.88671875" style="7" customWidth="1"/>
    <col min="772" max="772" width="9.109375" style="7"/>
    <col min="773" max="773" width="14.88671875" style="7" customWidth="1"/>
    <col min="774" max="774" width="10.88671875" style="7" customWidth="1"/>
    <col min="775" max="1026" width="9.109375" style="7"/>
    <col min="1027" max="1027" width="11.88671875" style="7" customWidth="1"/>
    <col min="1028" max="1028" width="9.109375" style="7"/>
    <col min="1029" max="1029" width="14.88671875" style="7" customWidth="1"/>
    <col min="1030" max="1030" width="10.88671875" style="7" customWidth="1"/>
    <col min="1031" max="1282" width="9.109375" style="7"/>
    <col min="1283" max="1283" width="11.88671875" style="7" customWidth="1"/>
    <col min="1284" max="1284" width="9.109375" style="7"/>
    <col min="1285" max="1285" width="14.88671875" style="7" customWidth="1"/>
    <col min="1286" max="1286" width="10.88671875" style="7" customWidth="1"/>
    <col min="1287" max="1538" width="9.109375" style="7"/>
    <col min="1539" max="1539" width="11.88671875" style="7" customWidth="1"/>
    <col min="1540" max="1540" width="9.109375" style="7"/>
    <col min="1541" max="1541" width="14.88671875" style="7" customWidth="1"/>
    <col min="1542" max="1542" width="10.88671875" style="7" customWidth="1"/>
    <col min="1543" max="1794" width="9.109375" style="7"/>
    <col min="1795" max="1795" width="11.88671875" style="7" customWidth="1"/>
    <col min="1796" max="1796" width="9.109375" style="7"/>
    <col min="1797" max="1797" width="14.88671875" style="7" customWidth="1"/>
    <col min="1798" max="1798" width="10.88671875" style="7" customWidth="1"/>
    <col min="1799" max="2050" width="9.109375" style="7"/>
    <col min="2051" max="2051" width="11.88671875" style="7" customWidth="1"/>
    <col min="2052" max="2052" width="9.109375" style="7"/>
    <col min="2053" max="2053" width="14.88671875" style="7" customWidth="1"/>
    <col min="2054" max="2054" width="10.88671875" style="7" customWidth="1"/>
    <col min="2055" max="2306" width="9.109375" style="7"/>
    <col min="2307" max="2307" width="11.88671875" style="7" customWidth="1"/>
    <col min="2308" max="2308" width="9.109375" style="7"/>
    <col min="2309" max="2309" width="14.88671875" style="7" customWidth="1"/>
    <col min="2310" max="2310" width="10.88671875" style="7" customWidth="1"/>
    <col min="2311" max="2562" width="9.109375" style="7"/>
    <col min="2563" max="2563" width="11.88671875" style="7" customWidth="1"/>
    <col min="2564" max="2564" width="9.109375" style="7"/>
    <col min="2565" max="2565" width="14.88671875" style="7" customWidth="1"/>
    <col min="2566" max="2566" width="10.88671875" style="7" customWidth="1"/>
    <col min="2567" max="2818" width="9.109375" style="7"/>
    <col min="2819" max="2819" width="11.88671875" style="7" customWidth="1"/>
    <col min="2820" max="2820" width="9.109375" style="7"/>
    <col min="2821" max="2821" width="14.88671875" style="7" customWidth="1"/>
    <col min="2822" max="2822" width="10.88671875" style="7" customWidth="1"/>
    <col min="2823" max="3074" width="9.109375" style="7"/>
    <col min="3075" max="3075" width="11.88671875" style="7" customWidth="1"/>
    <col min="3076" max="3076" width="9.109375" style="7"/>
    <col min="3077" max="3077" width="14.88671875" style="7" customWidth="1"/>
    <col min="3078" max="3078" width="10.88671875" style="7" customWidth="1"/>
    <col min="3079" max="3330" width="9.109375" style="7"/>
    <col min="3331" max="3331" width="11.88671875" style="7" customWidth="1"/>
    <col min="3332" max="3332" width="9.109375" style="7"/>
    <col min="3333" max="3333" width="14.88671875" style="7" customWidth="1"/>
    <col min="3334" max="3334" width="10.88671875" style="7" customWidth="1"/>
    <col min="3335" max="3586" width="9.109375" style="7"/>
    <col min="3587" max="3587" width="11.88671875" style="7" customWidth="1"/>
    <col min="3588" max="3588" width="9.109375" style="7"/>
    <col min="3589" max="3589" width="14.88671875" style="7" customWidth="1"/>
    <col min="3590" max="3590" width="10.88671875" style="7" customWidth="1"/>
    <col min="3591" max="3842" width="9.109375" style="7"/>
    <col min="3843" max="3843" width="11.88671875" style="7" customWidth="1"/>
    <col min="3844" max="3844" width="9.109375" style="7"/>
    <col min="3845" max="3845" width="14.88671875" style="7" customWidth="1"/>
    <col min="3846" max="3846" width="10.88671875" style="7" customWidth="1"/>
    <col min="3847" max="4098" width="9.109375" style="7"/>
    <col min="4099" max="4099" width="11.88671875" style="7" customWidth="1"/>
    <col min="4100" max="4100" width="9.109375" style="7"/>
    <col min="4101" max="4101" width="14.88671875" style="7" customWidth="1"/>
    <col min="4102" max="4102" width="10.88671875" style="7" customWidth="1"/>
    <col min="4103" max="4354" width="9.109375" style="7"/>
    <col min="4355" max="4355" width="11.88671875" style="7" customWidth="1"/>
    <col min="4356" max="4356" width="9.109375" style="7"/>
    <col min="4357" max="4357" width="14.88671875" style="7" customWidth="1"/>
    <col min="4358" max="4358" width="10.88671875" style="7" customWidth="1"/>
    <col min="4359" max="4610" width="9.109375" style="7"/>
    <col min="4611" max="4611" width="11.88671875" style="7" customWidth="1"/>
    <col min="4612" max="4612" width="9.109375" style="7"/>
    <col min="4613" max="4613" width="14.88671875" style="7" customWidth="1"/>
    <col min="4614" max="4614" width="10.88671875" style="7" customWidth="1"/>
    <col min="4615" max="4866" width="9.109375" style="7"/>
    <col min="4867" max="4867" width="11.88671875" style="7" customWidth="1"/>
    <col min="4868" max="4868" width="9.109375" style="7"/>
    <col min="4869" max="4869" width="14.88671875" style="7" customWidth="1"/>
    <col min="4870" max="4870" width="10.88671875" style="7" customWidth="1"/>
    <col min="4871" max="5122" width="9.109375" style="7"/>
    <col min="5123" max="5123" width="11.88671875" style="7" customWidth="1"/>
    <col min="5124" max="5124" width="9.109375" style="7"/>
    <col min="5125" max="5125" width="14.88671875" style="7" customWidth="1"/>
    <col min="5126" max="5126" width="10.88671875" style="7" customWidth="1"/>
    <col min="5127" max="5378" width="9.109375" style="7"/>
    <col min="5379" max="5379" width="11.88671875" style="7" customWidth="1"/>
    <col min="5380" max="5380" width="9.109375" style="7"/>
    <col min="5381" max="5381" width="14.88671875" style="7" customWidth="1"/>
    <col min="5382" max="5382" width="10.88671875" style="7" customWidth="1"/>
    <col min="5383" max="5634" width="9.109375" style="7"/>
    <col min="5635" max="5635" width="11.88671875" style="7" customWidth="1"/>
    <col min="5636" max="5636" width="9.109375" style="7"/>
    <col min="5637" max="5637" width="14.88671875" style="7" customWidth="1"/>
    <col min="5638" max="5638" width="10.88671875" style="7" customWidth="1"/>
    <col min="5639" max="5890" width="9.109375" style="7"/>
    <col min="5891" max="5891" width="11.88671875" style="7" customWidth="1"/>
    <col min="5892" max="5892" width="9.109375" style="7"/>
    <col min="5893" max="5893" width="14.88671875" style="7" customWidth="1"/>
    <col min="5894" max="5894" width="10.88671875" style="7" customWidth="1"/>
    <col min="5895" max="6146" width="9.109375" style="7"/>
    <col min="6147" max="6147" width="11.88671875" style="7" customWidth="1"/>
    <col min="6148" max="6148" width="9.109375" style="7"/>
    <col min="6149" max="6149" width="14.88671875" style="7" customWidth="1"/>
    <col min="6150" max="6150" width="10.88671875" style="7" customWidth="1"/>
    <col min="6151" max="6402" width="9.109375" style="7"/>
    <col min="6403" max="6403" width="11.88671875" style="7" customWidth="1"/>
    <col min="6404" max="6404" width="9.109375" style="7"/>
    <col min="6405" max="6405" width="14.88671875" style="7" customWidth="1"/>
    <col min="6406" max="6406" width="10.88671875" style="7" customWidth="1"/>
    <col min="6407" max="6658" width="9.109375" style="7"/>
    <col min="6659" max="6659" width="11.88671875" style="7" customWidth="1"/>
    <col min="6660" max="6660" width="9.109375" style="7"/>
    <col min="6661" max="6661" width="14.88671875" style="7" customWidth="1"/>
    <col min="6662" max="6662" width="10.88671875" style="7" customWidth="1"/>
    <col min="6663" max="6914" width="9.109375" style="7"/>
    <col min="6915" max="6915" width="11.88671875" style="7" customWidth="1"/>
    <col min="6916" max="6916" width="9.109375" style="7"/>
    <col min="6917" max="6917" width="14.88671875" style="7" customWidth="1"/>
    <col min="6918" max="6918" width="10.88671875" style="7" customWidth="1"/>
    <col min="6919" max="7170" width="9.109375" style="7"/>
    <col min="7171" max="7171" width="11.88671875" style="7" customWidth="1"/>
    <col min="7172" max="7172" width="9.109375" style="7"/>
    <col min="7173" max="7173" width="14.88671875" style="7" customWidth="1"/>
    <col min="7174" max="7174" width="10.88671875" style="7" customWidth="1"/>
    <col min="7175" max="7426" width="9.109375" style="7"/>
    <col min="7427" max="7427" width="11.88671875" style="7" customWidth="1"/>
    <col min="7428" max="7428" width="9.109375" style="7"/>
    <col min="7429" max="7429" width="14.88671875" style="7" customWidth="1"/>
    <col min="7430" max="7430" width="10.88671875" style="7" customWidth="1"/>
    <col min="7431" max="7682" width="9.109375" style="7"/>
    <col min="7683" max="7683" width="11.88671875" style="7" customWidth="1"/>
    <col min="7684" max="7684" width="9.109375" style="7"/>
    <col min="7685" max="7685" width="14.88671875" style="7" customWidth="1"/>
    <col min="7686" max="7686" width="10.88671875" style="7" customWidth="1"/>
    <col min="7687" max="7938" width="9.109375" style="7"/>
    <col min="7939" max="7939" width="11.88671875" style="7" customWidth="1"/>
    <col min="7940" max="7940" width="9.109375" style="7"/>
    <col min="7941" max="7941" width="14.88671875" style="7" customWidth="1"/>
    <col min="7942" max="7942" width="10.88671875" style="7" customWidth="1"/>
    <col min="7943" max="8194" width="9.109375" style="7"/>
    <col min="8195" max="8195" width="11.88671875" style="7" customWidth="1"/>
    <col min="8196" max="8196" width="9.109375" style="7"/>
    <col min="8197" max="8197" width="14.88671875" style="7" customWidth="1"/>
    <col min="8198" max="8198" width="10.88671875" style="7" customWidth="1"/>
    <col min="8199" max="8450" width="9.109375" style="7"/>
    <col min="8451" max="8451" width="11.88671875" style="7" customWidth="1"/>
    <col min="8452" max="8452" width="9.109375" style="7"/>
    <col min="8453" max="8453" width="14.88671875" style="7" customWidth="1"/>
    <col min="8454" max="8454" width="10.88671875" style="7" customWidth="1"/>
    <col min="8455" max="8706" width="9.109375" style="7"/>
    <col min="8707" max="8707" width="11.88671875" style="7" customWidth="1"/>
    <col min="8708" max="8708" width="9.109375" style="7"/>
    <col min="8709" max="8709" width="14.88671875" style="7" customWidth="1"/>
    <col min="8710" max="8710" width="10.88671875" style="7" customWidth="1"/>
    <col min="8711" max="8962" width="9.109375" style="7"/>
    <col min="8963" max="8963" width="11.88671875" style="7" customWidth="1"/>
    <col min="8964" max="8964" width="9.109375" style="7"/>
    <col min="8965" max="8965" width="14.88671875" style="7" customWidth="1"/>
    <col min="8966" max="8966" width="10.88671875" style="7" customWidth="1"/>
    <col min="8967" max="9218" width="9.109375" style="7"/>
    <col min="9219" max="9219" width="11.88671875" style="7" customWidth="1"/>
    <col min="9220" max="9220" width="9.109375" style="7"/>
    <col min="9221" max="9221" width="14.88671875" style="7" customWidth="1"/>
    <col min="9222" max="9222" width="10.88671875" style="7" customWidth="1"/>
    <col min="9223" max="9474" width="9.109375" style="7"/>
    <col min="9475" max="9475" width="11.88671875" style="7" customWidth="1"/>
    <col min="9476" max="9476" width="9.109375" style="7"/>
    <col min="9477" max="9477" width="14.88671875" style="7" customWidth="1"/>
    <col min="9478" max="9478" width="10.88671875" style="7" customWidth="1"/>
    <col min="9479" max="9730" width="9.109375" style="7"/>
    <col min="9731" max="9731" width="11.88671875" style="7" customWidth="1"/>
    <col min="9732" max="9732" width="9.109375" style="7"/>
    <col min="9733" max="9733" width="14.88671875" style="7" customWidth="1"/>
    <col min="9734" max="9734" width="10.88671875" style="7" customWidth="1"/>
    <col min="9735" max="9986" width="9.109375" style="7"/>
    <col min="9987" max="9987" width="11.88671875" style="7" customWidth="1"/>
    <col min="9988" max="9988" width="9.109375" style="7"/>
    <col min="9989" max="9989" width="14.88671875" style="7" customWidth="1"/>
    <col min="9990" max="9990" width="10.88671875" style="7" customWidth="1"/>
    <col min="9991" max="10242" width="9.109375" style="7"/>
    <col min="10243" max="10243" width="11.88671875" style="7" customWidth="1"/>
    <col min="10244" max="10244" width="9.109375" style="7"/>
    <col min="10245" max="10245" width="14.88671875" style="7" customWidth="1"/>
    <col min="10246" max="10246" width="10.88671875" style="7" customWidth="1"/>
    <col min="10247" max="10498" width="9.109375" style="7"/>
    <col min="10499" max="10499" width="11.88671875" style="7" customWidth="1"/>
    <col min="10500" max="10500" width="9.109375" style="7"/>
    <col min="10501" max="10501" width="14.88671875" style="7" customWidth="1"/>
    <col min="10502" max="10502" width="10.88671875" style="7" customWidth="1"/>
    <col min="10503" max="10754" width="9.109375" style="7"/>
    <col min="10755" max="10755" width="11.88671875" style="7" customWidth="1"/>
    <col min="10756" max="10756" width="9.109375" style="7"/>
    <col min="10757" max="10757" width="14.88671875" style="7" customWidth="1"/>
    <col min="10758" max="10758" width="10.88671875" style="7" customWidth="1"/>
    <col min="10759" max="11010" width="9.109375" style="7"/>
    <col min="11011" max="11011" width="11.88671875" style="7" customWidth="1"/>
    <col min="11012" max="11012" width="9.109375" style="7"/>
    <col min="11013" max="11013" width="14.88671875" style="7" customWidth="1"/>
    <col min="11014" max="11014" width="10.88671875" style="7" customWidth="1"/>
    <col min="11015" max="11266" width="9.109375" style="7"/>
    <col min="11267" max="11267" width="11.88671875" style="7" customWidth="1"/>
    <col min="11268" max="11268" width="9.109375" style="7"/>
    <col min="11269" max="11269" width="14.88671875" style="7" customWidth="1"/>
    <col min="11270" max="11270" width="10.88671875" style="7" customWidth="1"/>
    <col min="11271" max="11522" width="9.109375" style="7"/>
    <col min="11523" max="11523" width="11.88671875" style="7" customWidth="1"/>
    <col min="11524" max="11524" width="9.109375" style="7"/>
    <col min="11525" max="11525" width="14.88671875" style="7" customWidth="1"/>
    <col min="11526" max="11526" width="10.88671875" style="7" customWidth="1"/>
    <col min="11527" max="11778" width="9.109375" style="7"/>
    <col min="11779" max="11779" width="11.88671875" style="7" customWidth="1"/>
    <col min="11780" max="11780" width="9.109375" style="7"/>
    <col min="11781" max="11781" width="14.88671875" style="7" customWidth="1"/>
    <col min="11782" max="11782" width="10.88671875" style="7" customWidth="1"/>
    <col min="11783" max="12034" width="9.109375" style="7"/>
    <col min="12035" max="12035" width="11.88671875" style="7" customWidth="1"/>
    <col min="12036" max="12036" width="9.109375" style="7"/>
    <col min="12037" max="12037" width="14.88671875" style="7" customWidth="1"/>
    <col min="12038" max="12038" width="10.88671875" style="7" customWidth="1"/>
    <col min="12039" max="12290" width="9.109375" style="7"/>
    <col min="12291" max="12291" width="11.88671875" style="7" customWidth="1"/>
    <col min="12292" max="12292" width="9.109375" style="7"/>
    <col min="12293" max="12293" width="14.88671875" style="7" customWidth="1"/>
    <col min="12294" max="12294" width="10.88671875" style="7" customWidth="1"/>
    <col min="12295" max="12546" width="9.109375" style="7"/>
    <col min="12547" max="12547" width="11.88671875" style="7" customWidth="1"/>
    <col min="12548" max="12548" width="9.109375" style="7"/>
    <col min="12549" max="12549" width="14.88671875" style="7" customWidth="1"/>
    <col min="12550" max="12550" width="10.88671875" style="7" customWidth="1"/>
    <col min="12551" max="12802" width="9.109375" style="7"/>
    <col min="12803" max="12803" width="11.88671875" style="7" customWidth="1"/>
    <col min="12804" max="12804" width="9.109375" style="7"/>
    <col min="12805" max="12805" width="14.88671875" style="7" customWidth="1"/>
    <col min="12806" max="12806" width="10.88671875" style="7" customWidth="1"/>
    <col min="12807" max="13058" width="9.109375" style="7"/>
    <col min="13059" max="13059" width="11.88671875" style="7" customWidth="1"/>
    <col min="13060" max="13060" width="9.109375" style="7"/>
    <col min="13061" max="13061" width="14.88671875" style="7" customWidth="1"/>
    <col min="13062" max="13062" width="10.88671875" style="7" customWidth="1"/>
    <col min="13063" max="13314" width="9.109375" style="7"/>
    <col min="13315" max="13315" width="11.88671875" style="7" customWidth="1"/>
    <col min="13316" max="13316" width="9.109375" style="7"/>
    <col min="13317" max="13317" width="14.88671875" style="7" customWidth="1"/>
    <col min="13318" max="13318" width="10.88671875" style="7" customWidth="1"/>
    <col min="13319" max="13570" width="9.109375" style="7"/>
    <col min="13571" max="13571" width="11.88671875" style="7" customWidth="1"/>
    <col min="13572" max="13572" width="9.109375" style="7"/>
    <col min="13573" max="13573" width="14.88671875" style="7" customWidth="1"/>
    <col min="13574" max="13574" width="10.88671875" style="7" customWidth="1"/>
    <col min="13575" max="13826" width="9.109375" style="7"/>
    <col min="13827" max="13827" width="11.88671875" style="7" customWidth="1"/>
    <col min="13828" max="13828" width="9.109375" style="7"/>
    <col min="13829" max="13829" width="14.88671875" style="7" customWidth="1"/>
    <col min="13830" max="13830" width="10.88671875" style="7" customWidth="1"/>
    <col min="13831" max="14082" width="9.109375" style="7"/>
    <col min="14083" max="14083" width="11.88671875" style="7" customWidth="1"/>
    <col min="14084" max="14084" width="9.109375" style="7"/>
    <col min="14085" max="14085" width="14.88671875" style="7" customWidth="1"/>
    <col min="14086" max="14086" width="10.88671875" style="7" customWidth="1"/>
    <col min="14087" max="14338" width="9.109375" style="7"/>
    <col min="14339" max="14339" width="11.88671875" style="7" customWidth="1"/>
    <col min="14340" max="14340" width="9.109375" style="7"/>
    <col min="14341" max="14341" width="14.88671875" style="7" customWidth="1"/>
    <col min="14342" max="14342" width="10.88671875" style="7" customWidth="1"/>
    <col min="14343" max="14594" width="9.109375" style="7"/>
    <col min="14595" max="14595" width="11.88671875" style="7" customWidth="1"/>
    <col min="14596" max="14596" width="9.109375" style="7"/>
    <col min="14597" max="14597" width="14.88671875" style="7" customWidth="1"/>
    <col min="14598" max="14598" width="10.88671875" style="7" customWidth="1"/>
    <col min="14599" max="14850" width="9.109375" style="7"/>
    <col min="14851" max="14851" width="11.88671875" style="7" customWidth="1"/>
    <col min="14852" max="14852" width="9.109375" style="7"/>
    <col min="14853" max="14853" width="14.88671875" style="7" customWidth="1"/>
    <col min="14854" max="14854" width="10.88671875" style="7" customWidth="1"/>
    <col min="14855" max="15106" width="9.109375" style="7"/>
    <col min="15107" max="15107" width="11.88671875" style="7" customWidth="1"/>
    <col min="15108" max="15108" width="9.109375" style="7"/>
    <col min="15109" max="15109" width="14.88671875" style="7" customWidth="1"/>
    <col min="15110" max="15110" width="10.88671875" style="7" customWidth="1"/>
    <col min="15111" max="15362" width="9.109375" style="7"/>
    <col min="15363" max="15363" width="11.88671875" style="7" customWidth="1"/>
    <col min="15364" max="15364" width="9.109375" style="7"/>
    <col min="15365" max="15365" width="14.88671875" style="7" customWidth="1"/>
    <col min="15366" max="15366" width="10.88671875" style="7" customWidth="1"/>
    <col min="15367" max="15618" width="9.109375" style="7"/>
    <col min="15619" max="15619" width="11.88671875" style="7" customWidth="1"/>
    <col min="15620" max="15620" width="9.109375" style="7"/>
    <col min="15621" max="15621" width="14.88671875" style="7" customWidth="1"/>
    <col min="15622" max="15622" width="10.88671875" style="7" customWidth="1"/>
    <col min="15623" max="15874" width="9.109375" style="7"/>
    <col min="15875" max="15875" width="11.88671875" style="7" customWidth="1"/>
    <col min="15876" max="15876" width="9.109375" style="7"/>
    <col min="15877" max="15877" width="14.88671875" style="7" customWidth="1"/>
    <col min="15878" max="15878" width="10.88671875" style="7" customWidth="1"/>
    <col min="15879" max="16130" width="9.109375" style="7"/>
    <col min="16131" max="16131" width="11.88671875" style="7" customWidth="1"/>
    <col min="16132" max="16132" width="9.109375" style="7"/>
    <col min="16133" max="16133" width="14.88671875" style="7" customWidth="1"/>
    <col min="16134" max="16134" width="10.88671875" style="7" customWidth="1"/>
    <col min="16135" max="16384" width="9.109375" style="7"/>
  </cols>
  <sheetData>
    <row r="2" spans="1:13" x14ac:dyDescent="0.25">
      <c r="A2" s="8" t="s">
        <v>138</v>
      </c>
      <c r="B2" s="8" t="s">
        <v>139</v>
      </c>
      <c r="C2" s="8" t="s">
        <v>140</v>
      </c>
      <c r="D2" s="259" t="s">
        <v>141</v>
      </c>
      <c r="E2" s="259"/>
    </row>
    <row r="3" spans="1:13" x14ac:dyDescent="0.25">
      <c r="A3" s="11">
        <v>0</v>
      </c>
      <c r="B3" s="11">
        <v>0</v>
      </c>
      <c r="C3" s="11">
        <v>1</v>
      </c>
      <c r="D3" s="261">
        <v>4</v>
      </c>
      <c r="E3" s="261"/>
    </row>
    <row r="5" spans="1:13" hidden="1" x14ac:dyDescent="0.25">
      <c r="A5" s="7" t="s">
        <v>103</v>
      </c>
      <c r="B5" s="9" t="s">
        <v>157</v>
      </c>
      <c r="C5" s="9">
        <f>D3</f>
        <v>4</v>
      </c>
      <c r="D5" s="10"/>
    </row>
    <row r="6" spans="1:13" x14ac:dyDescent="0.25">
      <c r="A6" s="7" t="s">
        <v>104</v>
      </c>
      <c r="B6" s="12">
        <v>10</v>
      </c>
      <c r="C6" s="13">
        <v>10</v>
      </c>
      <c r="D6" s="14">
        <f>((100/B6)*C6)/100</f>
        <v>1</v>
      </c>
    </row>
    <row r="7" spans="1:13" x14ac:dyDescent="0.25">
      <c r="A7" s="7" t="s">
        <v>105</v>
      </c>
      <c r="B7" s="12">
        <f>A3+B3+C3+D3</f>
        <v>5</v>
      </c>
      <c r="C7" s="13">
        <v>5</v>
      </c>
      <c r="D7" s="14">
        <f t="shared" ref="D7:D12" si="0">((100/B7)*C7)/100</f>
        <v>1</v>
      </c>
      <c r="F7" s="262" t="s">
        <v>158</v>
      </c>
      <c r="G7" s="262"/>
      <c r="H7" s="15" t="s">
        <v>159</v>
      </c>
      <c r="J7" s="21"/>
    </row>
    <row r="8" spans="1:13" x14ac:dyDescent="0.25">
      <c r="A8" s="7" t="s">
        <v>110</v>
      </c>
      <c r="B8" s="12">
        <f>C5</f>
        <v>4</v>
      </c>
      <c r="C8" s="13">
        <v>4</v>
      </c>
      <c r="D8" s="14">
        <f t="shared" si="0"/>
        <v>1</v>
      </c>
      <c r="F8" s="260" t="s">
        <v>160</v>
      </c>
      <c r="G8" s="260"/>
      <c r="H8" s="12" t="s">
        <v>161</v>
      </c>
    </row>
    <row r="9" spans="1:13" x14ac:dyDescent="0.25">
      <c r="A9" s="7" t="s">
        <v>112</v>
      </c>
      <c r="B9" s="12">
        <f>C5</f>
        <v>4</v>
      </c>
      <c r="C9" s="13">
        <v>3</v>
      </c>
      <c r="D9" s="14">
        <f t="shared" si="0"/>
        <v>0.75</v>
      </c>
      <c r="F9" s="260" t="s">
        <v>162</v>
      </c>
      <c r="G9" s="260"/>
      <c r="H9" s="12" t="s">
        <v>163</v>
      </c>
    </row>
    <row r="10" spans="1:13" x14ac:dyDescent="0.25">
      <c r="A10" s="7" t="s">
        <v>72</v>
      </c>
      <c r="B10" s="12">
        <f>C5</f>
        <v>4</v>
      </c>
      <c r="C10" s="13">
        <v>0</v>
      </c>
      <c r="D10" s="14">
        <f t="shared" si="0"/>
        <v>0</v>
      </c>
      <c r="F10" s="260" t="s">
        <v>164</v>
      </c>
      <c r="G10" s="260"/>
      <c r="H10" s="12" t="s">
        <v>165</v>
      </c>
    </row>
    <row r="11" spans="1:13" x14ac:dyDescent="0.25">
      <c r="A11" s="16" t="s">
        <v>108</v>
      </c>
      <c r="B11" s="12">
        <f>C5</f>
        <v>4</v>
      </c>
      <c r="C11" s="13">
        <v>0</v>
      </c>
      <c r="D11" s="14">
        <f t="shared" si="0"/>
        <v>0</v>
      </c>
      <c r="F11" s="260" t="s">
        <v>166</v>
      </c>
      <c r="G11" s="260"/>
      <c r="H11" s="12" t="s">
        <v>167</v>
      </c>
    </row>
    <row r="12" spans="1:13" x14ac:dyDescent="0.25">
      <c r="A12" s="7" t="s">
        <v>73</v>
      </c>
      <c r="B12" s="12">
        <f>C5</f>
        <v>4</v>
      </c>
      <c r="C12" s="13">
        <v>0</v>
      </c>
      <c r="D12" s="14">
        <f t="shared" si="0"/>
        <v>0</v>
      </c>
      <c r="F12" s="260" t="s">
        <v>168</v>
      </c>
      <c r="G12" s="260"/>
      <c r="H12" s="12" t="s">
        <v>169</v>
      </c>
    </row>
    <row r="13" spans="1:13" x14ac:dyDescent="0.25">
      <c r="F13" s="260" t="s">
        <v>170</v>
      </c>
      <c r="G13" s="260"/>
      <c r="H13" s="12" t="s">
        <v>171</v>
      </c>
    </row>
    <row r="14" spans="1:13" hidden="1" x14ac:dyDescent="0.25">
      <c r="A14" s="8"/>
      <c r="B14" s="8" t="s">
        <v>109</v>
      </c>
      <c r="C14" s="8" t="s">
        <v>113</v>
      </c>
      <c r="G14" s="8" t="s">
        <v>104</v>
      </c>
      <c r="H14" s="8" t="s">
        <v>106</v>
      </c>
      <c r="I14" s="8" t="s">
        <v>107</v>
      </c>
      <c r="J14" s="8" t="s">
        <v>71</v>
      </c>
      <c r="K14" s="8" t="s">
        <v>72</v>
      </c>
      <c r="L14" s="8" t="s">
        <v>108</v>
      </c>
      <c r="M14" s="8" t="s">
        <v>73</v>
      </c>
    </row>
    <row r="15" spans="1:13" hidden="1" x14ac:dyDescent="0.25">
      <c r="A15" s="8" t="s">
        <v>69</v>
      </c>
      <c r="B15" s="8">
        <f>G15</f>
        <v>10</v>
      </c>
      <c r="C15" s="8">
        <f>G16</f>
        <v>30</v>
      </c>
      <c r="E15" s="259" t="s">
        <v>109</v>
      </c>
      <c r="F15" s="259"/>
      <c r="G15" s="17">
        <f>C6</f>
        <v>10</v>
      </c>
      <c r="H15" s="17">
        <f>40/B7*C7</f>
        <v>40</v>
      </c>
      <c r="I15" s="17">
        <f>15/B8*C8</f>
        <v>15</v>
      </c>
      <c r="J15" s="17">
        <f>10/B9*C9</f>
        <v>7.5</v>
      </c>
      <c r="K15" s="17">
        <f>10/B10*C10</f>
        <v>0</v>
      </c>
      <c r="L15" s="17">
        <f>5/B11*C11</f>
        <v>0</v>
      </c>
      <c r="M15" s="17">
        <f>5/B12*C12</f>
        <v>0</v>
      </c>
    </row>
    <row r="16" spans="1:13" hidden="1" x14ac:dyDescent="0.25">
      <c r="A16" s="8" t="s">
        <v>70</v>
      </c>
      <c r="B16" s="8">
        <f>H15</f>
        <v>40</v>
      </c>
      <c r="C16" s="8">
        <f>H16</f>
        <v>30</v>
      </c>
      <c r="E16" s="259" t="s">
        <v>111</v>
      </c>
      <c r="F16" s="259"/>
      <c r="G16" s="8">
        <f>G15+20</f>
        <v>30</v>
      </c>
      <c r="H16" s="8">
        <f>30/B7*C7</f>
        <v>30</v>
      </c>
      <c r="I16" s="8">
        <f>15/B8*C8</f>
        <v>15</v>
      </c>
      <c r="J16" s="8">
        <f>10/B9*C9</f>
        <v>7.5</v>
      </c>
      <c r="K16" s="8">
        <f>5/B10*C10</f>
        <v>0</v>
      </c>
      <c r="L16" s="8">
        <f>5/B11*C11</f>
        <v>0</v>
      </c>
      <c r="M16" s="8">
        <f>5/B12*C12</f>
        <v>0</v>
      </c>
    </row>
    <row r="17" spans="1:8" hidden="1" x14ac:dyDescent="0.25">
      <c r="A17" s="8" t="s">
        <v>107</v>
      </c>
      <c r="B17" s="8">
        <f>I15</f>
        <v>15</v>
      </c>
      <c r="C17" s="8">
        <f>I16</f>
        <v>15</v>
      </c>
    </row>
    <row r="18" spans="1:8" hidden="1" x14ac:dyDescent="0.25">
      <c r="A18" s="8" t="s">
        <v>71</v>
      </c>
      <c r="B18" s="8">
        <f>J15</f>
        <v>7.5</v>
      </c>
      <c r="C18" s="8">
        <f>J16</f>
        <v>7.5</v>
      </c>
    </row>
    <row r="19" spans="1:8" hidden="1" x14ac:dyDescent="0.25">
      <c r="A19" s="8" t="s">
        <v>72</v>
      </c>
      <c r="B19" s="8">
        <f>K15</f>
        <v>0</v>
      </c>
      <c r="C19" s="8">
        <f>K16</f>
        <v>0</v>
      </c>
    </row>
    <row r="20" spans="1:8" hidden="1" x14ac:dyDescent="0.25">
      <c r="A20" s="18" t="s">
        <v>108</v>
      </c>
      <c r="B20" s="8">
        <f>L15</f>
        <v>0</v>
      </c>
      <c r="C20" s="8">
        <f>L16</f>
        <v>0</v>
      </c>
    </row>
    <row r="21" spans="1:8" hidden="1" x14ac:dyDescent="0.25">
      <c r="A21" s="8" t="s">
        <v>73</v>
      </c>
      <c r="B21" s="8">
        <f>M15</f>
        <v>0</v>
      </c>
      <c r="C21" s="8">
        <f>M16</f>
        <v>0</v>
      </c>
    </row>
    <row r="22" spans="1:8" x14ac:dyDescent="0.25">
      <c r="A22" s="8" t="s">
        <v>114</v>
      </c>
      <c r="B22" s="19">
        <f>(B15+B16+B17+B18+B19+B20+B21)/100</f>
        <v>0.72499999999999998</v>
      </c>
      <c r="C22" s="19">
        <f>(C15+C16+C17+C18+C19+C20+C21)/100</f>
        <v>0.82499999999999996</v>
      </c>
      <c r="F22" s="260" t="s">
        <v>172</v>
      </c>
      <c r="G22" s="260"/>
      <c r="H22" s="12" t="s">
        <v>163</v>
      </c>
    </row>
    <row r="23" spans="1:8" x14ac:dyDescent="0.25">
      <c r="F23" s="260" t="s">
        <v>173</v>
      </c>
      <c r="G23" s="260"/>
      <c r="H23" s="12" t="s">
        <v>174</v>
      </c>
    </row>
    <row r="24" spans="1:8" x14ac:dyDescent="0.25">
      <c r="A24" s="7" t="s">
        <v>146</v>
      </c>
      <c r="B24" s="20">
        <v>0.01</v>
      </c>
      <c r="C24" s="20">
        <v>0.02</v>
      </c>
      <c r="F24" s="260" t="s">
        <v>175</v>
      </c>
      <c r="G24" s="260"/>
      <c r="H24" s="12" t="s">
        <v>176</v>
      </c>
    </row>
    <row r="25" spans="1:8" x14ac:dyDescent="0.25">
      <c r="A25" s="7" t="s">
        <v>147</v>
      </c>
      <c r="B25" s="20">
        <v>0.01</v>
      </c>
      <c r="C25" s="20">
        <v>0.03</v>
      </c>
    </row>
    <row r="26" spans="1:8" x14ac:dyDescent="0.25">
      <c r="A26" s="7" t="s">
        <v>148</v>
      </c>
      <c r="B26" s="20">
        <v>0.03</v>
      </c>
      <c r="C26" s="20">
        <v>0.08</v>
      </c>
    </row>
    <row r="27" spans="1:8" x14ac:dyDescent="0.25">
      <c r="A27" s="7" t="s">
        <v>149</v>
      </c>
      <c r="B27" s="20">
        <v>0.05</v>
      </c>
      <c r="C27" s="20">
        <v>0.15</v>
      </c>
    </row>
    <row r="28" spans="1:8" x14ac:dyDescent="0.25">
      <c r="A28" s="7" t="s">
        <v>150</v>
      </c>
      <c r="B28" s="20">
        <v>7.0000000000000007E-2</v>
      </c>
      <c r="C28" s="20">
        <v>0.2</v>
      </c>
    </row>
    <row r="29" spans="1:8" x14ac:dyDescent="0.25">
      <c r="A29" s="7" t="s">
        <v>151</v>
      </c>
      <c r="B29" s="20">
        <v>0.1</v>
      </c>
      <c r="C29" s="20">
        <v>0.3</v>
      </c>
    </row>
  </sheetData>
  <mergeCells count="14">
    <mergeCell ref="D2:E2"/>
    <mergeCell ref="D3:E3"/>
    <mergeCell ref="F12:G12"/>
    <mergeCell ref="F13:G13"/>
    <mergeCell ref="F7:G7"/>
    <mergeCell ref="F8:G8"/>
    <mergeCell ref="F9:G9"/>
    <mergeCell ref="F10:G10"/>
    <mergeCell ref="F11:G11"/>
    <mergeCell ref="E16:F16"/>
    <mergeCell ref="F22:G22"/>
    <mergeCell ref="F23:G23"/>
    <mergeCell ref="F24:G24"/>
    <mergeCell ref="E15: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9"/>
  <sheetViews>
    <sheetView workbookViewId="0">
      <selection activeCell="C7" sqref="C7"/>
    </sheetView>
  </sheetViews>
  <sheetFormatPr defaultRowHeight="13.8" x14ac:dyDescent="0.25"/>
  <cols>
    <col min="1" max="1" width="20.5546875" style="7" customWidth="1"/>
    <col min="2" max="2" width="11.88671875" style="7" customWidth="1"/>
    <col min="3" max="4" width="8.88671875" style="7"/>
    <col min="5" max="5" width="10.109375" style="7" customWidth="1"/>
    <col min="6" max="6" width="10.88671875" style="7" customWidth="1"/>
    <col min="7" max="7" width="8.88671875" style="7"/>
    <col min="8" max="8" width="10.44140625" style="7" customWidth="1"/>
    <col min="9" max="9" width="15.44140625" style="7" customWidth="1"/>
    <col min="10" max="258" width="8.88671875" style="7"/>
    <col min="259" max="259" width="11.88671875" style="7" customWidth="1"/>
    <col min="260" max="260" width="8.88671875" style="7"/>
    <col min="261" max="261" width="14.88671875" style="7" customWidth="1"/>
    <col min="262" max="262" width="10.88671875" style="7" customWidth="1"/>
    <col min="263" max="514" width="8.88671875" style="7"/>
    <col min="515" max="515" width="11.88671875" style="7" customWidth="1"/>
    <col min="516" max="516" width="8.88671875" style="7"/>
    <col min="517" max="517" width="14.88671875" style="7" customWidth="1"/>
    <col min="518" max="518" width="10.88671875" style="7" customWidth="1"/>
    <col min="519" max="770" width="8.88671875" style="7"/>
    <col min="771" max="771" width="11.88671875" style="7" customWidth="1"/>
    <col min="772" max="772" width="8.88671875" style="7"/>
    <col min="773" max="773" width="14.88671875" style="7" customWidth="1"/>
    <col min="774" max="774" width="10.88671875" style="7" customWidth="1"/>
    <col min="775" max="1026" width="8.88671875" style="7"/>
    <col min="1027" max="1027" width="11.88671875" style="7" customWidth="1"/>
    <col min="1028" max="1028" width="8.88671875" style="7"/>
    <col min="1029" max="1029" width="14.88671875" style="7" customWidth="1"/>
    <col min="1030" max="1030" width="10.88671875" style="7" customWidth="1"/>
    <col min="1031" max="1282" width="8.88671875" style="7"/>
    <col min="1283" max="1283" width="11.88671875" style="7" customWidth="1"/>
    <col min="1284" max="1284" width="8.88671875" style="7"/>
    <col min="1285" max="1285" width="14.88671875" style="7" customWidth="1"/>
    <col min="1286" max="1286" width="10.88671875" style="7" customWidth="1"/>
    <col min="1287" max="1538" width="8.88671875" style="7"/>
    <col min="1539" max="1539" width="11.88671875" style="7" customWidth="1"/>
    <col min="1540" max="1540" width="8.88671875" style="7"/>
    <col min="1541" max="1541" width="14.88671875" style="7" customWidth="1"/>
    <col min="1542" max="1542" width="10.88671875" style="7" customWidth="1"/>
    <col min="1543" max="1794" width="8.88671875" style="7"/>
    <col min="1795" max="1795" width="11.88671875" style="7" customWidth="1"/>
    <col min="1796" max="1796" width="8.88671875" style="7"/>
    <col min="1797" max="1797" width="14.88671875" style="7" customWidth="1"/>
    <col min="1798" max="1798" width="10.88671875" style="7" customWidth="1"/>
    <col min="1799" max="2050" width="8.88671875" style="7"/>
    <col min="2051" max="2051" width="11.88671875" style="7" customWidth="1"/>
    <col min="2052" max="2052" width="8.88671875" style="7"/>
    <col min="2053" max="2053" width="14.88671875" style="7" customWidth="1"/>
    <col min="2054" max="2054" width="10.88671875" style="7" customWidth="1"/>
    <col min="2055" max="2306" width="8.88671875" style="7"/>
    <col min="2307" max="2307" width="11.88671875" style="7" customWidth="1"/>
    <col min="2308" max="2308" width="8.88671875" style="7"/>
    <col min="2309" max="2309" width="14.88671875" style="7" customWidth="1"/>
    <col min="2310" max="2310" width="10.88671875" style="7" customWidth="1"/>
    <col min="2311" max="2562" width="8.88671875" style="7"/>
    <col min="2563" max="2563" width="11.88671875" style="7" customWidth="1"/>
    <col min="2564" max="2564" width="8.88671875" style="7"/>
    <col min="2565" max="2565" width="14.88671875" style="7" customWidth="1"/>
    <col min="2566" max="2566" width="10.88671875" style="7" customWidth="1"/>
    <col min="2567" max="2818" width="8.88671875" style="7"/>
    <col min="2819" max="2819" width="11.88671875" style="7" customWidth="1"/>
    <col min="2820" max="2820" width="8.88671875" style="7"/>
    <col min="2821" max="2821" width="14.88671875" style="7" customWidth="1"/>
    <col min="2822" max="2822" width="10.88671875" style="7" customWidth="1"/>
    <col min="2823" max="3074" width="8.88671875" style="7"/>
    <col min="3075" max="3075" width="11.88671875" style="7" customWidth="1"/>
    <col min="3076" max="3076" width="8.88671875" style="7"/>
    <col min="3077" max="3077" width="14.88671875" style="7" customWidth="1"/>
    <col min="3078" max="3078" width="10.88671875" style="7" customWidth="1"/>
    <col min="3079" max="3330" width="8.88671875" style="7"/>
    <col min="3331" max="3331" width="11.88671875" style="7" customWidth="1"/>
    <col min="3332" max="3332" width="8.88671875" style="7"/>
    <col min="3333" max="3333" width="14.88671875" style="7" customWidth="1"/>
    <col min="3334" max="3334" width="10.88671875" style="7" customWidth="1"/>
    <col min="3335" max="3586" width="8.88671875" style="7"/>
    <col min="3587" max="3587" width="11.88671875" style="7" customWidth="1"/>
    <col min="3588" max="3588" width="8.88671875" style="7"/>
    <col min="3589" max="3589" width="14.88671875" style="7" customWidth="1"/>
    <col min="3590" max="3590" width="10.88671875" style="7" customWidth="1"/>
    <col min="3591" max="3842" width="8.88671875" style="7"/>
    <col min="3843" max="3843" width="11.88671875" style="7" customWidth="1"/>
    <col min="3844" max="3844" width="8.88671875" style="7"/>
    <col min="3845" max="3845" width="14.88671875" style="7" customWidth="1"/>
    <col min="3846" max="3846" width="10.88671875" style="7" customWidth="1"/>
    <col min="3847" max="4098" width="8.88671875" style="7"/>
    <col min="4099" max="4099" width="11.88671875" style="7" customWidth="1"/>
    <col min="4100" max="4100" width="8.88671875" style="7"/>
    <col min="4101" max="4101" width="14.88671875" style="7" customWidth="1"/>
    <col min="4102" max="4102" width="10.88671875" style="7" customWidth="1"/>
    <col min="4103" max="4354" width="8.88671875" style="7"/>
    <col min="4355" max="4355" width="11.88671875" style="7" customWidth="1"/>
    <col min="4356" max="4356" width="8.88671875" style="7"/>
    <col min="4357" max="4357" width="14.88671875" style="7" customWidth="1"/>
    <col min="4358" max="4358" width="10.88671875" style="7" customWidth="1"/>
    <col min="4359" max="4610" width="8.88671875" style="7"/>
    <col min="4611" max="4611" width="11.88671875" style="7" customWidth="1"/>
    <col min="4612" max="4612" width="8.88671875" style="7"/>
    <col min="4613" max="4613" width="14.88671875" style="7" customWidth="1"/>
    <col min="4614" max="4614" width="10.88671875" style="7" customWidth="1"/>
    <col min="4615" max="4866" width="8.88671875" style="7"/>
    <col min="4867" max="4867" width="11.88671875" style="7" customWidth="1"/>
    <col min="4868" max="4868" width="8.88671875" style="7"/>
    <col min="4869" max="4869" width="14.88671875" style="7" customWidth="1"/>
    <col min="4870" max="4870" width="10.88671875" style="7" customWidth="1"/>
    <col min="4871" max="5122" width="8.88671875" style="7"/>
    <col min="5123" max="5123" width="11.88671875" style="7" customWidth="1"/>
    <col min="5124" max="5124" width="8.88671875" style="7"/>
    <col min="5125" max="5125" width="14.88671875" style="7" customWidth="1"/>
    <col min="5126" max="5126" width="10.88671875" style="7" customWidth="1"/>
    <col min="5127" max="5378" width="8.88671875" style="7"/>
    <col min="5379" max="5379" width="11.88671875" style="7" customWidth="1"/>
    <col min="5380" max="5380" width="8.88671875" style="7"/>
    <col min="5381" max="5381" width="14.88671875" style="7" customWidth="1"/>
    <col min="5382" max="5382" width="10.88671875" style="7" customWidth="1"/>
    <col min="5383" max="5634" width="8.88671875" style="7"/>
    <col min="5635" max="5635" width="11.88671875" style="7" customWidth="1"/>
    <col min="5636" max="5636" width="8.88671875" style="7"/>
    <col min="5637" max="5637" width="14.88671875" style="7" customWidth="1"/>
    <col min="5638" max="5638" width="10.88671875" style="7" customWidth="1"/>
    <col min="5639" max="5890" width="8.88671875" style="7"/>
    <col min="5891" max="5891" width="11.88671875" style="7" customWidth="1"/>
    <col min="5892" max="5892" width="8.88671875" style="7"/>
    <col min="5893" max="5893" width="14.88671875" style="7" customWidth="1"/>
    <col min="5894" max="5894" width="10.88671875" style="7" customWidth="1"/>
    <col min="5895" max="6146" width="8.88671875" style="7"/>
    <col min="6147" max="6147" width="11.88671875" style="7" customWidth="1"/>
    <col min="6148" max="6148" width="8.88671875" style="7"/>
    <col min="6149" max="6149" width="14.88671875" style="7" customWidth="1"/>
    <col min="6150" max="6150" width="10.88671875" style="7" customWidth="1"/>
    <col min="6151" max="6402" width="8.88671875" style="7"/>
    <col min="6403" max="6403" width="11.88671875" style="7" customWidth="1"/>
    <col min="6404" max="6404" width="8.88671875" style="7"/>
    <col min="6405" max="6405" width="14.88671875" style="7" customWidth="1"/>
    <col min="6406" max="6406" width="10.88671875" style="7" customWidth="1"/>
    <col min="6407" max="6658" width="8.88671875" style="7"/>
    <col min="6659" max="6659" width="11.88671875" style="7" customWidth="1"/>
    <col min="6660" max="6660" width="8.88671875" style="7"/>
    <col min="6661" max="6661" width="14.88671875" style="7" customWidth="1"/>
    <col min="6662" max="6662" width="10.88671875" style="7" customWidth="1"/>
    <col min="6663" max="6914" width="8.88671875" style="7"/>
    <col min="6915" max="6915" width="11.88671875" style="7" customWidth="1"/>
    <col min="6916" max="6916" width="8.88671875" style="7"/>
    <col min="6917" max="6917" width="14.88671875" style="7" customWidth="1"/>
    <col min="6918" max="6918" width="10.88671875" style="7" customWidth="1"/>
    <col min="6919" max="7170" width="8.88671875" style="7"/>
    <col min="7171" max="7171" width="11.88671875" style="7" customWidth="1"/>
    <col min="7172" max="7172" width="8.88671875" style="7"/>
    <col min="7173" max="7173" width="14.88671875" style="7" customWidth="1"/>
    <col min="7174" max="7174" width="10.88671875" style="7" customWidth="1"/>
    <col min="7175" max="7426" width="8.88671875" style="7"/>
    <col min="7427" max="7427" width="11.88671875" style="7" customWidth="1"/>
    <col min="7428" max="7428" width="8.88671875" style="7"/>
    <col min="7429" max="7429" width="14.88671875" style="7" customWidth="1"/>
    <col min="7430" max="7430" width="10.88671875" style="7" customWidth="1"/>
    <col min="7431" max="7682" width="8.88671875" style="7"/>
    <col min="7683" max="7683" width="11.88671875" style="7" customWidth="1"/>
    <col min="7684" max="7684" width="8.88671875" style="7"/>
    <col min="7685" max="7685" width="14.88671875" style="7" customWidth="1"/>
    <col min="7686" max="7686" width="10.88671875" style="7" customWidth="1"/>
    <col min="7687" max="7938" width="8.88671875" style="7"/>
    <col min="7939" max="7939" width="11.88671875" style="7" customWidth="1"/>
    <col min="7940" max="7940" width="8.88671875" style="7"/>
    <col min="7941" max="7941" width="14.88671875" style="7" customWidth="1"/>
    <col min="7942" max="7942" width="10.88671875" style="7" customWidth="1"/>
    <col min="7943" max="8194" width="8.88671875" style="7"/>
    <col min="8195" max="8195" width="11.88671875" style="7" customWidth="1"/>
    <col min="8196" max="8196" width="8.88671875" style="7"/>
    <col min="8197" max="8197" width="14.88671875" style="7" customWidth="1"/>
    <col min="8198" max="8198" width="10.88671875" style="7" customWidth="1"/>
    <col min="8199" max="8450" width="8.88671875" style="7"/>
    <col min="8451" max="8451" width="11.88671875" style="7" customWidth="1"/>
    <col min="8452" max="8452" width="8.88671875" style="7"/>
    <col min="8453" max="8453" width="14.88671875" style="7" customWidth="1"/>
    <col min="8454" max="8454" width="10.88671875" style="7" customWidth="1"/>
    <col min="8455" max="8706" width="8.88671875" style="7"/>
    <col min="8707" max="8707" width="11.88671875" style="7" customWidth="1"/>
    <col min="8708" max="8708" width="8.88671875" style="7"/>
    <col min="8709" max="8709" width="14.88671875" style="7" customWidth="1"/>
    <col min="8710" max="8710" width="10.88671875" style="7" customWidth="1"/>
    <col min="8711" max="8962" width="8.88671875" style="7"/>
    <col min="8963" max="8963" width="11.88671875" style="7" customWidth="1"/>
    <col min="8964" max="8964" width="8.88671875" style="7"/>
    <col min="8965" max="8965" width="14.88671875" style="7" customWidth="1"/>
    <col min="8966" max="8966" width="10.88671875" style="7" customWidth="1"/>
    <col min="8967" max="9218" width="8.88671875" style="7"/>
    <col min="9219" max="9219" width="11.88671875" style="7" customWidth="1"/>
    <col min="9220" max="9220" width="8.88671875" style="7"/>
    <col min="9221" max="9221" width="14.88671875" style="7" customWidth="1"/>
    <col min="9222" max="9222" width="10.88671875" style="7" customWidth="1"/>
    <col min="9223" max="9474" width="8.88671875" style="7"/>
    <col min="9475" max="9475" width="11.88671875" style="7" customWidth="1"/>
    <col min="9476" max="9476" width="8.88671875" style="7"/>
    <col min="9477" max="9477" width="14.88671875" style="7" customWidth="1"/>
    <col min="9478" max="9478" width="10.88671875" style="7" customWidth="1"/>
    <col min="9479" max="9730" width="8.88671875" style="7"/>
    <col min="9731" max="9731" width="11.88671875" style="7" customWidth="1"/>
    <col min="9732" max="9732" width="8.88671875" style="7"/>
    <col min="9733" max="9733" width="14.88671875" style="7" customWidth="1"/>
    <col min="9734" max="9734" width="10.88671875" style="7" customWidth="1"/>
    <col min="9735" max="9986" width="8.88671875" style="7"/>
    <col min="9987" max="9987" width="11.88671875" style="7" customWidth="1"/>
    <col min="9988" max="9988" width="8.88671875" style="7"/>
    <col min="9989" max="9989" width="14.88671875" style="7" customWidth="1"/>
    <col min="9990" max="9990" width="10.88671875" style="7" customWidth="1"/>
    <col min="9991" max="10242" width="8.88671875" style="7"/>
    <col min="10243" max="10243" width="11.88671875" style="7" customWidth="1"/>
    <col min="10244" max="10244" width="8.88671875" style="7"/>
    <col min="10245" max="10245" width="14.88671875" style="7" customWidth="1"/>
    <col min="10246" max="10246" width="10.88671875" style="7" customWidth="1"/>
    <col min="10247" max="10498" width="8.88671875" style="7"/>
    <col min="10499" max="10499" width="11.88671875" style="7" customWidth="1"/>
    <col min="10500" max="10500" width="8.88671875" style="7"/>
    <col min="10501" max="10501" width="14.88671875" style="7" customWidth="1"/>
    <col min="10502" max="10502" width="10.88671875" style="7" customWidth="1"/>
    <col min="10503" max="10754" width="8.88671875" style="7"/>
    <col min="10755" max="10755" width="11.88671875" style="7" customWidth="1"/>
    <col min="10756" max="10756" width="8.88671875" style="7"/>
    <col min="10757" max="10757" width="14.88671875" style="7" customWidth="1"/>
    <col min="10758" max="10758" width="10.88671875" style="7" customWidth="1"/>
    <col min="10759" max="11010" width="8.88671875" style="7"/>
    <col min="11011" max="11011" width="11.88671875" style="7" customWidth="1"/>
    <col min="11012" max="11012" width="8.88671875" style="7"/>
    <col min="11013" max="11013" width="14.88671875" style="7" customWidth="1"/>
    <col min="11014" max="11014" width="10.88671875" style="7" customWidth="1"/>
    <col min="11015" max="11266" width="8.88671875" style="7"/>
    <col min="11267" max="11267" width="11.88671875" style="7" customWidth="1"/>
    <col min="11268" max="11268" width="8.88671875" style="7"/>
    <col min="11269" max="11269" width="14.88671875" style="7" customWidth="1"/>
    <col min="11270" max="11270" width="10.88671875" style="7" customWidth="1"/>
    <col min="11271" max="11522" width="8.88671875" style="7"/>
    <col min="11523" max="11523" width="11.88671875" style="7" customWidth="1"/>
    <col min="11524" max="11524" width="8.88671875" style="7"/>
    <col min="11525" max="11525" width="14.88671875" style="7" customWidth="1"/>
    <col min="11526" max="11526" width="10.88671875" style="7" customWidth="1"/>
    <col min="11527" max="11778" width="8.88671875" style="7"/>
    <col min="11779" max="11779" width="11.88671875" style="7" customWidth="1"/>
    <col min="11780" max="11780" width="8.88671875" style="7"/>
    <col min="11781" max="11781" width="14.88671875" style="7" customWidth="1"/>
    <col min="11782" max="11782" width="10.88671875" style="7" customWidth="1"/>
    <col min="11783" max="12034" width="8.88671875" style="7"/>
    <col min="12035" max="12035" width="11.88671875" style="7" customWidth="1"/>
    <col min="12036" max="12036" width="8.88671875" style="7"/>
    <col min="12037" max="12037" width="14.88671875" style="7" customWidth="1"/>
    <col min="12038" max="12038" width="10.88671875" style="7" customWidth="1"/>
    <col min="12039" max="12290" width="8.88671875" style="7"/>
    <col min="12291" max="12291" width="11.88671875" style="7" customWidth="1"/>
    <col min="12292" max="12292" width="8.88671875" style="7"/>
    <col min="12293" max="12293" width="14.88671875" style="7" customWidth="1"/>
    <col min="12294" max="12294" width="10.88671875" style="7" customWidth="1"/>
    <col min="12295" max="12546" width="8.88671875" style="7"/>
    <col min="12547" max="12547" width="11.88671875" style="7" customWidth="1"/>
    <col min="12548" max="12548" width="8.88671875" style="7"/>
    <col min="12549" max="12549" width="14.88671875" style="7" customWidth="1"/>
    <col min="12550" max="12550" width="10.88671875" style="7" customWidth="1"/>
    <col min="12551" max="12802" width="8.88671875" style="7"/>
    <col min="12803" max="12803" width="11.88671875" style="7" customWidth="1"/>
    <col min="12804" max="12804" width="8.88671875" style="7"/>
    <col min="12805" max="12805" width="14.88671875" style="7" customWidth="1"/>
    <col min="12806" max="12806" width="10.88671875" style="7" customWidth="1"/>
    <col min="12807" max="13058" width="8.88671875" style="7"/>
    <col min="13059" max="13059" width="11.88671875" style="7" customWidth="1"/>
    <col min="13060" max="13060" width="8.88671875" style="7"/>
    <col min="13061" max="13061" width="14.88671875" style="7" customWidth="1"/>
    <col min="13062" max="13062" width="10.88671875" style="7" customWidth="1"/>
    <col min="13063" max="13314" width="8.88671875" style="7"/>
    <col min="13315" max="13315" width="11.88671875" style="7" customWidth="1"/>
    <col min="13316" max="13316" width="8.88671875" style="7"/>
    <col min="13317" max="13317" width="14.88671875" style="7" customWidth="1"/>
    <col min="13318" max="13318" width="10.88671875" style="7" customWidth="1"/>
    <col min="13319" max="13570" width="8.88671875" style="7"/>
    <col min="13571" max="13571" width="11.88671875" style="7" customWidth="1"/>
    <col min="13572" max="13572" width="8.88671875" style="7"/>
    <col min="13573" max="13573" width="14.88671875" style="7" customWidth="1"/>
    <col min="13574" max="13574" width="10.88671875" style="7" customWidth="1"/>
    <col min="13575" max="13826" width="8.88671875" style="7"/>
    <col min="13827" max="13827" width="11.88671875" style="7" customWidth="1"/>
    <col min="13828" max="13828" width="8.88671875" style="7"/>
    <col min="13829" max="13829" width="14.88671875" style="7" customWidth="1"/>
    <col min="13830" max="13830" width="10.88671875" style="7" customWidth="1"/>
    <col min="13831" max="14082" width="8.88671875" style="7"/>
    <col min="14083" max="14083" width="11.88671875" style="7" customWidth="1"/>
    <col min="14084" max="14084" width="8.88671875" style="7"/>
    <col min="14085" max="14085" width="14.88671875" style="7" customWidth="1"/>
    <col min="14086" max="14086" width="10.88671875" style="7" customWidth="1"/>
    <col min="14087" max="14338" width="8.88671875" style="7"/>
    <col min="14339" max="14339" width="11.88671875" style="7" customWidth="1"/>
    <col min="14340" max="14340" width="8.88671875" style="7"/>
    <col min="14341" max="14341" width="14.88671875" style="7" customWidth="1"/>
    <col min="14342" max="14342" width="10.88671875" style="7" customWidth="1"/>
    <col min="14343" max="14594" width="8.88671875" style="7"/>
    <col min="14595" max="14595" width="11.88671875" style="7" customWidth="1"/>
    <col min="14596" max="14596" width="8.88671875" style="7"/>
    <col min="14597" max="14597" width="14.88671875" style="7" customWidth="1"/>
    <col min="14598" max="14598" width="10.88671875" style="7" customWidth="1"/>
    <col min="14599" max="14850" width="8.88671875" style="7"/>
    <col min="14851" max="14851" width="11.88671875" style="7" customWidth="1"/>
    <col min="14852" max="14852" width="8.88671875" style="7"/>
    <col min="14853" max="14853" width="14.88671875" style="7" customWidth="1"/>
    <col min="14854" max="14854" width="10.88671875" style="7" customWidth="1"/>
    <col min="14855" max="15106" width="8.88671875" style="7"/>
    <col min="15107" max="15107" width="11.88671875" style="7" customWidth="1"/>
    <col min="15108" max="15108" width="8.88671875" style="7"/>
    <col min="15109" max="15109" width="14.88671875" style="7" customWidth="1"/>
    <col min="15110" max="15110" width="10.88671875" style="7" customWidth="1"/>
    <col min="15111" max="15362" width="8.88671875" style="7"/>
    <col min="15363" max="15363" width="11.88671875" style="7" customWidth="1"/>
    <col min="15364" max="15364" width="8.88671875" style="7"/>
    <col min="15365" max="15365" width="14.88671875" style="7" customWidth="1"/>
    <col min="15366" max="15366" width="10.88671875" style="7" customWidth="1"/>
    <col min="15367" max="15618" width="8.88671875" style="7"/>
    <col min="15619" max="15619" width="11.88671875" style="7" customWidth="1"/>
    <col min="15620" max="15620" width="8.88671875" style="7"/>
    <col min="15621" max="15621" width="14.88671875" style="7" customWidth="1"/>
    <col min="15622" max="15622" width="10.88671875" style="7" customWidth="1"/>
    <col min="15623" max="15874" width="8.88671875" style="7"/>
    <col min="15875" max="15875" width="11.88671875" style="7" customWidth="1"/>
    <col min="15876" max="15876" width="8.88671875" style="7"/>
    <col min="15877" max="15877" width="14.88671875" style="7" customWidth="1"/>
    <col min="15878" max="15878" width="10.88671875" style="7" customWidth="1"/>
    <col min="15879" max="16130" width="8.88671875" style="7"/>
    <col min="16131" max="16131" width="11.88671875" style="7" customWidth="1"/>
    <col min="16132" max="16132" width="8.88671875" style="7"/>
    <col min="16133" max="16133" width="14.88671875" style="7" customWidth="1"/>
    <col min="16134" max="16134" width="10.88671875" style="7" customWidth="1"/>
    <col min="16135" max="16384" width="8.88671875" style="7"/>
  </cols>
  <sheetData>
    <row r="2" spans="1:13" x14ac:dyDescent="0.25">
      <c r="A2" s="8" t="s">
        <v>138</v>
      </c>
      <c r="B2" s="8" t="s">
        <v>139</v>
      </c>
      <c r="C2" s="8" t="s">
        <v>140</v>
      </c>
      <c r="D2" s="259" t="s">
        <v>141</v>
      </c>
      <c r="E2" s="259"/>
    </row>
    <row r="3" spans="1:13" x14ac:dyDescent="0.25">
      <c r="A3" s="11">
        <v>0</v>
      </c>
      <c r="B3" s="11">
        <v>0</v>
      </c>
      <c r="C3" s="11">
        <v>1</v>
      </c>
      <c r="D3" s="261">
        <v>4</v>
      </c>
      <c r="E3" s="261"/>
    </row>
    <row r="5" spans="1:13" hidden="1" x14ac:dyDescent="0.25">
      <c r="A5" s="7" t="s">
        <v>103</v>
      </c>
      <c r="B5" s="9" t="s">
        <v>157</v>
      </c>
      <c r="C5" s="9">
        <f>D3</f>
        <v>4</v>
      </c>
      <c r="D5" s="10"/>
    </row>
    <row r="6" spans="1:13" x14ac:dyDescent="0.25">
      <c r="A6" s="7" t="s">
        <v>104</v>
      </c>
      <c r="B6" s="12">
        <v>10</v>
      </c>
      <c r="C6" s="13">
        <v>10</v>
      </c>
      <c r="D6" s="14">
        <f>((100/B6)*C6)/100</f>
        <v>1</v>
      </c>
    </row>
    <row r="7" spans="1:13" x14ac:dyDescent="0.25">
      <c r="A7" s="7" t="s">
        <v>105</v>
      </c>
      <c r="B7" s="12">
        <f>A3+B3+C3+D3</f>
        <v>5</v>
      </c>
      <c r="C7" s="13">
        <v>0</v>
      </c>
      <c r="D7" s="14">
        <f t="shared" ref="D7:D12" si="0">((100/B7)*C7)/100</f>
        <v>0</v>
      </c>
      <c r="F7" s="262" t="s">
        <v>158</v>
      </c>
      <c r="G7" s="262"/>
      <c r="H7" s="15" t="s">
        <v>159</v>
      </c>
      <c r="J7" s="21"/>
    </row>
    <row r="8" spans="1:13" x14ac:dyDescent="0.25">
      <c r="A8" s="7" t="s">
        <v>110</v>
      </c>
      <c r="B8" s="12">
        <f>C5</f>
        <v>4</v>
      </c>
      <c r="C8" s="13">
        <v>0</v>
      </c>
      <c r="D8" s="14">
        <f t="shared" si="0"/>
        <v>0</v>
      </c>
      <c r="F8" s="260" t="s">
        <v>160</v>
      </c>
      <c r="G8" s="260"/>
      <c r="H8" s="12" t="s">
        <v>161</v>
      </c>
    </row>
    <row r="9" spans="1:13" x14ac:dyDescent="0.25">
      <c r="A9" s="7" t="s">
        <v>112</v>
      </c>
      <c r="B9" s="12">
        <f>C5</f>
        <v>4</v>
      </c>
      <c r="C9" s="13">
        <v>0</v>
      </c>
      <c r="D9" s="14">
        <f t="shared" si="0"/>
        <v>0</v>
      </c>
      <c r="F9" s="260" t="s">
        <v>162</v>
      </c>
      <c r="G9" s="260"/>
      <c r="H9" s="12" t="s">
        <v>163</v>
      </c>
    </row>
    <row r="10" spans="1:13" x14ac:dyDescent="0.25">
      <c r="A10" s="7" t="s">
        <v>72</v>
      </c>
      <c r="B10" s="12">
        <f>C5</f>
        <v>4</v>
      </c>
      <c r="C10" s="13">
        <v>0</v>
      </c>
      <c r="D10" s="14">
        <f t="shared" si="0"/>
        <v>0</v>
      </c>
      <c r="F10" s="260" t="s">
        <v>164</v>
      </c>
      <c r="G10" s="260"/>
      <c r="H10" s="12" t="s">
        <v>165</v>
      </c>
    </row>
    <row r="11" spans="1:13" x14ac:dyDescent="0.25">
      <c r="A11" s="16" t="s">
        <v>108</v>
      </c>
      <c r="B11" s="12">
        <f>C5</f>
        <v>4</v>
      </c>
      <c r="C11" s="13">
        <v>0</v>
      </c>
      <c r="D11" s="14">
        <f t="shared" si="0"/>
        <v>0</v>
      </c>
      <c r="F11" s="260" t="s">
        <v>166</v>
      </c>
      <c r="G11" s="260"/>
      <c r="H11" s="12" t="s">
        <v>167</v>
      </c>
    </row>
    <row r="12" spans="1:13" x14ac:dyDescent="0.25">
      <c r="A12" s="7" t="s">
        <v>73</v>
      </c>
      <c r="B12" s="12">
        <f>C5</f>
        <v>4</v>
      </c>
      <c r="C12" s="13">
        <v>0</v>
      </c>
      <c r="D12" s="14">
        <f t="shared" si="0"/>
        <v>0</v>
      </c>
      <c r="F12" s="260" t="s">
        <v>168</v>
      </c>
      <c r="G12" s="260"/>
      <c r="H12" s="12" t="s">
        <v>169</v>
      </c>
    </row>
    <row r="13" spans="1:13" x14ac:dyDescent="0.25">
      <c r="F13" s="260" t="s">
        <v>170</v>
      </c>
      <c r="G13" s="260"/>
      <c r="H13" s="12" t="s">
        <v>171</v>
      </c>
    </row>
    <row r="14" spans="1:13" hidden="1" x14ac:dyDescent="0.25">
      <c r="A14" s="8"/>
      <c r="B14" s="8" t="s">
        <v>109</v>
      </c>
      <c r="C14" s="8" t="s">
        <v>113</v>
      </c>
      <c r="G14" s="8" t="s">
        <v>104</v>
      </c>
      <c r="H14" s="8" t="s">
        <v>106</v>
      </c>
      <c r="I14" s="8" t="s">
        <v>107</v>
      </c>
      <c r="J14" s="8" t="s">
        <v>71</v>
      </c>
      <c r="K14" s="8" t="s">
        <v>72</v>
      </c>
      <c r="L14" s="8" t="s">
        <v>108</v>
      </c>
      <c r="M14" s="8" t="s">
        <v>73</v>
      </c>
    </row>
    <row r="15" spans="1:13" hidden="1" x14ac:dyDescent="0.25">
      <c r="A15" s="8" t="s">
        <v>69</v>
      </c>
      <c r="B15" s="8">
        <f>G15</f>
        <v>10</v>
      </c>
      <c r="C15" s="8">
        <f>G16</f>
        <v>30</v>
      </c>
      <c r="E15" s="259" t="s">
        <v>109</v>
      </c>
      <c r="F15" s="259"/>
      <c r="G15" s="17">
        <f>C6</f>
        <v>10</v>
      </c>
      <c r="H15" s="17">
        <f>40/B7*C7</f>
        <v>0</v>
      </c>
      <c r="I15" s="17">
        <f>15/B8*C8</f>
        <v>0</v>
      </c>
      <c r="J15" s="17">
        <f>10/B9*C9</f>
        <v>0</v>
      </c>
      <c r="K15" s="17">
        <f>10/B10*C10</f>
        <v>0</v>
      </c>
      <c r="L15" s="17">
        <f>5/B11*C11</f>
        <v>0</v>
      </c>
      <c r="M15" s="17">
        <f>5/B12*C12</f>
        <v>0</v>
      </c>
    </row>
    <row r="16" spans="1:13" hidden="1" x14ac:dyDescent="0.25">
      <c r="A16" s="8" t="s">
        <v>70</v>
      </c>
      <c r="B16" s="8">
        <f>H15</f>
        <v>0</v>
      </c>
      <c r="C16" s="8">
        <f>H16</f>
        <v>0</v>
      </c>
      <c r="E16" s="259" t="s">
        <v>111</v>
      </c>
      <c r="F16" s="259"/>
      <c r="G16" s="8">
        <f>G15+20</f>
        <v>30</v>
      </c>
      <c r="H16" s="8">
        <f>30/B7*C7</f>
        <v>0</v>
      </c>
      <c r="I16" s="8">
        <f>15/B8*C8</f>
        <v>0</v>
      </c>
      <c r="J16" s="8">
        <f>10/B9*C9</f>
        <v>0</v>
      </c>
      <c r="K16" s="8">
        <f>5/B10*C10</f>
        <v>0</v>
      </c>
      <c r="L16" s="8">
        <f>5/B11*C11</f>
        <v>0</v>
      </c>
      <c r="M16" s="8">
        <f>5/B12*C12</f>
        <v>0</v>
      </c>
    </row>
    <row r="17" spans="1:8" hidden="1" x14ac:dyDescent="0.25">
      <c r="A17" s="8" t="s">
        <v>107</v>
      </c>
      <c r="B17" s="8">
        <f>I15</f>
        <v>0</v>
      </c>
      <c r="C17" s="8">
        <f>I16</f>
        <v>0</v>
      </c>
    </row>
    <row r="18" spans="1:8" hidden="1" x14ac:dyDescent="0.25">
      <c r="A18" s="8" t="s">
        <v>71</v>
      </c>
      <c r="B18" s="8">
        <f>J15</f>
        <v>0</v>
      </c>
      <c r="C18" s="8">
        <f>J16</f>
        <v>0</v>
      </c>
    </row>
    <row r="19" spans="1:8" hidden="1" x14ac:dyDescent="0.25">
      <c r="A19" s="8" t="s">
        <v>72</v>
      </c>
      <c r="B19" s="8">
        <f>K15</f>
        <v>0</v>
      </c>
      <c r="C19" s="8">
        <f>K16</f>
        <v>0</v>
      </c>
    </row>
    <row r="20" spans="1:8" hidden="1" x14ac:dyDescent="0.25">
      <c r="A20" s="18" t="s">
        <v>108</v>
      </c>
      <c r="B20" s="8">
        <f>L15</f>
        <v>0</v>
      </c>
      <c r="C20" s="8">
        <f>L16</f>
        <v>0</v>
      </c>
    </row>
    <row r="21" spans="1:8" hidden="1" x14ac:dyDescent="0.25">
      <c r="A21" s="8" t="s">
        <v>73</v>
      </c>
      <c r="B21" s="8">
        <f>M15</f>
        <v>0</v>
      </c>
      <c r="C21" s="8">
        <f>M16</f>
        <v>0</v>
      </c>
    </row>
    <row r="22" spans="1:8" x14ac:dyDescent="0.25">
      <c r="A22" s="8" t="s">
        <v>114</v>
      </c>
      <c r="B22" s="19">
        <f>(B15+B16+B17+B18+B19+B20+B21)/100</f>
        <v>0.1</v>
      </c>
      <c r="C22" s="19">
        <f>(C15+C16+C17+C18+C19+C20+C21)/100</f>
        <v>0.3</v>
      </c>
      <c r="F22" s="260" t="s">
        <v>172</v>
      </c>
      <c r="G22" s="260"/>
      <c r="H22" s="12" t="s">
        <v>163</v>
      </c>
    </row>
    <row r="23" spans="1:8" x14ac:dyDescent="0.25">
      <c r="F23" s="260" t="s">
        <v>173</v>
      </c>
      <c r="G23" s="260"/>
      <c r="H23" s="12" t="s">
        <v>174</v>
      </c>
    </row>
    <row r="24" spans="1:8" x14ac:dyDescent="0.25">
      <c r="A24" s="7" t="s">
        <v>146</v>
      </c>
      <c r="B24" s="20">
        <v>0.01</v>
      </c>
      <c r="C24" s="20">
        <v>0.02</v>
      </c>
      <c r="F24" s="260" t="s">
        <v>175</v>
      </c>
      <c r="G24" s="260"/>
      <c r="H24" s="12" t="s">
        <v>176</v>
      </c>
    </row>
    <row r="25" spans="1:8" x14ac:dyDescent="0.25">
      <c r="A25" s="7" t="s">
        <v>147</v>
      </c>
      <c r="B25" s="20">
        <v>0.01</v>
      </c>
      <c r="C25" s="20">
        <v>0.03</v>
      </c>
    </row>
    <row r="26" spans="1:8" x14ac:dyDescent="0.25">
      <c r="A26" s="7" t="s">
        <v>148</v>
      </c>
      <c r="B26" s="20">
        <v>0.03</v>
      </c>
      <c r="C26" s="20">
        <v>0.08</v>
      </c>
    </row>
    <row r="27" spans="1:8" x14ac:dyDescent="0.25">
      <c r="A27" s="7" t="s">
        <v>149</v>
      </c>
      <c r="B27" s="20">
        <v>0.05</v>
      </c>
      <c r="C27" s="20">
        <v>0.15</v>
      </c>
    </row>
    <row r="28" spans="1:8" x14ac:dyDescent="0.25">
      <c r="A28" s="7" t="s">
        <v>150</v>
      </c>
      <c r="B28" s="20">
        <v>7.0000000000000007E-2</v>
      </c>
      <c r="C28" s="20">
        <v>0.2</v>
      </c>
    </row>
    <row r="29" spans="1:8" x14ac:dyDescent="0.25">
      <c r="A29" s="7" t="s">
        <v>151</v>
      </c>
      <c r="B29" s="20">
        <v>0.1</v>
      </c>
      <c r="C29" s="20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36"/>
  <sheetViews>
    <sheetView workbookViewId="0">
      <selection sqref="A1:XFD1048576"/>
    </sheetView>
  </sheetViews>
  <sheetFormatPr defaultRowHeight="14.4" x14ac:dyDescent="0.3"/>
  <cols>
    <col min="2" max="2" width="12.109375" customWidth="1"/>
  </cols>
  <sheetData>
    <row r="2" spans="1:12" x14ac:dyDescent="0.3">
      <c r="B2" s="2" t="s">
        <v>115</v>
      </c>
      <c r="C2" s="263"/>
      <c r="D2" s="263"/>
    </row>
    <row r="3" spans="1:12" x14ac:dyDescent="0.3">
      <c r="D3" s="3"/>
      <c r="E3" s="3"/>
      <c r="F3" s="3"/>
      <c r="G3" s="3"/>
      <c r="H3" s="3"/>
      <c r="I3" s="3"/>
    </row>
    <row r="4" spans="1:12" x14ac:dyDescent="0.3">
      <c r="A4" s="2" t="s">
        <v>116</v>
      </c>
      <c r="B4" s="4" t="s">
        <v>117</v>
      </c>
      <c r="C4" s="264" t="s">
        <v>118</v>
      </c>
      <c r="D4" s="264"/>
      <c r="E4" s="264"/>
      <c r="F4" s="5"/>
      <c r="G4" s="264" t="s">
        <v>119</v>
      </c>
      <c r="H4" s="264"/>
      <c r="I4" s="264"/>
      <c r="J4" s="264" t="s">
        <v>120</v>
      </c>
      <c r="K4" s="264"/>
      <c r="L4" s="264"/>
    </row>
    <row r="5" spans="1:12" x14ac:dyDescent="0.3">
      <c r="A5" s="2">
        <v>1</v>
      </c>
      <c r="B5" s="4"/>
      <c r="C5" s="4" t="s">
        <v>121</v>
      </c>
      <c r="D5" s="4" t="s">
        <v>122</v>
      </c>
      <c r="E5" s="4" t="s">
        <v>82</v>
      </c>
      <c r="F5" s="4"/>
      <c r="G5" s="4" t="s">
        <v>121</v>
      </c>
      <c r="H5" s="4" t="s">
        <v>122</v>
      </c>
      <c r="I5" s="4" t="s">
        <v>82</v>
      </c>
      <c r="J5" s="4" t="s">
        <v>121</v>
      </c>
      <c r="K5" s="4" t="s">
        <v>122</v>
      </c>
      <c r="L5" s="4" t="s">
        <v>82</v>
      </c>
    </row>
    <row r="6" spans="1:12" x14ac:dyDescent="0.3">
      <c r="B6" s="6" t="s">
        <v>123</v>
      </c>
      <c r="C6" s="6"/>
      <c r="D6" s="6"/>
      <c r="E6" s="6">
        <f>C6*D6</f>
        <v>0</v>
      </c>
      <c r="F6" s="6" t="s">
        <v>124</v>
      </c>
      <c r="G6" s="6"/>
      <c r="H6" s="6"/>
      <c r="I6" s="6">
        <f>G6*H6</f>
        <v>0</v>
      </c>
      <c r="J6" s="6"/>
      <c r="K6" s="6"/>
      <c r="L6" s="6">
        <f>J6*K6</f>
        <v>0</v>
      </c>
    </row>
    <row r="7" spans="1:12" x14ac:dyDescent="0.3">
      <c r="B7" s="6"/>
      <c r="C7" s="6"/>
      <c r="D7" s="6"/>
      <c r="E7" s="6">
        <f t="shared" ref="E7:E33" si="0">C7*D7</f>
        <v>0</v>
      </c>
      <c r="F7" s="6" t="s">
        <v>125</v>
      </c>
      <c r="G7" s="6"/>
      <c r="H7" s="6"/>
      <c r="I7" s="6">
        <f t="shared" ref="I7:I29" si="1">G7*H7</f>
        <v>0</v>
      </c>
      <c r="J7" s="6"/>
      <c r="K7" s="6"/>
      <c r="L7" s="6">
        <f t="shared" ref="L7:L29" si="2">J7*K7</f>
        <v>0</v>
      </c>
    </row>
    <row r="8" spans="1:12" x14ac:dyDescent="0.3">
      <c r="B8" s="6"/>
      <c r="C8" s="6"/>
      <c r="D8" s="6"/>
      <c r="E8" s="6">
        <f t="shared" si="0"/>
        <v>0</v>
      </c>
      <c r="F8" s="6"/>
      <c r="G8" s="6"/>
      <c r="H8" s="6"/>
      <c r="I8" s="6">
        <f t="shared" si="1"/>
        <v>0</v>
      </c>
      <c r="J8" s="6"/>
      <c r="K8" s="6"/>
      <c r="L8" s="6">
        <f t="shared" si="2"/>
        <v>0</v>
      </c>
    </row>
    <row r="9" spans="1:12" x14ac:dyDescent="0.3">
      <c r="B9" s="6" t="s">
        <v>126</v>
      </c>
      <c r="C9" s="6"/>
      <c r="D9" s="6"/>
      <c r="E9" s="6">
        <f t="shared" si="0"/>
        <v>0</v>
      </c>
      <c r="F9" s="6" t="s">
        <v>124</v>
      </c>
      <c r="G9" s="6"/>
      <c r="H9" s="6"/>
      <c r="I9" s="6">
        <f t="shared" si="1"/>
        <v>0</v>
      </c>
      <c r="J9" s="6"/>
      <c r="K9" s="6"/>
      <c r="L9" s="6">
        <f t="shared" si="2"/>
        <v>0</v>
      </c>
    </row>
    <row r="10" spans="1:12" x14ac:dyDescent="0.3">
      <c r="B10" s="6"/>
      <c r="C10" s="6"/>
      <c r="D10" s="6"/>
      <c r="E10" s="6">
        <f t="shared" si="0"/>
        <v>0</v>
      </c>
      <c r="F10" s="6" t="s">
        <v>125</v>
      </c>
      <c r="G10" s="6"/>
      <c r="H10" s="6"/>
      <c r="I10" s="6">
        <f t="shared" si="1"/>
        <v>0</v>
      </c>
      <c r="J10" s="6"/>
      <c r="K10" s="6"/>
      <c r="L10" s="6">
        <f t="shared" si="2"/>
        <v>0</v>
      </c>
    </row>
    <row r="11" spans="1:12" x14ac:dyDescent="0.3">
      <c r="B11" s="6"/>
      <c r="C11" s="6"/>
      <c r="D11" s="6"/>
      <c r="E11" s="6">
        <f t="shared" si="0"/>
        <v>0</v>
      </c>
      <c r="F11" s="6"/>
      <c r="G11" s="6"/>
      <c r="H11" s="6"/>
      <c r="I11" s="6">
        <f t="shared" si="1"/>
        <v>0</v>
      </c>
      <c r="J11" s="6"/>
      <c r="K11" s="6"/>
      <c r="L11" s="6">
        <f t="shared" si="2"/>
        <v>0</v>
      </c>
    </row>
    <row r="12" spans="1:12" x14ac:dyDescent="0.3">
      <c r="B12" s="6"/>
      <c r="C12" s="6"/>
      <c r="D12" s="6"/>
      <c r="E12" s="6">
        <f t="shared" si="0"/>
        <v>0</v>
      </c>
      <c r="F12" s="6"/>
      <c r="G12" s="6"/>
      <c r="H12" s="6"/>
      <c r="I12" s="6">
        <f t="shared" si="1"/>
        <v>0</v>
      </c>
      <c r="J12" s="6"/>
      <c r="K12" s="6"/>
      <c r="L12" s="6">
        <f t="shared" si="2"/>
        <v>0</v>
      </c>
    </row>
    <row r="13" spans="1:12" x14ac:dyDescent="0.3">
      <c r="B13" s="6" t="s">
        <v>127</v>
      </c>
      <c r="C13" s="6"/>
      <c r="D13" s="6"/>
      <c r="E13" s="6">
        <f t="shared" si="0"/>
        <v>0</v>
      </c>
      <c r="F13" s="6" t="s">
        <v>124</v>
      </c>
      <c r="G13" s="6"/>
      <c r="H13" s="6"/>
      <c r="I13" s="6">
        <f t="shared" si="1"/>
        <v>0</v>
      </c>
      <c r="J13" s="6"/>
      <c r="K13" s="6"/>
      <c r="L13" s="6">
        <f t="shared" si="2"/>
        <v>0</v>
      </c>
    </row>
    <row r="14" spans="1:12" x14ac:dyDescent="0.3">
      <c r="B14" s="6"/>
      <c r="C14" s="6"/>
      <c r="D14" s="6"/>
      <c r="E14" s="6">
        <f t="shared" si="0"/>
        <v>0</v>
      </c>
      <c r="F14" s="6" t="s">
        <v>125</v>
      </c>
      <c r="G14" s="6"/>
      <c r="H14" s="6"/>
      <c r="I14" s="6">
        <f t="shared" si="1"/>
        <v>0</v>
      </c>
      <c r="J14" s="6"/>
      <c r="K14" s="6"/>
      <c r="L14" s="6">
        <f t="shared" si="2"/>
        <v>0</v>
      </c>
    </row>
    <row r="15" spans="1:12" x14ac:dyDescent="0.3">
      <c r="B15" s="6"/>
      <c r="C15" s="6"/>
      <c r="D15" s="6"/>
      <c r="E15" s="6">
        <f t="shared" si="0"/>
        <v>0</v>
      </c>
      <c r="F15" s="6"/>
      <c r="G15" s="6"/>
      <c r="H15" s="6"/>
      <c r="I15" s="6">
        <f t="shared" si="1"/>
        <v>0</v>
      </c>
      <c r="J15" s="6"/>
      <c r="K15" s="6"/>
      <c r="L15" s="6">
        <f t="shared" si="2"/>
        <v>0</v>
      </c>
    </row>
    <row r="16" spans="1:12" x14ac:dyDescent="0.3">
      <c r="B16" s="6"/>
      <c r="C16" s="6"/>
      <c r="D16" s="6"/>
      <c r="E16" s="6">
        <f t="shared" si="0"/>
        <v>0</v>
      </c>
      <c r="F16" s="6"/>
      <c r="G16" s="6"/>
      <c r="H16" s="6"/>
      <c r="I16" s="6">
        <f t="shared" si="1"/>
        <v>0</v>
      </c>
      <c r="J16" s="6"/>
      <c r="K16" s="6"/>
      <c r="L16" s="6">
        <f t="shared" si="2"/>
        <v>0</v>
      </c>
    </row>
    <row r="17" spans="2:12" x14ac:dyDescent="0.3">
      <c r="B17" s="6" t="s">
        <v>128</v>
      </c>
      <c r="C17" s="6"/>
      <c r="D17" s="6"/>
      <c r="E17" s="6">
        <f t="shared" si="0"/>
        <v>0</v>
      </c>
      <c r="F17" s="6" t="s">
        <v>124</v>
      </c>
      <c r="G17" s="6"/>
      <c r="H17" s="6"/>
      <c r="I17" s="6">
        <f t="shared" si="1"/>
        <v>0</v>
      </c>
      <c r="J17" s="6"/>
      <c r="K17" s="6"/>
      <c r="L17" s="6">
        <f t="shared" si="2"/>
        <v>0</v>
      </c>
    </row>
    <row r="18" spans="2:12" x14ac:dyDescent="0.3">
      <c r="B18" s="6"/>
      <c r="C18" s="6"/>
      <c r="D18" s="6"/>
      <c r="E18" s="6">
        <f t="shared" si="0"/>
        <v>0</v>
      </c>
      <c r="F18" s="6" t="s">
        <v>125</v>
      </c>
      <c r="G18" s="6"/>
      <c r="H18" s="6"/>
      <c r="I18" s="6">
        <f t="shared" si="1"/>
        <v>0</v>
      </c>
      <c r="J18" s="6"/>
      <c r="K18" s="6"/>
      <c r="L18" s="6">
        <f t="shared" si="2"/>
        <v>0</v>
      </c>
    </row>
    <row r="19" spans="2:12" x14ac:dyDescent="0.3">
      <c r="B19" s="6"/>
      <c r="C19" s="6"/>
      <c r="D19" s="6"/>
      <c r="E19" s="6">
        <f t="shared" si="0"/>
        <v>0</v>
      </c>
      <c r="F19" s="6"/>
      <c r="G19" s="6"/>
      <c r="H19" s="6"/>
      <c r="I19" s="6">
        <f t="shared" si="1"/>
        <v>0</v>
      </c>
      <c r="J19" s="6"/>
      <c r="K19" s="6"/>
      <c r="L19" s="6">
        <f t="shared" si="2"/>
        <v>0</v>
      </c>
    </row>
    <row r="20" spans="2:12" x14ac:dyDescent="0.3">
      <c r="B20" s="6" t="s">
        <v>128</v>
      </c>
      <c r="C20" s="6"/>
      <c r="D20" s="6"/>
      <c r="E20" s="6">
        <f t="shared" si="0"/>
        <v>0</v>
      </c>
      <c r="F20" s="6" t="s">
        <v>124</v>
      </c>
      <c r="G20" s="6"/>
      <c r="H20" s="6"/>
      <c r="I20" s="6">
        <f t="shared" si="1"/>
        <v>0</v>
      </c>
      <c r="J20" s="6"/>
      <c r="K20" s="6"/>
      <c r="L20" s="6">
        <f t="shared" si="2"/>
        <v>0</v>
      </c>
    </row>
    <row r="21" spans="2:12" x14ac:dyDescent="0.3">
      <c r="B21" s="6"/>
      <c r="C21" s="6"/>
      <c r="D21" s="6"/>
      <c r="E21" s="6">
        <f t="shared" si="0"/>
        <v>0</v>
      </c>
      <c r="F21" s="6" t="s">
        <v>125</v>
      </c>
      <c r="G21" s="6"/>
      <c r="H21" s="6"/>
      <c r="I21" s="6">
        <f t="shared" si="1"/>
        <v>0</v>
      </c>
      <c r="J21" s="6"/>
      <c r="K21" s="6"/>
      <c r="L21" s="6">
        <f t="shared" si="2"/>
        <v>0</v>
      </c>
    </row>
    <row r="22" spans="2:12" x14ac:dyDescent="0.3">
      <c r="B22" s="6"/>
      <c r="C22" s="6"/>
      <c r="D22" s="6"/>
      <c r="E22" s="6">
        <f t="shared" si="0"/>
        <v>0</v>
      </c>
      <c r="F22" s="6"/>
      <c r="G22" s="6"/>
      <c r="H22" s="6"/>
      <c r="I22" s="6">
        <f t="shared" si="1"/>
        <v>0</v>
      </c>
      <c r="J22" s="6"/>
      <c r="K22" s="6"/>
      <c r="L22" s="6">
        <f t="shared" si="2"/>
        <v>0</v>
      </c>
    </row>
    <row r="23" spans="2:12" x14ac:dyDescent="0.3">
      <c r="B23" s="6" t="s">
        <v>129</v>
      </c>
      <c r="C23" s="6"/>
      <c r="D23" s="6"/>
      <c r="E23" s="6">
        <f t="shared" si="0"/>
        <v>0</v>
      </c>
      <c r="F23" s="6" t="s">
        <v>130</v>
      </c>
      <c r="G23" s="6"/>
      <c r="H23" s="6"/>
      <c r="I23" s="6">
        <f t="shared" si="1"/>
        <v>0</v>
      </c>
      <c r="J23" s="6"/>
      <c r="K23" s="6"/>
      <c r="L23" s="6">
        <f t="shared" si="2"/>
        <v>0</v>
      </c>
    </row>
    <row r="24" spans="2:12" x14ac:dyDescent="0.3">
      <c r="B24" s="6" t="s">
        <v>131</v>
      </c>
      <c r="C24" s="6"/>
      <c r="D24" s="6"/>
      <c r="E24" s="6">
        <f t="shared" si="0"/>
        <v>0</v>
      </c>
      <c r="F24" s="6" t="s">
        <v>130</v>
      </c>
      <c r="G24" s="6"/>
      <c r="H24" s="6"/>
      <c r="I24" s="6">
        <f t="shared" si="1"/>
        <v>0</v>
      </c>
      <c r="J24" s="6"/>
      <c r="K24" s="6"/>
      <c r="L24" s="6">
        <f t="shared" si="2"/>
        <v>0</v>
      </c>
    </row>
    <row r="25" spans="2:12" x14ac:dyDescent="0.3">
      <c r="B25" s="6" t="s">
        <v>132</v>
      </c>
      <c r="C25" s="6"/>
      <c r="D25" s="6"/>
      <c r="E25" s="6">
        <f t="shared" si="0"/>
        <v>0</v>
      </c>
      <c r="F25" s="6" t="s">
        <v>130</v>
      </c>
      <c r="G25" s="6"/>
      <c r="H25" s="6"/>
      <c r="I25" s="6">
        <f t="shared" si="1"/>
        <v>0</v>
      </c>
      <c r="J25" s="6"/>
      <c r="K25" s="6"/>
      <c r="L25" s="6">
        <f t="shared" si="2"/>
        <v>0</v>
      </c>
    </row>
    <row r="26" spans="2:12" x14ac:dyDescent="0.3">
      <c r="B26" s="6"/>
      <c r="C26" s="6"/>
      <c r="D26" s="6"/>
      <c r="E26" s="6">
        <f t="shared" si="0"/>
        <v>0</v>
      </c>
      <c r="F26" s="6"/>
      <c r="G26" s="6"/>
      <c r="H26" s="6"/>
      <c r="I26" s="6">
        <f t="shared" si="1"/>
        <v>0</v>
      </c>
      <c r="J26" s="6"/>
      <c r="K26" s="6"/>
      <c r="L26" s="6">
        <f t="shared" si="2"/>
        <v>0</v>
      </c>
    </row>
    <row r="27" spans="2:12" x14ac:dyDescent="0.3">
      <c r="B27" s="6" t="s">
        <v>133</v>
      </c>
      <c r="C27" s="6"/>
      <c r="D27" s="6"/>
      <c r="E27" s="6">
        <f t="shared" si="0"/>
        <v>0</v>
      </c>
      <c r="F27" s="6"/>
      <c r="G27" s="6"/>
      <c r="H27" s="6"/>
      <c r="I27" s="6">
        <f t="shared" si="1"/>
        <v>0</v>
      </c>
      <c r="J27" s="6"/>
      <c r="K27" s="6"/>
      <c r="L27" s="6">
        <f t="shared" si="2"/>
        <v>0</v>
      </c>
    </row>
    <row r="28" spans="2:12" x14ac:dyDescent="0.3">
      <c r="B28" s="6" t="s">
        <v>134</v>
      </c>
      <c r="C28" s="6"/>
      <c r="D28" s="6"/>
      <c r="E28" s="6">
        <f t="shared" si="0"/>
        <v>0</v>
      </c>
      <c r="F28" s="6"/>
      <c r="G28" s="6"/>
      <c r="H28" s="6"/>
      <c r="I28" s="6">
        <f t="shared" si="1"/>
        <v>0</v>
      </c>
      <c r="J28" s="6"/>
      <c r="K28" s="6"/>
      <c r="L28" s="6">
        <f t="shared" si="2"/>
        <v>0</v>
      </c>
    </row>
    <row r="29" spans="2:12" x14ac:dyDescent="0.3">
      <c r="B29" s="6" t="s">
        <v>135</v>
      </c>
      <c r="C29" s="6"/>
      <c r="D29" s="6"/>
      <c r="E29" s="6">
        <f t="shared" si="0"/>
        <v>0</v>
      </c>
      <c r="F29" s="6"/>
      <c r="G29" s="6"/>
      <c r="H29" s="6"/>
      <c r="I29" s="6">
        <f t="shared" si="1"/>
        <v>0</v>
      </c>
      <c r="J29" s="6"/>
      <c r="K29" s="6"/>
      <c r="L29" s="6">
        <f t="shared" si="2"/>
        <v>0</v>
      </c>
    </row>
    <row r="30" spans="2:12" x14ac:dyDescent="0.3">
      <c r="B30" s="6" t="s">
        <v>136</v>
      </c>
      <c r="C30" s="6"/>
      <c r="D30" s="6"/>
      <c r="E30" s="6">
        <f t="shared" si="0"/>
        <v>0</v>
      </c>
      <c r="F30" s="6"/>
      <c r="G30" s="6"/>
      <c r="H30" s="6"/>
      <c r="I30" s="6">
        <f>G30*H30</f>
        <v>0</v>
      </c>
      <c r="J30" s="6"/>
      <c r="K30" s="6"/>
      <c r="L30" s="6">
        <f>J30*K30</f>
        <v>0</v>
      </c>
    </row>
    <row r="31" spans="2:12" x14ac:dyDescent="0.3">
      <c r="B31" s="6"/>
      <c r="C31" s="6"/>
      <c r="D31" s="6"/>
      <c r="E31" s="6">
        <f t="shared" si="0"/>
        <v>0</v>
      </c>
      <c r="F31" s="6"/>
      <c r="G31" s="6"/>
      <c r="H31" s="6"/>
      <c r="I31" s="6">
        <f>G31*H31</f>
        <v>0</v>
      </c>
      <c r="J31" s="6"/>
      <c r="K31" s="6"/>
      <c r="L31" s="6">
        <f>J31*K31</f>
        <v>0</v>
      </c>
    </row>
    <row r="32" spans="2:12" x14ac:dyDescent="0.3">
      <c r="B32" s="6"/>
      <c r="C32" s="6"/>
      <c r="D32" s="6"/>
      <c r="E32" s="6">
        <f t="shared" si="0"/>
        <v>0</v>
      </c>
      <c r="F32" s="6"/>
      <c r="G32" s="6"/>
      <c r="H32" s="6"/>
      <c r="I32" s="6">
        <f>G32*H32</f>
        <v>0</v>
      </c>
      <c r="J32" s="6"/>
      <c r="K32" s="6"/>
      <c r="L32" s="6">
        <f>J32*K32</f>
        <v>0</v>
      </c>
    </row>
    <row r="33" spans="2:12" x14ac:dyDescent="0.3">
      <c r="B33" s="6"/>
      <c r="C33" s="6"/>
      <c r="D33" s="6"/>
      <c r="E33" s="6">
        <f t="shared" si="0"/>
        <v>0</v>
      </c>
      <c r="F33" s="6"/>
      <c r="G33" s="6"/>
      <c r="H33" s="6"/>
      <c r="I33" s="6">
        <f>G33*H33</f>
        <v>0</v>
      </c>
      <c r="J33" s="6"/>
      <c r="K33" s="6"/>
      <c r="L33" s="6">
        <f>J33*K33</f>
        <v>0</v>
      </c>
    </row>
    <row r="34" spans="2:12" x14ac:dyDescent="0.3">
      <c r="B34" s="6" t="s">
        <v>83</v>
      </c>
      <c r="C34" s="6"/>
      <c r="D34" s="6">
        <f>E34*10.764</f>
        <v>0</v>
      </c>
      <c r="E34" s="6">
        <f>SUM(E6:E33)</f>
        <v>0</v>
      </c>
      <c r="F34" s="6"/>
      <c r="G34" s="6"/>
      <c r="H34" s="6">
        <f>I34*10.764</f>
        <v>0</v>
      </c>
      <c r="I34" s="6">
        <f>SUM(I6:I33)</f>
        <v>0</v>
      </c>
      <c r="J34" s="6"/>
      <c r="K34" s="6">
        <f>L34*10.764</f>
        <v>0</v>
      </c>
      <c r="L34" s="6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Report (2)</vt:lpstr>
      <vt:lpstr>Note</vt:lpstr>
      <vt:lpstr>Valuation</vt:lpstr>
      <vt:lpstr>C%</vt:lpstr>
      <vt:lpstr>C% (2)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2025-07-09T13:27:38Z</cp:lastPrinted>
  <dcterms:created xsi:type="dcterms:W3CDTF">2019-07-16T09:29:46Z</dcterms:created>
  <dcterms:modified xsi:type="dcterms:W3CDTF">2025-07-09T13:27:39Z</dcterms:modified>
</cp:coreProperties>
</file>