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DAC9442C-8A82-4723-9CA4-24538606964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A241" i="1" l="1"/>
  <c r="K192" i="1"/>
  <c r="D220" i="1"/>
  <c r="D219" i="1"/>
  <c r="E220" i="1"/>
  <c r="E196" i="1"/>
  <c r="E195" i="1"/>
  <c r="E194" i="1"/>
  <c r="E193" i="1"/>
  <c r="I181" i="1"/>
  <c r="I182" i="1"/>
  <c r="I184" i="1"/>
  <c r="I187" i="1"/>
  <c r="I163" i="1"/>
  <c r="D156" i="1"/>
  <c r="I148" i="1"/>
  <c r="I223" i="1" l="1"/>
  <c r="I219" i="1"/>
  <c r="I189" i="1"/>
  <c r="D172" i="1"/>
  <c r="D235" i="1" l="1"/>
  <c r="D238" i="1"/>
  <c r="D237" i="1"/>
  <c r="D236" i="1"/>
  <c r="D234" i="1"/>
  <c r="D233" i="1"/>
  <c r="D231" i="1"/>
  <c r="D230" i="1"/>
  <c r="D229" i="1"/>
  <c r="D228" i="1"/>
  <c r="D227" i="1"/>
  <c r="D226" i="1"/>
  <c r="F234" i="1"/>
  <c r="D224" i="1"/>
  <c r="F224" i="1" s="1"/>
  <c r="D223" i="1"/>
  <c r="F223" i="1" s="1"/>
  <c r="D222" i="1"/>
  <c r="F222" i="1" s="1"/>
  <c r="D221" i="1"/>
  <c r="E222" i="1"/>
  <c r="E221" i="1"/>
  <c r="A220" i="1"/>
  <c r="A221" i="1" s="1"/>
  <c r="A222" i="1" s="1"/>
  <c r="A223" i="1" s="1"/>
  <c r="A224" i="1" s="1"/>
  <c r="E41" i="1"/>
  <c r="D176" i="1"/>
  <c r="D174" i="1"/>
  <c r="F172" i="1"/>
  <c r="D167" i="1"/>
  <c r="D166" i="1"/>
  <c r="D165" i="1"/>
  <c r="D164" i="1"/>
  <c r="D163" i="1"/>
  <c r="C133" i="1" s="1"/>
  <c r="I199" i="1"/>
  <c r="D216" i="1"/>
  <c r="D215" i="1"/>
  <c r="D214" i="1"/>
  <c r="D213" i="1"/>
  <c r="D212" i="1"/>
  <c r="F212" i="1" s="1"/>
  <c r="D211" i="1"/>
  <c r="D210" i="1"/>
  <c r="D209" i="1"/>
  <c r="E192" i="1"/>
  <c r="D198" i="1"/>
  <c r="D197" i="1"/>
  <c r="D196" i="1"/>
  <c r="D195" i="1"/>
  <c r="D194" i="1"/>
  <c r="D193" i="1"/>
  <c r="D192" i="1"/>
  <c r="D191" i="1"/>
  <c r="D189" i="1"/>
  <c r="D188" i="1"/>
  <c r="D182" i="1"/>
  <c r="D207" i="1"/>
  <c r="D206" i="1"/>
  <c r="D205" i="1"/>
  <c r="D204" i="1"/>
  <c r="D203" i="1"/>
  <c r="D202" i="1"/>
  <c r="D201" i="1"/>
  <c r="D200" i="1"/>
  <c r="E138" i="1" l="1"/>
  <c r="C138" i="1"/>
  <c r="C139" i="1"/>
  <c r="G51" i="1"/>
  <c r="C51" i="1"/>
  <c r="C140" i="1" l="1"/>
  <c r="B253" i="1"/>
  <c r="B254" i="1" s="1"/>
  <c r="B255" i="1" s="1"/>
  <c r="B256" i="1" s="1"/>
  <c r="B257" i="1" s="1"/>
  <c r="G170" i="1" l="1"/>
  <c r="F125" i="1" l="1"/>
  <c r="F238" i="1" l="1"/>
  <c r="F237" i="1"/>
  <c r="I236" i="1"/>
  <c r="F236" i="1"/>
  <c r="F235" i="1"/>
  <c r="G233" i="1"/>
  <c r="G234" i="1" s="1"/>
  <c r="G235" i="1" s="1"/>
  <c r="F233" i="1"/>
  <c r="F230" i="1"/>
  <c r="J219" i="1"/>
  <c r="F176" i="1"/>
  <c r="D175" i="1"/>
  <c r="F175" i="1" s="1"/>
  <c r="F174" i="1"/>
  <c r="D173" i="1"/>
  <c r="D171" i="1"/>
  <c r="F171" i="1" s="1"/>
  <c r="D170" i="1"/>
  <c r="A171" i="1"/>
  <c r="A173" i="1" s="1"/>
  <c r="A174" i="1" s="1"/>
  <c r="A175" i="1" s="1"/>
  <c r="A176" i="1" s="1"/>
  <c r="G171" i="1"/>
  <c r="F216" i="1"/>
  <c r="F215" i="1"/>
  <c r="F214" i="1"/>
  <c r="F213" i="1"/>
  <c r="F211" i="1"/>
  <c r="F210" i="1"/>
  <c r="A210" i="1"/>
  <c r="A211" i="1" s="1"/>
  <c r="A212" i="1" s="1"/>
  <c r="A213" i="1" s="1"/>
  <c r="A214" i="1" s="1"/>
  <c r="A215" i="1" s="1"/>
  <c r="A216" i="1" s="1"/>
  <c r="G209" i="1"/>
  <c r="G210" i="1" s="1"/>
  <c r="G211" i="1" s="1"/>
  <c r="G212" i="1" s="1"/>
  <c r="G213" i="1" s="1"/>
  <c r="G214" i="1" s="1"/>
  <c r="G215" i="1" s="1"/>
  <c r="G216" i="1" s="1"/>
  <c r="F209" i="1"/>
  <c r="I209" i="1" s="1"/>
  <c r="F207" i="1"/>
  <c r="I207" i="1" s="1"/>
  <c r="F206" i="1"/>
  <c r="F205" i="1"/>
  <c r="F204" i="1"/>
  <c r="F203" i="1"/>
  <c r="I203" i="1" s="1"/>
  <c r="F202" i="1"/>
  <c r="F201" i="1"/>
  <c r="F200" i="1"/>
  <c r="A201" i="1"/>
  <c r="A202" i="1" s="1"/>
  <c r="A203" i="1" s="1"/>
  <c r="A204" i="1" s="1"/>
  <c r="A205" i="1" s="1"/>
  <c r="A206" i="1" s="1"/>
  <c r="A207" i="1" s="1"/>
  <c r="G200" i="1"/>
  <c r="G201" i="1" s="1"/>
  <c r="G202" i="1" s="1"/>
  <c r="G203" i="1" s="1"/>
  <c r="G204" i="1" s="1"/>
  <c r="G205" i="1" s="1"/>
  <c r="G206" i="1" s="1"/>
  <c r="G207" i="1" s="1"/>
  <c r="F198" i="1"/>
  <c r="F197" i="1"/>
  <c r="F196" i="1"/>
  <c r="F170" i="1" l="1"/>
  <c r="C129" i="1"/>
  <c r="G173" i="1"/>
  <c r="G174" i="1" s="1"/>
  <c r="G175" i="1" s="1"/>
  <c r="G176" i="1" s="1"/>
  <c r="G172" i="1"/>
  <c r="G134" i="1"/>
  <c r="C134" i="1"/>
  <c r="F173" i="1"/>
  <c r="E129" i="1"/>
  <c r="E134" i="1"/>
  <c r="G237" i="1"/>
  <c r="G236" i="1"/>
  <c r="G238" i="1" s="1"/>
  <c r="F189" i="1"/>
  <c r="F188" i="1"/>
  <c r="J182" i="1"/>
  <c r="F167" i="1"/>
  <c r="F166" i="1"/>
  <c r="F165" i="1"/>
  <c r="F164" i="1"/>
  <c r="D161" i="1"/>
  <c r="F161" i="1" s="1"/>
  <c r="D160" i="1"/>
  <c r="F160" i="1" s="1"/>
  <c r="D159" i="1"/>
  <c r="D158" i="1"/>
  <c r="D157" i="1"/>
  <c r="D155" i="1"/>
  <c r="D154" i="1"/>
  <c r="D153" i="1"/>
  <c r="D152" i="1"/>
  <c r="D151" i="1"/>
  <c r="D150" i="1"/>
  <c r="D149" i="1"/>
  <c r="D148" i="1"/>
  <c r="A164" i="1"/>
  <c r="A165" i="1" s="1"/>
  <c r="A166" i="1" s="1"/>
  <c r="A167" i="1" s="1"/>
  <c r="G163" i="1"/>
  <c r="G164" i="1" s="1"/>
  <c r="G165" i="1" s="1"/>
  <c r="G166" i="1" s="1"/>
  <c r="G167" i="1" s="1"/>
  <c r="G182" i="1"/>
  <c r="J161" i="1"/>
  <c r="J148" i="1"/>
  <c r="G129" i="1" l="1"/>
  <c r="F148" i="1"/>
  <c r="C128" i="1"/>
  <c r="F163" i="1"/>
  <c r="G133" i="1" s="1"/>
  <c r="G135" i="1" s="1"/>
  <c r="C135" i="1"/>
  <c r="E133" i="1"/>
  <c r="E135" i="1" s="1"/>
  <c r="F182" i="1"/>
  <c r="C130" i="1"/>
  <c r="C141" i="1" s="1"/>
  <c r="E128" i="1"/>
  <c r="E130" i="1" s="1"/>
  <c r="F159" i="1" l="1"/>
  <c r="F158" i="1"/>
  <c r="F157" i="1"/>
  <c r="F156" i="1"/>
  <c r="F155" i="1"/>
  <c r="I155" i="1" s="1"/>
  <c r="F154" i="1"/>
  <c r="F153" i="1"/>
  <c r="F152" i="1"/>
  <c r="B242" i="1" l="1"/>
  <c r="C14" i="1" l="1"/>
  <c r="E29" i="1" l="1"/>
  <c r="F149" i="1" l="1"/>
  <c r="F150" i="1"/>
  <c r="F151" i="1"/>
  <c r="G128" i="1" l="1"/>
  <c r="G130" i="1" s="1"/>
  <c r="B241" i="1"/>
  <c r="F231" i="1" l="1"/>
  <c r="F229" i="1"/>
  <c r="F228" i="1"/>
  <c r="F227" i="1"/>
  <c r="F226" i="1"/>
  <c r="F221" i="1"/>
  <c r="F220" i="1"/>
  <c r="F219" i="1"/>
  <c r="F195" i="1"/>
  <c r="F194" i="1"/>
  <c r="F192" i="1"/>
  <c r="F191" i="1"/>
  <c r="F193" i="1"/>
  <c r="E139" i="1" l="1"/>
  <c r="E140" i="1" s="1"/>
  <c r="G139" i="1"/>
  <c r="G138" i="1"/>
  <c r="G140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9" i="1"/>
  <c r="G226" i="1"/>
  <c r="G227" i="1" s="1"/>
  <c r="G228" i="1" s="1"/>
  <c r="G219" i="1"/>
  <c r="G220" i="1" s="1"/>
  <c r="G221" i="1" s="1"/>
  <c r="G222" i="1" s="1"/>
  <c r="G223" i="1" s="1"/>
  <c r="G224" i="1" s="1"/>
  <c r="G191" i="1"/>
  <c r="A192" i="1"/>
  <c r="A193" i="1" s="1"/>
  <c r="A194" i="1" s="1"/>
  <c r="A195" i="1" s="1"/>
  <c r="A196" i="1" s="1"/>
  <c r="A197" i="1" s="1"/>
  <c r="A198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G148" i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J111" i="1"/>
  <c r="J110" i="1"/>
  <c r="J109" i="1"/>
  <c r="J108" i="1"/>
  <c r="C100" i="1"/>
  <c r="J97" i="1"/>
  <c r="J96" i="1"/>
  <c r="J95" i="1"/>
  <c r="J94" i="1"/>
  <c r="C86" i="1"/>
  <c r="J83" i="1"/>
  <c r="J82" i="1"/>
  <c r="J81" i="1"/>
  <c r="J80" i="1"/>
  <c r="D59" i="1"/>
  <c r="C49" i="1"/>
  <c r="C52" i="1" s="1"/>
  <c r="E42" i="1"/>
  <c r="E43" i="1" s="1"/>
  <c r="E26" i="1"/>
  <c r="E24" i="1"/>
  <c r="E7" i="1"/>
  <c r="E3" i="1"/>
  <c r="H101" i="1"/>
  <c r="H87" i="1"/>
  <c r="H73" i="1"/>
  <c r="G141" i="1" l="1"/>
  <c r="E141" i="1"/>
  <c r="J130" i="1"/>
  <c r="G229" i="1"/>
  <c r="G231" i="1" s="1"/>
  <c r="G230" i="1"/>
  <c r="D66" i="1"/>
  <c r="D97" i="1"/>
  <c r="D98" i="1"/>
  <c r="D99" i="1"/>
  <c r="D93" i="1"/>
  <c r="D94" i="1"/>
  <c r="D95" i="1"/>
  <c r="D96" i="1"/>
  <c r="J86" i="1"/>
  <c r="D85" i="1"/>
  <c r="D83" i="1"/>
  <c r="D82" i="1"/>
  <c r="D81" i="1"/>
  <c r="D79" i="1"/>
  <c r="J72" i="1"/>
  <c r="D84" i="1"/>
  <c r="D80" i="1"/>
  <c r="J76" i="1"/>
  <c r="J77" i="1"/>
  <c r="C76" i="1" s="1"/>
  <c r="J75" i="1"/>
  <c r="J78" i="1"/>
  <c r="C106" i="1"/>
  <c r="J100" i="1" s="1"/>
  <c r="J104" i="1"/>
  <c r="D113" i="1"/>
  <c r="D111" i="1"/>
  <c r="D109" i="1"/>
  <c r="D107" i="1"/>
  <c r="J105" i="1"/>
  <c r="C104" i="1" s="1"/>
  <c r="J103" i="1"/>
  <c r="J106" i="1"/>
  <c r="J107" i="1" s="1"/>
  <c r="J112" i="1" s="1"/>
  <c r="J113" i="1" s="1"/>
  <c r="C105" i="1" s="1"/>
  <c r="D112" i="1"/>
  <c r="D110" i="1"/>
  <c r="D108" i="1"/>
  <c r="J92" i="1"/>
  <c r="J93" i="1" s="1"/>
  <c r="J90" i="1"/>
  <c r="J91" i="1"/>
  <c r="C90" i="1" s="1"/>
  <c r="J89" i="1"/>
  <c r="J79" i="1" l="1"/>
  <c r="J98" i="1"/>
  <c r="D106" i="1"/>
  <c r="J102" i="1"/>
  <c r="D104" i="1"/>
  <c r="J101" i="1" s="1"/>
  <c r="D92" i="1"/>
  <c r="J88" i="1"/>
  <c r="D78" i="1"/>
  <c r="J74" i="1"/>
  <c r="D76" i="1"/>
  <c r="D90" i="1"/>
  <c r="E104" i="1"/>
  <c r="D105" i="1"/>
  <c r="G104" i="1"/>
  <c r="J99" i="1" l="1"/>
  <c r="C91" i="1" s="1"/>
  <c r="D91" i="1" s="1"/>
  <c r="I87" i="1" s="1"/>
  <c r="I88" i="1" s="1"/>
  <c r="J84" i="1"/>
  <c r="J85" i="1" s="1"/>
  <c r="C77" i="1" s="1"/>
  <c r="I101" i="1"/>
  <c r="J73" i="1" l="1"/>
  <c r="J87" i="1"/>
  <c r="I86" i="1" s="1"/>
  <c r="C88" i="1" s="1"/>
  <c r="G90" i="1"/>
  <c r="E76" i="1"/>
  <c r="E90" i="1"/>
  <c r="D77" i="1"/>
  <c r="I73" i="1" s="1"/>
  <c r="I74" i="1" s="1"/>
  <c r="G76" i="1"/>
  <c r="D70" i="1" s="1"/>
  <c r="I102" i="1"/>
  <c r="I100" i="1" s="1"/>
  <c r="C102" i="1" s="1"/>
  <c r="I72" i="1" l="1"/>
  <c r="C74" i="1" s="1"/>
  <c r="F71" i="1"/>
  <c r="D71" i="1"/>
</calcChain>
</file>

<file path=xl/sharedStrings.xml><?xml version="1.0" encoding="utf-8"?>
<sst xmlns="http://schemas.openxmlformats.org/spreadsheetml/2006/main" count="459" uniqueCount="270">
  <si>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</si>
  <si>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</si>
  <si>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</si>
  <si>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</si>
  <si>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</si>
  <si>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</si>
  <si>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</si>
  <si>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</si>
  <si>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</si>
  <si>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</si>
  <si>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</si>
  <si>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</si>
  <si>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</si>
  <si>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</si>
  <si>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</si>
  <si>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</si>
  <si>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</si>
  <si>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</si>
  <si>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</si>
  <si>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</si>
  <si>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</si>
  <si>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</si>
  <si>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</si>
  <si>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</si>
  <si>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</si>
  <si>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</si>
  <si>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</si>
  <si>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</si>
  <si>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</si>
  <si>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</si>
  <si>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</si>
  <si>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</si>
  <si>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</si>
  <si>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</si>
  <si>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</si>
  <si>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</si>
  <si>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</si>
  <si>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</si>
  <si>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</si>
  <si>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</si>
  <si>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</si>
  <si>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</si>
  <si>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</si>
  <si>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</si>
  <si>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</si>
  <si>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</si>
  <si>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</si>
  <si>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</si>
  <si>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</si>
  <si>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</si>
  <si>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</si>
  <si>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</si>
  <si>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</si>
  <si>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</si>
  <si>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</si>
  <si>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</si>
  <si>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</si>
  <si>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</si>
  <si>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</si>
  <si>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</si>
  <si>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</si>
  <si>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</si>
  <si>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</si>
  <si>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</si>
  <si>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</si>
  <si>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</si>
  <si>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</si>
  <si>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</si>
  <si>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</si>
  <si>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</si>
  <si>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</si>
  <si>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</si>
  <si>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</si>
  <si>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</si>
  <si>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</si>
  <si>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</si>
  <si>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</si>
  <si>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</si>
  <si>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</si>
  <si>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</si>
  <si>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</si>
  <si>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</si>
  <si>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</si>
  <si>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</si>
  <si>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</si>
  <si>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</si>
  <si>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</si>
  <si>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</si>
  <si>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</si>
  <si>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</si>
  <si>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</si>
  <si>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</si>
  <si>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</si>
  <si>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</si>
  <si>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</si>
  <si>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</si>
  <si>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</si>
  <si>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</si>
  <si>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</si>
  <si>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</si>
  <si>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</si>
  <si>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</si>
  <si>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</si>
  <si>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</si>
  <si>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</si>
  <si>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</si>
  <si>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</si>
  <si>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</si>
  <si>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</si>
  <si>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</si>
  <si>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</si>
  <si>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</si>
  <si>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</si>
  <si>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</si>
  <si>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</si>
  <si>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</si>
  <si>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</si>
  <si>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</si>
  <si>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</si>
  <si>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</si>
  <si>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</si>
  <si>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</si>
  <si>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</si>
  <si>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</si>
  <si>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</si>
  <si>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</si>
  <si>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</si>
  <si>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</si>
  <si>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</si>
  <si>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</si>
  <si>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</si>
  <si>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</si>
  <si>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</si>
  <si>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</si>
  <si>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</si>
  <si>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</si>
  <si>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</si>
  <si>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</si>
  <si>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</si>
  <si>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</si>
  <si>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</si>
  <si>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</si>
  <si>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</si>
  <si>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</si>
  <si>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</si>
  <si>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</si>
  <si>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</si>
  <si>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</si>
  <si>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</si>
  <si>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</si>
  <si>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</si>
  <si>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</si>
  <si>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</si>
  <si>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</si>
  <si>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</si>
  <si>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</si>
  <si>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</si>
  <si>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</si>
  <si>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</si>
  <si>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</si>
  <si>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</si>
  <si>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</si>
  <si>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</si>
  <si>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</si>
  <si>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</si>
  <si>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</si>
  <si>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</si>
  <si>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M/s. Shree Krishna Buildcon</t>
  </si>
  <si>
    <t>Shree Krishna Bhoomi</t>
  </si>
  <si>
    <t>9821431070/9820305014/8976762032</t>
  </si>
  <si>
    <t>P99000034992</t>
  </si>
  <si>
    <t>Survey No</t>
  </si>
  <si>
    <t>Juchandra</t>
  </si>
  <si>
    <t>Palghar</t>
  </si>
  <si>
    <t>Vasai</t>
  </si>
  <si>
    <t>Naigoan East</t>
  </si>
  <si>
    <t>Naigoan</t>
  </si>
  <si>
    <t>BG Kini Rd</t>
  </si>
  <si>
    <t>Jay Vijay Nagar Building</t>
  </si>
  <si>
    <t xml:space="preserve">Vasai Virar City Municipal Corporation </t>
  </si>
  <si>
    <t>VVCMC/TP/CC/VP-6450/464/2021-22</t>
  </si>
  <si>
    <t>358B/5 (Plot - E)</t>
  </si>
  <si>
    <t>As per RERA - 31/12/2025</t>
  </si>
  <si>
    <t>C Wing = G + 1st to 16th Floor</t>
  </si>
  <si>
    <t>Shop</t>
  </si>
  <si>
    <t>Office</t>
  </si>
  <si>
    <t>1BHK</t>
  </si>
  <si>
    <t>2BHK</t>
  </si>
  <si>
    <t>A Wing</t>
  </si>
  <si>
    <t>B Wing</t>
  </si>
  <si>
    <t>Navnath</t>
  </si>
  <si>
    <t>Commercial Area Details : Shops</t>
  </si>
  <si>
    <t>Commercial Area Details : Office</t>
  </si>
  <si>
    <t>Seven Square Academy -Naigaon</t>
  </si>
  <si>
    <t>Building No. 1(A, B, C) = Gr/St + 1st to 16th Floor</t>
  </si>
  <si>
    <t>Water, Electricity, Drainages, Sewerage Connection, Development Charges</t>
  </si>
  <si>
    <t>Advance Maintenance Charges, Society Formation Charges</t>
  </si>
  <si>
    <t>As per RERA project consist of A, B &amp; C Wings, but approved plans of A &amp; B Wing is provided. Hence we have drafted A &amp; B Wing.</t>
  </si>
  <si>
    <t>9000 TO 14000</t>
  </si>
  <si>
    <t>Nikhil</t>
  </si>
  <si>
    <t>Cost Sheet</t>
  </si>
  <si>
    <t>Broker Key solutions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</si>
  <si>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</si>
  <si>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Site Meet Person Contact Details ( Name &amp; Contact No.)</t>
  </si>
  <si>
    <t>Latitude,Longitude</t>
  </si>
  <si>
    <t>A &amp; B Wing = Construction work is in process at the time of Visit.</t>
  </si>
  <si>
    <t>Sr No.</t>
  </si>
  <si>
    <t>Visit Date</t>
  </si>
  <si>
    <t>Phase II(Bldg No. 2) =Excavation work in process(Work is same as last visit 13/05/2024).</t>
  </si>
  <si>
    <t xml:space="preserve"> 19/07/2022</t>
  </si>
  <si>
    <t>Wing A = Work not yet Started
Wing B = Piling work in process</t>
  </si>
  <si>
    <t>Wing A = Footing work Completed
Wing B =  Plinth work is process</t>
  </si>
  <si>
    <t xml:space="preserve">Wing A = Footing work Completed
Wing B =  Plinth Completed </t>
  </si>
  <si>
    <t>Wing A = RCC work upto 2 Slab Completed.
Wing B = RCC work upto 1 Slab Completed.</t>
  </si>
  <si>
    <t>Wing A = RCC work upto 4 Slab Completed.
Wing B = RCC work upto 3 Slab Completed.</t>
  </si>
  <si>
    <t>Construction work of Wing A &amp; B is from the 1st visit dtd.19/07/2022 to 25/09/2024 (i.e 26 months time span); Wing A has 4 slab completed, and Wing B has 3 slab completed.</t>
  </si>
  <si>
    <t>Stage Of Construction (Wing A &amp; B)</t>
  </si>
  <si>
    <t xml:space="preserve">Wing A = Footing work is process 
Wing B = Footing work Completed </t>
  </si>
  <si>
    <t xml:space="preserve">Wing A &amp; B = Plinth Completed </t>
  </si>
  <si>
    <t xml:space="preserve">Wing A &amp; B = 1st slab work is in process.
</t>
  </si>
  <si>
    <t>Therefore, the speed of construction work of Wing A &amp; B seems to be very slow.</t>
  </si>
  <si>
    <t>VVCMC/TP/AMEND/VP/6450/302/2023-24</t>
  </si>
  <si>
    <t>As per Layout</t>
  </si>
  <si>
    <t>30.00M Wide DP Road</t>
  </si>
  <si>
    <t>Plot E2</t>
  </si>
  <si>
    <t>Other Plot</t>
  </si>
  <si>
    <t>Building No.1 B Wing = G + 1st to 21st Floor</t>
  </si>
  <si>
    <t>1st Floor for Residential</t>
  </si>
  <si>
    <t>1st Floor for Residential, Commercial &amp; Society Office/Fitness Center</t>
  </si>
  <si>
    <t>3rd to 6th, 8th to 11th, 13th to 16th &amp; 18th to 21st Floor</t>
  </si>
  <si>
    <t>2A</t>
  </si>
  <si>
    <t>Ground Floor For Commercial, Entrance Lobby &amp; Parking</t>
  </si>
  <si>
    <t>2nd to 6th, 8th to 11th, 13th to 16th &amp; 18th to 21st Floor</t>
  </si>
  <si>
    <t>02 Buildings</t>
  </si>
  <si>
    <t>Mr. Sushil 9821431070</t>
  </si>
  <si>
    <t>Ground Floor For Commercial, Entrance Lobby &amp; Parking Tower</t>
  </si>
  <si>
    <t>Please Check for Fire Noc.</t>
  </si>
  <si>
    <t>Layout :</t>
  </si>
  <si>
    <t>Grand Total</t>
  </si>
  <si>
    <t>Building No.1  A Wing = G + 1st to 21st Floor
Building No.1  B Wing = G + 1st to 21st Floor
C Wing = G + 1st to 16th Floor</t>
  </si>
  <si>
    <t>19.362559,72.862191</t>
  </si>
  <si>
    <t>https://maps.app.goo.gl/bpDZ323MCuLpyV6z7</t>
  </si>
  <si>
    <t>1.7KM from Juchandra Railway Station</t>
  </si>
  <si>
    <t>Approved Plans, CC</t>
  </si>
  <si>
    <t>Building No. 1(Wing A &amp; B)</t>
  </si>
  <si>
    <t>Parasnath Nagari Uc</t>
  </si>
  <si>
    <t>Open Plot/Parasnath Nagari Uc</t>
  </si>
  <si>
    <t>VVCMC/TP/RDP/VP/6450/302/2023-24</t>
  </si>
  <si>
    <t>Building No. 1(Wing A &amp; B) = Gr/St + 1st to 21st Floor 
Office = 05, Shops = 21 &amp; Flats = 289
(Total BUA Area = 19244.77 Sq.m)</t>
  </si>
  <si>
    <t>1st Floor For Commercial &amp; Society Office/ Fitness Center</t>
  </si>
  <si>
    <t>Commercial Area</t>
  </si>
  <si>
    <t>Society OFFice/Fitness Center</t>
  </si>
  <si>
    <t>1.5BHK</t>
  </si>
  <si>
    <t>7th, 12th &amp; 17th Floor ( Part Refuge Area)</t>
  </si>
  <si>
    <t>1RK</t>
  </si>
  <si>
    <t>7th, 12th &amp; 17th Floor (Refuge Area)</t>
  </si>
  <si>
    <t>We have Updated Revised approved plan &amp; CC (on 25/11/2024)</t>
  </si>
  <si>
    <t>The car parking tower is beside wing B.</t>
  </si>
  <si>
    <t>Flats = 289, Shops = 21, Offices = 05</t>
  </si>
  <si>
    <t>We considered Gross carpet area = Net carpet + Balcony.</t>
  </si>
  <si>
    <t>2nd Floor For Residential</t>
  </si>
  <si>
    <t>Terrace Area For Flat 2 in case if applicable</t>
  </si>
  <si>
    <t>As per the site visit dtd. 22/11/2024, We have observed that the in wing A (Commercial Unit 1 to 5) &amp; Wing B (Flat no. 2, 3 &amp; 4) the construction work is not done as per approved floor plan.(Extra balconies/chajjas &amp; Terrace areas are constructed for flats, and commercial unit areas are extended on the 1st &amp; 2nd floors.)</t>
  </si>
  <si>
    <t>Wing A = RCC work upto 6 Slab Completed.
Wing B = RCC work upto 5 Slab Completed.</t>
  </si>
  <si>
    <t>Remark No. 13 :</t>
  </si>
  <si>
    <t>5200 to  6000 Trupti  verbal 21/12/2024</t>
  </si>
  <si>
    <t>Recommended Rates/Other Charges of the Property have been revised on 21/12/2024.</t>
  </si>
  <si>
    <t>Mr. Pritam</t>
  </si>
  <si>
    <t>Building No.1 A &amp; B Wing = G + 1st to 21st Floor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</si>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</sst>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5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19" xfId="1" applyFont="1" applyBorder="1" applyAlignment="1" applyProtection="1">
      <alignment vertical="top" wrapText="1"/>
      <protection locked="0"/>
    </xf>
    <xf numFmtId="0" fontId="12" fillId="0" borderId="2" xfId="1" applyFont="1" applyBorder="1" applyAlignment="1" applyProtection="1">
      <alignment vertical="top" wrapText="1"/>
      <protection locked="0"/>
    </xf>
    <xf numFmtId="0" fontId="12" fillId="0" borderId="20" xfId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top" wrapText="1"/>
      <protection locked="0"/>
    </xf>
    <xf numFmtId="0" fontId="7" fillId="4" borderId="1" xfId="1" applyFont="1" applyFill="1" applyBorder="1" applyAlignment="1" applyProtection="1">
      <alignment vertical="top" wrapText="1"/>
      <protection locked="0"/>
    </xf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5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7" fillId="0" borderId="17" xfId="1" applyNumberFormat="1" applyFont="1" applyBorder="1" applyAlignment="1" applyProtection="1">
      <alignment horizontal="center" vertical="center" wrapText="1"/>
      <protection locked="0"/>
    </xf>
    <xf numFmtId="168" fontId="7" fillId="0" borderId="24" xfId="1" applyNumberFormat="1" applyFont="1" applyBorder="1" applyAlignment="1" applyProtection="1">
      <alignment horizontal="center" vertical="center" wrapText="1"/>
      <protection locked="0"/>
    </xf>
    <xf numFmtId="168" fontId="7" fillId="0" borderId="18" xfId="1" applyNumberFormat="1" applyFont="1" applyBorder="1" applyAlignment="1" applyProtection="1">
      <alignment horizontal="center" vertical="center" wrapText="1"/>
      <protection locked="0"/>
    </xf>
    <xf numFmtId="168" fontId="7" fillId="0" borderId="19" xfId="1" applyNumberFormat="1" applyFont="1" applyBorder="1" applyAlignment="1" applyProtection="1">
      <alignment horizontal="center" vertical="center" wrapText="1"/>
      <protection locked="0"/>
    </xf>
    <xf numFmtId="168" fontId="7" fillId="0" borderId="2" xfId="1" applyNumberFormat="1" applyFont="1" applyBorder="1" applyAlignment="1" applyProtection="1">
      <alignment horizontal="center" vertical="center" wrapText="1"/>
      <protection locked="0"/>
    </xf>
    <xf numFmtId="168" fontId="7" fillId="0" borderId="20" xfId="1" applyNumberFormat="1" applyFont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7" fillId="0" borderId="25" xfId="1" applyNumberFormat="1" applyFont="1" applyBorder="1" applyAlignment="1" applyProtection="1">
      <alignment horizontal="center" vertical="center" wrapText="1"/>
      <protection locked="0"/>
    </xf>
    <xf numFmtId="168" fontId="7" fillId="0" borderId="0" xfId="1" applyNumberFormat="1" applyFont="1" applyAlignment="1" applyProtection="1">
      <alignment horizontal="center" vertical="center" wrapText="1"/>
      <protection locked="0"/>
    </xf>
    <xf numFmtId="168" fontId="7" fillId="0" borderId="26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7" fillId="0" borderId="13" xfId="1" applyFont="1" applyBorder="1" applyAlignment="1" applyProtection="1">
      <alignment horizontal="left" vertical="top" wrapText="1"/>
      <protection locked="0"/>
    </xf>
    <xf numFmtId="0" fontId="17" fillId="0" borderId="14" xfId="1" applyFont="1" applyBorder="1" applyAlignment="1" applyProtection="1">
      <alignment horizontal="left" vertical="top" wrapText="1"/>
      <protection locked="0"/>
    </xf>
    <xf numFmtId="0" fontId="17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7" fillId="4" borderId="8" xfId="1" applyNumberFormat="1" applyFont="1" applyFill="1" applyBorder="1" applyAlignment="1" applyProtection="1">
      <alignment horizontal="left" vertical="top" wrapText="1"/>
      <protection locked="0"/>
    </xf>
    <xf numFmtId="0" fontId="7" fillId="4" borderId="9" xfId="1" applyFont="1" applyFill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4" borderId="8" xfId="1" applyFont="1" applyFill="1" applyBorder="1" applyAlignment="1" applyProtection="1">
      <alignment horizontal="left" vertical="top" wrapText="1"/>
      <protection locked="0"/>
    </xf>
    <xf numFmtId="0" fontId="7" fillId="4" borderId="21" xfId="1" applyFont="1" applyFill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32" xfId="0" applyNumberFormat="1" applyFont="1" applyBorder="1" applyAlignment="1" applyProtection="1">
      <alignment horizontal="center" vertical="top" wrapText="1"/>
      <protection locked="0"/>
    </xf>
    <xf numFmtId="1" fontId="6" fillId="0" borderId="16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48505</xdr:colOff>
      <xdr:row>185</xdr:row>
      <xdr:rowOff>560</xdr:rowOff>
    </xdr:from>
    <xdr:to>
      <xdr:col>15</xdr:col>
      <xdr:colOff>641967</xdr:colOff>
      <xdr:row>194</xdr:row>
      <xdr:rowOff>162608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2030" y="35109710"/>
          <a:ext cx="3584312" cy="19622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701969</xdr:colOff>
      <xdr:row>195</xdr:row>
      <xdr:rowOff>62431</xdr:rowOff>
    </xdr:from>
    <xdr:to>
      <xdr:col>16</xdr:col>
      <xdr:colOff>514381</xdr:colOff>
      <xdr:row>203</xdr:row>
      <xdr:rowOff>81974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2362" y="36951395"/>
          <a:ext cx="3581590" cy="1652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784973</xdr:colOff>
      <xdr:row>134</xdr:row>
      <xdr:rowOff>183777</xdr:rowOff>
    </xdr:from>
    <xdr:to>
      <xdr:col>12</xdr:col>
      <xdr:colOff>84835</xdr:colOff>
      <xdr:row>153</xdr:row>
      <xdr:rowOff>157477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9598" y="24291552"/>
          <a:ext cx="2633612" cy="41742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917202</xdr:colOff>
      <xdr:row>154</xdr:row>
      <xdr:rowOff>78441</xdr:rowOff>
    </xdr:from>
    <xdr:to>
      <xdr:col>12</xdr:col>
      <xdr:colOff>33057</xdr:colOff>
      <xdr:row>164</xdr:row>
      <xdr:rowOff>168088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1449"/>
        <a:stretch/>
      </xdr:blipFill>
      <xdr:spPr>
        <a:xfrm>
          <a:off x="7441827" y="28586766"/>
          <a:ext cx="2449605" cy="20898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273424</xdr:colOff>
      <xdr:row>193</xdr:row>
      <xdr:rowOff>159524</xdr:rowOff>
    </xdr:from>
    <xdr:to>
      <xdr:col>10</xdr:col>
      <xdr:colOff>611558</xdr:colOff>
      <xdr:row>206</xdr:row>
      <xdr:rowOff>144470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8049" y="36868874"/>
          <a:ext cx="2262184" cy="2585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821232</xdr:colOff>
      <xdr:row>177</xdr:row>
      <xdr:rowOff>206508</xdr:rowOff>
    </xdr:from>
    <xdr:to>
      <xdr:col>11</xdr:col>
      <xdr:colOff>606897</xdr:colOff>
      <xdr:row>189</xdr:row>
      <xdr:rowOff>58816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25446" y="34047472"/>
          <a:ext cx="2411844" cy="26962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794816</xdr:colOff>
      <xdr:row>207</xdr:row>
      <xdr:rowOff>140072</xdr:rowOff>
    </xdr:from>
    <xdr:to>
      <xdr:col>11</xdr:col>
      <xdr:colOff>313814</xdr:colOff>
      <xdr:row>220</xdr:row>
      <xdr:rowOff>39304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99030" y="39478322"/>
          <a:ext cx="2145177" cy="25526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203306</xdr:colOff>
      <xdr:row>207</xdr:row>
      <xdr:rowOff>112859</xdr:rowOff>
    </xdr:from>
    <xdr:to>
      <xdr:col>14</xdr:col>
      <xdr:colOff>67600</xdr:colOff>
      <xdr:row>220</xdr:row>
      <xdr:rowOff>31137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33699" y="39451109"/>
          <a:ext cx="2204722" cy="25716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705970</xdr:colOff>
      <xdr:row>165</xdr:row>
      <xdr:rowOff>22413</xdr:rowOff>
    </xdr:from>
    <xdr:to>
      <xdr:col>11</xdr:col>
      <xdr:colOff>491635</xdr:colOff>
      <xdr:row>177</xdr:row>
      <xdr:rowOff>97181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38999" y="30939442"/>
          <a:ext cx="2419048" cy="24952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774807</xdr:colOff>
      <xdr:row>220</xdr:row>
      <xdr:rowOff>132871</xdr:rowOff>
    </xdr:from>
    <xdr:to>
      <xdr:col>11</xdr:col>
      <xdr:colOff>522376</xdr:colOff>
      <xdr:row>227</xdr:row>
      <xdr:rowOff>73311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79021" y="42124514"/>
          <a:ext cx="2373748" cy="1369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437029</xdr:colOff>
      <xdr:row>227</xdr:row>
      <xdr:rowOff>112059</xdr:rowOff>
    </xdr:from>
    <xdr:to>
      <xdr:col>11</xdr:col>
      <xdr:colOff>127455</xdr:colOff>
      <xdr:row>239</xdr:row>
      <xdr:rowOff>72539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70058" y="42929735"/>
          <a:ext cx="2323809" cy="23809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459441</xdr:colOff>
      <xdr:row>239</xdr:row>
      <xdr:rowOff>112059</xdr:rowOff>
    </xdr:from>
    <xdr:to>
      <xdr:col>11</xdr:col>
      <xdr:colOff>197487</xdr:colOff>
      <xdr:row>263</xdr:row>
      <xdr:rowOff>23238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92470" y="45350206"/>
          <a:ext cx="2371429" cy="2361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353786</xdr:colOff>
      <xdr:row>322</xdr:row>
      <xdr:rowOff>13607</xdr:rowOff>
    </xdr:from>
    <xdr:to>
      <xdr:col>7</xdr:col>
      <xdr:colOff>385082</xdr:colOff>
      <xdr:row>343</xdr:row>
      <xdr:rowOff>137432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353786" y="57910367"/>
          <a:ext cx="5875836" cy="4284345"/>
          <a:chOff x="469703" y="1278261"/>
          <a:chExt cx="5705475" cy="4410075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469703" y="1278261"/>
            <a:ext cx="5705475" cy="4410075"/>
          </a:xfrm>
          <a:prstGeom prst="rect">
            <a:avLst/>
          </a:prstGeom>
          <a:ln>
            <a:solidFill>
              <a:srgbClr val="FF0000"/>
            </a:solidFill>
          </a:ln>
        </xdr:spPr>
      </xdr:pic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745841" y="2812960"/>
            <a:ext cx="1492689" cy="1410757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>
              <a:solidFill>
                <a:srgbClr val="FF0000"/>
              </a:solidFill>
            </a:endParaRP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238961" y="3111500"/>
            <a:ext cx="2249585" cy="1112217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>
              <a:solidFill>
                <a:srgbClr val="FF0000"/>
              </a:solidFill>
            </a:endParaRPr>
          </a:p>
        </xdr:txBody>
      </xdr:sp>
      <xdr:sp macro="" textlink="">
        <xdr:nvSpPr>
          <xdr:cNvPr id="40" name="TextBox 93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4002115" y="2837403"/>
            <a:ext cx="723275" cy="317671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Wing A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9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1672903" y="2561038"/>
            <a:ext cx="715260" cy="317671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Wing B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2</xdr:col>
      <xdr:colOff>271523</xdr:colOff>
      <xdr:row>344</xdr:row>
      <xdr:rowOff>169880</xdr:rowOff>
    </xdr:from>
    <xdr:to>
      <xdr:col>5</xdr:col>
      <xdr:colOff>593380</xdr:colOff>
      <xdr:row>354</xdr:row>
      <xdr:rowOff>162521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36344" y="69430237"/>
          <a:ext cx="2880000" cy="20337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792745</xdr:colOff>
      <xdr:row>397</xdr:row>
      <xdr:rowOff>27214</xdr:rowOff>
    </xdr:from>
    <xdr:to>
      <xdr:col>5</xdr:col>
      <xdr:colOff>363668</xdr:colOff>
      <xdr:row>408</xdr:row>
      <xdr:rowOff>162379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4745" y="71940964"/>
          <a:ext cx="2931887" cy="23803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734785</xdr:colOff>
      <xdr:row>410</xdr:row>
      <xdr:rowOff>16494</xdr:rowOff>
    </xdr:from>
    <xdr:to>
      <xdr:col>7</xdr:col>
      <xdr:colOff>9977</xdr:colOff>
      <xdr:row>425</xdr:row>
      <xdr:rowOff>18276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34785" y="75347814"/>
          <a:ext cx="5119732" cy="2973582"/>
          <a:chOff x="1277345" y="3860353"/>
          <a:chExt cx="4949371" cy="3063389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77345" y="3875742"/>
            <a:ext cx="4949371" cy="304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 rot="1814817">
            <a:off x="3447418" y="5537266"/>
            <a:ext cx="738775" cy="306731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6" name="TextBox 10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3905564" y="5380559"/>
            <a:ext cx="293670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A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47" name="TextBox 10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3574614" y="5207341"/>
            <a:ext cx="285656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B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48" name="TextBox 10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1281891" y="3860353"/>
            <a:ext cx="1825436" cy="307777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Shree Krishna Bhoomi</a:t>
            </a:r>
            <a:endParaRPr lang="en-IN" sz="1400" b="1"/>
          </a:p>
        </xdr:txBody>
      </xdr:sp>
      <xdr:cxnSp macro="">
        <xdr:nvCxnSpPr>
          <xdr:cNvPr id="49" name="Straight Arrow Connector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>
            <a:stCxn id="48" idx="2"/>
            <a:endCxn id="45" idx="1"/>
          </xdr:cNvCxnSpPr>
        </xdr:nvCxnSpPr>
        <xdr:spPr>
          <a:xfrm>
            <a:off x="2194609" y="4168130"/>
            <a:ext cx="1303096" cy="1336431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340178</xdr:colOff>
      <xdr:row>41</xdr:row>
      <xdr:rowOff>176893</xdr:rowOff>
    </xdr:from>
    <xdr:to>
      <xdr:col>10</xdr:col>
      <xdr:colOff>354904</xdr:colOff>
      <xdr:row>53</xdr:row>
      <xdr:rowOff>171164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44392" y="9320893"/>
          <a:ext cx="1933333" cy="22857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122464</xdr:colOff>
      <xdr:row>52</xdr:row>
      <xdr:rowOff>68036</xdr:rowOff>
    </xdr:from>
    <xdr:to>
      <xdr:col>15</xdr:col>
      <xdr:colOff>226523</xdr:colOff>
      <xdr:row>54</xdr:row>
      <xdr:rowOff>163240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26678" y="11688536"/>
          <a:ext cx="5723809" cy="3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163285</xdr:colOff>
      <xdr:row>54</xdr:row>
      <xdr:rowOff>136072</xdr:rowOff>
    </xdr:from>
    <xdr:to>
      <xdr:col>16</xdr:col>
      <xdr:colOff>53642</xdr:colOff>
      <xdr:row>60</xdr:row>
      <xdr:rowOff>16166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499" y="12164786"/>
          <a:ext cx="6285714" cy="13047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408214</xdr:colOff>
      <xdr:row>13</xdr:row>
      <xdr:rowOff>81643</xdr:rowOff>
    </xdr:from>
    <xdr:to>
      <xdr:col>14</xdr:col>
      <xdr:colOff>632083</xdr:colOff>
      <xdr:row>14</xdr:row>
      <xdr:rowOff>84310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12428" y="3088822"/>
          <a:ext cx="5190476" cy="438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904875</xdr:colOff>
      <xdr:row>358</xdr:row>
      <xdr:rowOff>9525</xdr:rowOff>
    </xdr:from>
    <xdr:to>
      <xdr:col>7</xdr:col>
      <xdr:colOff>315938</xdr:colOff>
      <xdr:row>376</xdr:row>
      <xdr:rowOff>9075</xdr:rowOff>
    </xdr:to>
    <xdr:pic>
      <xdr:nvPicPr>
        <xdr:cNvPr id="54" name="Picture 53" descr="insp-208875-851.jpg (959×1280)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14700" y="68437125"/>
          <a:ext cx="2697188" cy="36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503595</xdr:colOff>
      <xdr:row>358</xdr:row>
      <xdr:rowOff>0</xdr:rowOff>
    </xdr:from>
    <xdr:to>
      <xdr:col>3</xdr:col>
      <xdr:colOff>790958</xdr:colOff>
      <xdr:row>376</xdr:row>
      <xdr:rowOff>2725</xdr:rowOff>
    </xdr:to>
    <xdr:pic>
      <xdr:nvPicPr>
        <xdr:cNvPr id="55" name="Picture 54" descr="insp-208875-847.jpg (959×1280)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595" y="68427600"/>
          <a:ext cx="2697188" cy="36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752475</xdr:colOff>
      <xdr:row>358</xdr:row>
      <xdr:rowOff>19050</xdr:rowOff>
    </xdr:from>
    <xdr:to>
      <xdr:col>3</xdr:col>
      <xdr:colOff>780753</xdr:colOff>
      <xdr:row>359</xdr:row>
      <xdr:rowOff>181238</xdr:rowOff>
    </xdr:to>
    <xdr:sp macro="" textlink="">
      <xdr:nvSpPr>
        <xdr:cNvPr id="56" name="TextBox 4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314575" y="68446650"/>
          <a:ext cx="876003" cy="36221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A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123825</xdr:colOff>
      <xdr:row>358</xdr:row>
      <xdr:rowOff>47625</xdr:rowOff>
    </xdr:from>
    <xdr:to>
      <xdr:col>7</xdr:col>
      <xdr:colOff>218778</xdr:colOff>
      <xdr:row>360</xdr:row>
      <xdr:rowOff>9788</xdr:rowOff>
    </xdr:to>
    <xdr:sp macro="" textlink="">
      <xdr:nvSpPr>
        <xdr:cNvPr id="57" name="TextBox 4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038725" y="68475225"/>
          <a:ext cx="876003" cy="36221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561990</xdr:colOff>
      <xdr:row>365</xdr:row>
      <xdr:rowOff>89468</xdr:rowOff>
    </xdr:from>
    <xdr:to>
      <xdr:col>3</xdr:col>
      <xdr:colOff>722774</xdr:colOff>
      <xdr:row>371</xdr:row>
      <xdr:rowOff>72806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314980">
          <a:off x="561990" y="69917243"/>
          <a:ext cx="2570609" cy="11834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19065</xdr:colOff>
      <xdr:row>364</xdr:row>
      <xdr:rowOff>114300</xdr:rowOff>
    </xdr:from>
    <xdr:to>
      <xdr:col>7</xdr:col>
      <xdr:colOff>246524</xdr:colOff>
      <xdr:row>369</xdr:row>
      <xdr:rowOff>57151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371865" y="69742050"/>
          <a:ext cx="2570609" cy="942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495301</xdr:colOff>
      <xdr:row>272</xdr:row>
      <xdr:rowOff>243840</xdr:rowOff>
    </xdr:from>
    <xdr:to>
      <xdr:col>18</xdr:col>
      <xdr:colOff>90797</xdr:colOff>
      <xdr:row>305</xdr:row>
      <xdr:rowOff>76611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389621" y="47998380"/>
          <a:ext cx="6232516" cy="6606951"/>
          <a:chOff x="190501" y="49634775"/>
          <a:chExt cx="6083926" cy="6667911"/>
        </a:xfrm>
      </xdr:grpSpPr>
      <xdr:pic>
        <xdr:nvPicPr>
          <xdr:cNvPr id="64" name="Picture 63" descr="https://vsjcllp.vsjadon.com/upload/insp-226140-862.jpg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7306" y="5378268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5" name="Picture 64" descr="https://vsjcllp.vsjadon.com/upload/insp-226140-861.jpg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7521" y="49634775"/>
            <a:ext cx="2966906" cy="39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" name="Picture 65" descr="https://vsjcllp.vsjadon.com/upload/insp-226140-847.jpg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1065" y="49653825"/>
            <a:ext cx="2966906" cy="39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6" descr="https://vsjcllp.vsjadon.com/upload/insp-226140-1525.jpg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03032" y="53773161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8" name="Picture 67" descr="https://vsjcllp.vsjadon.com/upload/insp-226140-843.jpg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53773161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90501" y="49634775"/>
            <a:ext cx="876300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A </a:t>
            </a:r>
          </a:p>
        </xdr:txBody>
      </xdr:sp>
      <xdr:sp macro="" textlink="">
        <xdr:nvSpPr>
          <xdr:cNvPr id="71" name="TextBox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>
          <a:xfrm>
            <a:off x="3267076" y="49634775"/>
            <a:ext cx="876300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 B </a:t>
            </a:r>
          </a:p>
        </xdr:txBody>
      </xdr:sp>
    </xdr:grpSp>
    <xdr:clientData/>
  </xdr:twoCellAnchor>
  <xdr:twoCellAnchor>
    <xdr:from>
      <xdr:col>0</xdr:col>
      <xdr:colOff>358140</xdr:colOff>
      <xdr:row>280</xdr:row>
      <xdr:rowOff>22860</xdr:rowOff>
    </xdr:from>
    <xdr:to>
      <xdr:col>7</xdr:col>
      <xdr:colOff>523412</xdr:colOff>
      <xdr:row>313</xdr:row>
      <xdr:rowOff>31678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F816DAB-ED61-AE7A-E0C5-877DAC975D60}"/>
            </a:ext>
          </a:extLst>
        </xdr:cNvPr>
        <xdr:cNvGrpSpPr/>
      </xdr:nvGrpSpPr>
      <xdr:grpSpPr>
        <a:xfrm>
          <a:off x="358140" y="49606200"/>
          <a:ext cx="6009812" cy="6539158"/>
          <a:chOff x="405840" y="261256"/>
          <a:chExt cx="6009812" cy="6539158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57441576-2B56-AE65-1C66-0EBE77984C1E}"/>
              </a:ext>
            </a:extLst>
          </xdr:cNvPr>
          <xdr:cNvGrpSpPr/>
        </xdr:nvGrpSpPr>
        <xdr:grpSpPr>
          <a:xfrm>
            <a:off x="405840" y="4280414"/>
            <a:ext cx="6009812" cy="2520000"/>
            <a:chOff x="424094" y="4332665"/>
            <a:chExt cx="6009812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E5A24894-7370-9419-B2F0-F120B7E5BF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545875" y="433266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C9836773-E8A4-63D1-5E71-DAA9376D29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4094" y="433266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44BBF966-7C46-BDB8-642C-98A309E433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84984" y="433266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F037E6EC-6189-BAF2-097D-EAEDC448D011}"/>
              </a:ext>
            </a:extLst>
          </xdr:cNvPr>
          <xdr:cNvGrpSpPr/>
        </xdr:nvGrpSpPr>
        <xdr:grpSpPr>
          <a:xfrm>
            <a:off x="444317" y="261256"/>
            <a:ext cx="5932859" cy="3844006"/>
            <a:chOff x="405840" y="261256"/>
            <a:chExt cx="5932859" cy="3844006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F08FF59-E49A-52B5-6CE7-C89B13786F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58699" y="26125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DB3929C7-A253-7B25-4EC4-B6FD0B7ABE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5840" y="26125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bpDZ323MCuLpyV6z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40"/>
  <sheetViews>
    <sheetView tabSelected="1" view="pageBreakPreview" topLeftCell="A23" zoomScaleNormal="100" zoomScaleSheetLayoutView="100" zoomScalePageLayoutView="85" workbookViewId="0">
      <selection activeCell="L70" sqref="L70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13" ht="46.5" customHeight="1" x14ac:dyDescent="0.3">
      <c r="A1" s="199" t="s">
        <v>202</v>
      </c>
      <c r="B1" s="199"/>
      <c r="C1" s="199"/>
      <c r="D1" s="199"/>
      <c r="E1" s="199"/>
      <c r="F1" s="199"/>
      <c r="G1" s="199"/>
      <c r="H1" s="199"/>
    </row>
    <row r="2" spans="1:13" ht="16.5" customHeight="1" x14ac:dyDescent="0.3">
      <c r="A2" s="200" t="s">
        <v>0</v>
      </c>
      <c r="B2" s="200"/>
      <c r="C2" s="200"/>
      <c r="D2" s="200"/>
      <c r="E2" s="200"/>
      <c r="F2" s="200"/>
      <c r="G2" s="200"/>
      <c r="H2" s="200"/>
    </row>
    <row r="3" spans="1:13" x14ac:dyDescent="0.3">
      <c r="A3" s="76" t="s">
        <v>1</v>
      </c>
      <c r="B3" s="76"/>
      <c r="C3" s="76"/>
      <c r="D3" s="76"/>
      <c r="E3" s="76" t="str">
        <f ca="1">TEXT(TODAY(),"DD/MM/YYYY")</f>
        <v>13/07/2025</v>
      </c>
      <c r="F3" s="76"/>
      <c r="G3" s="76"/>
      <c r="H3" s="76"/>
    </row>
    <row r="4" spans="1:13" ht="15" customHeight="1" x14ac:dyDescent="0.3">
      <c r="A4" s="76" t="s">
        <v>2</v>
      </c>
      <c r="B4" s="76"/>
      <c r="C4" s="76"/>
      <c r="D4" s="76"/>
      <c r="E4" s="76" t="s">
        <v>166</v>
      </c>
      <c r="F4" s="76"/>
      <c r="G4" s="76"/>
      <c r="H4" s="76"/>
    </row>
    <row r="5" spans="1:13" x14ac:dyDescent="0.3">
      <c r="A5" s="76" t="s">
        <v>3</v>
      </c>
      <c r="B5" s="76"/>
      <c r="C5" s="76"/>
      <c r="D5" s="76"/>
      <c r="E5" s="197">
        <v>45848</v>
      </c>
      <c r="F5" s="188"/>
      <c r="G5" s="188"/>
      <c r="H5" s="188"/>
    </row>
    <row r="6" spans="1:13" ht="16.5" customHeight="1" x14ac:dyDescent="0.3">
      <c r="A6" s="76" t="s">
        <v>4</v>
      </c>
      <c r="B6" s="76"/>
      <c r="C6" s="76"/>
      <c r="D6" s="76"/>
      <c r="E6" s="76" t="s">
        <v>167</v>
      </c>
      <c r="F6" s="76"/>
      <c r="G6" s="76"/>
      <c r="H6" s="76"/>
    </row>
    <row r="7" spans="1:13" ht="15" customHeight="1" x14ac:dyDescent="0.3">
      <c r="A7" s="76" t="s">
        <v>5</v>
      </c>
      <c r="B7" s="76"/>
      <c r="C7" s="76"/>
      <c r="D7" s="76"/>
      <c r="E7" s="76" t="str">
        <f>E6</f>
        <v>M/s. Shree Krishna Buildcon</v>
      </c>
      <c r="F7" s="76"/>
      <c r="G7" s="76"/>
      <c r="H7" s="76"/>
    </row>
    <row r="8" spans="1:13" x14ac:dyDescent="0.3">
      <c r="A8" s="76" t="s">
        <v>6</v>
      </c>
      <c r="B8" s="76"/>
      <c r="C8" s="76"/>
      <c r="D8" s="76"/>
      <c r="E8" s="137" t="s">
        <v>168</v>
      </c>
      <c r="F8" s="137"/>
      <c r="G8" s="137"/>
      <c r="H8" s="137"/>
      <c r="J8" s="254"/>
      <c r="K8" s="254"/>
      <c r="L8" s="254"/>
      <c r="M8" s="254"/>
    </row>
    <row r="9" spans="1:13" x14ac:dyDescent="0.3">
      <c r="A9" s="76" t="s">
        <v>118</v>
      </c>
      <c r="B9" s="76"/>
      <c r="C9" s="76"/>
      <c r="D9" s="76"/>
      <c r="E9" s="76" t="s">
        <v>169</v>
      </c>
      <c r="F9" s="76"/>
      <c r="G9" s="76"/>
      <c r="H9" s="76"/>
    </row>
    <row r="10" spans="1:13" x14ac:dyDescent="0.3">
      <c r="A10" s="76" t="s">
        <v>203</v>
      </c>
      <c r="B10" s="76"/>
      <c r="C10" s="76"/>
      <c r="D10" s="76"/>
      <c r="E10" s="76" t="s">
        <v>234</v>
      </c>
      <c r="F10" s="76"/>
      <c r="G10" s="76"/>
      <c r="H10" s="76"/>
      <c r="I10" s="76" t="s">
        <v>267</v>
      </c>
      <c r="J10" s="76"/>
      <c r="K10" s="76"/>
      <c r="L10" s="76"/>
    </row>
    <row r="11" spans="1:13" x14ac:dyDescent="0.3">
      <c r="A11" s="76" t="s">
        <v>7</v>
      </c>
      <c r="B11" s="76"/>
      <c r="C11" s="76"/>
      <c r="D11" s="76"/>
      <c r="E11" s="188" t="s">
        <v>244</v>
      </c>
      <c r="F11" s="188"/>
      <c r="G11" s="188"/>
      <c r="H11" s="188"/>
    </row>
    <row r="12" spans="1:13" x14ac:dyDescent="0.3">
      <c r="A12" s="117" t="s">
        <v>8</v>
      </c>
      <c r="B12" s="117"/>
      <c r="C12" s="117"/>
      <c r="D12" s="117"/>
      <c r="E12" s="198" t="s">
        <v>243</v>
      </c>
      <c r="F12" s="198"/>
      <c r="G12" s="198"/>
      <c r="H12" s="198"/>
    </row>
    <row r="13" spans="1:13" x14ac:dyDescent="0.3">
      <c r="A13" s="117" t="s">
        <v>9</v>
      </c>
      <c r="B13" s="117"/>
      <c r="C13" s="117"/>
      <c r="D13" s="117"/>
      <c r="E13" s="128" t="s">
        <v>170</v>
      </c>
      <c r="F13" s="76"/>
      <c r="G13" s="76"/>
      <c r="H13" s="76"/>
    </row>
    <row r="14" spans="1:13" ht="33.75" customHeight="1" x14ac:dyDescent="0.3">
      <c r="A14" s="128" t="s">
        <v>10</v>
      </c>
      <c r="B14" s="128"/>
      <c r="C14" s="12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 Krishna Bhoomi, Survey No.358B/5 (Plot - E), near Seven Square Academy -Naigaon, BG Kini Rd, Naigoan, Juchandra, Naigoan East, Vasai, Palghar - 401208.</v>
      </c>
      <c r="D14" s="128"/>
      <c r="E14" s="128"/>
      <c r="F14" s="128"/>
      <c r="G14" s="128"/>
      <c r="H14" s="128"/>
    </row>
    <row r="15" spans="1:13" x14ac:dyDescent="0.3">
      <c r="A15" s="128" t="s">
        <v>171</v>
      </c>
      <c r="B15" s="128"/>
      <c r="C15" s="128" t="s">
        <v>181</v>
      </c>
      <c r="D15" s="128"/>
      <c r="E15" s="128"/>
      <c r="F15" s="128"/>
      <c r="G15" s="128"/>
      <c r="H15" s="128"/>
    </row>
    <row r="16" spans="1:13" ht="15.75" customHeight="1" x14ac:dyDescent="0.3">
      <c r="A16" s="124" t="s">
        <v>163</v>
      </c>
      <c r="B16" s="125"/>
      <c r="C16" s="124" t="s">
        <v>176</v>
      </c>
      <c r="D16" s="126"/>
      <c r="E16" s="126"/>
      <c r="F16" s="126"/>
      <c r="G16" s="126"/>
      <c r="H16" s="125"/>
    </row>
    <row r="17" spans="1:8" ht="15.75" customHeight="1" x14ac:dyDescent="0.3">
      <c r="A17" s="128" t="s">
        <v>11</v>
      </c>
      <c r="B17" s="128"/>
      <c r="C17" s="76" t="s">
        <v>177</v>
      </c>
      <c r="D17" s="76"/>
      <c r="E17" s="128" t="s">
        <v>164</v>
      </c>
      <c r="F17" s="128"/>
      <c r="G17" s="128" t="s">
        <v>172</v>
      </c>
      <c r="H17" s="128"/>
    </row>
    <row r="18" spans="1:8" x14ac:dyDescent="0.3">
      <c r="A18" s="76" t="s">
        <v>13</v>
      </c>
      <c r="B18" s="76"/>
      <c r="C18" s="128" t="s">
        <v>175</v>
      </c>
      <c r="D18" s="128"/>
      <c r="E18" s="128" t="s">
        <v>12</v>
      </c>
      <c r="F18" s="128"/>
      <c r="G18" s="196" t="s">
        <v>173</v>
      </c>
      <c r="H18" s="196"/>
    </row>
    <row r="19" spans="1:8" x14ac:dyDescent="0.3">
      <c r="A19" s="76" t="s">
        <v>73</v>
      </c>
      <c r="B19" s="76"/>
      <c r="C19" s="128" t="s">
        <v>174</v>
      </c>
      <c r="D19" s="128"/>
      <c r="E19" s="128" t="s">
        <v>14</v>
      </c>
      <c r="F19" s="128"/>
      <c r="G19" s="128">
        <v>401208</v>
      </c>
      <c r="H19" s="128"/>
    </row>
    <row r="20" spans="1:8" ht="32.25" customHeight="1" x14ac:dyDescent="0.3">
      <c r="A20" s="76" t="s">
        <v>119</v>
      </c>
      <c r="B20" s="76"/>
      <c r="C20" s="128" t="s">
        <v>193</v>
      </c>
      <c r="D20" s="128"/>
      <c r="E20" s="128" t="s">
        <v>15</v>
      </c>
      <c r="F20" s="128"/>
      <c r="G20" s="128" t="s">
        <v>242</v>
      </c>
      <c r="H20" s="128"/>
    </row>
    <row r="21" spans="1:8" ht="15" customHeight="1" x14ac:dyDescent="0.3">
      <c r="A21" s="128" t="s">
        <v>75</v>
      </c>
      <c r="B21" s="128"/>
      <c r="C21" s="128"/>
      <c r="D21" s="128"/>
      <c r="E21" s="76" t="s">
        <v>16</v>
      </c>
      <c r="F21" s="76"/>
      <c r="G21" s="76"/>
      <c r="H21" s="76"/>
    </row>
    <row r="22" spans="1:8" ht="18.75" customHeight="1" x14ac:dyDescent="0.3">
      <c r="A22" s="128"/>
      <c r="B22" s="128"/>
      <c r="C22" s="128"/>
      <c r="D22" s="128"/>
      <c r="E22" s="76"/>
      <c r="F22" s="76"/>
      <c r="G22" s="76"/>
      <c r="H22" s="76"/>
    </row>
    <row r="23" spans="1:8" ht="15" customHeight="1" x14ac:dyDescent="0.3">
      <c r="A23" s="195" t="s">
        <v>17</v>
      </c>
      <c r="B23" s="195"/>
      <c r="C23" s="195"/>
      <c r="D23" s="195"/>
      <c r="E23" s="128" t="s">
        <v>18</v>
      </c>
      <c r="F23" s="128"/>
      <c r="G23" s="128"/>
      <c r="H23" s="128"/>
    </row>
    <row r="24" spans="1:8" ht="15" customHeight="1" x14ac:dyDescent="0.3">
      <c r="A24" s="117" t="s">
        <v>19</v>
      </c>
      <c r="B24" s="117"/>
      <c r="C24" s="117"/>
      <c r="D24" s="117"/>
      <c r="E24" s="128" t="str">
        <f>IF(AND(G18="Mumbai"),"Upper Class","Middle Class")</f>
        <v>Middle Class</v>
      </c>
      <c r="F24" s="128"/>
      <c r="G24" s="128"/>
      <c r="H24" s="128"/>
    </row>
    <row r="25" spans="1:8" x14ac:dyDescent="0.3">
      <c r="A25" s="117" t="s">
        <v>20</v>
      </c>
      <c r="B25" s="117"/>
      <c r="C25" s="117"/>
      <c r="D25" s="117"/>
      <c r="E25" s="128" t="s">
        <v>21</v>
      </c>
      <c r="F25" s="128"/>
      <c r="G25" s="128"/>
      <c r="H25" s="128"/>
    </row>
    <row r="26" spans="1:8" ht="15.75" customHeight="1" x14ac:dyDescent="0.3">
      <c r="A26" s="117" t="s">
        <v>22</v>
      </c>
      <c r="B26" s="117"/>
      <c r="C26" s="117"/>
      <c r="D26" s="117"/>
      <c r="E26" s="128" t="str">
        <f>IF(AND(G18="Mumbai"),"Developed","Developing")</f>
        <v>Developing</v>
      </c>
      <c r="F26" s="128"/>
      <c r="G26" s="128"/>
      <c r="H26" s="128"/>
    </row>
    <row r="27" spans="1:8" x14ac:dyDescent="0.3">
      <c r="A27" s="117" t="s">
        <v>23</v>
      </c>
      <c r="B27" s="117"/>
      <c r="C27" s="117"/>
      <c r="D27" s="117"/>
      <c r="E27" s="128" t="s">
        <v>24</v>
      </c>
      <c r="F27" s="128"/>
      <c r="G27" s="128"/>
      <c r="H27" s="128"/>
    </row>
    <row r="28" spans="1:8" ht="15.75" customHeight="1" x14ac:dyDescent="0.3">
      <c r="A28" s="117" t="s">
        <v>80</v>
      </c>
      <c r="B28" s="117"/>
      <c r="C28" s="117"/>
      <c r="D28" s="117"/>
      <c r="E28" s="128" t="s">
        <v>81</v>
      </c>
      <c r="F28" s="128"/>
      <c r="G28" s="128"/>
      <c r="H28" s="128"/>
    </row>
    <row r="29" spans="1:8" ht="15" customHeight="1" x14ac:dyDescent="0.3">
      <c r="A29" s="117" t="s">
        <v>32</v>
      </c>
      <c r="B29" s="117"/>
      <c r="C29" s="117"/>
      <c r="D29" s="117"/>
      <c r="E29" s="128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29" s="128"/>
      <c r="G29" s="128"/>
      <c r="H29" s="128"/>
    </row>
    <row r="30" spans="1:8" ht="15.75" customHeight="1" x14ac:dyDescent="0.3">
      <c r="A30" s="117" t="s">
        <v>92</v>
      </c>
      <c r="B30" s="117"/>
      <c r="C30" s="117"/>
      <c r="D30" s="117"/>
      <c r="E30" s="128" t="s">
        <v>33</v>
      </c>
      <c r="F30" s="128"/>
      <c r="G30" s="128"/>
      <c r="H30" s="128"/>
    </row>
    <row r="31" spans="1:8" s="22" customFormat="1" x14ac:dyDescent="0.3">
      <c r="A31" s="194" t="s">
        <v>93</v>
      </c>
      <c r="B31" s="194"/>
      <c r="C31" s="192" t="s">
        <v>222</v>
      </c>
      <c r="D31" s="192"/>
      <c r="E31" s="192"/>
      <c r="F31" s="193" t="s">
        <v>30</v>
      </c>
      <c r="G31" s="193"/>
      <c r="H31" s="193"/>
    </row>
    <row r="32" spans="1:8" s="22" customFormat="1" x14ac:dyDescent="0.3">
      <c r="A32" s="175" t="s">
        <v>25</v>
      </c>
      <c r="B32" s="175" t="s">
        <v>29</v>
      </c>
      <c r="C32" s="174" t="s">
        <v>225</v>
      </c>
      <c r="D32" s="174"/>
      <c r="E32" s="174"/>
      <c r="F32" s="155" t="s">
        <v>245</v>
      </c>
      <c r="G32" s="155"/>
      <c r="H32" s="155"/>
    </row>
    <row r="33" spans="1:9" x14ac:dyDescent="0.3">
      <c r="A33" s="175" t="s">
        <v>26</v>
      </c>
      <c r="B33" s="175" t="s">
        <v>29</v>
      </c>
      <c r="C33" s="174" t="s">
        <v>225</v>
      </c>
      <c r="D33" s="174"/>
      <c r="E33" s="174"/>
      <c r="F33" s="155" t="s">
        <v>178</v>
      </c>
      <c r="G33" s="155"/>
      <c r="H33" s="155"/>
    </row>
    <row r="34" spans="1:9" s="22" customFormat="1" x14ac:dyDescent="0.3">
      <c r="A34" s="175" t="s">
        <v>28</v>
      </c>
      <c r="B34" s="175" t="s">
        <v>29</v>
      </c>
      <c r="C34" s="174" t="s">
        <v>224</v>
      </c>
      <c r="D34" s="174"/>
      <c r="E34" s="174"/>
      <c r="F34" s="155" t="s">
        <v>246</v>
      </c>
      <c r="G34" s="155"/>
      <c r="H34" s="155"/>
    </row>
    <row r="35" spans="1:9" x14ac:dyDescent="0.3">
      <c r="A35" s="175" t="s">
        <v>27</v>
      </c>
      <c r="B35" s="175" t="s">
        <v>29</v>
      </c>
      <c r="C35" s="174" t="s">
        <v>223</v>
      </c>
      <c r="D35" s="174"/>
      <c r="E35" s="174"/>
      <c r="F35" s="155" t="s">
        <v>177</v>
      </c>
      <c r="G35" s="155"/>
      <c r="H35" s="155"/>
    </row>
    <row r="36" spans="1:9" x14ac:dyDescent="0.3">
      <c r="A36" s="117" t="s">
        <v>31</v>
      </c>
      <c r="B36" s="117"/>
      <c r="C36" s="117"/>
      <c r="D36" s="117"/>
      <c r="E36" s="117"/>
      <c r="F36" s="117"/>
      <c r="G36" s="117"/>
      <c r="H36" s="117"/>
    </row>
    <row r="37" spans="1:9" ht="15.75" customHeight="1" x14ac:dyDescent="0.3">
      <c r="A37" s="117" t="s">
        <v>204</v>
      </c>
      <c r="B37" s="117"/>
      <c r="C37" s="189" t="s">
        <v>240</v>
      </c>
      <c r="D37" s="190"/>
      <c r="E37" s="190"/>
      <c r="F37" s="190"/>
      <c r="G37" s="190"/>
      <c r="H37" s="191"/>
    </row>
    <row r="38" spans="1:9" x14ac:dyDescent="0.3">
      <c r="A38" s="117" t="s">
        <v>162</v>
      </c>
      <c r="B38" s="117"/>
      <c r="C38" s="127" t="s">
        <v>241</v>
      </c>
      <c r="D38" s="128"/>
      <c r="E38" s="128"/>
      <c r="F38" s="128"/>
      <c r="G38" s="128"/>
      <c r="H38" s="128"/>
    </row>
    <row r="39" spans="1:9" x14ac:dyDescent="0.3">
      <c r="A39" s="183" t="s">
        <v>34</v>
      </c>
      <c r="B39" s="183"/>
      <c r="C39" s="183"/>
      <c r="D39" s="183"/>
      <c r="E39" s="183"/>
      <c r="F39" s="183"/>
      <c r="G39" s="183"/>
      <c r="H39" s="183"/>
    </row>
    <row r="40" spans="1:9" x14ac:dyDescent="0.3">
      <c r="A40" s="117" t="s">
        <v>35</v>
      </c>
      <c r="B40" s="117"/>
      <c r="C40" s="117"/>
      <c r="D40" s="117"/>
      <c r="E40" s="182">
        <v>4046.64</v>
      </c>
      <c r="F40" s="182"/>
      <c r="G40" s="182"/>
      <c r="H40" s="182"/>
    </row>
    <row r="41" spans="1:9" x14ac:dyDescent="0.3">
      <c r="A41" s="117" t="s">
        <v>36</v>
      </c>
      <c r="B41" s="117"/>
      <c r="C41" s="117"/>
      <c r="D41" s="117"/>
      <c r="E41" s="186">
        <f>4451.3/E40</f>
        <v>1.0999990115256115</v>
      </c>
      <c r="F41" s="186"/>
      <c r="G41" s="186"/>
      <c r="H41" s="186"/>
    </row>
    <row r="42" spans="1:9" x14ac:dyDescent="0.3">
      <c r="A42" s="117" t="s">
        <v>37</v>
      </c>
      <c r="B42" s="117"/>
      <c r="C42" s="117"/>
      <c r="D42" s="117"/>
      <c r="E42" s="186">
        <f>E44/E40-E41</f>
        <v>3.6557415534863495</v>
      </c>
      <c r="F42" s="186"/>
      <c r="G42" s="186"/>
      <c r="H42" s="186"/>
    </row>
    <row r="43" spans="1:9" x14ac:dyDescent="0.3">
      <c r="A43" s="117" t="s">
        <v>38</v>
      </c>
      <c r="B43" s="117"/>
      <c r="C43" s="117"/>
      <c r="D43" s="117"/>
      <c r="E43" s="186">
        <f>E41+E42</f>
        <v>4.7557405650119611</v>
      </c>
      <c r="F43" s="186"/>
      <c r="G43" s="186"/>
      <c r="H43" s="186"/>
    </row>
    <row r="44" spans="1:9" x14ac:dyDescent="0.3">
      <c r="A44" s="188" t="s">
        <v>91</v>
      </c>
      <c r="B44" s="188"/>
      <c r="C44" s="188"/>
      <c r="D44" s="188"/>
      <c r="E44" s="187">
        <v>19244.77</v>
      </c>
      <c r="F44" s="187"/>
      <c r="G44" s="187"/>
      <c r="H44" s="187"/>
      <c r="I44" s="21">
        <v>19460.3</v>
      </c>
    </row>
    <row r="45" spans="1:9" x14ac:dyDescent="0.3">
      <c r="A45" s="188" t="s">
        <v>39</v>
      </c>
      <c r="B45" s="188"/>
      <c r="C45" s="188"/>
      <c r="D45" s="188"/>
      <c r="E45" s="188" t="s">
        <v>233</v>
      </c>
      <c r="F45" s="188"/>
      <c r="G45" s="188"/>
      <c r="H45" s="188"/>
    </row>
    <row r="46" spans="1:9" x14ac:dyDescent="0.3">
      <c r="A46" s="201" t="s">
        <v>40</v>
      </c>
      <c r="B46" s="201"/>
      <c r="C46" s="201"/>
      <c r="D46" s="201"/>
      <c r="E46" s="201"/>
      <c r="F46" s="201"/>
      <c r="G46" s="201"/>
      <c r="H46" s="201"/>
    </row>
    <row r="47" spans="1:9" ht="33.75" customHeight="1" x14ac:dyDescent="0.3">
      <c r="A47" s="98" t="s">
        <v>149</v>
      </c>
      <c r="B47" s="99"/>
      <c r="C47" s="100" t="s">
        <v>179</v>
      </c>
      <c r="D47" s="101"/>
      <c r="E47" s="101"/>
      <c r="F47" s="101"/>
      <c r="G47" s="101"/>
      <c r="H47" s="102"/>
    </row>
    <row r="48" spans="1:9" ht="15.75" hidden="1" customHeight="1" x14ac:dyDescent="0.3">
      <c r="A48" s="236" t="s">
        <v>41</v>
      </c>
      <c r="B48" s="208"/>
      <c r="C48" s="236" t="s">
        <v>180</v>
      </c>
      <c r="D48" s="237"/>
      <c r="E48" s="208"/>
      <c r="F48" s="72" t="s">
        <v>42</v>
      </c>
      <c r="G48" s="207">
        <v>44561</v>
      </c>
      <c r="H48" s="208"/>
    </row>
    <row r="49" spans="1:9" hidden="1" x14ac:dyDescent="0.3">
      <c r="A49" s="236" t="s">
        <v>43</v>
      </c>
      <c r="B49" s="208"/>
      <c r="C49" s="236" t="str">
        <f>C48</f>
        <v>VVCMC/TP/CC/VP-6450/464/2021-22</v>
      </c>
      <c r="D49" s="237"/>
      <c r="E49" s="208"/>
      <c r="F49" s="72" t="s">
        <v>42</v>
      </c>
      <c r="G49" s="207">
        <v>44561</v>
      </c>
      <c r="H49" s="208"/>
    </row>
    <row r="50" spans="1:9" ht="32.25" customHeight="1" x14ac:dyDescent="0.3">
      <c r="A50" s="98" t="s">
        <v>41</v>
      </c>
      <c r="B50" s="99"/>
      <c r="C50" s="98" t="s">
        <v>221</v>
      </c>
      <c r="D50" s="233"/>
      <c r="E50" s="99"/>
      <c r="F50" s="74" t="s">
        <v>42</v>
      </c>
      <c r="G50" s="240">
        <v>45338</v>
      </c>
      <c r="H50" s="99"/>
    </row>
    <row r="51" spans="1:9" ht="32.25" customHeight="1" x14ac:dyDescent="0.3">
      <c r="A51" s="98" t="s">
        <v>43</v>
      </c>
      <c r="B51" s="99"/>
      <c r="C51" s="98" t="str">
        <f>C50</f>
        <v>VVCMC/TP/AMEND/VP/6450/302/2023-24</v>
      </c>
      <c r="D51" s="233"/>
      <c r="E51" s="99"/>
      <c r="F51" s="74" t="s">
        <v>42</v>
      </c>
      <c r="G51" s="240">
        <f>G50</f>
        <v>45338</v>
      </c>
      <c r="H51" s="99"/>
    </row>
    <row r="52" spans="1:9" s="23" customFormat="1" ht="32.25" hidden="1" customHeight="1" x14ac:dyDescent="0.3">
      <c r="A52" s="209" t="s">
        <v>153</v>
      </c>
      <c r="B52" s="210"/>
      <c r="C52" s="98" t="str">
        <f>C49</f>
        <v>VVCMC/TP/CC/VP-6450/464/2021-22</v>
      </c>
      <c r="D52" s="233"/>
      <c r="E52" s="99"/>
      <c r="F52" s="74" t="s">
        <v>42</v>
      </c>
      <c r="G52" s="240">
        <v>44561</v>
      </c>
      <c r="H52" s="99"/>
    </row>
    <row r="53" spans="1:9" s="23" customFormat="1" ht="32.25" hidden="1" customHeight="1" x14ac:dyDescent="0.3">
      <c r="A53" s="211"/>
      <c r="B53" s="212"/>
      <c r="C53" s="98" t="s">
        <v>194</v>
      </c>
      <c r="D53" s="233"/>
      <c r="E53" s="233"/>
      <c r="F53" s="233"/>
      <c r="G53" s="233"/>
      <c r="H53" s="99"/>
    </row>
    <row r="54" spans="1:9" s="23" customFormat="1" x14ac:dyDescent="0.3">
      <c r="A54" s="209" t="s">
        <v>153</v>
      </c>
      <c r="B54" s="210"/>
      <c r="C54" s="98" t="s">
        <v>247</v>
      </c>
      <c r="D54" s="233"/>
      <c r="E54" s="99"/>
      <c r="F54" s="74" t="s">
        <v>42</v>
      </c>
      <c r="G54" s="240">
        <v>45338</v>
      </c>
      <c r="H54" s="99"/>
    </row>
    <row r="55" spans="1:9" s="23" customFormat="1" ht="47.25" customHeight="1" x14ac:dyDescent="0.3">
      <c r="A55" s="211"/>
      <c r="B55" s="212"/>
      <c r="C55" s="98" t="s">
        <v>248</v>
      </c>
      <c r="D55" s="233"/>
      <c r="E55" s="233"/>
      <c r="F55" s="233"/>
      <c r="G55" s="233"/>
      <c r="H55" s="99"/>
    </row>
    <row r="56" spans="1:9" x14ac:dyDescent="0.3">
      <c r="A56" s="226" t="s">
        <v>165</v>
      </c>
      <c r="B56" s="227"/>
      <c r="C56" s="230" t="s">
        <v>29</v>
      </c>
      <c r="D56" s="231"/>
      <c r="E56" s="232"/>
      <c r="F56" s="53" t="s">
        <v>42</v>
      </c>
      <c r="G56" s="238" t="s">
        <v>29</v>
      </c>
      <c r="H56" s="239"/>
    </row>
    <row r="57" spans="1:9" hidden="1" x14ac:dyDescent="0.3">
      <c r="A57" s="228"/>
      <c r="B57" s="229"/>
      <c r="C57" s="230" t="s">
        <v>29</v>
      </c>
      <c r="D57" s="231"/>
      <c r="E57" s="231"/>
      <c r="F57" s="231"/>
      <c r="G57" s="231"/>
      <c r="H57" s="232"/>
    </row>
    <row r="58" spans="1:9" x14ac:dyDescent="0.3">
      <c r="A58" s="234" t="s">
        <v>45</v>
      </c>
      <c r="B58" s="234"/>
      <c r="C58" s="234"/>
      <c r="D58" s="234"/>
      <c r="E58" s="234"/>
      <c r="F58" s="234"/>
      <c r="G58" s="234"/>
      <c r="H58" s="234"/>
    </row>
    <row r="59" spans="1:9" x14ac:dyDescent="0.3">
      <c r="A59" s="195" t="s">
        <v>90</v>
      </c>
      <c r="B59" s="195"/>
      <c r="C59" s="195"/>
      <c r="D59" s="117">
        <f>E44</f>
        <v>19244.77</v>
      </c>
      <c r="E59" s="117"/>
      <c r="F59" s="117"/>
      <c r="G59" s="117"/>
      <c r="H59" s="117"/>
    </row>
    <row r="60" spans="1:9" x14ac:dyDescent="0.3">
      <c r="A60" s="128" t="s">
        <v>46</v>
      </c>
      <c r="B60" s="76"/>
      <c r="C60" s="76"/>
      <c r="D60" s="188" t="s">
        <v>258</v>
      </c>
      <c r="E60" s="188"/>
      <c r="F60" s="188"/>
      <c r="G60" s="188"/>
      <c r="H60" s="188"/>
      <c r="I60" s="24"/>
    </row>
    <row r="61" spans="1:9" ht="31.5" customHeight="1" x14ac:dyDescent="0.3">
      <c r="A61" s="204" t="s">
        <v>47</v>
      </c>
      <c r="B61" s="205"/>
      <c r="C61" s="206"/>
      <c r="D61" s="202" t="s">
        <v>239</v>
      </c>
      <c r="E61" s="203"/>
      <c r="F61" s="203"/>
      <c r="G61" s="203"/>
      <c r="H61" s="203"/>
    </row>
    <row r="62" spans="1:9" ht="15.75" customHeight="1" x14ac:dyDescent="0.3">
      <c r="A62" s="128" t="s">
        <v>88</v>
      </c>
      <c r="B62" s="128"/>
      <c r="C62" s="128"/>
      <c r="D62" s="76" t="s">
        <v>268</v>
      </c>
      <c r="E62" s="76"/>
      <c r="F62" s="76"/>
      <c r="G62" s="76"/>
      <c r="H62" s="76"/>
    </row>
    <row r="63" spans="1:9" ht="15.75" hidden="1" customHeight="1" x14ac:dyDescent="0.3">
      <c r="A63" s="128"/>
      <c r="B63" s="128"/>
      <c r="C63" s="128"/>
      <c r="D63" s="76" t="s">
        <v>226</v>
      </c>
      <c r="E63" s="76"/>
      <c r="F63" s="76"/>
      <c r="G63" s="76"/>
      <c r="H63" s="76"/>
    </row>
    <row r="64" spans="1:9" ht="15.75" hidden="1" customHeight="1" x14ac:dyDescent="0.3">
      <c r="A64" s="65"/>
      <c r="B64" s="66"/>
      <c r="C64" s="67"/>
      <c r="D64" s="225" t="s">
        <v>183</v>
      </c>
      <c r="E64" s="225"/>
      <c r="F64" s="225"/>
      <c r="G64" s="225"/>
      <c r="H64" s="225"/>
    </row>
    <row r="65" spans="1:14" ht="15.75" customHeight="1" x14ac:dyDescent="0.3">
      <c r="A65" s="117" t="s">
        <v>44</v>
      </c>
      <c r="B65" s="117"/>
      <c r="C65" s="117"/>
      <c r="D65" s="184" t="s">
        <v>182</v>
      </c>
      <c r="E65" s="184"/>
      <c r="F65" s="184"/>
      <c r="G65" s="184"/>
      <c r="H65" s="184"/>
      <c r="J65" s="25"/>
      <c r="K65" s="24"/>
      <c r="N65" s="24"/>
    </row>
    <row r="66" spans="1:14" ht="15.75" customHeight="1" x14ac:dyDescent="0.3">
      <c r="A66" s="117" t="s">
        <v>86</v>
      </c>
      <c r="B66" s="117"/>
      <c r="C66" s="117"/>
      <c r="D66" s="185" t="str">
        <f>(IF(G56="NA","60 Years After Completion",IF(G56&lt;&gt;"NA",""&amp;60-ROUNDDOWN((E3-G56)/360,0)&amp;" Years"," ")))</f>
        <v>60 Years After Completion</v>
      </c>
      <c r="E66" s="185"/>
      <c r="F66" s="185"/>
      <c r="G66" s="185"/>
      <c r="H66" s="185"/>
      <c r="N66" s="24"/>
    </row>
    <row r="67" spans="1:14" ht="15.75" customHeight="1" x14ac:dyDescent="0.3">
      <c r="A67" s="117" t="s">
        <v>87</v>
      </c>
      <c r="B67" s="117"/>
      <c r="C67" s="117"/>
      <c r="D67" s="195" t="s">
        <v>24</v>
      </c>
      <c r="E67" s="195"/>
      <c r="F67" s="195"/>
      <c r="G67" s="195"/>
      <c r="H67" s="195"/>
      <c r="J67" s="26"/>
      <c r="K67" s="26"/>
    </row>
    <row r="68" spans="1:14" ht="15" hidden="1" customHeight="1" x14ac:dyDescent="0.3">
      <c r="A68" s="117" t="s">
        <v>74</v>
      </c>
      <c r="B68" s="117"/>
      <c r="C68" s="117"/>
      <c r="D68" s="128" t="s">
        <v>145</v>
      </c>
      <c r="E68" s="195"/>
      <c r="F68" s="195"/>
      <c r="G68" s="195"/>
      <c r="H68" s="195"/>
    </row>
    <row r="69" spans="1:14" x14ac:dyDescent="0.3">
      <c r="A69" s="195" t="s">
        <v>146</v>
      </c>
      <c r="B69" s="195"/>
      <c r="C69" s="195"/>
      <c r="D69" s="195" t="s">
        <v>29</v>
      </c>
      <c r="E69" s="195"/>
      <c r="F69" s="195"/>
      <c r="G69" s="195"/>
      <c r="H69" s="195"/>
      <c r="I69" s="27"/>
      <c r="J69" s="27"/>
      <c r="K69" s="27"/>
      <c r="L69" s="27"/>
      <c r="M69" s="27"/>
      <c r="N69" s="27"/>
    </row>
    <row r="70" spans="1:14" ht="15.75" customHeight="1" x14ac:dyDescent="0.3">
      <c r="A70" s="235" t="s">
        <v>85</v>
      </c>
      <c r="B70" s="235"/>
      <c r="C70" s="235"/>
      <c r="D70" s="219" t="str">
        <f ca="1">(IF(G76&gt;95%,"Nothing",IF(G76&gt;0%,"Cement, Aggregate, Steel, etc",IF(G76=0%,"Work not yet Started"))))</f>
        <v>Cement, Aggregate, Steel, etc</v>
      </c>
      <c r="E70" s="219"/>
      <c r="F70" s="219"/>
      <c r="G70" s="219"/>
      <c r="H70" s="219"/>
      <c r="J70" s="26"/>
    </row>
    <row r="71" spans="1:14" ht="33.75" customHeight="1" thickBot="1" x14ac:dyDescent="0.35">
      <c r="A71" s="218" t="s">
        <v>113</v>
      </c>
      <c r="B71" s="218"/>
      <c r="C71" s="218"/>
      <c r="D71" s="219" t="str">
        <f ca="1">(IF(D70="Nothing","Yes",IF(D70="Cement, Aggregate, Steel, etc","Under Construction",IF(D70="Work not yet Started","Work not yet Started"))))</f>
        <v>Under Construction</v>
      </c>
      <c r="E71" s="219"/>
      <c r="F71" s="219" t="str">
        <f ca="1">(IF(D70="Nothing","Yes",IF(D70="Cement, Aggregate, Steel, etc","Under Construction",IF(D70="Work not yet Started","Work not yet Started"))))</f>
        <v>Under Construction</v>
      </c>
      <c r="G71" s="219"/>
      <c r="H71" s="219"/>
    </row>
    <row r="72" spans="1:14" ht="15.75" customHeight="1" x14ac:dyDescent="0.3">
      <c r="A72" s="213" t="s">
        <v>137</v>
      </c>
      <c r="B72" s="214"/>
      <c r="C72" s="215" t="str">
        <f>D62</f>
        <v>Building No.1 A &amp; B Wing = G + 1st to 21st Floor</v>
      </c>
      <c r="D72" s="216"/>
      <c r="E72" s="216"/>
      <c r="F72" s="216"/>
      <c r="G72" s="216"/>
      <c r="H72" s="217"/>
      <c r="I72" s="49" t="str">
        <f ca="1">IF(D85=100%,"All work Completed. Possession granted to the Building.",IF(D84=100%,"All work Completed, Waiting for OC",I73&amp;""&amp;I74&amp;""&amp;J73&amp;""&amp;J72&amp;" "&amp;J74))</f>
        <v>Excavation, Plinth Completed, RCC upto 15 Slab, Brickwork upto 8 Floor, Internal Plaster upto 1 Floor, External Plaster upto 1 Floor, Flooring upto 1 Floor Completed</v>
      </c>
      <c r="J72" s="50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RCC upto 15 Slab, Brickwork upto 8 Floor, Internal Plaster upto 1 Floor, External Plaster upto 1 Floor, Flooring upto 1 Floor</v>
      </c>
    </row>
    <row r="73" spans="1:14" x14ac:dyDescent="0.3">
      <c r="A73" s="17" t="s">
        <v>139</v>
      </c>
      <c r="B73" s="47">
        <v>0</v>
      </c>
      <c r="C73" s="47" t="s">
        <v>72</v>
      </c>
      <c r="D73" s="47">
        <v>1</v>
      </c>
      <c r="E73" s="47" t="s">
        <v>71</v>
      </c>
      <c r="F73" s="47">
        <v>0</v>
      </c>
      <c r="G73" s="47" t="s">
        <v>79</v>
      </c>
      <c r="H73" s="18">
        <f ca="1">--TRIM(RIGHT(SUBSTITUTE(LEFT(C72,_xlfn.AGGREGATE(16,6,FIND({0,1,2,3,4,5,6,7,8,9},C72,ROW(INDIRECT("1:"&amp;LEN(C72)))),1))," ",REPT(" ",LEN(C72))),LEN(C72)))</f>
        <v>21</v>
      </c>
      <c r="I73" s="51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</v>
      </c>
      <c r="J73" s="52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49.2" customHeight="1" x14ac:dyDescent="0.3">
      <c r="A74" s="136" t="s">
        <v>89</v>
      </c>
      <c r="B74" s="137"/>
      <c r="C74" s="138" t="str">
        <f ca="1">(IF($C$57=C72,"All work Completed. OC Received.",I72))</f>
        <v>Excavation, Plinth Completed, RCC upto 15 Slab, Brickwork upto 8 Floor, Internal Plaster upto 1 Floor, External Plaster upto 1 Floor, Flooring upto 1 Floor Completed</v>
      </c>
      <c r="D74" s="138"/>
      <c r="E74" s="138"/>
      <c r="F74" s="138"/>
      <c r="G74" s="138"/>
      <c r="H74" s="139"/>
      <c r="I74" s="51" t="str">
        <f ca="1">IF(I73&lt;&gt;""," Completed","")</f>
        <v xml:space="preserve"> Completed</v>
      </c>
      <c r="J74" s="52" t="str">
        <f ca="1">IF(J72&lt;&gt;"","Completed","")</f>
        <v>Completed</v>
      </c>
    </row>
    <row r="75" spans="1:14" ht="15.75" customHeight="1" x14ac:dyDescent="0.3">
      <c r="A75" s="114" t="s">
        <v>48</v>
      </c>
      <c r="B75" s="115"/>
      <c r="C75" s="57" t="s">
        <v>136</v>
      </c>
      <c r="D75" s="57" t="s">
        <v>82</v>
      </c>
      <c r="E75" s="115" t="s">
        <v>84</v>
      </c>
      <c r="F75" s="115"/>
      <c r="G75" s="115" t="s">
        <v>83</v>
      </c>
      <c r="H75" s="140"/>
      <c r="I75" s="14" t="s">
        <v>138</v>
      </c>
      <c r="J75" s="28">
        <f ca="1">H73*25%</f>
        <v>5.25</v>
      </c>
    </row>
    <row r="76" spans="1:14" x14ac:dyDescent="0.3">
      <c r="A76" s="114" t="s">
        <v>125</v>
      </c>
      <c r="B76" s="115"/>
      <c r="C76" s="57">
        <f ca="1">J77</f>
        <v>21</v>
      </c>
      <c r="D76" s="58">
        <f ca="1">((100/H73)*C76)/100</f>
        <v>1</v>
      </c>
      <c r="E76" s="108">
        <f ca="1">(((C77/H73*10)+(40/(D73+F73+H73)*C78)+(7.5/(H73)*C79)+(7.5/(H73)*C80)+(10/H73*C81)+(10/H73*C82)+(5/H73*C83)+(5/H73*C84)+(5/H73*C85))/100)</f>
        <v>0.41439393939393931</v>
      </c>
      <c r="F76" s="169"/>
      <c r="G76" s="108">
        <f ca="1">((((C76/H73)*20)+((C77/H73)*25)+(30/(H73+F73+D73)*C78)+(5/H73*C79)+(5/H73*C80)+(5/H73*C81)+(5/H73*C82)+(0/H73*C83)+(0/H73*C84)+(5/H73*C85))/100)</f>
        <v>0.68073593073593075</v>
      </c>
      <c r="H76" s="109"/>
      <c r="I76" s="14" t="s">
        <v>96</v>
      </c>
      <c r="J76" s="29">
        <f ca="1">H73*50%</f>
        <v>10.5</v>
      </c>
    </row>
    <row r="77" spans="1:14" x14ac:dyDescent="0.3">
      <c r="A77" s="114" t="s">
        <v>49</v>
      </c>
      <c r="B77" s="115"/>
      <c r="C77" s="61">
        <f ca="1">J85</f>
        <v>21</v>
      </c>
      <c r="D77" s="58">
        <f ca="1">((100/H73)*C77)/100</f>
        <v>1</v>
      </c>
      <c r="E77" s="110"/>
      <c r="F77" s="170"/>
      <c r="G77" s="110"/>
      <c r="H77" s="111"/>
      <c r="I77" s="14" t="s">
        <v>97</v>
      </c>
      <c r="J77" s="29">
        <f ca="1">H73</f>
        <v>21</v>
      </c>
    </row>
    <row r="78" spans="1:14" ht="15.75" customHeight="1" x14ac:dyDescent="0.3">
      <c r="A78" s="114" t="s">
        <v>126</v>
      </c>
      <c r="B78" s="115"/>
      <c r="C78" s="44">
        <v>15</v>
      </c>
      <c r="D78" s="58">
        <f ca="1">((100/(D73+F73+H73))*C78)/100</f>
        <v>0.68181818181818188</v>
      </c>
      <c r="E78" s="110"/>
      <c r="F78" s="170"/>
      <c r="G78" s="110"/>
      <c r="H78" s="111"/>
      <c r="I78" s="14" t="s">
        <v>98</v>
      </c>
      <c r="J78" s="30">
        <f ca="1">(IF(B73&gt;1,(H73/(B73+2)),H73/4))</f>
        <v>5.25</v>
      </c>
    </row>
    <row r="79" spans="1:14" ht="15.75" customHeight="1" x14ac:dyDescent="0.3">
      <c r="A79" s="114" t="s">
        <v>133</v>
      </c>
      <c r="B79" s="115" t="s">
        <v>127</v>
      </c>
      <c r="C79" s="57">
        <v>8</v>
      </c>
      <c r="D79" s="58">
        <f ca="1">((100/H73)*C79)/100</f>
        <v>0.38095238095238093</v>
      </c>
      <c r="E79" s="110"/>
      <c r="F79" s="170"/>
      <c r="G79" s="110"/>
      <c r="H79" s="111"/>
      <c r="I79" s="14" t="s">
        <v>99</v>
      </c>
      <c r="J79" s="30">
        <f ca="1">(IF(B73&gt;1,(H73/(B73+2)+J78),H73/4+J78))</f>
        <v>10.5</v>
      </c>
    </row>
    <row r="80" spans="1:14" ht="15.75" customHeight="1" x14ac:dyDescent="0.3">
      <c r="A80" s="114" t="s">
        <v>134</v>
      </c>
      <c r="B80" s="115" t="s">
        <v>127</v>
      </c>
      <c r="C80" s="57">
        <v>1</v>
      </c>
      <c r="D80" s="58">
        <f ca="1">((100/H73)*C80)/100</f>
        <v>4.7619047619047616E-2</v>
      </c>
      <c r="E80" s="110"/>
      <c r="F80" s="170"/>
      <c r="G80" s="110"/>
      <c r="H80" s="111"/>
      <c r="I80" s="14" t="s">
        <v>143</v>
      </c>
      <c r="J80" s="30">
        <f>(IF(B73&gt;1,(H73/(B73+2)+J79),0))</f>
        <v>0</v>
      </c>
    </row>
    <row r="81" spans="1:10" ht="15" customHeight="1" x14ac:dyDescent="0.3">
      <c r="A81" s="114" t="s">
        <v>132</v>
      </c>
      <c r="B81" s="115" t="s">
        <v>129</v>
      </c>
      <c r="C81" s="57">
        <v>1</v>
      </c>
      <c r="D81" s="58">
        <f ca="1">((100/(H73))*C81)/100</f>
        <v>4.7619047619047616E-2</v>
      </c>
      <c r="E81" s="110"/>
      <c r="F81" s="170"/>
      <c r="G81" s="110"/>
      <c r="H81" s="111"/>
      <c r="I81" s="14" t="s">
        <v>140</v>
      </c>
      <c r="J81" s="30">
        <f>(IF(B73&gt;2,(H73/(B73+2)+J80),0))</f>
        <v>0</v>
      </c>
    </row>
    <row r="82" spans="1:10" ht="15.75" customHeight="1" x14ac:dyDescent="0.3">
      <c r="A82" s="114" t="s">
        <v>128</v>
      </c>
      <c r="B82" s="115" t="s">
        <v>128</v>
      </c>
      <c r="C82" s="57">
        <v>1</v>
      </c>
      <c r="D82" s="58">
        <f ca="1">((100/H73)*C82)/100</f>
        <v>4.7619047619047616E-2</v>
      </c>
      <c r="E82" s="110"/>
      <c r="F82" s="170"/>
      <c r="G82" s="110"/>
      <c r="H82" s="111"/>
      <c r="I82" s="14" t="s">
        <v>141</v>
      </c>
      <c r="J82" s="31">
        <f>(IF(B73&gt;3,(H73/(B73+2)+J81),0))</f>
        <v>0</v>
      </c>
    </row>
    <row r="83" spans="1:10" ht="15.75" customHeight="1" x14ac:dyDescent="0.3">
      <c r="A83" s="114" t="s">
        <v>135</v>
      </c>
      <c r="B83" s="115"/>
      <c r="C83" s="57">
        <v>0</v>
      </c>
      <c r="D83" s="58">
        <f ca="1">((100/H73)*C83)/100</f>
        <v>0</v>
      </c>
      <c r="E83" s="110"/>
      <c r="F83" s="170"/>
      <c r="G83" s="110"/>
      <c r="H83" s="111"/>
      <c r="I83" s="14" t="s">
        <v>142</v>
      </c>
      <c r="J83" s="30">
        <f>(IF(B73&gt;4,(H73/(B73+2)+J82),0))</f>
        <v>0</v>
      </c>
    </row>
    <row r="84" spans="1:10" ht="15.75" customHeight="1" x14ac:dyDescent="0.3">
      <c r="A84" s="114" t="s">
        <v>130</v>
      </c>
      <c r="B84" s="115" t="s">
        <v>130</v>
      </c>
      <c r="C84" s="57">
        <v>0</v>
      </c>
      <c r="D84" s="58">
        <f ca="1">((100/(H73))*C84)/100</f>
        <v>0</v>
      </c>
      <c r="E84" s="110"/>
      <c r="F84" s="170"/>
      <c r="G84" s="110"/>
      <c r="H84" s="111"/>
      <c r="I84" s="14" t="s">
        <v>144</v>
      </c>
      <c r="J84" s="30">
        <f ca="1">(IF(B73=1,(H73/(B73+3)+J79),IF(B73=0,(H73/4+J79),IF(B73&gt;1,0))))</f>
        <v>15.75</v>
      </c>
    </row>
    <row r="85" spans="1:10" ht="16.2" thickBot="1" x14ac:dyDescent="0.35">
      <c r="A85" s="172" t="s">
        <v>131</v>
      </c>
      <c r="B85" s="173"/>
      <c r="C85" s="59">
        <v>0</v>
      </c>
      <c r="D85" s="60">
        <f ca="1">((100/(H73))*C85)/100</f>
        <v>0</v>
      </c>
      <c r="E85" s="112"/>
      <c r="F85" s="171"/>
      <c r="G85" s="112"/>
      <c r="H85" s="113"/>
      <c r="I85" s="16" t="s">
        <v>100</v>
      </c>
      <c r="J85" s="32">
        <f ca="1">(IF(B73&gt;1.5,(H73/(B73+2)+J79+MAX(0,J80-J79)+MAX(0,J81-J80)+MAX(0,J82-J81)+MAX(0,J83-J82)+MAX(0,J84-J83)),IF(B73=1,(H73/(B73+3)+J84),IF(B73=0,H73/4+J84))))</f>
        <v>21</v>
      </c>
    </row>
    <row r="86" spans="1:10" ht="15.75" hidden="1" customHeight="1" x14ac:dyDescent="0.3">
      <c r="A86" s="213" t="s">
        <v>137</v>
      </c>
      <c r="B86" s="214"/>
      <c r="C86" s="215" t="str">
        <f>D63</f>
        <v>Building No.1 B Wing = G + 1st to 21st Floor</v>
      </c>
      <c r="D86" s="216"/>
      <c r="E86" s="216"/>
      <c r="F86" s="216"/>
      <c r="G86" s="216"/>
      <c r="H86" s="217"/>
      <c r="I86" s="49" t="str">
        <f ca="1">IF(D99=100%,"All work Completed. Possession granted to the Building.",IF(D98=100%,"All work Completed, Waiting for OC",I87&amp;""&amp;I88&amp;""&amp;J87&amp;""&amp;J86&amp;" "&amp;J88))</f>
        <v>Excavation, Plinth Completed, RCC upto 8 Slab, Brickwork upto 3 Floor, Internal Plaster upto 1 Floor Completed</v>
      </c>
      <c r="J86" s="50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RCC upto 8 Slab, Brickwork upto 3 Floor, Internal Plaster upto 1 Floor</v>
      </c>
    </row>
    <row r="87" spans="1:10" hidden="1" x14ac:dyDescent="0.3">
      <c r="A87" s="17" t="s">
        <v>139</v>
      </c>
      <c r="B87" s="47">
        <v>0</v>
      </c>
      <c r="C87" s="47" t="s">
        <v>72</v>
      </c>
      <c r="D87" s="47">
        <v>1</v>
      </c>
      <c r="E87" s="47" t="s">
        <v>71</v>
      </c>
      <c r="F87" s="47">
        <v>0</v>
      </c>
      <c r="G87" s="47" t="s">
        <v>79</v>
      </c>
      <c r="H87" s="18">
        <f ca="1">--TRIM(RIGHT(SUBSTITUTE(LEFT(C86,_xlfn.AGGREGATE(16,6,FIND({0,1,2,3,4,5,6,7,8,9},C86,ROW(INDIRECT("1:"&amp;LEN(C86)))),1))," ",REPT(" ",LEN(C86))),LEN(C86)))</f>
        <v>21</v>
      </c>
      <c r="I87" s="51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7" s="52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33" hidden="1" customHeight="1" x14ac:dyDescent="0.3">
      <c r="A88" s="136" t="s">
        <v>89</v>
      </c>
      <c r="B88" s="137"/>
      <c r="C88" s="138" t="str">
        <f ca="1">(IF($C$57=C86,"All work Completed. OC Received.",I86))</f>
        <v>Excavation, Plinth Completed, RCC upto 8 Slab, Brickwork upto 3 Floor, Internal Plaster upto 1 Floor Completed</v>
      </c>
      <c r="D88" s="138"/>
      <c r="E88" s="138"/>
      <c r="F88" s="138"/>
      <c r="G88" s="138"/>
      <c r="H88" s="139"/>
      <c r="I88" s="51" t="str">
        <f ca="1">IF(I87&lt;&gt;""," Completed","")</f>
        <v xml:space="preserve"> Completed</v>
      </c>
      <c r="J88" s="52" t="str">
        <f ca="1">IF(J86&lt;&gt;"","Completed","")</f>
        <v>Completed</v>
      </c>
    </row>
    <row r="89" spans="1:10" ht="15.75" hidden="1" customHeight="1" x14ac:dyDescent="0.3">
      <c r="A89" s="114" t="s">
        <v>48</v>
      </c>
      <c r="B89" s="115"/>
      <c r="C89" s="57" t="s">
        <v>136</v>
      </c>
      <c r="D89" s="57" t="s">
        <v>82</v>
      </c>
      <c r="E89" s="115" t="s">
        <v>84</v>
      </c>
      <c r="F89" s="115"/>
      <c r="G89" s="115" t="s">
        <v>83</v>
      </c>
      <c r="H89" s="140"/>
      <c r="I89" s="14" t="s">
        <v>138</v>
      </c>
      <c r="J89" s="28">
        <f ca="1">H87*25%</f>
        <v>5.25</v>
      </c>
    </row>
    <row r="90" spans="1:10" hidden="1" x14ac:dyDescent="0.3">
      <c r="A90" s="114" t="s">
        <v>125</v>
      </c>
      <c r="B90" s="115"/>
      <c r="C90" s="57">
        <f ca="1">J91</f>
        <v>21</v>
      </c>
      <c r="D90" s="58">
        <f ca="1">((100/H87)*C90)/100</f>
        <v>1</v>
      </c>
      <c r="E90" s="108">
        <f ca="1">(((C91/H87*10)+(40/(D87+F87+H87)*C92)+(7.5/(H87)*C93)+(7.5/(H87)*C94)+(10/H87*C95)+(10/H87*C96)+(5/H87*C97)+(5/H87*C98)+(5/H87*C99))/100)</f>
        <v>0.25974025974025977</v>
      </c>
      <c r="F90" s="169"/>
      <c r="G90" s="108">
        <f ca="1">((((C90/H87)*20)+((C91/H87)*25)+(30/(H87+F87+D87)*C92)+(5/H87*C93)+(5/H87*C94)+(5/H87*C95)+(5/H87*C96)+(0/H87*C97)+(0/H87*C98)+(5/H87*C99))/100)</f>
        <v>0.56861471861471857</v>
      </c>
      <c r="H90" s="109"/>
      <c r="I90" s="14" t="s">
        <v>96</v>
      </c>
      <c r="J90" s="29">
        <f ca="1">H87*50%</f>
        <v>10.5</v>
      </c>
    </row>
    <row r="91" spans="1:10" hidden="1" x14ac:dyDescent="0.3">
      <c r="A91" s="114" t="s">
        <v>49</v>
      </c>
      <c r="B91" s="115"/>
      <c r="C91" s="61">
        <f ca="1">J99</f>
        <v>21</v>
      </c>
      <c r="D91" s="58">
        <f ca="1">((100/H87)*C91)/100</f>
        <v>1</v>
      </c>
      <c r="E91" s="110"/>
      <c r="F91" s="170"/>
      <c r="G91" s="110"/>
      <c r="H91" s="111"/>
      <c r="I91" s="14" t="s">
        <v>97</v>
      </c>
      <c r="J91" s="29">
        <f ca="1">H87</f>
        <v>21</v>
      </c>
    </row>
    <row r="92" spans="1:10" ht="15.75" hidden="1" customHeight="1" x14ac:dyDescent="0.3">
      <c r="A92" s="114" t="s">
        <v>126</v>
      </c>
      <c r="B92" s="115"/>
      <c r="C92" s="44">
        <v>8</v>
      </c>
      <c r="D92" s="58">
        <f ca="1">((100/(D87+F87+H87))*C92)/100</f>
        <v>0.36363636363636365</v>
      </c>
      <c r="E92" s="110"/>
      <c r="F92" s="170"/>
      <c r="G92" s="110"/>
      <c r="H92" s="111"/>
      <c r="I92" s="14" t="s">
        <v>98</v>
      </c>
      <c r="J92" s="30">
        <f ca="1">(IF(B87&gt;1,(H87/(B87+2)),H87/4))</f>
        <v>5.25</v>
      </c>
    </row>
    <row r="93" spans="1:10" ht="15.75" hidden="1" customHeight="1" x14ac:dyDescent="0.3">
      <c r="A93" s="114" t="s">
        <v>133</v>
      </c>
      <c r="B93" s="115" t="s">
        <v>127</v>
      </c>
      <c r="C93" s="57">
        <v>3</v>
      </c>
      <c r="D93" s="58">
        <f ca="1">((100/H87)*C93)/100</f>
        <v>0.14285714285714285</v>
      </c>
      <c r="E93" s="110"/>
      <c r="F93" s="170"/>
      <c r="G93" s="110"/>
      <c r="H93" s="111"/>
      <c r="I93" s="14" t="s">
        <v>99</v>
      </c>
      <c r="J93" s="30">
        <f ca="1">(IF(B87&gt;1,(H87/(B87+2)+J92),H87/4+J92))</f>
        <v>10.5</v>
      </c>
    </row>
    <row r="94" spans="1:10" ht="15.75" hidden="1" customHeight="1" x14ac:dyDescent="0.3">
      <c r="A94" s="114" t="s">
        <v>134</v>
      </c>
      <c r="B94" s="115" t="s">
        <v>127</v>
      </c>
      <c r="C94" s="57">
        <v>1</v>
      </c>
      <c r="D94" s="58">
        <f ca="1">((100/H87)*C94)/100</f>
        <v>4.7619047619047616E-2</v>
      </c>
      <c r="E94" s="110"/>
      <c r="F94" s="170"/>
      <c r="G94" s="110"/>
      <c r="H94" s="111"/>
      <c r="I94" s="14" t="s">
        <v>143</v>
      </c>
      <c r="J94" s="30">
        <f>(IF(B87&gt;1,(H87/(B87+2)+J93),0))</f>
        <v>0</v>
      </c>
    </row>
    <row r="95" spans="1:10" ht="15" hidden="1" customHeight="1" x14ac:dyDescent="0.3">
      <c r="A95" s="114" t="s">
        <v>132</v>
      </c>
      <c r="B95" s="115" t="s">
        <v>129</v>
      </c>
      <c r="C95" s="57">
        <v>0</v>
      </c>
      <c r="D95" s="58">
        <f ca="1">((100/(H87))*C95)/100</f>
        <v>0</v>
      </c>
      <c r="E95" s="110"/>
      <c r="F95" s="170"/>
      <c r="G95" s="110"/>
      <c r="H95" s="111"/>
      <c r="I95" s="14" t="s">
        <v>140</v>
      </c>
      <c r="J95" s="30">
        <f>(IF(B87&gt;2,(H87/(B87+2)+J94),0))</f>
        <v>0</v>
      </c>
    </row>
    <row r="96" spans="1:10" ht="15.75" hidden="1" customHeight="1" x14ac:dyDescent="0.3">
      <c r="A96" s="114" t="s">
        <v>128</v>
      </c>
      <c r="B96" s="115" t="s">
        <v>128</v>
      </c>
      <c r="C96" s="57">
        <v>0</v>
      </c>
      <c r="D96" s="58">
        <f ca="1">((100/H87)*C96)/100</f>
        <v>0</v>
      </c>
      <c r="E96" s="110"/>
      <c r="F96" s="170"/>
      <c r="G96" s="110"/>
      <c r="H96" s="111"/>
      <c r="I96" s="14" t="s">
        <v>141</v>
      </c>
      <c r="J96" s="31">
        <f>(IF(B87&gt;3,(H87/(B87+2)+J95),0))</f>
        <v>0</v>
      </c>
    </row>
    <row r="97" spans="1:10" ht="15.75" hidden="1" customHeight="1" x14ac:dyDescent="0.3">
      <c r="A97" s="114" t="s">
        <v>135</v>
      </c>
      <c r="B97" s="115"/>
      <c r="C97" s="57">
        <v>0</v>
      </c>
      <c r="D97" s="58">
        <f ca="1">((100/H87)*C97)/100</f>
        <v>0</v>
      </c>
      <c r="E97" s="110"/>
      <c r="F97" s="170"/>
      <c r="G97" s="110"/>
      <c r="H97" s="111"/>
      <c r="I97" s="14" t="s">
        <v>142</v>
      </c>
      <c r="J97" s="30">
        <f>(IF(B87&gt;4,(H87/(B87+2)+J96),0))</f>
        <v>0</v>
      </c>
    </row>
    <row r="98" spans="1:10" ht="15.75" hidden="1" customHeight="1" x14ac:dyDescent="0.3">
      <c r="A98" s="114" t="s">
        <v>130</v>
      </c>
      <c r="B98" s="115" t="s">
        <v>130</v>
      </c>
      <c r="C98" s="57">
        <v>0</v>
      </c>
      <c r="D98" s="58">
        <f ca="1">((100/(H87))*C98)/100</f>
        <v>0</v>
      </c>
      <c r="E98" s="110"/>
      <c r="F98" s="170"/>
      <c r="G98" s="110"/>
      <c r="H98" s="111"/>
      <c r="I98" s="14" t="s">
        <v>144</v>
      </c>
      <c r="J98" s="30">
        <f ca="1">(IF(B87=1,(H87/(B87+3)+J93),IF(B87=0,(H87/4+J93),IF(B87&gt;1,0))))</f>
        <v>15.75</v>
      </c>
    </row>
    <row r="99" spans="1:10" ht="16.2" hidden="1" thickBot="1" x14ac:dyDescent="0.35">
      <c r="A99" s="172" t="s">
        <v>131</v>
      </c>
      <c r="B99" s="173"/>
      <c r="C99" s="59">
        <v>0</v>
      </c>
      <c r="D99" s="60">
        <f ca="1">((100/(H87))*C99)/100</f>
        <v>0</v>
      </c>
      <c r="E99" s="112"/>
      <c r="F99" s="171"/>
      <c r="G99" s="112"/>
      <c r="H99" s="113"/>
      <c r="I99" s="16" t="s">
        <v>100</v>
      </c>
      <c r="J99" s="32">
        <f ca="1">(IF(B87&gt;1.5,(H87/(B87+2)+J93+MAX(0,J94-J93)+MAX(0,J95-J94)+MAX(0,J96-J95)+MAX(0,J97-J96)+MAX(0,J98-J97)),IF(B87=1,(H87/(B87+3)+J98),IF(B87=0,H87/4+J98))))</f>
        <v>21</v>
      </c>
    </row>
    <row r="100" spans="1:10" ht="15.75" hidden="1" customHeight="1" x14ac:dyDescent="0.3">
      <c r="A100" s="158" t="s">
        <v>137</v>
      </c>
      <c r="B100" s="159"/>
      <c r="C100" s="160" t="str">
        <f>D64</f>
        <v>C Wing = G + 1st to 16th Floor</v>
      </c>
      <c r="D100" s="161"/>
      <c r="E100" s="161"/>
      <c r="F100" s="161"/>
      <c r="G100" s="161"/>
      <c r="H100" s="162"/>
      <c r="I100" s="49" t="str">
        <f ca="1">IF(D113=100%,"All work Completed. Possession granted to the Building.",IF(D112=100%,"All work Completed, Waiting for OC",I101&amp;""&amp;I102&amp;""&amp;J101&amp;""&amp;J100&amp;" "&amp;J102))</f>
        <v xml:space="preserve">Excavation, Plinth, RCC Slab Completed </v>
      </c>
      <c r="J100" s="50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/>
      </c>
    </row>
    <row r="101" spans="1:10" hidden="1" x14ac:dyDescent="0.3">
      <c r="A101" s="17" t="s">
        <v>139</v>
      </c>
      <c r="B101" s="15">
        <v>0</v>
      </c>
      <c r="C101" s="47" t="s">
        <v>72</v>
      </c>
      <c r="D101" s="47">
        <v>1</v>
      </c>
      <c r="E101" s="47" t="s">
        <v>71</v>
      </c>
      <c r="F101" s="15">
        <v>0</v>
      </c>
      <c r="G101" s="48" t="s">
        <v>79</v>
      </c>
      <c r="H101" s="18">
        <f ca="1">--TRIM(RIGHT(SUBSTITUTE(LEFT(C100,_xlfn.AGGREGATE(16,6,FIND({0,1,2,3,4,5,6,7,8,9},C100,ROW(INDIRECT("1:"&amp;LEN(C100)))),1))," ",REPT(" ",LEN(C100))),LEN(C100)))</f>
        <v>16</v>
      </c>
      <c r="I101" s="51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</v>
      </c>
      <c r="J101" s="52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t="33" hidden="1" customHeight="1" x14ac:dyDescent="0.3">
      <c r="A102" s="136" t="s">
        <v>89</v>
      </c>
      <c r="B102" s="137"/>
      <c r="C102" s="138" t="str">
        <f ca="1">(IF($C$57=C100,"All work Completed. OC Received.",I100))</f>
        <v xml:space="preserve">Excavation, Plinth, RCC Slab Completed </v>
      </c>
      <c r="D102" s="138"/>
      <c r="E102" s="138"/>
      <c r="F102" s="138"/>
      <c r="G102" s="138"/>
      <c r="H102" s="139"/>
      <c r="I102" s="51" t="str">
        <f ca="1">IF(I101&lt;&gt;""," Completed","")</f>
        <v xml:space="preserve"> Completed</v>
      </c>
      <c r="J102" s="52" t="str">
        <f ca="1">IF(J100&lt;&gt;"","Completed","")</f>
        <v/>
      </c>
    </row>
    <row r="103" spans="1:10" ht="15.75" hidden="1" customHeight="1" x14ac:dyDescent="0.3">
      <c r="A103" s="106" t="s">
        <v>48</v>
      </c>
      <c r="B103" s="107"/>
      <c r="C103" s="44" t="s">
        <v>136</v>
      </c>
      <c r="D103" s="44" t="s">
        <v>82</v>
      </c>
      <c r="E103" s="107" t="s">
        <v>84</v>
      </c>
      <c r="F103" s="107"/>
      <c r="G103" s="107" t="s">
        <v>83</v>
      </c>
      <c r="H103" s="154"/>
      <c r="I103" s="14" t="s">
        <v>138</v>
      </c>
      <c r="J103" s="28">
        <f ca="1">H101*25%</f>
        <v>4</v>
      </c>
    </row>
    <row r="104" spans="1:10" hidden="1" x14ac:dyDescent="0.3">
      <c r="A104" s="106" t="s">
        <v>125</v>
      </c>
      <c r="B104" s="107"/>
      <c r="C104" s="44">
        <f ca="1">J105</f>
        <v>16</v>
      </c>
      <c r="D104" s="19">
        <f ca="1">((100/H101)*C104)/100</f>
        <v>1</v>
      </c>
      <c r="E104" s="176">
        <f ca="1">(((C105/H101*10)+(40/(D101+F101+H101)*C106)+(7.5/(H101)*C107)+(7.5/(H101)*C108)+(10/H101*C109)+(10/H101*C110)+(5/H101*C111)+(5/H101*C112)+(5/H101*C113))/100)</f>
        <v>0.5</v>
      </c>
      <c r="F104" s="222"/>
      <c r="G104" s="176">
        <f ca="1">((((C104/H101)*20)+((C105/H101)*25)+(30/(H101+F101+D101)*C106)+(5/H101*C107)+(5/H101*C108)+(5/H101*C109)+(5/H101*C110)+(0/H101*C111)+(0/H101*C112)+(5/H101*C113))/100)</f>
        <v>0.75</v>
      </c>
      <c r="H104" s="177"/>
      <c r="I104" s="14" t="s">
        <v>96</v>
      </c>
      <c r="J104" s="29">
        <f ca="1">H101*50%</f>
        <v>8</v>
      </c>
    </row>
    <row r="105" spans="1:10" hidden="1" x14ac:dyDescent="0.3">
      <c r="A105" s="106" t="s">
        <v>49</v>
      </c>
      <c r="B105" s="107"/>
      <c r="C105" s="44">
        <f ca="1">J113</f>
        <v>16</v>
      </c>
      <c r="D105" s="19">
        <f ca="1">((100/H101)*C105)/100</f>
        <v>1</v>
      </c>
      <c r="E105" s="178"/>
      <c r="F105" s="223"/>
      <c r="G105" s="178"/>
      <c r="H105" s="179"/>
      <c r="I105" s="14" t="s">
        <v>97</v>
      </c>
      <c r="J105" s="29">
        <f ca="1">H101</f>
        <v>16</v>
      </c>
    </row>
    <row r="106" spans="1:10" ht="15.75" hidden="1" customHeight="1" x14ac:dyDescent="0.3">
      <c r="A106" s="106" t="s">
        <v>126</v>
      </c>
      <c r="B106" s="107"/>
      <c r="C106" s="44">
        <f ca="1">D101+H101</f>
        <v>17</v>
      </c>
      <c r="D106" s="19">
        <f ca="1">((100/(D101+F101+H101))*C106)/100</f>
        <v>1</v>
      </c>
      <c r="E106" s="178"/>
      <c r="F106" s="223"/>
      <c r="G106" s="178"/>
      <c r="H106" s="179"/>
      <c r="I106" s="14" t="s">
        <v>98</v>
      </c>
      <c r="J106" s="30">
        <f ca="1">(IF(B101&gt;1,(H101/(B101+2)),H101/4))</f>
        <v>4</v>
      </c>
    </row>
    <row r="107" spans="1:10" ht="15.75" hidden="1" customHeight="1" x14ac:dyDescent="0.3">
      <c r="A107" s="106" t="s">
        <v>133</v>
      </c>
      <c r="B107" s="107" t="s">
        <v>127</v>
      </c>
      <c r="C107" s="44">
        <v>0</v>
      </c>
      <c r="D107" s="19">
        <f ca="1">((100/H101)*C107)/100</f>
        <v>0</v>
      </c>
      <c r="E107" s="178"/>
      <c r="F107" s="223"/>
      <c r="G107" s="178"/>
      <c r="H107" s="179"/>
      <c r="I107" s="14" t="s">
        <v>99</v>
      </c>
      <c r="J107" s="30">
        <f ca="1">(IF(B101&gt;1,(H101/(B101+2)+J106),H101/4+J106))</f>
        <v>8</v>
      </c>
    </row>
    <row r="108" spans="1:10" ht="15.75" hidden="1" customHeight="1" x14ac:dyDescent="0.3">
      <c r="A108" s="106" t="s">
        <v>134</v>
      </c>
      <c r="B108" s="107" t="s">
        <v>127</v>
      </c>
      <c r="C108" s="44">
        <v>0</v>
      </c>
      <c r="D108" s="19">
        <f ca="1">((100/H101)*C108)/100</f>
        <v>0</v>
      </c>
      <c r="E108" s="178"/>
      <c r="F108" s="223"/>
      <c r="G108" s="178"/>
      <c r="H108" s="179"/>
      <c r="I108" s="14" t="s">
        <v>143</v>
      </c>
      <c r="J108" s="30">
        <f>(IF(B101&gt;1,(H101/(B101+2)+J107),0))</f>
        <v>0</v>
      </c>
    </row>
    <row r="109" spans="1:10" ht="15" hidden="1" customHeight="1" x14ac:dyDescent="0.3">
      <c r="A109" s="106" t="s">
        <v>132</v>
      </c>
      <c r="B109" s="107" t="s">
        <v>129</v>
      </c>
      <c r="C109" s="44">
        <v>0</v>
      </c>
      <c r="D109" s="19">
        <f ca="1">((100/(H101))*C109)/100</f>
        <v>0</v>
      </c>
      <c r="E109" s="178"/>
      <c r="F109" s="223"/>
      <c r="G109" s="178"/>
      <c r="H109" s="179"/>
      <c r="I109" s="14" t="s">
        <v>140</v>
      </c>
      <c r="J109" s="30">
        <f>(IF(B101&gt;2,(H101/(B101+2)+J108),0))</f>
        <v>0</v>
      </c>
    </row>
    <row r="110" spans="1:10" ht="15.75" hidden="1" customHeight="1" x14ac:dyDescent="0.3">
      <c r="A110" s="106" t="s">
        <v>128</v>
      </c>
      <c r="B110" s="107" t="s">
        <v>128</v>
      </c>
      <c r="C110" s="44">
        <v>0</v>
      </c>
      <c r="D110" s="19">
        <f ca="1">((100/H101)*C110)/100</f>
        <v>0</v>
      </c>
      <c r="E110" s="178"/>
      <c r="F110" s="223"/>
      <c r="G110" s="178"/>
      <c r="H110" s="179"/>
      <c r="I110" s="14" t="s">
        <v>141</v>
      </c>
      <c r="J110" s="31">
        <f>(IF(B101&gt;3,(H101/(B101+2)+J109),0))</f>
        <v>0</v>
      </c>
    </row>
    <row r="111" spans="1:10" ht="15.75" hidden="1" customHeight="1" x14ac:dyDescent="0.3">
      <c r="A111" s="106" t="s">
        <v>135</v>
      </c>
      <c r="B111" s="107"/>
      <c r="C111" s="44">
        <v>0</v>
      </c>
      <c r="D111" s="19">
        <f ca="1">((100/H101)*C111)/100</f>
        <v>0</v>
      </c>
      <c r="E111" s="178"/>
      <c r="F111" s="223"/>
      <c r="G111" s="178"/>
      <c r="H111" s="179"/>
      <c r="I111" s="14" t="s">
        <v>142</v>
      </c>
      <c r="J111" s="30">
        <f>(IF(B101&gt;4,(H101/(B101+2)+J110),0))</f>
        <v>0</v>
      </c>
    </row>
    <row r="112" spans="1:10" ht="15.75" hidden="1" customHeight="1" x14ac:dyDescent="0.3">
      <c r="A112" s="106" t="s">
        <v>130</v>
      </c>
      <c r="B112" s="107" t="s">
        <v>130</v>
      </c>
      <c r="C112" s="44">
        <v>0</v>
      </c>
      <c r="D112" s="19">
        <f ca="1">((100/(H101))*C112)/100</f>
        <v>0</v>
      </c>
      <c r="E112" s="178"/>
      <c r="F112" s="223"/>
      <c r="G112" s="178"/>
      <c r="H112" s="179"/>
      <c r="I112" s="14" t="s">
        <v>144</v>
      </c>
      <c r="J112" s="30">
        <f ca="1">(IF(B101=1,(H101/(B101+3)+J107),IF(B101=0,(H101/4+J107),IF(B101&gt;1,0))))</f>
        <v>12</v>
      </c>
    </row>
    <row r="113" spans="1:14" ht="16.2" hidden="1" thickBot="1" x14ac:dyDescent="0.35">
      <c r="A113" s="242" t="s">
        <v>131</v>
      </c>
      <c r="B113" s="243"/>
      <c r="C113" s="45">
        <v>0</v>
      </c>
      <c r="D113" s="20">
        <f ca="1">((100/(H101))*C113)/100</f>
        <v>0</v>
      </c>
      <c r="E113" s="180"/>
      <c r="F113" s="224"/>
      <c r="G113" s="180"/>
      <c r="H113" s="181"/>
      <c r="I113" s="16" t="s">
        <v>100</v>
      </c>
      <c r="J113" s="32">
        <f ca="1">(IF(B101&gt;1.5,(H101/(B101+2)+J107+MAX(0,J108-J107)+MAX(0,J109-J108)+MAX(0,J110-J109)+MAX(0,J111-J110)+MAX(0,J112-J111)),IF(B101=1,(H101/(B101+3)+J112),IF(B101=0,H101/4+J112))))</f>
        <v>16</v>
      </c>
    </row>
    <row r="114" spans="1:14" x14ac:dyDescent="0.3">
      <c r="A114" s="123" t="s">
        <v>155</v>
      </c>
      <c r="B114" s="123"/>
      <c r="C114" s="123"/>
      <c r="D114" s="123"/>
      <c r="E114" s="123"/>
      <c r="F114" s="141" t="s">
        <v>160</v>
      </c>
      <c r="G114" s="141"/>
      <c r="H114" s="141"/>
    </row>
    <row r="115" spans="1:14" x14ac:dyDescent="0.3">
      <c r="A115" s="117" t="s">
        <v>158</v>
      </c>
      <c r="B115" s="117"/>
      <c r="C115" s="117"/>
      <c r="D115" s="117"/>
      <c r="E115" s="117"/>
      <c r="F115" s="116">
        <v>6000</v>
      </c>
      <c r="G115" s="116"/>
      <c r="H115" s="116"/>
      <c r="I115" s="21" t="s">
        <v>265</v>
      </c>
    </row>
    <row r="116" spans="1:14" x14ac:dyDescent="0.3">
      <c r="A116" s="117" t="s">
        <v>157</v>
      </c>
      <c r="B116" s="117"/>
      <c r="C116" s="117"/>
      <c r="D116" s="117"/>
      <c r="E116" s="117"/>
      <c r="F116" s="116">
        <v>14000</v>
      </c>
      <c r="G116" s="116"/>
      <c r="H116" s="116"/>
      <c r="I116" s="63" t="s">
        <v>198</v>
      </c>
      <c r="J116" s="63" t="s">
        <v>199</v>
      </c>
      <c r="K116" s="63" t="s">
        <v>200</v>
      </c>
      <c r="L116" s="64">
        <v>45101</v>
      </c>
      <c r="M116" s="63" t="s">
        <v>201</v>
      </c>
      <c r="N116" s="63"/>
    </row>
    <row r="117" spans="1:14" x14ac:dyDescent="0.3">
      <c r="A117" s="117" t="s">
        <v>159</v>
      </c>
      <c r="B117" s="117"/>
      <c r="C117" s="117"/>
      <c r="D117" s="117"/>
      <c r="E117" s="117"/>
      <c r="F117" s="116">
        <v>7000</v>
      </c>
      <c r="G117" s="116"/>
      <c r="H117" s="116"/>
    </row>
    <row r="118" spans="1:14" s="33" customFormat="1" hidden="1" x14ac:dyDescent="0.25">
      <c r="A118" s="117" t="s">
        <v>156</v>
      </c>
      <c r="B118" s="117"/>
      <c r="C118" s="117"/>
      <c r="D118" s="117"/>
      <c r="E118" s="117"/>
      <c r="F118" s="116"/>
      <c r="G118" s="116"/>
      <c r="H118" s="116"/>
    </row>
    <row r="119" spans="1:14" s="33" customFormat="1" x14ac:dyDescent="0.25">
      <c r="A119" s="117" t="s">
        <v>94</v>
      </c>
      <c r="B119" s="117"/>
      <c r="C119" s="117"/>
      <c r="D119" s="117"/>
      <c r="E119" s="117"/>
      <c r="F119" s="116">
        <v>75000</v>
      </c>
      <c r="G119" s="116"/>
      <c r="H119" s="116"/>
    </row>
    <row r="120" spans="1:14" s="33" customFormat="1" hidden="1" x14ac:dyDescent="0.25">
      <c r="A120" s="117" t="s">
        <v>161</v>
      </c>
      <c r="B120" s="117"/>
      <c r="C120" s="117"/>
      <c r="D120" s="117"/>
      <c r="E120" s="117"/>
      <c r="F120" s="116"/>
      <c r="G120" s="116"/>
      <c r="H120" s="116"/>
    </row>
    <row r="121" spans="1:14" s="33" customFormat="1" hidden="1" x14ac:dyDescent="0.25">
      <c r="A121" s="117" t="s">
        <v>95</v>
      </c>
      <c r="B121" s="117"/>
      <c r="C121" s="117"/>
      <c r="D121" s="117"/>
      <c r="E121" s="117"/>
      <c r="F121" s="116"/>
      <c r="G121" s="116"/>
      <c r="H121" s="116"/>
    </row>
    <row r="122" spans="1:14" s="33" customFormat="1" x14ac:dyDescent="0.25">
      <c r="A122" s="117" t="s">
        <v>195</v>
      </c>
      <c r="B122" s="117"/>
      <c r="C122" s="117"/>
      <c r="D122" s="117"/>
      <c r="E122" s="117"/>
      <c r="F122" s="116">
        <v>125000</v>
      </c>
      <c r="G122" s="116"/>
      <c r="H122" s="116"/>
    </row>
    <row r="123" spans="1:14" s="33" customFormat="1" x14ac:dyDescent="0.25">
      <c r="A123" s="117" t="s">
        <v>196</v>
      </c>
      <c r="B123" s="117"/>
      <c r="C123" s="117"/>
      <c r="D123" s="117"/>
      <c r="E123" s="117"/>
      <c r="F123" s="116">
        <v>50000</v>
      </c>
      <c r="G123" s="116"/>
      <c r="H123" s="116"/>
    </row>
    <row r="124" spans="1:14" x14ac:dyDescent="0.3">
      <c r="A124" s="117" t="s">
        <v>50</v>
      </c>
      <c r="B124" s="117"/>
      <c r="C124" s="117"/>
      <c r="D124" s="117"/>
      <c r="E124" s="117"/>
      <c r="F124" s="116">
        <v>250000</v>
      </c>
      <c r="G124" s="116"/>
      <c r="H124" s="116"/>
    </row>
    <row r="125" spans="1:14" s="34" customFormat="1" x14ac:dyDescent="0.3">
      <c r="A125" s="183" t="s">
        <v>51</v>
      </c>
      <c r="B125" s="183"/>
      <c r="C125" s="183"/>
      <c r="D125" s="183"/>
      <c r="E125" s="183"/>
      <c r="F125" s="116">
        <f>F115*0.8</f>
        <v>4800</v>
      </c>
      <c r="G125" s="116"/>
      <c r="H125" s="116"/>
    </row>
    <row r="126" spans="1:14" s="35" customFormat="1" ht="15.75" customHeight="1" x14ac:dyDescent="0.3">
      <c r="A126" s="134" t="s">
        <v>191</v>
      </c>
      <c r="B126" s="134"/>
      <c r="C126" s="134"/>
      <c r="D126" s="134"/>
      <c r="E126" s="134"/>
      <c r="F126" s="134"/>
      <c r="G126" s="134"/>
      <c r="H126" s="134"/>
    </row>
    <row r="127" spans="1:14" s="35" customFormat="1" ht="15.75" customHeight="1" x14ac:dyDescent="0.3">
      <c r="A127" s="135" t="s">
        <v>52</v>
      </c>
      <c r="B127" s="135"/>
      <c r="C127" s="78" t="s">
        <v>77</v>
      </c>
      <c r="D127" s="78"/>
      <c r="E127" s="142" t="s">
        <v>53</v>
      </c>
      <c r="F127" s="142"/>
      <c r="G127" s="135" t="s">
        <v>54</v>
      </c>
      <c r="H127" s="135"/>
    </row>
    <row r="128" spans="1:14" s="35" customFormat="1" x14ac:dyDescent="0.3">
      <c r="A128" s="122" t="s">
        <v>188</v>
      </c>
      <c r="B128" s="122"/>
      <c r="C128" s="129">
        <f>COUNT(D148:D161)</f>
        <v>14</v>
      </c>
      <c r="D128" s="130"/>
      <c r="E128" s="131">
        <f>SUM(D148:D161)</f>
        <v>3114.2942999999996</v>
      </c>
      <c r="F128" s="132"/>
      <c r="G128" s="131">
        <f>SUM(F148:F161)</f>
        <v>4671.4414499999993</v>
      </c>
      <c r="H128" s="132"/>
    </row>
    <row r="129" spans="1:10" s="35" customFormat="1" x14ac:dyDescent="0.3">
      <c r="A129" s="122" t="s">
        <v>189</v>
      </c>
      <c r="B129" s="122"/>
      <c r="C129" s="129">
        <f>COUNT(D170:D176)</f>
        <v>7</v>
      </c>
      <c r="D129" s="130"/>
      <c r="E129" s="131">
        <f>SUM(D170:D176)</f>
        <v>1320.8504399999999</v>
      </c>
      <c r="F129" s="132"/>
      <c r="G129" s="131">
        <f>SUM(F170:F176)</f>
        <v>1981.27566</v>
      </c>
      <c r="H129" s="132"/>
    </row>
    <row r="130" spans="1:10" s="35" customFormat="1" x14ac:dyDescent="0.3">
      <c r="A130" s="133" t="s">
        <v>148</v>
      </c>
      <c r="B130" s="133"/>
      <c r="C130" s="77">
        <f>SUM(C128:D129)</f>
        <v>21</v>
      </c>
      <c r="D130" s="78"/>
      <c r="E130" s="153">
        <f>SUM(E128:F129)</f>
        <v>4435.1447399999997</v>
      </c>
      <c r="F130" s="142"/>
      <c r="G130" s="135">
        <f>SUM(G128:H129)</f>
        <v>6652.7171099999996</v>
      </c>
      <c r="H130" s="135"/>
      <c r="J130" s="62">
        <f>SUM(E130,E135,E140)</f>
        <v>178302.118644</v>
      </c>
    </row>
    <row r="131" spans="1:10" s="35" customFormat="1" ht="15.75" customHeight="1" x14ac:dyDescent="0.3">
      <c r="A131" s="134" t="s">
        <v>192</v>
      </c>
      <c r="B131" s="134"/>
      <c r="C131" s="134"/>
      <c r="D131" s="134"/>
      <c r="E131" s="134"/>
      <c r="F131" s="134"/>
      <c r="G131" s="134"/>
      <c r="H131" s="134"/>
    </row>
    <row r="132" spans="1:10" s="35" customFormat="1" ht="15.75" customHeight="1" x14ac:dyDescent="0.3">
      <c r="A132" s="135" t="s">
        <v>52</v>
      </c>
      <c r="B132" s="135"/>
      <c r="C132" s="78" t="s">
        <v>77</v>
      </c>
      <c r="D132" s="78"/>
      <c r="E132" s="142" t="s">
        <v>53</v>
      </c>
      <c r="F132" s="142"/>
      <c r="G132" s="135" t="s">
        <v>54</v>
      </c>
      <c r="H132" s="135"/>
    </row>
    <row r="133" spans="1:10" s="35" customFormat="1" x14ac:dyDescent="0.3">
      <c r="A133" s="122" t="s">
        <v>188</v>
      </c>
      <c r="B133" s="122"/>
      <c r="C133" s="129">
        <f>COUNT(D163:D167)</f>
        <v>5</v>
      </c>
      <c r="D133" s="130"/>
      <c r="E133" s="131">
        <f>SUM(D163:D167)</f>
        <v>2252.0440799999997</v>
      </c>
      <c r="F133" s="132"/>
      <c r="G133" s="131">
        <f>SUM(F163:F167)</f>
        <v>3378.0661199999995</v>
      </c>
      <c r="H133" s="132"/>
    </row>
    <row r="134" spans="1:10" s="35" customFormat="1" hidden="1" x14ac:dyDescent="0.3">
      <c r="A134" s="122" t="s">
        <v>189</v>
      </c>
      <c r="B134" s="122"/>
      <c r="C134" s="129">
        <f>COUNT(#REF!)</f>
        <v>0</v>
      </c>
      <c r="D134" s="130"/>
      <c r="E134" s="131" t="e">
        <f>SUM(#REF!)</f>
        <v>#REF!</v>
      </c>
      <c r="F134" s="132"/>
      <c r="G134" s="131" t="e">
        <f>SUM(#REF!)</f>
        <v>#REF!</v>
      </c>
      <c r="H134" s="132"/>
    </row>
    <row r="135" spans="1:10" s="35" customFormat="1" x14ac:dyDescent="0.3">
      <c r="A135" s="133" t="s">
        <v>148</v>
      </c>
      <c r="B135" s="133"/>
      <c r="C135" s="77">
        <f>C133</f>
        <v>5</v>
      </c>
      <c r="D135" s="78"/>
      <c r="E135" s="77">
        <f t="shared" ref="E135" si="0">E133</f>
        <v>2252.0440799999997</v>
      </c>
      <c r="F135" s="78"/>
      <c r="G135" s="77">
        <f t="shared" ref="G135" si="1">G133</f>
        <v>3378.0661199999995</v>
      </c>
      <c r="H135" s="78"/>
    </row>
    <row r="136" spans="1:10" s="35" customFormat="1" x14ac:dyDescent="0.3">
      <c r="A136" s="134" t="s">
        <v>70</v>
      </c>
      <c r="B136" s="134"/>
      <c r="C136" s="134"/>
      <c r="D136" s="134"/>
      <c r="E136" s="134"/>
      <c r="F136" s="134"/>
      <c r="G136" s="134"/>
      <c r="H136" s="134"/>
    </row>
    <row r="137" spans="1:10" s="35" customFormat="1" ht="15.75" customHeight="1" x14ac:dyDescent="0.3">
      <c r="A137" s="135" t="s">
        <v>52</v>
      </c>
      <c r="B137" s="135"/>
      <c r="C137" s="78" t="s">
        <v>77</v>
      </c>
      <c r="D137" s="78"/>
      <c r="E137" s="142" t="s">
        <v>53</v>
      </c>
      <c r="F137" s="142"/>
      <c r="G137" s="135" t="s">
        <v>54</v>
      </c>
      <c r="H137" s="135"/>
    </row>
    <row r="138" spans="1:10" s="35" customFormat="1" x14ac:dyDescent="0.3">
      <c r="A138" s="122" t="s">
        <v>188</v>
      </c>
      <c r="B138" s="122"/>
      <c r="C138" s="129">
        <f>COUNT(D182,D188:D189)+COUNT(D191:D198)+COUNT(D200:D207)*16+COUNT(D209:D216)*3</f>
        <v>163</v>
      </c>
      <c r="D138" s="129"/>
      <c r="E138" s="156">
        <f>SUM(D182,D188:D189)+SUM(D191:D198)+SUM(D200:D207)*16+SUM(D209:D216)*3</f>
        <v>87771.808800000013</v>
      </c>
      <c r="F138" s="157"/>
      <c r="G138" s="156">
        <f>SUM(F182,F188:F189)+SUM(F191:F198)+SUM(F200:F207)*16+SUM(F209:F216)*3</f>
        <v>131907.16889999999</v>
      </c>
      <c r="H138" s="157"/>
    </row>
    <row r="139" spans="1:10" s="35" customFormat="1" x14ac:dyDescent="0.3">
      <c r="A139" s="122" t="s">
        <v>189</v>
      </c>
      <c r="B139" s="122"/>
      <c r="C139" s="129">
        <f>COUNT(D219:D224)+COUNT(D226:D231)*17+COUNT(D233:D238)*3</f>
        <v>126</v>
      </c>
      <c r="D139" s="129"/>
      <c r="E139" s="129">
        <f>SUM(F219:F224)+SUM(F226:F231)*17+SUM(F233:F238)*3</f>
        <v>83843.121023999964</v>
      </c>
      <c r="F139" s="129"/>
      <c r="G139" s="129">
        <f>SUM(F219:F224)+SUM(F226:F231)*17+SUM(F233:F238)*3</f>
        <v>83843.121023999964</v>
      </c>
      <c r="H139" s="129"/>
    </row>
    <row r="140" spans="1:10" s="35" customFormat="1" x14ac:dyDescent="0.3">
      <c r="A140" s="133" t="s">
        <v>148</v>
      </c>
      <c r="B140" s="133"/>
      <c r="C140" s="77">
        <f>SUM(C138:C139)</f>
        <v>289</v>
      </c>
      <c r="D140" s="78"/>
      <c r="E140" s="153">
        <f>SUM(E138:E139)</f>
        <v>171614.92982399999</v>
      </c>
      <c r="F140" s="142"/>
      <c r="G140" s="135">
        <f>SUM(G138:G139)</f>
        <v>215750.28992399995</v>
      </c>
      <c r="H140" s="135"/>
    </row>
    <row r="141" spans="1:10" s="35" customFormat="1" x14ac:dyDescent="0.3">
      <c r="A141" s="133" t="s">
        <v>238</v>
      </c>
      <c r="B141" s="133"/>
      <c r="C141" s="77">
        <f>C130+C135+C140</f>
        <v>315</v>
      </c>
      <c r="D141" s="78"/>
      <c r="E141" s="77">
        <f t="shared" ref="E141" si="2">E130+E135+E140</f>
        <v>178302.118644</v>
      </c>
      <c r="F141" s="78"/>
      <c r="G141" s="77">
        <f t="shared" ref="G141" si="3">G130+G135+G140</f>
        <v>225781.07315399995</v>
      </c>
      <c r="H141" s="78"/>
    </row>
    <row r="142" spans="1:10" s="34" customFormat="1" x14ac:dyDescent="0.3">
      <c r="A142" s="200" t="s">
        <v>55</v>
      </c>
      <c r="B142" s="200"/>
      <c r="C142" s="200"/>
      <c r="D142" s="200"/>
      <c r="E142" s="200"/>
      <c r="F142" s="200"/>
      <c r="G142" s="200"/>
      <c r="H142" s="200"/>
    </row>
    <row r="143" spans="1:10" x14ac:dyDescent="0.3">
      <c r="A143" s="200" t="s">
        <v>56</v>
      </c>
      <c r="B143" s="200"/>
      <c r="C143" s="200"/>
      <c r="D143" s="200"/>
      <c r="E143" s="200"/>
      <c r="F143" s="200"/>
      <c r="G143" s="200"/>
      <c r="H143" s="200"/>
    </row>
    <row r="144" spans="1:10" ht="47.25" customHeight="1" x14ac:dyDescent="0.3">
      <c r="A144" s="118" t="s">
        <v>115</v>
      </c>
      <c r="B144" s="118" t="s">
        <v>114</v>
      </c>
      <c r="C144" s="118" t="s">
        <v>57</v>
      </c>
      <c r="D144" s="118" t="s">
        <v>58</v>
      </c>
      <c r="E144" s="163" t="s">
        <v>154</v>
      </c>
      <c r="F144" s="43" t="s">
        <v>147</v>
      </c>
      <c r="G144" s="165" t="s">
        <v>60</v>
      </c>
      <c r="H144" s="166"/>
    </row>
    <row r="145" spans="1:14" s="37" customFormat="1" x14ac:dyDescent="0.3">
      <c r="A145" s="119"/>
      <c r="B145" s="119"/>
      <c r="C145" s="119"/>
      <c r="D145" s="119"/>
      <c r="E145" s="164"/>
      <c r="F145" s="13">
        <v>0.5</v>
      </c>
      <c r="G145" s="167"/>
      <c r="H145" s="168"/>
    </row>
    <row r="146" spans="1:14" s="37" customFormat="1" x14ac:dyDescent="0.3">
      <c r="A146" s="95" t="s">
        <v>188</v>
      </c>
      <c r="B146" s="96"/>
      <c r="C146" s="96"/>
      <c r="D146" s="96"/>
      <c r="E146" s="96"/>
      <c r="F146" s="96"/>
      <c r="G146" s="96"/>
      <c r="H146" s="97"/>
      <c r="J146" s="36"/>
    </row>
    <row r="147" spans="1:14" s="37" customFormat="1" x14ac:dyDescent="0.3">
      <c r="A147" s="81" t="s">
        <v>231</v>
      </c>
      <c r="B147" s="82"/>
      <c r="C147" s="82"/>
      <c r="D147" s="82"/>
      <c r="E147" s="82"/>
      <c r="F147" s="82"/>
      <c r="G147" s="82"/>
      <c r="H147" s="83"/>
      <c r="J147" s="36"/>
    </row>
    <row r="148" spans="1:14" s="37" customFormat="1" x14ac:dyDescent="0.3">
      <c r="A148" s="79">
        <v>7</v>
      </c>
      <c r="B148" s="80"/>
      <c r="C148" s="42" t="s">
        <v>184</v>
      </c>
      <c r="D148" s="56">
        <f>(18.88)*10.764</f>
        <v>203.22431999999998</v>
      </c>
      <c r="E148" s="42">
        <v>0</v>
      </c>
      <c r="F148" s="42">
        <f>(D148+E148)*(($F$145)+1)</f>
        <v>304.83647999999994</v>
      </c>
      <c r="G148" s="79" t="str">
        <f>A147</f>
        <v>Ground Floor For Commercial, Entrance Lobby &amp; Parking</v>
      </c>
      <c r="H148" s="80"/>
      <c r="I148" s="75">
        <f>2.95*6.25</f>
        <v>18.4375</v>
      </c>
      <c r="J148" s="42">
        <f>2.95*6.25</f>
        <v>18.4375</v>
      </c>
      <c r="L148" s="88"/>
      <c r="M148" s="88"/>
      <c r="N148" s="36"/>
    </row>
    <row r="149" spans="1:14" s="37" customFormat="1" x14ac:dyDescent="0.3">
      <c r="A149" s="79">
        <f t="shared" ref="A149:A161" si="4">A148+1</f>
        <v>8</v>
      </c>
      <c r="B149" s="80"/>
      <c r="C149" s="42" t="s">
        <v>184</v>
      </c>
      <c r="D149" s="56">
        <f>(17.6)*10.764</f>
        <v>189.44640000000001</v>
      </c>
      <c r="E149" s="42">
        <v>0</v>
      </c>
      <c r="F149" s="42">
        <f t="shared" ref="F149:F161" si="5">(D149+E149)*(($F$145)+1)</f>
        <v>284.1696</v>
      </c>
      <c r="G149" s="79" t="str">
        <f t="shared" ref="G149:G161" si="6">G148</f>
        <v>Ground Floor For Commercial, Entrance Lobby &amp; Parking</v>
      </c>
      <c r="H149" s="80"/>
      <c r="I149" s="36"/>
      <c r="L149" s="88"/>
      <c r="M149" s="88"/>
      <c r="N149" s="36"/>
    </row>
    <row r="150" spans="1:14" s="37" customFormat="1" x14ac:dyDescent="0.3">
      <c r="A150" s="79">
        <f t="shared" si="4"/>
        <v>9</v>
      </c>
      <c r="B150" s="80"/>
      <c r="C150" s="42" t="s">
        <v>184</v>
      </c>
      <c r="D150" s="56">
        <f>(9.78)*10.764</f>
        <v>105.27191999999998</v>
      </c>
      <c r="E150" s="42">
        <v>0</v>
      </c>
      <c r="F150" s="42">
        <f t="shared" si="5"/>
        <v>157.90787999999998</v>
      </c>
      <c r="G150" s="79" t="str">
        <f t="shared" si="6"/>
        <v>Ground Floor For Commercial, Entrance Lobby &amp; Parking</v>
      </c>
      <c r="H150" s="80"/>
      <c r="I150" s="36"/>
      <c r="L150" s="88"/>
      <c r="M150" s="88"/>
      <c r="N150" s="36"/>
    </row>
    <row r="151" spans="1:14" s="37" customFormat="1" x14ac:dyDescent="0.3">
      <c r="A151" s="79">
        <f t="shared" si="4"/>
        <v>10</v>
      </c>
      <c r="B151" s="80"/>
      <c r="C151" s="42" t="s">
        <v>184</v>
      </c>
      <c r="D151" s="56">
        <f>(19.58)*10.764</f>
        <v>210.75911999999997</v>
      </c>
      <c r="E151" s="42">
        <v>0</v>
      </c>
      <c r="F151" s="42">
        <f t="shared" si="5"/>
        <v>316.13867999999997</v>
      </c>
      <c r="G151" s="79" t="str">
        <f t="shared" si="6"/>
        <v>Ground Floor For Commercial, Entrance Lobby &amp; Parking</v>
      </c>
      <c r="H151" s="80"/>
      <c r="I151" s="36"/>
      <c r="L151" s="88"/>
      <c r="M151" s="88"/>
      <c r="N151" s="36"/>
    </row>
    <row r="152" spans="1:14" s="37" customFormat="1" x14ac:dyDescent="0.3">
      <c r="A152" s="79">
        <f t="shared" si="4"/>
        <v>11</v>
      </c>
      <c r="B152" s="80"/>
      <c r="C152" s="42" t="s">
        <v>184</v>
      </c>
      <c r="D152" s="56">
        <f>(15.53)*10.764</f>
        <v>167.16492</v>
      </c>
      <c r="E152" s="42">
        <v>0</v>
      </c>
      <c r="F152" s="42">
        <f t="shared" si="5"/>
        <v>250.74737999999999</v>
      </c>
      <c r="G152" s="79" t="str">
        <f t="shared" si="6"/>
        <v>Ground Floor For Commercial, Entrance Lobby &amp; Parking</v>
      </c>
      <c r="H152" s="80"/>
      <c r="I152" s="36"/>
      <c r="L152" s="88"/>
      <c r="M152" s="88"/>
      <c r="N152" s="36"/>
    </row>
    <row r="153" spans="1:14" s="37" customFormat="1" x14ac:dyDescent="0.3">
      <c r="A153" s="79">
        <f t="shared" si="4"/>
        <v>12</v>
      </c>
      <c r="B153" s="80"/>
      <c r="C153" s="42" t="s">
        <v>184</v>
      </c>
      <c r="D153" s="56">
        <f>(19.91)*10.764</f>
        <v>214.31124</v>
      </c>
      <c r="E153" s="42">
        <v>0</v>
      </c>
      <c r="F153" s="42">
        <f t="shared" si="5"/>
        <v>321.46686</v>
      </c>
      <c r="G153" s="79" t="str">
        <f t="shared" si="6"/>
        <v>Ground Floor For Commercial, Entrance Lobby &amp; Parking</v>
      </c>
      <c r="H153" s="80"/>
      <c r="I153" s="36"/>
      <c r="L153" s="88"/>
      <c r="M153" s="88"/>
      <c r="N153" s="36"/>
    </row>
    <row r="154" spans="1:14" s="37" customFormat="1" x14ac:dyDescent="0.3">
      <c r="A154" s="79">
        <f t="shared" si="4"/>
        <v>13</v>
      </c>
      <c r="B154" s="80"/>
      <c r="C154" s="42" t="s">
        <v>184</v>
      </c>
      <c r="D154" s="56">
        <f>(18.56)*10.764</f>
        <v>199.77983999999998</v>
      </c>
      <c r="E154" s="42">
        <v>0</v>
      </c>
      <c r="F154" s="42">
        <f t="shared" si="5"/>
        <v>299.66976</v>
      </c>
      <c r="G154" s="79" t="str">
        <f t="shared" si="6"/>
        <v>Ground Floor For Commercial, Entrance Lobby &amp; Parking</v>
      </c>
      <c r="H154" s="80"/>
      <c r="I154" s="36"/>
      <c r="J154" s="36">
        <v>10.763999999999999</v>
      </c>
      <c r="L154" s="88"/>
      <c r="M154" s="88"/>
      <c r="N154" s="36"/>
    </row>
    <row r="155" spans="1:14" s="37" customFormat="1" x14ac:dyDescent="0.3">
      <c r="A155" s="79">
        <f t="shared" si="4"/>
        <v>14</v>
      </c>
      <c r="B155" s="80"/>
      <c r="C155" s="42" t="s">
        <v>184</v>
      </c>
      <c r="D155" s="56">
        <f>(18.56)*10.764</f>
        <v>199.77983999999998</v>
      </c>
      <c r="E155" s="42">
        <v>0</v>
      </c>
      <c r="F155" s="42">
        <f t="shared" si="5"/>
        <v>299.66976</v>
      </c>
      <c r="G155" s="79" t="str">
        <f t="shared" si="6"/>
        <v>Ground Floor For Commercial, Entrance Lobby &amp; Parking</v>
      </c>
      <c r="H155" s="80"/>
      <c r="I155" s="36">
        <f>2200000/F155</f>
        <v>7341.4147627041184</v>
      </c>
      <c r="L155" s="88"/>
      <c r="M155" s="88"/>
      <c r="N155" s="36"/>
    </row>
    <row r="156" spans="1:14" s="37" customFormat="1" x14ac:dyDescent="0.3">
      <c r="A156" s="79">
        <f t="shared" si="4"/>
        <v>15</v>
      </c>
      <c r="B156" s="80"/>
      <c r="C156" s="42" t="s">
        <v>184</v>
      </c>
      <c r="D156" s="56">
        <f>(2.3*4.8+1.2*1.8+2.7*1.95)*10.764</f>
        <v>198.75725999999997</v>
      </c>
      <c r="E156" s="42">
        <v>0</v>
      </c>
      <c r="F156" s="42">
        <f t="shared" si="5"/>
        <v>298.13588999999996</v>
      </c>
      <c r="G156" s="79" t="str">
        <f t="shared" si="6"/>
        <v>Ground Floor For Commercial, Entrance Lobby &amp; Parking</v>
      </c>
      <c r="H156" s="80"/>
      <c r="I156" s="75">
        <v>13.54</v>
      </c>
      <c r="L156" s="88"/>
      <c r="M156" s="88"/>
      <c r="N156" s="36"/>
    </row>
    <row r="157" spans="1:14" s="37" customFormat="1" x14ac:dyDescent="0.3">
      <c r="A157" s="79">
        <f t="shared" si="4"/>
        <v>16</v>
      </c>
      <c r="B157" s="80"/>
      <c r="C157" s="42" t="s">
        <v>184</v>
      </c>
      <c r="D157" s="56">
        <f>(14.35)*10.764</f>
        <v>154.46339999999998</v>
      </c>
      <c r="E157" s="42">
        <v>0</v>
      </c>
      <c r="F157" s="42">
        <f t="shared" si="5"/>
        <v>231.69509999999997</v>
      </c>
      <c r="G157" s="79" t="str">
        <f t="shared" si="6"/>
        <v>Ground Floor For Commercial, Entrance Lobby &amp; Parking</v>
      </c>
      <c r="H157" s="80"/>
      <c r="I157" s="36"/>
      <c r="L157" s="88"/>
      <c r="M157" s="88"/>
      <c r="N157" s="36"/>
    </row>
    <row r="158" spans="1:14" s="37" customFormat="1" x14ac:dyDescent="0.3">
      <c r="A158" s="79">
        <f t="shared" si="4"/>
        <v>17</v>
      </c>
      <c r="B158" s="80"/>
      <c r="C158" s="42" t="s">
        <v>184</v>
      </c>
      <c r="D158" s="56">
        <f>(14.35)*10.764</f>
        <v>154.46339999999998</v>
      </c>
      <c r="E158" s="42">
        <v>0</v>
      </c>
      <c r="F158" s="42">
        <f t="shared" si="5"/>
        <v>231.69509999999997</v>
      </c>
      <c r="G158" s="79" t="str">
        <f t="shared" si="6"/>
        <v>Ground Floor For Commercial, Entrance Lobby &amp; Parking</v>
      </c>
      <c r="H158" s="80"/>
      <c r="I158" s="36"/>
      <c r="L158" s="88"/>
      <c r="M158" s="88"/>
      <c r="N158" s="36"/>
    </row>
    <row r="159" spans="1:14" s="37" customFormat="1" x14ac:dyDescent="0.3">
      <c r="A159" s="79">
        <f t="shared" si="4"/>
        <v>18</v>
      </c>
      <c r="B159" s="80"/>
      <c r="C159" s="42" t="s">
        <v>184</v>
      </c>
      <c r="D159" s="56">
        <f>(11.38)*10.764</f>
        <v>122.49432</v>
      </c>
      <c r="E159" s="42">
        <v>0</v>
      </c>
      <c r="F159" s="42">
        <f t="shared" si="5"/>
        <v>183.74148</v>
      </c>
      <c r="G159" s="79" t="str">
        <f t="shared" si="6"/>
        <v>Ground Floor For Commercial, Entrance Lobby &amp; Parking</v>
      </c>
      <c r="H159" s="80"/>
      <c r="I159" s="36"/>
      <c r="L159" s="88"/>
      <c r="M159" s="88"/>
      <c r="N159" s="36"/>
    </row>
    <row r="160" spans="1:14" s="37" customFormat="1" x14ac:dyDescent="0.3">
      <c r="A160" s="79">
        <f t="shared" si="4"/>
        <v>19</v>
      </c>
      <c r="B160" s="80"/>
      <c r="C160" s="42" t="s">
        <v>184</v>
      </c>
      <c r="D160" s="56">
        <f>(15.06)*10.764</f>
        <v>162.10584</v>
      </c>
      <c r="E160" s="42">
        <v>0</v>
      </c>
      <c r="F160" s="42">
        <f t="shared" si="5"/>
        <v>243.15876</v>
      </c>
      <c r="G160" s="79" t="str">
        <f t="shared" si="6"/>
        <v>Ground Floor For Commercial, Entrance Lobby &amp; Parking</v>
      </c>
      <c r="H160" s="80"/>
      <c r="I160" s="36"/>
      <c r="L160" s="88"/>
      <c r="M160" s="88"/>
      <c r="N160" s="36"/>
    </row>
    <row r="161" spans="1:14" s="37" customFormat="1" x14ac:dyDescent="0.3">
      <c r="A161" s="79">
        <f t="shared" si="4"/>
        <v>20</v>
      </c>
      <c r="B161" s="80"/>
      <c r="C161" s="42" t="s">
        <v>184</v>
      </c>
      <c r="D161" s="56">
        <f>(77.32)*10.764</f>
        <v>832.27247999999986</v>
      </c>
      <c r="E161" s="42">
        <v>0</v>
      </c>
      <c r="F161" s="42">
        <f t="shared" si="5"/>
        <v>1248.4087199999999</v>
      </c>
      <c r="G161" s="79" t="str">
        <f t="shared" si="6"/>
        <v>Ground Floor For Commercial, Entrance Lobby &amp; Parking</v>
      </c>
      <c r="H161" s="80"/>
      <c r="I161" s="36"/>
      <c r="J161" s="37">
        <f>2.15*5.8+0.6*3.2</f>
        <v>14.389999999999999</v>
      </c>
      <c r="L161" s="88"/>
      <c r="M161" s="88"/>
      <c r="N161" s="36"/>
    </row>
    <row r="162" spans="1:14" s="37" customFormat="1" x14ac:dyDescent="0.3">
      <c r="A162" s="81" t="s">
        <v>249</v>
      </c>
      <c r="B162" s="82"/>
      <c r="C162" s="82"/>
      <c r="D162" s="82"/>
      <c r="E162" s="82"/>
      <c r="F162" s="82"/>
      <c r="G162" s="82"/>
      <c r="H162" s="83"/>
      <c r="J162" s="36"/>
    </row>
    <row r="163" spans="1:14" s="37" customFormat="1" x14ac:dyDescent="0.3">
      <c r="A163" s="79">
        <v>1</v>
      </c>
      <c r="B163" s="80"/>
      <c r="C163" s="42" t="s">
        <v>185</v>
      </c>
      <c r="D163" s="56">
        <f>(40.02)*10.764</f>
        <v>430.77528000000001</v>
      </c>
      <c r="E163" s="42">
        <v>0</v>
      </c>
      <c r="F163" s="42">
        <f>(D163+E163)*(($F$145)+1)</f>
        <v>646.16291999999999</v>
      </c>
      <c r="G163" s="79" t="str">
        <f>A162</f>
        <v>1st Floor For Commercial &amp; Society Office/ Fitness Center</v>
      </c>
      <c r="H163" s="80"/>
      <c r="I163" s="75">
        <f>7.25*4.8+1.05*3.15+0.9*1.5</f>
        <v>39.457499999999996</v>
      </c>
      <c r="L163" s="88"/>
      <c r="M163" s="88"/>
      <c r="N163" s="36"/>
    </row>
    <row r="164" spans="1:14" s="37" customFormat="1" x14ac:dyDescent="0.3">
      <c r="A164" s="79">
        <f t="shared" ref="A164:A167" si="7">A163+1</f>
        <v>2</v>
      </c>
      <c r="B164" s="80"/>
      <c r="C164" s="42" t="s">
        <v>185</v>
      </c>
      <c r="D164" s="56">
        <f>(25.14)*10.764</f>
        <v>270.60696000000002</v>
      </c>
      <c r="E164" s="42">
        <v>0</v>
      </c>
      <c r="F164" s="42">
        <f t="shared" ref="F164:F167" si="8">(D164+E164)*(($F$145)+1)</f>
        <v>405.91043999999999</v>
      </c>
      <c r="G164" s="79" t="str">
        <f t="shared" ref="G164:G167" si="9">G163</f>
        <v>1st Floor For Commercial &amp; Society Office/ Fitness Center</v>
      </c>
      <c r="H164" s="80"/>
      <c r="I164" s="36"/>
      <c r="L164" s="88"/>
      <c r="M164" s="88"/>
      <c r="N164" s="36"/>
    </row>
    <row r="165" spans="1:14" s="37" customFormat="1" x14ac:dyDescent="0.3">
      <c r="A165" s="79">
        <f t="shared" si="7"/>
        <v>3</v>
      </c>
      <c r="B165" s="80"/>
      <c r="C165" s="42" t="s">
        <v>185</v>
      </c>
      <c r="D165" s="56">
        <f>(42.96)*10.764</f>
        <v>462.42143999999996</v>
      </c>
      <c r="E165" s="42">
        <v>0</v>
      </c>
      <c r="F165" s="42">
        <f t="shared" si="8"/>
        <v>693.63215999999989</v>
      </c>
      <c r="G165" s="79" t="str">
        <f t="shared" si="9"/>
        <v>1st Floor For Commercial &amp; Society Office/ Fitness Center</v>
      </c>
      <c r="H165" s="80"/>
      <c r="I165" s="36"/>
      <c r="L165" s="88"/>
      <c r="M165" s="88"/>
      <c r="N165" s="36"/>
    </row>
    <row r="166" spans="1:14" s="37" customFormat="1" x14ac:dyDescent="0.3">
      <c r="A166" s="79">
        <f t="shared" si="7"/>
        <v>4</v>
      </c>
      <c r="B166" s="80"/>
      <c r="C166" s="42" t="s">
        <v>185</v>
      </c>
      <c r="D166" s="56">
        <f>(24.83)*10.764</f>
        <v>267.27011999999996</v>
      </c>
      <c r="E166" s="42">
        <v>0</v>
      </c>
      <c r="F166" s="42">
        <f t="shared" si="8"/>
        <v>400.90517999999997</v>
      </c>
      <c r="G166" s="79" t="str">
        <f t="shared" si="9"/>
        <v>1st Floor For Commercial &amp; Society Office/ Fitness Center</v>
      </c>
      <c r="H166" s="80"/>
      <c r="I166" s="36"/>
      <c r="L166" s="88"/>
      <c r="M166" s="88"/>
      <c r="N166" s="36"/>
    </row>
    <row r="167" spans="1:14" s="37" customFormat="1" x14ac:dyDescent="0.3">
      <c r="A167" s="79">
        <f t="shared" si="7"/>
        <v>5</v>
      </c>
      <c r="B167" s="80"/>
      <c r="C167" s="42" t="s">
        <v>185</v>
      </c>
      <c r="D167" s="56">
        <f>(76.27)*10.764</f>
        <v>820.97027999999989</v>
      </c>
      <c r="E167" s="42">
        <v>0</v>
      </c>
      <c r="F167" s="42">
        <f t="shared" si="8"/>
        <v>1231.4554199999998</v>
      </c>
      <c r="G167" s="79" t="str">
        <f t="shared" si="9"/>
        <v>1st Floor For Commercial &amp; Society Office/ Fitness Center</v>
      </c>
      <c r="H167" s="80"/>
      <c r="I167" s="36"/>
      <c r="L167" s="88"/>
      <c r="M167" s="88"/>
      <c r="N167" s="36"/>
    </row>
    <row r="168" spans="1:14" s="37" customFormat="1" x14ac:dyDescent="0.3">
      <c r="A168" s="95" t="s">
        <v>189</v>
      </c>
      <c r="B168" s="96"/>
      <c r="C168" s="96"/>
      <c r="D168" s="96"/>
      <c r="E168" s="96"/>
      <c r="F168" s="96"/>
      <c r="G168" s="96"/>
      <c r="H168" s="97"/>
      <c r="J168" s="36"/>
    </row>
    <row r="169" spans="1:14" s="37" customFormat="1" x14ac:dyDescent="0.3">
      <c r="A169" s="81" t="s">
        <v>235</v>
      </c>
      <c r="B169" s="82"/>
      <c r="C169" s="82"/>
      <c r="D169" s="82"/>
      <c r="E169" s="82"/>
      <c r="F169" s="82"/>
      <c r="G169" s="82"/>
      <c r="H169" s="83"/>
      <c r="J169" s="36"/>
    </row>
    <row r="170" spans="1:14" s="37" customFormat="1" x14ac:dyDescent="0.3">
      <c r="A170" s="79">
        <v>1</v>
      </c>
      <c r="B170" s="80"/>
      <c r="C170" s="42" t="s">
        <v>184</v>
      </c>
      <c r="D170" s="56">
        <f>(17.75)*10.764</f>
        <v>191.06099999999998</v>
      </c>
      <c r="E170" s="42">
        <v>0</v>
      </c>
      <c r="F170" s="42">
        <f t="shared" ref="F170:F176" si="10">(D170+E170)*(($F$145)+1)</f>
        <v>286.5915</v>
      </c>
      <c r="G170" s="79" t="str">
        <f>A169</f>
        <v>Ground Floor For Commercial, Entrance Lobby &amp; Parking Tower</v>
      </c>
      <c r="H170" s="80"/>
      <c r="I170" s="36"/>
      <c r="L170" s="88"/>
      <c r="M170" s="88"/>
      <c r="N170" s="36"/>
    </row>
    <row r="171" spans="1:14" s="37" customFormat="1" x14ac:dyDescent="0.3">
      <c r="A171" s="79">
        <f>A170+1</f>
        <v>2</v>
      </c>
      <c r="B171" s="80"/>
      <c r="C171" s="42" t="s">
        <v>184</v>
      </c>
      <c r="D171" s="56">
        <f>(21.99)*10.764</f>
        <v>236.70035999999996</v>
      </c>
      <c r="E171" s="42">
        <v>0</v>
      </c>
      <c r="F171" s="42">
        <f t="shared" si="10"/>
        <v>355.05053999999996</v>
      </c>
      <c r="G171" s="79" t="str">
        <f>G170</f>
        <v>Ground Floor For Commercial, Entrance Lobby &amp; Parking Tower</v>
      </c>
      <c r="H171" s="80"/>
      <c r="I171" s="36"/>
      <c r="L171" s="88"/>
      <c r="M171" s="88"/>
      <c r="N171" s="36"/>
    </row>
    <row r="172" spans="1:14" s="37" customFormat="1" x14ac:dyDescent="0.3">
      <c r="A172" s="79" t="s">
        <v>230</v>
      </c>
      <c r="B172" s="80"/>
      <c r="C172" s="42" t="s">
        <v>184</v>
      </c>
      <c r="D172" s="56">
        <f>(23.37)*10.764</f>
        <v>251.55467999999999</v>
      </c>
      <c r="E172" s="42">
        <v>0</v>
      </c>
      <c r="F172" s="42">
        <f t="shared" ref="F172" si="11">(D172+E172)*(($F$145)+1)</f>
        <v>377.33202</v>
      </c>
      <c r="G172" s="79" t="str">
        <f>G171</f>
        <v>Ground Floor For Commercial, Entrance Lobby &amp; Parking Tower</v>
      </c>
      <c r="H172" s="80"/>
      <c r="I172" s="36"/>
      <c r="L172" s="88"/>
      <c r="M172" s="88"/>
      <c r="N172" s="36"/>
    </row>
    <row r="173" spans="1:14" s="37" customFormat="1" x14ac:dyDescent="0.3">
      <c r="A173" s="79">
        <f>A171+1</f>
        <v>3</v>
      </c>
      <c r="B173" s="80"/>
      <c r="C173" s="42" t="s">
        <v>184</v>
      </c>
      <c r="D173" s="56">
        <f>(14.57)*10.764</f>
        <v>156.83148</v>
      </c>
      <c r="E173" s="42">
        <v>0</v>
      </c>
      <c r="F173" s="42">
        <f t="shared" si="10"/>
        <v>235.24722</v>
      </c>
      <c r="G173" s="79" t="str">
        <f>G171</f>
        <v>Ground Floor For Commercial, Entrance Lobby &amp; Parking Tower</v>
      </c>
      <c r="H173" s="80"/>
      <c r="I173" s="36"/>
      <c r="L173" s="88"/>
      <c r="M173" s="88"/>
      <c r="N173" s="36"/>
    </row>
    <row r="174" spans="1:14" s="37" customFormat="1" x14ac:dyDescent="0.3">
      <c r="A174" s="79">
        <f>A173+1</f>
        <v>4</v>
      </c>
      <c r="B174" s="80"/>
      <c r="C174" s="42" t="s">
        <v>184</v>
      </c>
      <c r="D174" s="56">
        <f>(15.37)*10.764</f>
        <v>165.44268</v>
      </c>
      <c r="E174" s="42">
        <v>0</v>
      </c>
      <c r="F174" s="42">
        <f t="shared" si="10"/>
        <v>248.16401999999999</v>
      </c>
      <c r="G174" s="79" t="str">
        <f>G173</f>
        <v>Ground Floor For Commercial, Entrance Lobby &amp; Parking Tower</v>
      </c>
      <c r="H174" s="80"/>
      <c r="I174" s="36"/>
      <c r="L174" s="88"/>
      <c r="M174" s="88"/>
      <c r="N174" s="36"/>
    </row>
    <row r="175" spans="1:14" s="37" customFormat="1" x14ac:dyDescent="0.3">
      <c r="A175" s="79">
        <f>A174+1</f>
        <v>5</v>
      </c>
      <c r="B175" s="80"/>
      <c r="C175" s="42" t="s">
        <v>184</v>
      </c>
      <c r="D175" s="56">
        <f>(13.11)*10.764</f>
        <v>141.11604</v>
      </c>
      <c r="E175" s="42">
        <v>0</v>
      </c>
      <c r="F175" s="42">
        <f t="shared" si="10"/>
        <v>211.67406</v>
      </c>
      <c r="G175" s="79" t="str">
        <f>G174</f>
        <v>Ground Floor For Commercial, Entrance Lobby &amp; Parking Tower</v>
      </c>
      <c r="H175" s="80"/>
      <c r="I175" s="36"/>
      <c r="L175" s="88"/>
      <c r="M175" s="88"/>
      <c r="N175" s="36"/>
    </row>
    <row r="176" spans="1:14" s="37" customFormat="1" x14ac:dyDescent="0.3">
      <c r="A176" s="79">
        <f>A175+1</f>
        <v>6</v>
      </c>
      <c r="B176" s="80"/>
      <c r="C176" s="42" t="s">
        <v>184</v>
      </c>
      <c r="D176" s="56">
        <f>(16.55)*10.764</f>
        <v>178.14419999999998</v>
      </c>
      <c r="E176" s="42">
        <v>0</v>
      </c>
      <c r="F176" s="42">
        <f t="shared" si="10"/>
        <v>267.21629999999999</v>
      </c>
      <c r="G176" s="79" t="str">
        <f>G175</f>
        <v>Ground Floor For Commercial, Entrance Lobby &amp; Parking Tower</v>
      </c>
      <c r="H176" s="80"/>
      <c r="I176" s="36"/>
      <c r="L176" s="88"/>
      <c r="M176" s="88"/>
      <c r="N176" s="36"/>
    </row>
    <row r="177" spans="1:14" s="37" customFormat="1" x14ac:dyDescent="0.3">
      <c r="A177" s="79"/>
      <c r="B177" s="143"/>
      <c r="C177" s="143"/>
      <c r="D177" s="143"/>
      <c r="E177" s="143"/>
      <c r="F177" s="143"/>
      <c r="G177" s="143"/>
      <c r="H177" s="80"/>
      <c r="I177" s="36"/>
      <c r="N177" s="36"/>
    </row>
    <row r="178" spans="1:14" ht="47.25" customHeight="1" x14ac:dyDescent="0.3">
      <c r="A178" s="118" t="s">
        <v>116</v>
      </c>
      <c r="B178" s="118" t="s">
        <v>117</v>
      </c>
      <c r="C178" s="118" t="s">
        <v>57</v>
      </c>
      <c r="D178" s="118" t="s">
        <v>58</v>
      </c>
      <c r="E178" s="163" t="s">
        <v>59</v>
      </c>
      <c r="F178" s="43" t="s">
        <v>147</v>
      </c>
      <c r="G178" s="165" t="s">
        <v>60</v>
      </c>
      <c r="H178" s="166"/>
      <c r="I178" s="56">
        <v>10.763999999999999</v>
      </c>
    </row>
    <row r="179" spans="1:14" s="37" customFormat="1" x14ac:dyDescent="0.3">
      <c r="A179" s="119"/>
      <c r="B179" s="119"/>
      <c r="C179" s="119"/>
      <c r="D179" s="119"/>
      <c r="E179" s="164"/>
      <c r="F179" s="13">
        <v>0.5</v>
      </c>
      <c r="G179" s="167"/>
      <c r="H179" s="168"/>
      <c r="I179" s="36"/>
    </row>
    <row r="180" spans="1:14" s="37" customFormat="1" x14ac:dyDescent="0.3">
      <c r="A180" s="85" t="s">
        <v>188</v>
      </c>
      <c r="B180" s="86"/>
      <c r="C180" s="86"/>
      <c r="D180" s="86"/>
      <c r="E180" s="86"/>
      <c r="F180" s="86"/>
      <c r="G180" s="86"/>
      <c r="H180" s="87"/>
      <c r="J180" s="36"/>
    </row>
    <row r="181" spans="1:14" s="37" customFormat="1" ht="15.75" customHeight="1" x14ac:dyDescent="0.3">
      <c r="A181" s="81" t="s">
        <v>228</v>
      </c>
      <c r="B181" s="82"/>
      <c r="C181" s="82"/>
      <c r="D181" s="82"/>
      <c r="E181" s="82"/>
      <c r="F181" s="82"/>
      <c r="G181" s="82"/>
      <c r="H181" s="83"/>
      <c r="I181" s="37">
        <f>3*1.35+2.3</f>
        <v>6.3500000000000005</v>
      </c>
      <c r="J181" s="36"/>
    </row>
    <row r="182" spans="1:14" s="37" customFormat="1" ht="15.75" customHeight="1" x14ac:dyDescent="0.3">
      <c r="A182" s="79">
        <v>1</v>
      </c>
      <c r="B182" s="80"/>
      <c r="C182" s="73" t="s">
        <v>252</v>
      </c>
      <c r="D182" s="56">
        <f>(43.93+6.35)*10.764</f>
        <v>541.21392000000003</v>
      </c>
      <c r="E182" s="42">
        <v>0</v>
      </c>
      <c r="F182" s="42">
        <f>D182*(($F$179)+1)+(IF(E182&lt;101,E182,IF(E182&lt;201,E182/2,IF(E182&lt;=301,E182/3,E182/4))))</f>
        <v>811.82087999999999</v>
      </c>
      <c r="G182" s="144" t="str">
        <f>A181</f>
        <v>1st Floor for Residential, Commercial &amp; Society Office/Fitness Center</v>
      </c>
      <c r="H182" s="145"/>
      <c r="I182" s="75">
        <f>3*3.25+2.3*2.45+2.75*3.05+2.75*2.3+1.1*1.85+1.2*(1.7+2.15)+3.6*0.9</f>
        <v>39.9925</v>
      </c>
      <c r="J182" s="42">
        <f>(3*3.25+2.3*2.45+1.1*1.85+2.75*3.05+2.9*1.3+1.2*2+2*1.2+0.9*4.7)</f>
        <v>38.607500000000002</v>
      </c>
      <c r="L182" s="88"/>
      <c r="M182" s="88"/>
      <c r="N182" s="36"/>
    </row>
    <row r="183" spans="1:14" s="37" customFormat="1" ht="15.75" customHeight="1" x14ac:dyDescent="0.3">
      <c r="A183" s="79">
        <v>2</v>
      </c>
      <c r="B183" s="80"/>
      <c r="C183" s="89" t="s">
        <v>250</v>
      </c>
      <c r="D183" s="90"/>
      <c r="E183" s="90"/>
      <c r="F183" s="91"/>
      <c r="G183" s="146"/>
      <c r="H183" s="147"/>
      <c r="I183" s="36"/>
      <c r="L183" s="88"/>
      <c r="M183" s="88"/>
      <c r="N183" s="36"/>
    </row>
    <row r="184" spans="1:14" s="37" customFormat="1" ht="15.75" customHeight="1" x14ac:dyDescent="0.3">
      <c r="A184" s="79">
        <v>3</v>
      </c>
      <c r="B184" s="80"/>
      <c r="C184" s="150"/>
      <c r="D184" s="151"/>
      <c r="E184" s="151"/>
      <c r="F184" s="152"/>
      <c r="G184" s="146"/>
      <c r="H184" s="147"/>
      <c r="I184" s="36">
        <f>3.3*2.75+2.65*2.3+2.35*2.75+3*1.1+1.2*(2+2)+2.65*0.85</f>
        <v>31.985000000000003</v>
      </c>
      <c r="L184" s="88"/>
      <c r="M184" s="88"/>
      <c r="N184" s="36"/>
    </row>
    <row r="185" spans="1:14" s="37" customFormat="1" ht="15.75" customHeight="1" x14ac:dyDescent="0.3">
      <c r="A185" s="79">
        <v>4</v>
      </c>
      <c r="B185" s="80"/>
      <c r="C185" s="92"/>
      <c r="D185" s="93"/>
      <c r="E185" s="93"/>
      <c r="F185" s="94"/>
      <c r="G185" s="146"/>
      <c r="H185" s="147"/>
      <c r="I185" s="36"/>
      <c r="L185" s="88"/>
      <c r="M185" s="88"/>
      <c r="N185" s="36"/>
    </row>
    <row r="186" spans="1:14" s="37" customFormat="1" ht="15.75" customHeight="1" x14ac:dyDescent="0.3">
      <c r="A186" s="79">
        <v>5</v>
      </c>
      <c r="B186" s="80"/>
      <c r="C186" s="89" t="s">
        <v>251</v>
      </c>
      <c r="D186" s="90"/>
      <c r="E186" s="90"/>
      <c r="F186" s="91"/>
      <c r="G186" s="146"/>
      <c r="H186" s="147"/>
      <c r="I186" s="36"/>
      <c r="L186" s="88"/>
      <c r="M186" s="88"/>
      <c r="N186" s="36"/>
    </row>
    <row r="187" spans="1:14" s="37" customFormat="1" ht="15.75" customHeight="1" x14ac:dyDescent="0.3">
      <c r="A187" s="79">
        <v>6</v>
      </c>
      <c r="B187" s="80"/>
      <c r="C187" s="92"/>
      <c r="D187" s="93"/>
      <c r="E187" s="93"/>
      <c r="F187" s="94"/>
      <c r="G187" s="146"/>
      <c r="H187" s="147"/>
      <c r="I187" s="36">
        <f>3.3*2.75+2.65*2.3+2.35*2.75+3*1.1+1.2*(2+2)+2.65*0.85</f>
        <v>31.985000000000003</v>
      </c>
      <c r="L187" s="88"/>
      <c r="M187" s="88"/>
      <c r="N187" s="36"/>
    </row>
    <row r="188" spans="1:14" s="37" customFormat="1" ht="15.75" customHeight="1" x14ac:dyDescent="0.3">
      <c r="A188" s="79">
        <v>7</v>
      </c>
      <c r="B188" s="80"/>
      <c r="C188" s="73" t="s">
        <v>187</v>
      </c>
      <c r="D188" s="56">
        <f>(44.78+8.55)*10.764</f>
        <v>574.04411999999991</v>
      </c>
      <c r="E188" s="42">
        <v>0</v>
      </c>
      <c r="F188" s="42">
        <f>D188*(($F$179)+1)+(IF(E188&lt;101,E188,IF(E188&lt;201,E188/2,IF(E188&lt;=301,E188/3,E188/4))))</f>
        <v>861.0661799999998</v>
      </c>
      <c r="G188" s="146"/>
      <c r="H188" s="147"/>
      <c r="I188" s="36"/>
      <c r="L188" s="88"/>
      <c r="M188" s="88"/>
      <c r="N188" s="36"/>
    </row>
    <row r="189" spans="1:14" s="37" customFormat="1" ht="15.75" customHeight="1" x14ac:dyDescent="0.3">
      <c r="A189" s="79">
        <v>8</v>
      </c>
      <c r="B189" s="80"/>
      <c r="C189" s="73" t="s">
        <v>186</v>
      </c>
      <c r="D189" s="56">
        <f>(32.28+9.18)*10.764</f>
        <v>446.27544</v>
      </c>
      <c r="E189" s="42">
        <v>0</v>
      </c>
      <c r="F189" s="42">
        <f>D189*(($F$179)+1)+(IF(E189&lt;101,E189,IF(E189&lt;201,E189/2,IF(E189&lt;=301,E189/3,E189/4))))</f>
        <v>669.41316000000006</v>
      </c>
      <c r="G189" s="148"/>
      <c r="H189" s="149"/>
      <c r="I189" s="36">
        <f>3.3*2.75+2.65*2.3+2.35*2.75+3*1.1+1.2*(2+2)+2.65*0.85</f>
        <v>31.985000000000003</v>
      </c>
      <c r="L189" s="88"/>
      <c r="M189" s="88"/>
      <c r="N189" s="36"/>
    </row>
    <row r="190" spans="1:14" s="37" customFormat="1" x14ac:dyDescent="0.3">
      <c r="A190" s="120" t="s">
        <v>260</v>
      </c>
      <c r="B190" s="120"/>
      <c r="C190" s="120"/>
      <c r="D190" s="120"/>
      <c r="E190" s="120"/>
      <c r="F190" s="120"/>
      <c r="G190" s="120"/>
      <c r="H190" s="120"/>
      <c r="I190" s="36">
        <v>1</v>
      </c>
      <c r="L190" s="88"/>
      <c r="M190" s="88"/>
    </row>
    <row r="191" spans="1:14" s="37" customFormat="1" x14ac:dyDescent="0.3">
      <c r="A191" s="84">
        <v>1</v>
      </c>
      <c r="B191" s="84"/>
      <c r="C191" s="54" t="s">
        <v>187</v>
      </c>
      <c r="D191" s="56">
        <f>(45.15+9.1)*10.764</f>
        <v>583.947</v>
      </c>
      <c r="E191" s="42">
        <v>0</v>
      </c>
      <c r="F191" s="42">
        <f t="shared" ref="F191:F198" si="12">D191*(($F$179)+1)+(IF(E191&lt;101,E191,IF(E191&lt;201,E191/2,IF(E191&lt;=301,E191/3,E191/4))))</f>
        <v>875.92049999999995</v>
      </c>
      <c r="G191" s="144" t="str">
        <f>A190</f>
        <v>2nd Floor For Residential</v>
      </c>
      <c r="H191" s="145"/>
      <c r="I191" s="36"/>
      <c r="N191" s="36"/>
    </row>
    <row r="192" spans="1:14" s="37" customFormat="1" x14ac:dyDescent="0.3">
      <c r="A192" s="84">
        <f t="shared" ref="A192:A198" si="13">A191+1</f>
        <v>2</v>
      </c>
      <c r="B192" s="84"/>
      <c r="C192" s="54" t="s">
        <v>187</v>
      </c>
      <c r="D192" s="56">
        <f>(44.9+8.53)*10.764</f>
        <v>575.12051999999994</v>
      </c>
      <c r="E192" s="56">
        <f>(2.75*0.3+2.75)*10.764</f>
        <v>38.481299999999997</v>
      </c>
      <c r="F192" s="42">
        <f t="shared" si="12"/>
        <v>901.16207999999995</v>
      </c>
      <c r="G192" s="146"/>
      <c r="H192" s="147"/>
      <c r="I192" s="36" t="s">
        <v>261</v>
      </c>
      <c r="K192" s="37">
        <f>(2.75*0.3+2.75+9.3*8.6)*10.764</f>
        <v>899.38602000000003</v>
      </c>
      <c r="L192" s="55"/>
      <c r="N192" s="36"/>
    </row>
    <row r="193" spans="1:14" s="37" customFormat="1" x14ac:dyDescent="0.3">
      <c r="A193" s="84">
        <f t="shared" si="13"/>
        <v>3</v>
      </c>
      <c r="B193" s="84"/>
      <c r="C193" s="54" t="s">
        <v>187</v>
      </c>
      <c r="D193" s="56">
        <f>(44.9+8.53)*10.764</f>
        <v>575.12051999999994</v>
      </c>
      <c r="E193" s="56">
        <f>(2.75*0.3+2.75)*10.764</f>
        <v>38.481299999999997</v>
      </c>
      <c r="F193" s="42">
        <f t="shared" si="12"/>
        <v>901.16207999999995</v>
      </c>
      <c r="G193" s="146"/>
      <c r="H193" s="147"/>
      <c r="I193" s="36"/>
      <c r="N193" s="36"/>
    </row>
    <row r="194" spans="1:14" s="37" customFormat="1" x14ac:dyDescent="0.3">
      <c r="A194" s="84">
        <f t="shared" si="13"/>
        <v>4</v>
      </c>
      <c r="B194" s="84"/>
      <c r="C194" s="54" t="s">
        <v>186</v>
      </c>
      <c r="D194" s="56">
        <f>(29.61+10.62)*10.764</f>
        <v>433.03571999999991</v>
      </c>
      <c r="E194" s="56">
        <f>(2.75*0.3)*10.764</f>
        <v>8.8802999999999983</v>
      </c>
      <c r="F194" s="42">
        <f t="shared" si="12"/>
        <v>658.43387999999993</v>
      </c>
      <c r="G194" s="146"/>
      <c r="H194" s="147"/>
      <c r="I194" s="36"/>
      <c r="N194" s="36"/>
    </row>
    <row r="195" spans="1:14" s="37" customFormat="1" x14ac:dyDescent="0.3">
      <c r="A195" s="84">
        <f t="shared" si="13"/>
        <v>5</v>
      </c>
      <c r="B195" s="84"/>
      <c r="C195" s="54" t="s">
        <v>187</v>
      </c>
      <c r="D195" s="56">
        <f>(45.14+9.16)*10.764</f>
        <v>584.48519999999996</v>
      </c>
      <c r="E195" s="56">
        <f>(3.8*2)*10.764</f>
        <v>81.806399999999996</v>
      </c>
      <c r="F195" s="42">
        <f t="shared" si="12"/>
        <v>958.53419999999983</v>
      </c>
      <c r="G195" s="146"/>
      <c r="H195" s="147"/>
      <c r="I195" s="36"/>
      <c r="N195" s="36"/>
    </row>
    <row r="196" spans="1:14" s="37" customFormat="1" x14ac:dyDescent="0.3">
      <c r="A196" s="84">
        <f t="shared" si="13"/>
        <v>6</v>
      </c>
      <c r="B196" s="84"/>
      <c r="C196" s="54" t="s">
        <v>187</v>
      </c>
      <c r="D196" s="56">
        <f>(45.14+9.16)*10.764</f>
        <v>584.48519999999996</v>
      </c>
      <c r="E196" s="42">
        <f>(3.8*2)*10.764</f>
        <v>81.806399999999996</v>
      </c>
      <c r="F196" s="42">
        <f t="shared" si="12"/>
        <v>958.53419999999983</v>
      </c>
      <c r="G196" s="146"/>
      <c r="H196" s="147"/>
      <c r="I196" s="36"/>
      <c r="N196" s="36"/>
    </row>
    <row r="197" spans="1:14" s="37" customFormat="1" x14ac:dyDescent="0.3">
      <c r="A197" s="84">
        <f t="shared" si="13"/>
        <v>7</v>
      </c>
      <c r="B197" s="84"/>
      <c r="C197" s="54" t="s">
        <v>187</v>
      </c>
      <c r="D197" s="56">
        <f>(44.78+8.55)*10.764</f>
        <v>574.04411999999991</v>
      </c>
      <c r="E197" s="42">
        <v>0</v>
      </c>
      <c r="F197" s="42">
        <f t="shared" si="12"/>
        <v>861.0661799999998</v>
      </c>
      <c r="G197" s="146"/>
      <c r="H197" s="147"/>
      <c r="I197" s="36"/>
      <c r="N197" s="36"/>
    </row>
    <row r="198" spans="1:14" s="37" customFormat="1" x14ac:dyDescent="0.3">
      <c r="A198" s="84">
        <f t="shared" si="13"/>
        <v>8</v>
      </c>
      <c r="B198" s="84"/>
      <c r="C198" s="54" t="s">
        <v>186</v>
      </c>
      <c r="D198" s="56">
        <f>(32.28+9.18)*10.764</f>
        <v>446.27544</v>
      </c>
      <c r="E198" s="42">
        <v>0</v>
      </c>
      <c r="F198" s="42">
        <f t="shared" si="12"/>
        <v>669.41316000000006</v>
      </c>
      <c r="G198" s="148"/>
      <c r="H198" s="149"/>
      <c r="I198" s="36"/>
      <c r="N198" s="36"/>
    </row>
    <row r="199" spans="1:14" s="37" customFormat="1" x14ac:dyDescent="0.3">
      <c r="A199" s="121" t="s">
        <v>229</v>
      </c>
      <c r="B199" s="121"/>
      <c r="C199" s="121"/>
      <c r="D199" s="121"/>
      <c r="E199" s="121"/>
      <c r="F199" s="121"/>
      <c r="G199" s="121"/>
      <c r="H199" s="121"/>
      <c r="I199" s="36">
        <f>4+4+4+4</f>
        <v>16</v>
      </c>
      <c r="L199" s="88"/>
      <c r="M199" s="88"/>
    </row>
    <row r="200" spans="1:14" s="37" customFormat="1" ht="15.75" customHeight="1" x14ac:dyDescent="0.3">
      <c r="A200" s="84">
        <v>1</v>
      </c>
      <c r="B200" s="84"/>
      <c r="C200" s="54" t="s">
        <v>187</v>
      </c>
      <c r="D200" s="56">
        <f>(45.15+9.1)*10.764</f>
        <v>583.947</v>
      </c>
      <c r="E200" s="42">
        <v>0</v>
      </c>
      <c r="F200" s="42">
        <f t="shared" ref="F200:F207" si="14">D200*(($F$179)+1)+(IF(E200&lt;101,E200,IF(E200&lt;201,E200/2,IF(E200&lt;=301,E200/3,E200/4))))</f>
        <v>875.92049999999995</v>
      </c>
      <c r="G200" s="144" t="str">
        <f>A199</f>
        <v>3rd to 6th, 8th to 11th, 13th to 16th &amp; 18th to 21st Floor</v>
      </c>
      <c r="H200" s="145"/>
      <c r="I200" s="36"/>
      <c r="N200" s="36"/>
    </row>
    <row r="201" spans="1:14" s="37" customFormat="1" ht="15.75" customHeight="1" x14ac:dyDescent="0.3">
      <c r="A201" s="84">
        <f t="shared" ref="A201:A207" si="15">A200+1</f>
        <v>2</v>
      </c>
      <c r="B201" s="84"/>
      <c r="C201" s="54" t="s">
        <v>187</v>
      </c>
      <c r="D201" s="56">
        <f>(44.9+8.53)*10.764</f>
        <v>575.12051999999994</v>
      </c>
      <c r="E201" s="42">
        <v>0</v>
      </c>
      <c r="F201" s="42">
        <f t="shared" si="14"/>
        <v>862.68077999999991</v>
      </c>
      <c r="G201" s="146" t="str">
        <f t="shared" ref="G201:G207" si="16">G200</f>
        <v>3rd to 6th, 8th to 11th, 13th to 16th &amp; 18th to 21st Floor</v>
      </c>
      <c r="H201" s="147"/>
      <c r="I201" s="36"/>
      <c r="L201" s="55"/>
      <c r="N201" s="36"/>
    </row>
    <row r="202" spans="1:14" s="37" customFormat="1" ht="15.75" customHeight="1" x14ac:dyDescent="0.3">
      <c r="A202" s="84">
        <f t="shared" si="15"/>
        <v>3</v>
      </c>
      <c r="B202" s="84"/>
      <c r="C202" s="54" t="s">
        <v>187</v>
      </c>
      <c r="D202" s="56">
        <f>(44.9+8.53)*10.764</f>
        <v>575.12051999999994</v>
      </c>
      <c r="E202" s="42">
        <v>0</v>
      </c>
      <c r="F202" s="42">
        <f t="shared" si="14"/>
        <v>862.68077999999991</v>
      </c>
      <c r="G202" s="146" t="str">
        <f t="shared" si="16"/>
        <v>3rd to 6th, 8th to 11th, 13th to 16th &amp; 18th to 21st Floor</v>
      </c>
      <c r="H202" s="147"/>
      <c r="I202" s="36"/>
      <c r="N202" s="36"/>
    </row>
    <row r="203" spans="1:14" s="37" customFormat="1" ht="15.75" customHeight="1" x14ac:dyDescent="0.3">
      <c r="A203" s="84">
        <f t="shared" si="15"/>
        <v>4</v>
      </c>
      <c r="B203" s="84"/>
      <c r="C203" s="54" t="s">
        <v>186</v>
      </c>
      <c r="D203" s="56">
        <f>(26.61+10.62)*10.764</f>
        <v>400.74371999999994</v>
      </c>
      <c r="E203" s="42">
        <v>0</v>
      </c>
      <c r="F203" s="42">
        <f t="shared" si="14"/>
        <v>601.11557999999991</v>
      </c>
      <c r="G203" s="146" t="str">
        <f t="shared" si="16"/>
        <v>3rd to 6th, 8th to 11th, 13th to 16th &amp; 18th to 21st Floor</v>
      </c>
      <c r="H203" s="147"/>
      <c r="I203" s="36">
        <f>3200000/F203</f>
        <v>5323.4354697644012</v>
      </c>
      <c r="N203" s="36"/>
    </row>
    <row r="204" spans="1:14" s="37" customFormat="1" ht="15.75" customHeight="1" x14ac:dyDescent="0.3">
      <c r="A204" s="84">
        <f t="shared" si="15"/>
        <v>5</v>
      </c>
      <c r="B204" s="84"/>
      <c r="C204" s="54" t="s">
        <v>187</v>
      </c>
      <c r="D204" s="56">
        <f>(45.14+9.16)*10.764</f>
        <v>584.48519999999996</v>
      </c>
      <c r="E204" s="42">
        <v>0</v>
      </c>
      <c r="F204" s="42">
        <f t="shared" si="14"/>
        <v>876.72779999999989</v>
      </c>
      <c r="G204" s="146" t="str">
        <f t="shared" si="16"/>
        <v>3rd to 6th, 8th to 11th, 13th to 16th &amp; 18th to 21st Floor</v>
      </c>
      <c r="H204" s="147"/>
      <c r="I204" s="36"/>
      <c r="N204" s="36"/>
    </row>
    <row r="205" spans="1:14" s="37" customFormat="1" ht="15.75" customHeight="1" x14ac:dyDescent="0.3">
      <c r="A205" s="84">
        <f t="shared" si="15"/>
        <v>6</v>
      </c>
      <c r="B205" s="84"/>
      <c r="C205" s="54" t="s">
        <v>187</v>
      </c>
      <c r="D205" s="56">
        <f>(45.14+9.16)*10.764</f>
        <v>584.48519999999996</v>
      </c>
      <c r="E205" s="42">
        <v>0</v>
      </c>
      <c r="F205" s="42">
        <f t="shared" si="14"/>
        <v>876.72779999999989</v>
      </c>
      <c r="G205" s="146" t="str">
        <f t="shared" si="16"/>
        <v>3rd to 6th, 8th to 11th, 13th to 16th &amp; 18th to 21st Floor</v>
      </c>
      <c r="H205" s="147"/>
      <c r="I205" s="36"/>
      <c r="N205" s="36"/>
    </row>
    <row r="206" spans="1:14" s="37" customFormat="1" ht="15.75" customHeight="1" x14ac:dyDescent="0.3">
      <c r="A206" s="84">
        <f t="shared" si="15"/>
        <v>7</v>
      </c>
      <c r="B206" s="84"/>
      <c r="C206" s="54" t="s">
        <v>187</v>
      </c>
      <c r="D206" s="56">
        <f>(44.78+8.55)*10.764</f>
        <v>574.04411999999991</v>
      </c>
      <c r="E206" s="42">
        <v>0</v>
      </c>
      <c r="F206" s="42">
        <f t="shared" si="14"/>
        <v>861.0661799999998</v>
      </c>
      <c r="G206" s="146" t="str">
        <f t="shared" si="16"/>
        <v>3rd to 6th, 8th to 11th, 13th to 16th &amp; 18th to 21st Floor</v>
      </c>
      <c r="H206" s="147"/>
      <c r="I206" s="36"/>
      <c r="N206" s="36"/>
    </row>
    <row r="207" spans="1:14" s="37" customFormat="1" ht="15.75" customHeight="1" x14ac:dyDescent="0.3">
      <c r="A207" s="84">
        <f t="shared" si="15"/>
        <v>8</v>
      </c>
      <c r="B207" s="84"/>
      <c r="C207" s="54" t="s">
        <v>186</v>
      </c>
      <c r="D207" s="56">
        <f>(32.28+9.18)*10.764</f>
        <v>446.27544</v>
      </c>
      <c r="E207" s="42">
        <v>0</v>
      </c>
      <c r="F207" s="42">
        <f t="shared" si="14"/>
        <v>669.41316000000006</v>
      </c>
      <c r="G207" s="148" t="str">
        <f t="shared" si="16"/>
        <v>3rd to 6th, 8th to 11th, 13th to 16th &amp; 18th to 21st Floor</v>
      </c>
      <c r="H207" s="149"/>
      <c r="I207" s="36">
        <f>3752000/F207</f>
        <v>5604.909231243676</v>
      </c>
      <c r="N207" s="36"/>
    </row>
    <row r="208" spans="1:14" s="37" customFormat="1" x14ac:dyDescent="0.3">
      <c r="A208" s="120" t="s">
        <v>253</v>
      </c>
      <c r="B208" s="120"/>
      <c r="C208" s="120"/>
      <c r="D208" s="120"/>
      <c r="E208" s="120"/>
      <c r="F208" s="120"/>
      <c r="G208" s="120"/>
      <c r="H208" s="120"/>
      <c r="I208" s="36">
        <v>3</v>
      </c>
      <c r="L208" s="88"/>
      <c r="M208" s="88"/>
    </row>
    <row r="209" spans="1:14" s="37" customFormat="1" ht="15.75" customHeight="1" x14ac:dyDescent="0.3">
      <c r="A209" s="84">
        <v>1</v>
      </c>
      <c r="B209" s="84"/>
      <c r="C209" s="54" t="s">
        <v>187</v>
      </c>
      <c r="D209" s="56">
        <f>(45.15+9.1)*10.764</f>
        <v>583.947</v>
      </c>
      <c r="E209" s="42">
        <v>0</v>
      </c>
      <c r="F209" s="42">
        <f t="shared" ref="F209:F216" si="17">D209*(($F$179)+1)+(IF(E209&lt;101,E209,IF(E209&lt;201,E209/2,IF(E209&lt;=301,E209/3,E209/4))))</f>
        <v>875.92049999999995</v>
      </c>
      <c r="G209" s="144" t="str">
        <f>A208</f>
        <v>7th, 12th &amp; 17th Floor ( Part Refuge Area)</v>
      </c>
      <c r="H209" s="145"/>
      <c r="I209" s="36">
        <f>4400000/F209</f>
        <v>5023.2869307203109</v>
      </c>
      <c r="N209" s="36"/>
    </row>
    <row r="210" spans="1:14" s="37" customFormat="1" ht="15.75" customHeight="1" x14ac:dyDescent="0.3">
      <c r="A210" s="84">
        <f t="shared" ref="A210:A216" si="18">A209+1</f>
        <v>2</v>
      </c>
      <c r="B210" s="84"/>
      <c r="C210" s="54" t="s">
        <v>187</v>
      </c>
      <c r="D210" s="56">
        <f>(44.9+8.53)*10.764</f>
        <v>575.12051999999994</v>
      </c>
      <c r="E210" s="42">
        <v>0</v>
      </c>
      <c r="F210" s="42">
        <f t="shared" si="17"/>
        <v>862.68077999999991</v>
      </c>
      <c r="G210" s="146" t="str">
        <f t="shared" ref="G210:G216" si="19">G209</f>
        <v>7th, 12th &amp; 17th Floor ( Part Refuge Area)</v>
      </c>
      <c r="H210" s="147"/>
      <c r="I210" s="36"/>
      <c r="L210" s="55"/>
      <c r="N210" s="36"/>
    </row>
    <row r="211" spans="1:14" s="37" customFormat="1" ht="15.75" customHeight="1" x14ac:dyDescent="0.3">
      <c r="A211" s="84">
        <f t="shared" si="18"/>
        <v>3</v>
      </c>
      <c r="B211" s="84"/>
      <c r="C211" s="54" t="s">
        <v>187</v>
      </c>
      <c r="D211" s="56">
        <f>(44.9+8.53)*10.764</f>
        <v>575.12051999999994</v>
      </c>
      <c r="E211" s="42">
        <v>0</v>
      </c>
      <c r="F211" s="42">
        <f t="shared" si="17"/>
        <v>862.68077999999991</v>
      </c>
      <c r="G211" s="146" t="str">
        <f t="shared" si="19"/>
        <v>7th, 12th &amp; 17th Floor ( Part Refuge Area)</v>
      </c>
      <c r="H211" s="147"/>
      <c r="I211" s="36"/>
      <c r="N211" s="36"/>
    </row>
    <row r="212" spans="1:14" s="37" customFormat="1" ht="15.75" customHeight="1" x14ac:dyDescent="0.3">
      <c r="A212" s="84">
        <f t="shared" si="18"/>
        <v>4</v>
      </c>
      <c r="B212" s="84"/>
      <c r="C212" s="54" t="s">
        <v>254</v>
      </c>
      <c r="D212" s="56">
        <f>(20.65+7.09)*10.764</f>
        <v>298.59335999999996</v>
      </c>
      <c r="E212" s="42">
        <v>0</v>
      </c>
      <c r="F212" s="42">
        <f t="shared" si="17"/>
        <v>447.89003999999994</v>
      </c>
      <c r="G212" s="146" t="str">
        <f t="shared" si="19"/>
        <v>7th, 12th &amp; 17th Floor ( Part Refuge Area)</v>
      </c>
      <c r="H212" s="147"/>
      <c r="I212" s="36"/>
      <c r="N212" s="36"/>
    </row>
    <row r="213" spans="1:14" s="37" customFormat="1" ht="15.75" customHeight="1" x14ac:dyDescent="0.3">
      <c r="A213" s="84">
        <f t="shared" si="18"/>
        <v>5</v>
      </c>
      <c r="B213" s="84"/>
      <c r="C213" s="54" t="s">
        <v>187</v>
      </c>
      <c r="D213" s="56">
        <f>(45.14+9.16)*10.764</f>
        <v>584.48519999999996</v>
      </c>
      <c r="E213" s="42">
        <v>0</v>
      </c>
      <c r="F213" s="42">
        <f t="shared" si="17"/>
        <v>876.72779999999989</v>
      </c>
      <c r="G213" s="146" t="str">
        <f t="shared" si="19"/>
        <v>7th, 12th &amp; 17th Floor ( Part Refuge Area)</v>
      </c>
      <c r="H213" s="147"/>
      <c r="I213" s="36"/>
      <c r="N213" s="36"/>
    </row>
    <row r="214" spans="1:14" s="37" customFormat="1" ht="15.75" customHeight="1" x14ac:dyDescent="0.3">
      <c r="A214" s="84">
        <f t="shared" si="18"/>
        <v>6</v>
      </c>
      <c r="B214" s="84"/>
      <c r="C214" s="54" t="s">
        <v>187</v>
      </c>
      <c r="D214" s="56">
        <f>(45.14+9.16)*10.764</f>
        <v>584.48519999999996</v>
      </c>
      <c r="E214" s="42">
        <v>0</v>
      </c>
      <c r="F214" s="42">
        <f t="shared" si="17"/>
        <v>876.72779999999989</v>
      </c>
      <c r="G214" s="146" t="str">
        <f t="shared" si="19"/>
        <v>7th, 12th &amp; 17th Floor ( Part Refuge Area)</v>
      </c>
      <c r="H214" s="147"/>
      <c r="I214" s="36"/>
      <c r="N214" s="36"/>
    </row>
    <row r="215" spans="1:14" s="37" customFormat="1" ht="15.75" customHeight="1" x14ac:dyDescent="0.3">
      <c r="A215" s="84">
        <f t="shared" si="18"/>
        <v>7</v>
      </c>
      <c r="B215" s="84"/>
      <c r="C215" s="54" t="s">
        <v>187</v>
      </c>
      <c r="D215" s="56">
        <f>(44.78+8.55)*10.764</f>
        <v>574.04411999999991</v>
      </c>
      <c r="E215" s="42">
        <v>0</v>
      </c>
      <c r="F215" s="42">
        <f t="shared" si="17"/>
        <v>861.0661799999998</v>
      </c>
      <c r="G215" s="146" t="str">
        <f t="shared" si="19"/>
        <v>7th, 12th &amp; 17th Floor ( Part Refuge Area)</v>
      </c>
      <c r="H215" s="147"/>
      <c r="I215" s="36"/>
      <c r="N215" s="36"/>
    </row>
    <row r="216" spans="1:14" s="37" customFormat="1" ht="15.75" customHeight="1" x14ac:dyDescent="0.3">
      <c r="A216" s="84">
        <f t="shared" si="18"/>
        <v>8</v>
      </c>
      <c r="B216" s="84"/>
      <c r="C216" s="54" t="s">
        <v>186</v>
      </c>
      <c r="D216" s="56">
        <f>(32.28+9.18)*10.764</f>
        <v>446.27544</v>
      </c>
      <c r="E216" s="42">
        <v>0</v>
      </c>
      <c r="F216" s="42">
        <f t="shared" si="17"/>
        <v>669.41316000000006</v>
      </c>
      <c r="G216" s="148" t="str">
        <f t="shared" si="19"/>
        <v>7th, 12th &amp; 17th Floor ( Part Refuge Area)</v>
      </c>
      <c r="H216" s="149"/>
      <c r="I216" s="36"/>
      <c r="N216" s="36"/>
    </row>
    <row r="217" spans="1:14" s="37" customFormat="1" x14ac:dyDescent="0.3">
      <c r="A217" s="85" t="s">
        <v>189</v>
      </c>
      <c r="B217" s="86"/>
      <c r="C217" s="86"/>
      <c r="D217" s="86"/>
      <c r="E217" s="86"/>
      <c r="F217" s="86"/>
      <c r="G217" s="86"/>
      <c r="H217" s="87"/>
      <c r="J217" s="36"/>
    </row>
    <row r="218" spans="1:14" s="37" customFormat="1" ht="15.75" customHeight="1" x14ac:dyDescent="0.3">
      <c r="A218" s="81" t="s">
        <v>227</v>
      </c>
      <c r="B218" s="82"/>
      <c r="C218" s="82"/>
      <c r="D218" s="82"/>
      <c r="E218" s="82"/>
      <c r="F218" s="82"/>
      <c r="G218" s="82"/>
      <c r="H218" s="83"/>
      <c r="I218" s="36"/>
    </row>
    <row r="219" spans="1:14" s="37" customFormat="1" ht="15.75" customHeight="1" x14ac:dyDescent="0.3">
      <c r="A219" s="79">
        <v>1</v>
      </c>
      <c r="B219" s="80"/>
      <c r="C219" s="54" t="s">
        <v>186</v>
      </c>
      <c r="D219" s="56">
        <f>(29.75+10.2)*10.764</f>
        <v>430.02179999999998</v>
      </c>
      <c r="E219" s="42">
        <v>0</v>
      </c>
      <c r="F219" s="42">
        <f>D219*(($F$179)+1)+(IF(E219&lt;101,E219,IF(E219&lt;201,E219/2,IF(E219&lt;=301,E219/3,E219/4))))</f>
        <v>645.03269999999998</v>
      </c>
      <c r="G219" s="144" t="str">
        <f>A218</f>
        <v>1st Floor for Residential</v>
      </c>
      <c r="H219" s="145"/>
      <c r="I219" s="36">
        <f>2.9*3+2.15*3.33+2.93*2.13+1.2*(2+2)+1.75*0.45+2.9*1.35+2.93*1.2+2.15</f>
        <v>37.268900000000002</v>
      </c>
      <c r="J219" s="42">
        <f>(2.9*3+2.15*2.33+2.93*2.33+1.73*0.45+1.2*2+2*1.2)</f>
        <v>26.114899999999999</v>
      </c>
    </row>
    <row r="220" spans="1:14" s="37" customFormat="1" ht="15.75" customHeight="1" x14ac:dyDescent="0.3">
      <c r="A220" s="79">
        <f>A219+1</f>
        <v>2</v>
      </c>
      <c r="B220" s="80"/>
      <c r="C220" s="54" t="s">
        <v>186</v>
      </c>
      <c r="D220" s="56">
        <f>(29.75+10.2)*10.764</f>
        <v>430.02179999999998</v>
      </c>
      <c r="E220" s="56">
        <f>(2.9*1.7+2.93*0.7)*10.764</f>
        <v>75.143484000000001</v>
      </c>
      <c r="F220" s="42">
        <f>D220*(($F$179)+1)+(IF(E220&lt;101,E220,IF(E220&lt;201,E220/2,IF(E220&lt;=301,E220/3,E220/4))))</f>
        <v>720.17618399999992</v>
      </c>
      <c r="G220" s="146" t="str">
        <f>G219</f>
        <v>1st Floor for Residential</v>
      </c>
      <c r="H220" s="147"/>
      <c r="I220" s="36"/>
    </row>
    <row r="221" spans="1:14" s="37" customFormat="1" ht="15.75" customHeight="1" x14ac:dyDescent="0.3">
      <c r="A221" s="79">
        <f>A220+1</f>
        <v>3</v>
      </c>
      <c r="B221" s="80"/>
      <c r="C221" s="54" t="s">
        <v>252</v>
      </c>
      <c r="D221" s="56">
        <f>(41.36+8.99)*10.764</f>
        <v>541.9674</v>
      </c>
      <c r="E221" s="56">
        <f>(2.75*1.7+3.05*0.5+3.2*0.5)*10.764</f>
        <v>83.959199999999981</v>
      </c>
      <c r="F221" s="42">
        <f>D221*(($F$179)+1)+(IF(E221&lt;101,E221,IF(E221&lt;201,E221/2,IF(E221&lt;=301,E221/3,E221/4))))</f>
        <v>896.91030000000001</v>
      </c>
      <c r="G221" s="146" t="str">
        <f>G220</f>
        <v>1st Floor for Residential</v>
      </c>
      <c r="H221" s="147"/>
      <c r="I221" s="36"/>
    </row>
    <row r="222" spans="1:14" s="37" customFormat="1" ht="15.75" customHeight="1" x14ac:dyDescent="0.3">
      <c r="A222" s="79">
        <f t="shared" ref="A222:A224" si="20">A221+1</f>
        <v>4</v>
      </c>
      <c r="B222" s="80"/>
      <c r="C222" s="54" t="s">
        <v>186</v>
      </c>
      <c r="D222" s="56">
        <f>(29.51+10.92)*10.764</f>
        <v>435.18851999999998</v>
      </c>
      <c r="E222" s="56">
        <f>(3.35*0.5)*10.764</f>
        <v>18.029699999999998</v>
      </c>
      <c r="F222" s="42">
        <f t="shared" ref="F222:F224" si="21">D222*(($F$179)+1)+(IF(E222&lt;101,E222,IF(E222&lt;201,E222/2,IF(E222&lt;=301,E222/3,E222/4))))</f>
        <v>670.81248000000005</v>
      </c>
      <c r="G222" s="146" t="str">
        <f t="shared" ref="G222:G224" si="22">G221</f>
        <v>1st Floor for Residential</v>
      </c>
      <c r="H222" s="147"/>
      <c r="I222" s="36"/>
    </row>
    <row r="223" spans="1:14" s="37" customFormat="1" ht="15.75" customHeight="1" x14ac:dyDescent="0.3">
      <c r="A223" s="79">
        <f t="shared" si="20"/>
        <v>5</v>
      </c>
      <c r="B223" s="80"/>
      <c r="C223" s="54" t="s">
        <v>186</v>
      </c>
      <c r="D223" s="56">
        <f>(29.4+9.43)*10.764</f>
        <v>417.96611999999993</v>
      </c>
      <c r="E223" s="42">
        <v>0</v>
      </c>
      <c r="F223" s="42">
        <f t="shared" si="21"/>
        <v>626.94917999999984</v>
      </c>
      <c r="G223" s="146" t="str">
        <f t="shared" si="22"/>
        <v>1st Floor for Residential</v>
      </c>
      <c r="H223" s="147"/>
      <c r="I223" s="36">
        <f>3*2.9+3.15*2.15+2.15*2.93+1.2*(2+2)+1.73*0.45+1.35*2.9+2.15+2.15</f>
        <v>35.5655</v>
      </c>
    </row>
    <row r="224" spans="1:14" s="37" customFormat="1" ht="15.75" customHeight="1" x14ac:dyDescent="0.3">
      <c r="A224" s="79">
        <f t="shared" si="20"/>
        <v>6</v>
      </c>
      <c r="B224" s="80"/>
      <c r="C224" s="54" t="s">
        <v>186</v>
      </c>
      <c r="D224" s="56">
        <f>(29.4+9.43)*10.764</f>
        <v>417.96611999999993</v>
      </c>
      <c r="E224" s="42">
        <v>0</v>
      </c>
      <c r="F224" s="42">
        <f t="shared" si="21"/>
        <v>626.94917999999984</v>
      </c>
      <c r="G224" s="146" t="str">
        <f t="shared" si="22"/>
        <v>1st Floor for Residential</v>
      </c>
      <c r="H224" s="147"/>
      <c r="I224" s="36"/>
    </row>
    <row r="225" spans="1:12" s="37" customFormat="1" x14ac:dyDescent="0.3">
      <c r="A225" s="81" t="s">
        <v>232</v>
      </c>
      <c r="B225" s="82"/>
      <c r="C225" s="82"/>
      <c r="D225" s="82"/>
      <c r="E225" s="82"/>
      <c r="F225" s="82"/>
      <c r="G225" s="82"/>
      <c r="H225" s="83"/>
      <c r="I225" s="36"/>
    </row>
    <row r="226" spans="1:12" s="37" customFormat="1" ht="15.75" customHeight="1" x14ac:dyDescent="0.3">
      <c r="A226" s="79">
        <v>1</v>
      </c>
      <c r="B226" s="80"/>
      <c r="C226" s="54" t="s">
        <v>186</v>
      </c>
      <c r="D226" s="56">
        <f>(29.75+10.02)*10.764</f>
        <v>428.08427999999992</v>
      </c>
      <c r="E226" s="42">
        <v>0</v>
      </c>
      <c r="F226" s="42">
        <f t="shared" ref="F226:F231" si="23">D226*(($F$179)+1)+(IF(E226&lt;101,E226,IF(E226&lt;201,E226/2,IF(E226&lt;=301,E226/3,E226/4))))</f>
        <v>642.12641999999983</v>
      </c>
      <c r="G226" s="144" t="str">
        <f>A225</f>
        <v>2nd to 6th, 8th to 11th, 13th to 16th &amp; 18th to 21st Floor</v>
      </c>
      <c r="H226" s="145"/>
      <c r="I226" s="36"/>
      <c r="L226" s="36">
        <v>10.763999999999999</v>
      </c>
    </row>
    <row r="227" spans="1:12" s="37" customFormat="1" ht="15.75" customHeight="1" x14ac:dyDescent="0.3">
      <c r="A227" s="79">
        <v>2</v>
      </c>
      <c r="B227" s="80"/>
      <c r="C227" s="54" t="s">
        <v>186</v>
      </c>
      <c r="D227" s="56">
        <f>(29.75+10.02)*10.764</f>
        <v>428.08427999999992</v>
      </c>
      <c r="E227" s="42">
        <v>0</v>
      </c>
      <c r="F227" s="42">
        <f t="shared" si="23"/>
        <v>642.12641999999983</v>
      </c>
      <c r="G227" s="146" t="str">
        <f>G226</f>
        <v>2nd to 6th, 8th to 11th, 13th to 16th &amp; 18th to 21st Floor</v>
      </c>
      <c r="H227" s="147"/>
      <c r="I227" s="36"/>
    </row>
    <row r="228" spans="1:12" s="37" customFormat="1" ht="15.75" customHeight="1" x14ac:dyDescent="0.3">
      <c r="A228" s="79">
        <v>3</v>
      </c>
      <c r="B228" s="80"/>
      <c r="C228" s="54" t="s">
        <v>252</v>
      </c>
      <c r="D228" s="56">
        <f>(41.36+8.99)*10.764</f>
        <v>541.9674</v>
      </c>
      <c r="E228" s="42">
        <v>0</v>
      </c>
      <c r="F228" s="42">
        <f t="shared" si="23"/>
        <v>812.9511</v>
      </c>
      <c r="G228" s="146" t="str">
        <f>G227</f>
        <v>2nd to 6th, 8th to 11th, 13th to 16th &amp; 18th to 21st Floor</v>
      </c>
      <c r="H228" s="147"/>
      <c r="I228" s="36"/>
    </row>
    <row r="229" spans="1:12" s="37" customFormat="1" ht="15.75" customHeight="1" x14ac:dyDescent="0.3">
      <c r="A229" s="79">
        <v>4</v>
      </c>
      <c r="B229" s="80"/>
      <c r="C229" s="54" t="s">
        <v>186</v>
      </c>
      <c r="D229" s="56">
        <f>(29.51+10.92)*10.764</f>
        <v>435.18851999999998</v>
      </c>
      <c r="E229" s="42">
        <v>0</v>
      </c>
      <c r="F229" s="42">
        <f t="shared" si="23"/>
        <v>652.78278</v>
      </c>
      <c r="G229" s="146" t="str">
        <f>G228</f>
        <v>2nd to 6th, 8th to 11th, 13th to 16th &amp; 18th to 21st Floor</v>
      </c>
      <c r="H229" s="147"/>
      <c r="I229" s="36"/>
    </row>
    <row r="230" spans="1:12" s="37" customFormat="1" ht="15.75" customHeight="1" x14ac:dyDescent="0.3">
      <c r="A230" s="79">
        <v>5</v>
      </c>
      <c r="B230" s="80"/>
      <c r="C230" s="54" t="s">
        <v>186</v>
      </c>
      <c r="D230" s="56">
        <f>(29.4+9.43)*10.764</f>
        <v>417.96611999999993</v>
      </c>
      <c r="E230" s="42">
        <v>0</v>
      </c>
      <c r="F230" s="42">
        <f t="shared" si="23"/>
        <v>626.94917999999984</v>
      </c>
      <c r="G230" s="146" t="str">
        <f>G228</f>
        <v>2nd to 6th, 8th to 11th, 13th to 16th &amp; 18th to 21st Floor</v>
      </c>
      <c r="H230" s="147"/>
      <c r="I230" s="36"/>
    </row>
    <row r="231" spans="1:12" s="37" customFormat="1" ht="15.75" customHeight="1" x14ac:dyDescent="0.3">
      <c r="A231" s="79">
        <v>6</v>
      </c>
      <c r="B231" s="80"/>
      <c r="C231" s="54" t="s">
        <v>186</v>
      </c>
      <c r="D231" s="56">
        <f>(29.4+9.43)*10.764</f>
        <v>417.96611999999993</v>
      </c>
      <c r="E231" s="42">
        <v>0</v>
      </c>
      <c r="F231" s="42">
        <f t="shared" si="23"/>
        <v>626.94917999999984</v>
      </c>
      <c r="G231" s="146" t="str">
        <f>G229</f>
        <v>2nd to 6th, 8th to 11th, 13th to 16th &amp; 18th to 21st Floor</v>
      </c>
      <c r="H231" s="147"/>
      <c r="I231" s="36"/>
    </row>
    <row r="232" spans="1:12" s="37" customFormat="1" x14ac:dyDescent="0.3">
      <c r="A232" s="81" t="s">
        <v>255</v>
      </c>
      <c r="B232" s="82"/>
      <c r="C232" s="82"/>
      <c r="D232" s="82"/>
      <c r="E232" s="82"/>
      <c r="F232" s="82"/>
      <c r="G232" s="82"/>
      <c r="H232" s="83"/>
      <c r="I232" s="36"/>
    </row>
    <row r="233" spans="1:12" s="37" customFormat="1" ht="15.75" customHeight="1" x14ac:dyDescent="0.3">
      <c r="A233" s="79">
        <v>1</v>
      </c>
      <c r="B233" s="80"/>
      <c r="C233" s="54" t="s">
        <v>186</v>
      </c>
      <c r="D233" s="56">
        <f>(29.75+10.02)*10.764</f>
        <v>428.08427999999992</v>
      </c>
      <c r="E233" s="42">
        <v>0</v>
      </c>
      <c r="F233" s="42">
        <f t="shared" ref="F233:F238" si="24">D233*(($F$179)+1)+(IF(E233&lt;101,E233,IF(E233&lt;201,E233/2,IF(E233&lt;=301,E233/3,E233/4))))</f>
        <v>642.12641999999983</v>
      </c>
      <c r="G233" s="144" t="str">
        <f>A232</f>
        <v>7th, 12th &amp; 17th Floor (Refuge Area)</v>
      </c>
      <c r="H233" s="145"/>
      <c r="I233" s="36"/>
      <c r="L233" s="36"/>
    </row>
    <row r="234" spans="1:12" s="37" customFormat="1" ht="15.75" customHeight="1" x14ac:dyDescent="0.3">
      <c r="A234" s="79">
        <v>2</v>
      </c>
      <c r="B234" s="80"/>
      <c r="C234" s="54" t="s">
        <v>186</v>
      </c>
      <c r="D234" s="56">
        <f>(29.75+10.02)*10.764</f>
        <v>428.08427999999992</v>
      </c>
      <c r="E234" s="42">
        <v>0</v>
      </c>
      <c r="F234" s="42">
        <f t="shared" si="24"/>
        <v>642.12641999999983</v>
      </c>
      <c r="G234" s="146" t="str">
        <f>G233</f>
        <v>7th, 12th &amp; 17th Floor (Refuge Area)</v>
      </c>
      <c r="H234" s="147"/>
      <c r="I234" s="36"/>
    </row>
    <row r="235" spans="1:12" s="37" customFormat="1" ht="15.75" customHeight="1" x14ac:dyDescent="0.3">
      <c r="A235" s="79">
        <v>3</v>
      </c>
      <c r="B235" s="80"/>
      <c r="C235" s="54" t="s">
        <v>186</v>
      </c>
      <c r="D235" s="56">
        <f>(32.66+8.99)*10.764</f>
        <v>448.32059999999996</v>
      </c>
      <c r="E235" s="42">
        <v>0</v>
      </c>
      <c r="F235" s="42">
        <f t="shared" si="24"/>
        <v>672.48089999999991</v>
      </c>
      <c r="G235" s="146" t="str">
        <f>G234</f>
        <v>7th, 12th &amp; 17th Floor (Refuge Area)</v>
      </c>
      <c r="H235" s="147"/>
      <c r="I235" s="36"/>
    </row>
    <row r="236" spans="1:12" s="37" customFormat="1" ht="15.75" customHeight="1" x14ac:dyDescent="0.3">
      <c r="A236" s="79">
        <v>4</v>
      </c>
      <c r="B236" s="80"/>
      <c r="C236" s="54" t="s">
        <v>186</v>
      </c>
      <c r="D236" s="56">
        <f>(29.51+10.92)*10.764</f>
        <v>435.18851999999998</v>
      </c>
      <c r="E236" s="42">
        <v>0</v>
      </c>
      <c r="F236" s="42">
        <f t="shared" si="24"/>
        <v>652.78278</v>
      </c>
      <c r="G236" s="146" t="str">
        <f>G235</f>
        <v>7th, 12th &amp; 17th Floor (Refuge Area)</v>
      </c>
      <c r="H236" s="147"/>
      <c r="I236" s="36">
        <f>1.2*2.75+1.2*2.75+2.4</f>
        <v>9</v>
      </c>
    </row>
    <row r="237" spans="1:12" s="37" customFormat="1" ht="15.75" customHeight="1" x14ac:dyDescent="0.3">
      <c r="A237" s="79">
        <v>5</v>
      </c>
      <c r="B237" s="80"/>
      <c r="C237" s="54" t="s">
        <v>186</v>
      </c>
      <c r="D237" s="56">
        <f>(29.4+9.43)*10.764</f>
        <v>417.96611999999993</v>
      </c>
      <c r="E237" s="42">
        <v>0</v>
      </c>
      <c r="F237" s="42">
        <f t="shared" si="24"/>
        <v>626.94917999999984</v>
      </c>
      <c r="G237" s="146" t="str">
        <f>G235</f>
        <v>7th, 12th &amp; 17th Floor (Refuge Area)</v>
      </c>
      <c r="H237" s="147"/>
      <c r="I237" s="36"/>
    </row>
    <row r="238" spans="1:12" s="37" customFormat="1" ht="15.75" customHeight="1" x14ac:dyDescent="0.3">
      <c r="A238" s="79">
        <v>6</v>
      </c>
      <c r="B238" s="80"/>
      <c r="C238" s="54" t="s">
        <v>186</v>
      </c>
      <c r="D238" s="56">
        <f>(29.4+9.43)*10.764</f>
        <v>417.96611999999993</v>
      </c>
      <c r="E238" s="42">
        <v>0</v>
      </c>
      <c r="F238" s="42">
        <f t="shared" si="24"/>
        <v>626.94917999999984</v>
      </c>
      <c r="G238" s="146" t="str">
        <f>G236</f>
        <v>7th, 12th &amp; 17th Floor (Refuge Area)</v>
      </c>
      <c r="H238" s="147"/>
      <c r="I238" s="36"/>
    </row>
    <row r="239" spans="1:12" s="35" customFormat="1" x14ac:dyDescent="0.3">
      <c r="A239" s="247" t="s">
        <v>68</v>
      </c>
      <c r="B239" s="247"/>
      <c r="C239" s="247"/>
      <c r="D239" s="247"/>
      <c r="E239" s="247"/>
      <c r="F239" s="247"/>
      <c r="G239" s="247"/>
      <c r="H239" s="247"/>
    </row>
    <row r="240" spans="1:12" s="35" customFormat="1" x14ac:dyDescent="0.3">
      <c r="A240" s="46">
        <v>1</v>
      </c>
      <c r="B240" s="103" t="s">
        <v>205</v>
      </c>
      <c r="C240" s="104"/>
      <c r="D240" s="104"/>
      <c r="E240" s="104"/>
      <c r="F240" s="104"/>
      <c r="G240" s="104"/>
      <c r="H240" s="105"/>
    </row>
    <row r="241" spans="1:8" s="35" customFormat="1" x14ac:dyDescent="0.3">
      <c r="A241" s="46">
        <f>A240+1</f>
        <v>2</v>
      </c>
      <c r="B241" s="103" t="str">
        <f>(IF(F178="Saleable area Loading :","We have considered Saleable area of Flats as per our Calculation.","We considered Saleable area of Flat as per Builder area Sheet."))</f>
        <v>We have considered Saleable area of Flats as per our Calculation.</v>
      </c>
      <c r="C241" s="104"/>
      <c r="D241" s="104"/>
      <c r="E241" s="104"/>
      <c r="F241" s="104"/>
      <c r="G241" s="104"/>
      <c r="H241" s="105"/>
    </row>
    <row r="242" spans="1:8" s="35" customFormat="1" x14ac:dyDescent="0.3">
      <c r="A242" s="46">
        <v>3</v>
      </c>
      <c r="B242" s="103" t="str">
        <f>(IF(F144="Saleable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2" s="104"/>
      <c r="D242" s="104"/>
      <c r="E242" s="104"/>
      <c r="F242" s="104"/>
      <c r="G242" s="104"/>
      <c r="H242" s="105"/>
    </row>
    <row r="243" spans="1:8" s="35" customFormat="1" x14ac:dyDescent="0.3">
      <c r="A243" s="46">
        <v>4</v>
      </c>
      <c r="B243" s="103" t="s">
        <v>120</v>
      </c>
      <c r="C243" s="104"/>
      <c r="D243" s="104"/>
      <c r="E243" s="104"/>
      <c r="F243" s="104"/>
      <c r="G243" s="104"/>
      <c r="H243" s="105"/>
    </row>
    <row r="244" spans="1:8" s="35" customFormat="1" x14ac:dyDescent="0.3">
      <c r="A244" s="46">
        <v>5</v>
      </c>
      <c r="B244" s="103" t="s">
        <v>259</v>
      </c>
      <c r="C244" s="104"/>
      <c r="D244" s="104"/>
      <c r="E244" s="104"/>
      <c r="F244" s="104"/>
      <c r="G244" s="104"/>
      <c r="H244" s="105"/>
    </row>
    <row r="245" spans="1:8" s="35" customFormat="1" x14ac:dyDescent="0.3">
      <c r="A245" s="46">
        <v>6</v>
      </c>
      <c r="B245" s="103" t="s">
        <v>150</v>
      </c>
      <c r="C245" s="104"/>
      <c r="D245" s="104"/>
      <c r="E245" s="104"/>
      <c r="F245" s="104"/>
      <c r="G245" s="104"/>
      <c r="H245" s="105"/>
    </row>
    <row r="246" spans="1:8" s="35" customFormat="1" x14ac:dyDescent="0.3">
      <c r="A246" s="46">
        <v>7</v>
      </c>
      <c r="B246" s="103" t="s">
        <v>121</v>
      </c>
      <c r="C246" s="104"/>
      <c r="D246" s="104"/>
      <c r="E246" s="104"/>
      <c r="F246" s="104"/>
      <c r="G246" s="104"/>
      <c r="H246" s="105"/>
    </row>
    <row r="247" spans="1:8" s="35" customFormat="1" ht="34.5" customHeight="1" x14ac:dyDescent="0.3">
      <c r="A247" s="46">
        <v>8</v>
      </c>
      <c r="B247" s="103" t="s">
        <v>152</v>
      </c>
      <c r="C247" s="104"/>
      <c r="D247" s="104"/>
      <c r="E247" s="104"/>
      <c r="F247" s="104"/>
      <c r="G247" s="104"/>
      <c r="H247" s="105"/>
    </row>
    <row r="248" spans="1:8" s="35" customFormat="1" x14ac:dyDescent="0.3">
      <c r="A248" s="46">
        <v>9</v>
      </c>
      <c r="B248" s="103" t="s">
        <v>122</v>
      </c>
      <c r="C248" s="104"/>
      <c r="D248" s="104"/>
      <c r="E248" s="104"/>
      <c r="F248" s="104"/>
      <c r="G248" s="104"/>
      <c r="H248" s="105"/>
    </row>
    <row r="249" spans="1:8" s="35" customFormat="1" x14ac:dyDescent="0.3">
      <c r="A249" s="46">
        <v>10</v>
      </c>
      <c r="B249" s="103" t="s">
        <v>257</v>
      </c>
      <c r="C249" s="104"/>
      <c r="D249" s="104"/>
      <c r="E249" s="104"/>
      <c r="F249" s="104"/>
      <c r="G249" s="104"/>
      <c r="H249" s="105"/>
    </row>
    <row r="250" spans="1:8" s="35" customFormat="1" ht="36" hidden="1" customHeight="1" x14ac:dyDescent="0.3">
      <c r="A250" s="46" t="s">
        <v>151</v>
      </c>
      <c r="B250" s="103" t="s">
        <v>197</v>
      </c>
      <c r="C250" s="104"/>
      <c r="D250" s="104"/>
      <c r="E250" s="104"/>
      <c r="F250" s="104"/>
      <c r="G250" s="104"/>
      <c r="H250" s="105"/>
    </row>
    <row r="251" spans="1:8" s="35" customFormat="1" hidden="1" x14ac:dyDescent="0.3">
      <c r="A251" s="244">
        <v>11</v>
      </c>
      <c r="B251" s="69" t="s">
        <v>206</v>
      </c>
      <c r="C251" s="68" t="s">
        <v>207</v>
      </c>
      <c r="D251" s="133" t="s">
        <v>216</v>
      </c>
      <c r="E251" s="133"/>
      <c r="F251" s="133"/>
      <c r="G251" s="133"/>
      <c r="H251" s="133"/>
    </row>
    <row r="252" spans="1:8" s="35" customFormat="1" ht="34.5" hidden="1" customHeight="1" x14ac:dyDescent="0.3">
      <c r="A252" s="245"/>
      <c r="B252" s="69">
        <v>1</v>
      </c>
      <c r="C252" s="70" t="s">
        <v>209</v>
      </c>
      <c r="D252" s="247" t="s">
        <v>210</v>
      </c>
      <c r="E252" s="247"/>
      <c r="F252" s="247"/>
      <c r="G252" s="247"/>
      <c r="H252" s="247"/>
    </row>
    <row r="253" spans="1:8" s="35" customFormat="1" ht="41.25" hidden="1" customHeight="1" x14ac:dyDescent="0.3">
      <c r="A253" s="245"/>
      <c r="B253" s="69">
        <f>B252+1</f>
        <v>2</v>
      </c>
      <c r="C253" s="70">
        <v>45046</v>
      </c>
      <c r="D253" s="247" t="s">
        <v>217</v>
      </c>
      <c r="E253" s="247"/>
      <c r="F253" s="247"/>
      <c r="G253" s="247"/>
      <c r="H253" s="247"/>
    </row>
    <row r="254" spans="1:8" s="35" customFormat="1" ht="33.75" hidden="1" customHeight="1" x14ac:dyDescent="0.3">
      <c r="A254" s="245"/>
      <c r="B254" s="69">
        <f t="shared" ref="B254:B257" si="25">B253+1</f>
        <v>3</v>
      </c>
      <c r="C254" s="70">
        <v>45112</v>
      </c>
      <c r="D254" s="247" t="s">
        <v>211</v>
      </c>
      <c r="E254" s="247"/>
      <c r="F254" s="247"/>
      <c r="G254" s="247"/>
      <c r="H254" s="247"/>
    </row>
    <row r="255" spans="1:8" s="35" customFormat="1" ht="33" hidden="1" customHeight="1" x14ac:dyDescent="0.3">
      <c r="A255" s="245"/>
      <c r="B255" s="69">
        <f t="shared" si="25"/>
        <v>4</v>
      </c>
      <c r="C255" s="70">
        <v>45210</v>
      </c>
      <c r="D255" s="247" t="s">
        <v>212</v>
      </c>
      <c r="E255" s="247"/>
      <c r="F255" s="247"/>
      <c r="G255" s="247"/>
      <c r="H255" s="247"/>
    </row>
    <row r="256" spans="1:8" s="35" customFormat="1" hidden="1" x14ac:dyDescent="0.3">
      <c r="A256" s="245"/>
      <c r="B256" s="69">
        <f t="shared" si="25"/>
        <v>5</v>
      </c>
      <c r="C256" s="70">
        <v>45302</v>
      </c>
      <c r="D256" s="247" t="s">
        <v>218</v>
      </c>
      <c r="E256" s="247"/>
      <c r="F256" s="247"/>
      <c r="G256" s="247"/>
      <c r="H256" s="247"/>
    </row>
    <row r="257" spans="1:10" s="35" customFormat="1" hidden="1" x14ac:dyDescent="0.3">
      <c r="A257" s="245"/>
      <c r="B257" s="69">
        <f t="shared" si="25"/>
        <v>6</v>
      </c>
      <c r="C257" s="70">
        <v>45397</v>
      </c>
      <c r="D257" s="247" t="s">
        <v>219</v>
      </c>
      <c r="E257" s="247"/>
      <c r="F257" s="247"/>
      <c r="G257" s="247"/>
      <c r="H257" s="247"/>
    </row>
    <row r="258" spans="1:10" s="35" customFormat="1" ht="33.75" hidden="1" customHeight="1" x14ac:dyDescent="0.3">
      <c r="A258" s="245"/>
      <c r="B258" s="69">
        <v>7</v>
      </c>
      <c r="C258" s="70">
        <v>45483</v>
      </c>
      <c r="D258" s="247" t="s">
        <v>213</v>
      </c>
      <c r="E258" s="247"/>
      <c r="F258" s="247"/>
      <c r="G258" s="247"/>
      <c r="H258" s="247"/>
    </row>
    <row r="259" spans="1:10" s="35" customFormat="1" ht="31.5" hidden="1" customHeight="1" x14ac:dyDescent="0.3">
      <c r="A259" s="245"/>
      <c r="B259" s="69">
        <v>8</v>
      </c>
      <c r="C259" s="70">
        <v>45560</v>
      </c>
      <c r="D259" s="247" t="s">
        <v>214</v>
      </c>
      <c r="E259" s="247"/>
      <c r="F259" s="247"/>
      <c r="G259" s="247"/>
      <c r="H259" s="247"/>
      <c r="J259" s="35" t="s">
        <v>208</v>
      </c>
    </row>
    <row r="260" spans="1:10" s="35" customFormat="1" ht="31.5" hidden="1" customHeight="1" x14ac:dyDescent="0.3">
      <c r="A260" s="245"/>
      <c r="B260" s="69">
        <v>9</v>
      </c>
      <c r="C260" s="70">
        <v>45618</v>
      </c>
      <c r="D260" s="247" t="s">
        <v>263</v>
      </c>
      <c r="E260" s="247"/>
      <c r="F260" s="247"/>
      <c r="G260" s="247"/>
      <c r="H260" s="247"/>
      <c r="J260" s="35" t="s">
        <v>208</v>
      </c>
    </row>
    <row r="261" spans="1:10" s="35" customFormat="1" hidden="1" x14ac:dyDescent="0.3">
      <c r="A261" s="245"/>
      <c r="B261" s="248" t="s">
        <v>220</v>
      </c>
      <c r="C261" s="249"/>
      <c r="D261" s="249"/>
      <c r="E261" s="249"/>
      <c r="F261" s="249"/>
      <c r="G261" s="249"/>
      <c r="H261" s="250"/>
    </row>
    <row r="262" spans="1:10" s="35" customFormat="1" ht="33" hidden="1" customHeight="1" x14ac:dyDescent="0.3">
      <c r="A262" s="246"/>
      <c r="B262" s="251" t="s">
        <v>215</v>
      </c>
      <c r="C262" s="252"/>
      <c r="D262" s="252"/>
      <c r="E262" s="252"/>
      <c r="F262" s="252"/>
      <c r="G262" s="252"/>
      <c r="H262" s="253"/>
    </row>
    <row r="263" spans="1:10" s="35" customFormat="1" x14ac:dyDescent="0.3">
      <c r="A263" s="71">
        <v>11</v>
      </c>
      <c r="B263" s="103" t="s">
        <v>256</v>
      </c>
      <c r="C263" s="104"/>
      <c r="D263" s="104"/>
      <c r="E263" s="104"/>
      <c r="F263" s="104"/>
      <c r="G263" s="104"/>
      <c r="H263" s="105"/>
    </row>
    <row r="264" spans="1:10" s="35" customFormat="1" x14ac:dyDescent="0.3">
      <c r="A264" s="71">
        <v>12</v>
      </c>
      <c r="B264" s="103" t="s">
        <v>236</v>
      </c>
      <c r="C264" s="104"/>
      <c r="D264" s="104"/>
      <c r="E264" s="104"/>
      <c r="F264" s="104"/>
      <c r="G264" s="104"/>
      <c r="H264" s="105"/>
    </row>
    <row r="265" spans="1:10" s="35" customFormat="1" ht="64.5" customHeight="1" x14ac:dyDescent="0.3">
      <c r="A265" s="71">
        <v>13</v>
      </c>
      <c r="B265" s="103" t="s">
        <v>262</v>
      </c>
      <c r="C265" s="104"/>
      <c r="D265" s="104"/>
      <c r="E265" s="104"/>
      <c r="F265" s="104"/>
      <c r="G265" s="104"/>
      <c r="H265" s="105"/>
    </row>
    <row r="266" spans="1:10" s="35" customFormat="1" x14ac:dyDescent="0.3">
      <c r="A266" s="71">
        <v>14</v>
      </c>
      <c r="B266" s="103" t="s">
        <v>266</v>
      </c>
      <c r="C266" s="104"/>
      <c r="D266" s="104"/>
      <c r="E266" s="104"/>
      <c r="F266" s="104"/>
      <c r="G266" s="104"/>
      <c r="H266" s="105"/>
    </row>
    <row r="267" spans="1:10" x14ac:dyDescent="0.3">
      <c r="A267" s="234" t="s">
        <v>61</v>
      </c>
      <c r="B267" s="234"/>
      <c r="C267" s="234"/>
      <c r="D267" s="234"/>
      <c r="E267" s="234"/>
      <c r="F267" s="234"/>
      <c r="G267" s="234"/>
      <c r="H267" s="234"/>
    </row>
    <row r="268" spans="1:10" x14ac:dyDescent="0.3">
      <c r="A268" s="117" t="s">
        <v>62</v>
      </c>
      <c r="B268" s="117"/>
      <c r="C268" s="117"/>
      <c r="D268" s="117"/>
      <c r="E268" s="117"/>
      <c r="F268" s="117"/>
      <c r="G268" s="117"/>
      <c r="H268" s="117"/>
    </row>
    <row r="269" spans="1:10" ht="15.75" customHeight="1" x14ac:dyDescent="0.3">
      <c r="A269" s="241" t="s">
        <v>63</v>
      </c>
      <c r="B269" s="241"/>
      <c r="C269" s="241"/>
      <c r="D269" s="241"/>
      <c r="E269" s="241"/>
      <c r="F269" s="241"/>
      <c r="G269" s="241"/>
      <c r="H269" s="241"/>
    </row>
    <row r="270" spans="1:10" x14ac:dyDescent="0.3">
      <c r="A270" s="117" t="s">
        <v>64</v>
      </c>
      <c r="B270" s="117"/>
      <c r="C270" s="117"/>
      <c r="D270" s="117"/>
      <c r="E270" s="117"/>
      <c r="F270" s="117"/>
      <c r="G270" s="117"/>
      <c r="H270" s="117"/>
    </row>
    <row r="271" spans="1:10" x14ac:dyDescent="0.3">
      <c r="A271" s="117" t="s">
        <v>65</v>
      </c>
      <c r="B271" s="117"/>
      <c r="C271" s="117"/>
      <c r="D271" s="117"/>
      <c r="E271" s="117"/>
      <c r="F271" s="117"/>
      <c r="G271" s="117"/>
      <c r="H271" s="117"/>
    </row>
    <row r="272" spans="1:10" x14ac:dyDescent="0.3">
      <c r="A272" s="117" t="s">
        <v>123</v>
      </c>
      <c r="B272" s="117"/>
      <c r="C272" s="117"/>
      <c r="D272" s="117"/>
      <c r="E272" s="117"/>
      <c r="F272" s="117"/>
      <c r="G272" s="117"/>
      <c r="H272" s="117"/>
    </row>
    <row r="273" spans="1:8" ht="35.25" customHeight="1" x14ac:dyDescent="0.3">
      <c r="A273" s="195" t="s">
        <v>124</v>
      </c>
      <c r="B273" s="195"/>
      <c r="C273" s="195"/>
      <c r="D273" s="195"/>
      <c r="E273" s="195"/>
      <c r="F273" s="195"/>
      <c r="G273" s="195"/>
      <c r="H273" s="195"/>
    </row>
    <row r="274" spans="1:8" x14ac:dyDescent="0.3">
      <c r="A274" s="221" t="s">
        <v>76</v>
      </c>
      <c r="B274" s="221"/>
      <c r="C274" s="221" t="s">
        <v>190</v>
      </c>
      <c r="D274" s="221"/>
      <c r="E274" s="221" t="s">
        <v>101</v>
      </c>
      <c r="F274" s="221"/>
      <c r="G274" s="221" t="s">
        <v>269</v>
      </c>
      <c r="H274" s="221"/>
    </row>
    <row r="275" spans="1:8" x14ac:dyDescent="0.3">
      <c r="A275" s="220" t="s">
        <v>78</v>
      </c>
      <c r="B275" s="220"/>
      <c r="C275" s="220"/>
      <c r="D275" s="220"/>
      <c r="E275" s="220"/>
      <c r="F275" s="220"/>
      <c r="G275" s="220"/>
      <c r="H275" s="220"/>
    </row>
    <row r="276" spans="1:8" x14ac:dyDescent="0.3">
      <c r="A276" s="220"/>
      <c r="B276" s="220"/>
      <c r="C276" s="220"/>
      <c r="D276" s="220"/>
      <c r="E276" s="220"/>
      <c r="F276" s="220"/>
      <c r="G276" s="220"/>
      <c r="H276" s="220"/>
    </row>
    <row r="277" spans="1:8" x14ac:dyDescent="0.3">
      <c r="A277" s="220"/>
      <c r="B277" s="220"/>
      <c r="C277" s="220"/>
      <c r="D277" s="220"/>
      <c r="E277" s="220"/>
      <c r="F277" s="220"/>
      <c r="G277" s="220"/>
      <c r="H277" s="220"/>
    </row>
    <row r="278" spans="1:8" x14ac:dyDescent="0.3">
      <c r="A278" s="220"/>
      <c r="B278" s="220"/>
      <c r="C278" s="220"/>
      <c r="D278" s="220"/>
      <c r="E278" s="220"/>
      <c r="F278" s="220"/>
      <c r="G278" s="220"/>
      <c r="H278" s="220"/>
    </row>
    <row r="279" spans="1:8" x14ac:dyDescent="0.3">
      <c r="A279" s="38" t="s">
        <v>66</v>
      </c>
      <c r="B279" s="39"/>
      <c r="C279" s="39"/>
      <c r="D279" s="38" t="str">
        <f>E8</f>
        <v>Shree Krishna Bhoomi</v>
      </c>
      <c r="F279" s="39"/>
      <c r="G279" s="39"/>
      <c r="H279" s="39"/>
    </row>
    <row r="280" spans="1:8" x14ac:dyDescent="0.3">
      <c r="A280" s="39"/>
      <c r="B280" s="39"/>
      <c r="C280" s="39"/>
      <c r="D280" s="39"/>
      <c r="E280" s="39"/>
      <c r="F280" s="39"/>
      <c r="G280" s="39"/>
      <c r="H280" s="39"/>
    </row>
    <row r="281" spans="1:8" x14ac:dyDescent="0.3">
      <c r="A281" s="39"/>
      <c r="B281" s="39"/>
      <c r="C281" s="39"/>
      <c r="D281" s="39"/>
      <c r="E281" s="39"/>
      <c r="F281" s="39"/>
      <c r="G281" s="39"/>
      <c r="H281" s="39"/>
    </row>
    <row r="282" spans="1:8" ht="15" customHeight="1" x14ac:dyDescent="0.3"/>
    <row r="321" spans="1:1" x14ac:dyDescent="0.3">
      <c r="A321" s="41" t="s">
        <v>237</v>
      </c>
    </row>
    <row r="357" spans="1:1" x14ac:dyDescent="0.3">
      <c r="A357" s="41" t="s">
        <v>264</v>
      </c>
    </row>
    <row r="397" spans="1:1" x14ac:dyDescent="0.3">
      <c r="A397" s="41" t="s">
        <v>67</v>
      </c>
    </row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</sheetData>
  <mergeCells count="505">
    <mergeCell ref="B247:H247"/>
    <mergeCell ref="J8:M8"/>
    <mergeCell ref="B243:H243"/>
    <mergeCell ref="B244:H244"/>
    <mergeCell ref="B266:H266"/>
    <mergeCell ref="B248:H248"/>
    <mergeCell ref="G191:H198"/>
    <mergeCell ref="G200:H207"/>
    <mergeCell ref="G209:H216"/>
    <mergeCell ref="G219:H224"/>
    <mergeCell ref="G226:H231"/>
    <mergeCell ref="G233:H238"/>
    <mergeCell ref="B264:H264"/>
    <mergeCell ref="A239:H239"/>
    <mergeCell ref="A232:H232"/>
    <mergeCell ref="A235:B235"/>
    <mergeCell ref="A236:B236"/>
    <mergeCell ref="A229:B229"/>
    <mergeCell ref="A231:B231"/>
    <mergeCell ref="A233:B233"/>
    <mergeCell ref="A230:B230"/>
    <mergeCell ref="A222:B222"/>
    <mergeCell ref="A223:B223"/>
    <mergeCell ref="A224:B224"/>
    <mergeCell ref="B263:H263"/>
    <mergeCell ref="B265:H265"/>
    <mergeCell ref="A226:B226"/>
    <mergeCell ref="A227:B227"/>
    <mergeCell ref="A228:B228"/>
    <mergeCell ref="A218:H218"/>
    <mergeCell ref="A196:B196"/>
    <mergeCell ref="A197:B197"/>
    <mergeCell ref="A198:B198"/>
    <mergeCell ref="B240:H240"/>
    <mergeCell ref="B241:H241"/>
    <mergeCell ref="A251:A262"/>
    <mergeCell ref="D251:H251"/>
    <mergeCell ref="D252:H252"/>
    <mergeCell ref="D253:H253"/>
    <mergeCell ref="D254:H254"/>
    <mergeCell ref="D255:H255"/>
    <mergeCell ref="D256:H256"/>
    <mergeCell ref="D257:H257"/>
    <mergeCell ref="D258:H258"/>
    <mergeCell ref="D260:H260"/>
    <mergeCell ref="B261:H261"/>
    <mergeCell ref="B262:H262"/>
    <mergeCell ref="D259:H259"/>
    <mergeCell ref="E41:H41"/>
    <mergeCell ref="A41:D41"/>
    <mergeCell ref="A272:H272"/>
    <mergeCell ref="A269:H269"/>
    <mergeCell ref="A191:B191"/>
    <mergeCell ref="A137:B137"/>
    <mergeCell ref="D178:D179"/>
    <mergeCell ref="E178:E179"/>
    <mergeCell ref="G178:H179"/>
    <mergeCell ref="A94:B94"/>
    <mergeCell ref="A95:B95"/>
    <mergeCell ref="A96:B96"/>
    <mergeCell ref="A86:B86"/>
    <mergeCell ref="C86:H86"/>
    <mergeCell ref="A110:B110"/>
    <mergeCell ref="A81:B81"/>
    <mergeCell ref="F115:H115"/>
    <mergeCell ref="G128:H128"/>
    <mergeCell ref="A113:B113"/>
    <mergeCell ref="A48:B48"/>
    <mergeCell ref="C48:E48"/>
    <mergeCell ref="G48:H48"/>
    <mergeCell ref="G52:H52"/>
    <mergeCell ref="D59:H59"/>
    <mergeCell ref="C52:E52"/>
    <mergeCell ref="D62:H62"/>
    <mergeCell ref="D63:H63"/>
    <mergeCell ref="C49:E49"/>
    <mergeCell ref="C56:E56"/>
    <mergeCell ref="A49:B49"/>
    <mergeCell ref="A58:H58"/>
    <mergeCell ref="A59:C59"/>
    <mergeCell ref="A60:C60"/>
    <mergeCell ref="D60:H60"/>
    <mergeCell ref="G56:H56"/>
    <mergeCell ref="A62:C63"/>
    <mergeCell ref="A50:B50"/>
    <mergeCell ref="C50:E50"/>
    <mergeCell ref="G50:H50"/>
    <mergeCell ref="A51:B51"/>
    <mergeCell ref="C51:E51"/>
    <mergeCell ref="G51:H51"/>
    <mergeCell ref="A54:B55"/>
    <mergeCell ref="C54:E54"/>
    <mergeCell ref="G54:H54"/>
    <mergeCell ref="C55:H55"/>
    <mergeCell ref="D64:H64"/>
    <mergeCell ref="A56:B57"/>
    <mergeCell ref="C57:H57"/>
    <mergeCell ref="C53:H53"/>
    <mergeCell ref="A267:H267"/>
    <mergeCell ref="A268:H268"/>
    <mergeCell ref="E137:F137"/>
    <mergeCell ref="B249:H249"/>
    <mergeCell ref="G150:H150"/>
    <mergeCell ref="G148:H148"/>
    <mergeCell ref="G149:H149"/>
    <mergeCell ref="G151:H151"/>
    <mergeCell ref="B246:H246"/>
    <mergeCell ref="B242:H242"/>
    <mergeCell ref="A142:H142"/>
    <mergeCell ref="A220:B220"/>
    <mergeCell ref="A143:H143"/>
    <mergeCell ref="A140:B140"/>
    <mergeCell ref="A69:C69"/>
    <mergeCell ref="B250:H250"/>
    <mergeCell ref="D69:H69"/>
    <mergeCell ref="A70:C70"/>
    <mergeCell ref="D70:H70"/>
    <mergeCell ref="A76:B76"/>
    <mergeCell ref="G75:H75"/>
    <mergeCell ref="A275:H278"/>
    <mergeCell ref="A274:B274"/>
    <mergeCell ref="E274:F274"/>
    <mergeCell ref="C274:D274"/>
    <mergeCell ref="G274:H274"/>
    <mergeCell ref="A126:H126"/>
    <mergeCell ref="A124:E124"/>
    <mergeCell ref="F124:H124"/>
    <mergeCell ref="A125:E125"/>
    <mergeCell ref="F125:H125"/>
    <mergeCell ref="A190:H190"/>
    <mergeCell ref="A138:B138"/>
    <mergeCell ref="A221:B221"/>
    <mergeCell ref="A128:B128"/>
    <mergeCell ref="A270:H270"/>
    <mergeCell ref="A136:H136"/>
    <mergeCell ref="A273:H273"/>
    <mergeCell ref="A271:H271"/>
    <mergeCell ref="A102:B102"/>
    <mergeCell ref="C102:H102"/>
    <mergeCell ref="A103:B103"/>
    <mergeCell ref="A104:B104"/>
    <mergeCell ref="E104:F113"/>
    <mergeCell ref="A44:D44"/>
    <mergeCell ref="A45:D45"/>
    <mergeCell ref="A46:H46"/>
    <mergeCell ref="D61:H61"/>
    <mergeCell ref="A61:C61"/>
    <mergeCell ref="G49:H49"/>
    <mergeCell ref="A52:B53"/>
    <mergeCell ref="A82:B82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E75:F75"/>
    <mergeCell ref="A68:C68"/>
    <mergeCell ref="D68:H68"/>
    <mergeCell ref="A71:C71"/>
    <mergeCell ref="D71:H7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C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103:F103"/>
    <mergeCell ref="G104:H113"/>
    <mergeCell ref="A40:D40"/>
    <mergeCell ref="E40:H40"/>
    <mergeCell ref="F32:H32"/>
    <mergeCell ref="F33:H33"/>
    <mergeCell ref="A39:H39"/>
    <mergeCell ref="A65:C65"/>
    <mergeCell ref="A66:C66"/>
    <mergeCell ref="D65:H65"/>
    <mergeCell ref="E76:F85"/>
    <mergeCell ref="G76:H85"/>
    <mergeCell ref="A84:B84"/>
    <mergeCell ref="A85:B85"/>
    <mergeCell ref="D66:H66"/>
    <mergeCell ref="A42:D42"/>
    <mergeCell ref="E42:H42"/>
    <mergeCell ref="E43:H43"/>
    <mergeCell ref="E44:H44"/>
    <mergeCell ref="E45:H45"/>
    <mergeCell ref="A43:D43"/>
    <mergeCell ref="G103:H103"/>
    <mergeCell ref="F35:H35"/>
    <mergeCell ref="A37:B37"/>
    <mergeCell ref="L151:M151"/>
    <mergeCell ref="L150:M150"/>
    <mergeCell ref="L149:M149"/>
    <mergeCell ref="L148:M148"/>
    <mergeCell ref="A83:B83"/>
    <mergeCell ref="C138:D138"/>
    <mergeCell ref="E138:F138"/>
    <mergeCell ref="G138:H138"/>
    <mergeCell ref="F120:H120"/>
    <mergeCell ref="A115:E115"/>
    <mergeCell ref="A100:B100"/>
    <mergeCell ref="C100:H100"/>
    <mergeCell ref="A147:H147"/>
    <mergeCell ref="E144:E145"/>
    <mergeCell ref="G144:H145"/>
    <mergeCell ref="A90:B90"/>
    <mergeCell ref="E90:F99"/>
    <mergeCell ref="A97:B97"/>
    <mergeCell ref="A98:B98"/>
    <mergeCell ref="A99:B99"/>
    <mergeCell ref="F123:H123"/>
    <mergeCell ref="F122:H122"/>
    <mergeCell ref="G127:H127"/>
    <mergeCell ref="C128:D128"/>
    <mergeCell ref="E128:F128"/>
    <mergeCell ref="B144:B145"/>
    <mergeCell ref="A144:A145"/>
    <mergeCell ref="C178:C179"/>
    <mergeCell ref="C140:D140"/>
    <mergeCell ref="E127:F127"/>
    <mergeCell ref="A152:B152"/>
    <mergeCell ref="G152:H152"/>
    <mergeCell ref="A159:B159"/>
    <mergeCell ref="G159:H159"/>
    <mergeCell ref="A162:H162"/>
    <mergeCell ref="E130:F130"/>
    <mergeCell ref="G130:H130"/>
    <mergeCell ref="A139:B139"/>
    <mergeCell ref="C139:D139"/>
    <mergeCell ref="E139:F139"/>
    <mergeCell ref="G139:H139"/>
    <mergeCell ref="C137:D137"/>
    <mergeCell ref="G137:H137"/>
    <mergeCell ref="E133:F133"/>
    <mergeCell ref="A127:B127"/>
    <mergeCell ref="C127:D127"/>
    <mergeCell ref="A181:H181"/>
    <mergeCell ref="A194:B194"/>
    <mergeCell ref="L182:M182"/>
    <mergeCell ref="L186:M186"/>
    <mergeCell ref="A187:B187"/>
    <mergeCell ref="L187:M187"/>
    <mergeCell ref="A183:B183"/>
    <mergeCell ref="L183:M183"/>
    <mergeCell ref="A184:B184"/>
    <mergeCell ref="L184:M184"/>
    <mergeCell ref="A185:B185"/>
    <mergeCell ref="L185:M185"/>
    <mergeCell ref="G182:H189"/>
    <mergeCell ref="C183:F185"/>
    <mergeCell ref="E140:F140"/>
    <mergeCell ref="G133:H133"/>
    <mergeCell ref="A151:B151"/>
    <mergeCell ref="C132:D132"/>
    <mergeCell ref="E132:F132"/>
    <mergeCell ref="G132:H132"/>
    <mergeCell ref="A133:B133"/>
    <mergeCell ref="C133:D133"/>
    <mergeCell ref="C130:D130"/>
    <mergeCell ref="A141:B141"/>
    <mergeCell ref="A88:B88"/>
    <mergeCell ref="C88:H88"/>
    <mergeCell ref="A89:B89"/>
    <mergeCell ref="E89:F89"/>
    <mergeCell ref="G89:H89"/>
    <mergeCell ref="A119:E119"/>
    <mergeCell ref="F119:H119"/>
    <mergeCell ref="A120:E120"/>
    <mergeCell ref="A122:E122"/>
    <mergeCell ref="F117:H117"/>
    <mergeCell ref="A121:E121"/>
    <mergeCell ref="A107:B107"/>
    <mergeCell ref="A108:B108"/>
    <mergeCell ref="A109:B109"/>
    <mergeCell ref="A111:B111"/>
    <mergeCell ref="A112:B112"/>
    <mergeCell ref="F114:H114"/>
    <mergeCell ref="F121:H121"/>
    <mergeCell ref="A129:B129"/>
    <mergeCell ref="F118:H118"/>
    <mergeCell ref="A117:E117"/>
    <mergeCell ref="A114:E114"/>
    <mergeCell ref="C144:C145"/>
    <mergeCell ref="A16:B16"/>
    <mergeCell ref="C16:H16"/>
    <mergeCell ref="A38:B38"/>
    <mergeCell ref="C38:H38"/>
    <mergeCell ref="C134:D134"/>
    <mergeCell ref="E134:F134"/>
    <mergeCell ref="G134:H134"/>
    <mergeCell ref="A135:B135"/>
    <mergeCell ref="C135:D135"/>
    <mergeCell ref="E135:F135"/>
    <mergeCell ref="G135:H135"/>
    <mergeCell ref="A131:H131"/>
    <mergeCell ref="A132:B132"/>
    <mergeCell ref="A123:E123"/>
    <mergeCell ref="G140:H140"/>
    <mergeCell ref="C129:D129"/>
    <mergeCell ref="E129:F129"/>
    <mergeCell ref="G129:H129"/>
    <mergeCell ref="A130:B130"/>
    <mergeCell ref="A47:B47"/>
    <mergeCell ref="C47:H47"/>
    <mergeCell ref="B245:H245"/>
    <mergeCell ref="A105:B105"/>
    <mergeCell ref="A106:B106"/>
    <mergeCell ref="G90:H99"/>
    <mergeCell ref="A91:B91"/>
    <mergeCell ref="A92:B92"/>
    <mergeCell ref="A93:B93"/>
    <mergeCell ref="F116:H116"/>
    <mergeCell ref="A116:E116"/>
    <mergeCell ref="D144:D145"/>
    <mergeCell ref="A118:E118"/>
    <mergeCell ref="A166:B166"/>
    <mergeCell ref="G166:H166"/>
    <mergeCell ref="A207:B207"/>
    <mergeCell ref="A208:H208"/>
    <mergeCell ref="A214:B214"/>
    <mergeCell ref="A215:B215"/>
    <mergeCell ref="A199:H199"/>
    <mergeCell ref="A150:B150"/>
    <mergeCell ref="A204:B204"/>
    <mergeCell ref="A134:B134"/>
    <mergeCell ref="A225:H225"/>
    <mergeCell ref="L156:M156"/>
    <mergeCell ref="A157:B157"/>
    <mergeCell ref="G157:H157"/>
    <mergeCell ref="L157:M157"/>
    <mergeCell ref="A158:B158"/>
    <mergeCell ref="G158:H158"/>
    <mergeCell ref="L158:M158"/>
    <mergeCell ref="L152:M152"/>
    <mergeCell ref="A153:B153"/>
    <mergeCell ref="G153:H153"/>
    <mergeCell ref="L153:M153"/>
    <mergeCell ref="A154:B154"/>
    <mergeCell ref="G154:H154"/>
    <mergeCell ref="L154:M154"/>
    <mergeCell ref="A155:B155"/>
    <mergeCell ref="G155:H155"/>
    <mergeCell ref="L155:M155"/>
    <mergeCell ref="L167:M167"/>
    <mergeCell ref="L163:M163"/>
    <mergeCell ref="A164:B164"/>
    <mergeCell ref="G164:H164"/>
    <mergeCell ref="L164:M164"/>
    <mergeCell ref="A165:B165"/>
    <mergeCell ref="G165:H165"/>
    <mergeCell ref="L165:M165"/>
    <mergeCell ref="L159:M159"/>
    <mergeCell ref="A160:B160"/>
    <mergeCell ref="G160:H160"/>
    <mergeCell ref="L160:M160"/>
    <mergeCell ref="A161:B161"/>
    <mergeCell ref="G161:H161"/>
    <mergeCell ref="L161:M161"/>
    <mergeCell ref="A202:B202"/>
    <mergeCell ref="A203:B203"/>
    <mergeCell ref="L208:M208"/>
    <mergeCell ref="A209:B209"/>
    <mergeCell ref="A210:B210"/>
    <mergeCell ref="A146:H146"/>
    <mergeCell ref="A168:H168"/>
    <mergeCell ref="A170:B170"/>
    <mergeCell ref="G170:H170"/>
    <mergeCell ref="A171:B171"/>
    <mergeCell ref="G171:H171"/>
    <mergeCell ref="A173:B173"/>
    <mergeCell ref="G173:H173"/>
    <mergeCell ref="A174:B174"/>
    <mergeCell ref="G174:H174"/>
    <mergeCell ref="A163:B163"/>
    <mergeCell ref="G163:H163"/>
    <mergeCell ref="A156:B156"/>
    <mergeCell ref="G156:H156"/>
    <mergeCell ref="A148:B148"/>
    <mergeCell ref="A149:B149"/>
    <mergeCell ref="L166:M166"/>
    <mergeCell ref="A167:B167"/>
    <mergeCell ref="G167:H167"/>
    <mergeCell ref="L176:M176"/>
    <mergeCell ref="A172:B172"/>
    <mergeCell ref="G172:H172"/>
    <mergeCell ref="L172:M172"/>
    <mergeCell ref="A175:B175"/>
    <mergeCell ref="G175:H175"/>
    <mergeCell ref="L199:M199"/>
    <mergeCell ref="A200:B200"/>
    <mergeCell ref="A201:B201"/>
    <mergeCell ref="C186:F187"/>
    <mergeCell ref="A188:B188"/>
    <mergeCell ref="L188:M188"/>
    <mergeCell ref="A189:B189"/>
    <mergeCell ref="L189:M189"/>
    <mergeCell ref="A182:B182"/>
    <mergeCell ref="A186:B186"/>
    <mergeCell ref="L190:M190"/>
    <mergeCell ref="A177:H177"/>
    <mergeCell ref="A178:A179"/>
    <mergeCell ref="A195:B195"/>
    <mergeCell ref="A192:B192"/>
    <mergeCell ref="A193:B193"/>
    <mergeCell ref="B178:B179"/>
    <mergeCell ref="I10:L10"/>
    <mergeCell ref="C141:D141"/>
    <mergeCell ref="E141:F141"/>
    <mergeCell ref="G141:H141"/>
    <mergeCell ref="A238:B238"/>
    <mergeCell ref="A234:B234"/>
    <mergeCell ref="A237:B237"/>
    <mergeCell ref="A169:H169"/>
    <mergeCell ref="A205:B205"/>
    <mergeCell ref="A206:B206"/>
    <mergeCell ref="A180:H180"/>
    <mergeCell ref="A217:H217"/>
    <mergeCell ref="A216:B216"/>
    <mergeCell ref="A211:B211"/>
    <mergeCell ref="A212:B212"/>
    <mergeCell ref="A213:B213"/>
    <mergeCell ref="A219:B219"/>
    <mergeCell ref="L170:M170"/>
    <mergeCell ref="L171:M171"/>
    <mergeCell ref="L173:M173"/>
    <mergeCell ref="L174:M174"/>
    <mergeCell ref="L175:M175"/>
    <mergeCell ref="A176:B176"/>
    <mergeCell ref="G176:H176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71" max="16383" man="1"/>
    <brk id="271" max="16383" man="1"/>
    <brk id="278" max="16383" man="1"/>
    <brk id="320" max="16383" man="1"/>
    <brk id="356" max="16383" man="1"/>
    <brk id="39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55" t="s">
        <v>102</v>
      </c>
      <c r="C3" s="255"/>
      <c r="D3" s="255"/>
      <c r="E3" s="255"/>
      <c r="F3" s="255"/>
      <c r="G3" s="255"/>
      <c r="H3" s="255"/>
    </row>
    <row r="4" spans="1:9" x14ac:dyDescent="0.3">
      <c r="A4" s="2"/>
      <c r="B4" s="3" t="s">
        <v>103</v>
      </c>
      <c r="C4" s="3" t="s">
        <v>104</v>
      </c>
      <c r="D4" s="3" t="s">
        <v>69</v>
      </c>
      <c r="E4" s="3" t="s">
        <v>105</v>
      </c>
      <c r="F4" s="3" t="s">
        <v>111</v>
      </c>
      <c r="G4" s="3" t="s">
        <v>112</v>
      </c>
      <c r="H4" s="3" t="s">
        <v>106</v>
      </c>
    </row>
    <row r="5" spans="1:9" ht="15" customHeight="1" x14ac:dyDescent="0.3">
      <c r="A5" s="2"/>
      <c r="B5" s="5" t="s">
        <v>107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108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108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109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2025-07-13T14:40:04Z</cp:lastPrinted>
  <dcterms:created xsi:type="dcterms:W3CDTF">2019-07-16T09:29:46Z</dcterms:created>
  <dcterms:modified xsi:type="dcterms:W3CDTF">2025-07-13T14:40:04Z</dcterms:modified>
</cp:coreProperties>
</file>