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K:\VSJ Work\July 25\Axis\Dump\"/>
    </mc:Choice>
  </mc:AlternateContent>
  <xr:revisionPtr revIDLastSave="0" documentId="13_ncr:1_{CEB77223-B7A7-4531-A267-6A1F082C63F1}" xr6:coauthVersionLast="47" xr6:coauthVersionMax="47" xr10:uidLastSave="{00000000-0000-0000-0000-000000000000}"/>
  <bookViews>
    <workbookView xWindow="-108" yWindow="-108" windowWidth="23256" windowHeight="12456" xr2:uid="{00000000-000D-0000-FFFF-FFFF00000000}"/>
  </bookViews>
  <sheets>
    <sheet name="Report" sheetId="1" r:id="rId1"/>
    <sheet name="VALUATION" sheetId="5" r:id="rId2"/>
    <sheet name="Note" sheetId="4" r:id="rId3"/>
    <sheet name="Flat detail" sheetId="3" r:id="rId4"/>
  </sheets>
  <definedNames>
    <definedName name="_xlnm.Print_Area" localSheetId="0">Report!$A$1:$H$355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5" i="1" l="1"/>
  <c r="C67" i="1"/>
  <c r="C14" i="1" l="1"/>
  <c r="D214" i="1" l="1"/>
  <c r="D213" i="1"/>
  <c r="D212" i="1"/>
  <c r="D211" i="1"/>
  <c r="D210" i="1"/>
  <c r="D215" i="1"/>
  <c r="B211" i="1"/>
  <c r="B212" i="1" s="1"/>
  <c r="B213" i="1" s="1"/>
  <c r="B214" i="1" s="1"/>
  <c r="B215" i="1" s="1"/>
  <c r="A211" i="1"/>
  <c r="A212" i="1" s="1"/>
  <c r="A213" i="1" s="1"/>
  <c r="A214" i="1" s="1"/>
  <c r="A215" i="1" s="1"/>
  <c r="E3" i="1" l="1"/>
  <c r="C93" i="1"/>
  <c r="J104" i="1"/>
  <c r="J103" i="1"/>
  <c r="J102" i="1"/>
  <c r="J101" i="1"/>
  <c r="D252" i="1"/>
  <c r="F252" i="1" s="1"/>
  <c r="D251" i="1"/>
  <c r="F251" i="1" s="1"/>
  <c r="I249" i="1"/>
  <c r="G249" i="1"/>
  <c r="D249" i="1"/>
  <c r="F249" i="1" s="1"/>
  <c r="D246" i="1"/>
  <c r="F246" i="1" s="1"/>
  <c r="D247" i="1"/>
  <c r="F247" i="1" s="1"/>
  <c r="D245" i="1"/>
  <c r="F245" i="1" s="1"/>
  <c r="D244" i="1"/>
  <c r="F244" i="1" s="1"/>
  <c r="I244" i="1"/>
  <c r="G244" i="1"/>
  <c r="D141" i="1"/>
  <c r="H94" i="1"/>
  <c r="C133" i="1" l="1"/>
  <c r="D133" i="1"/>
  <c r="D100" i="1"/>
  <c r="D106" i="1"/>
  <c r="D105" i="1"/>
  <c r="D99" i="1"/>
  <c r="J99" i="1"/>
  <c r="J100" i="1" s="1"/>
  <c r="J105" i="1" s="1"/>
  <c r="J106" i="1" s="1"/>
  <c r="D104" i="1"/>
  <c r="D103" i="1"/>
  <c r="J97" i="1"/>
  <c r="D102" i="1"/>
  <c r="J96" i="1"/>
  <c r="J98" i="1"/>
  <c r="C97" i="1" s="1"/>
  <c r="D97" i="1" s="1"/>
  <c r="D101" i="1"/>
  <c r="F133" i="1"/>
  <c r="G47" i="1"/>
  <c r="D240" i="1"/>
  <c r="F240" i="1" s="1"/>
  <c r="D239" i="1"/>
  <c r="F239" i="1" s="1"/>
  <c r="D238" i="1"/>
  <c r="F238" i="1" s="1"/>
  <c r="D237" i="1"/>
  <c r="F237" i="1" s="1"/>
  <c r="D236" i="1"/>
  <c r="F236" i="1" s="1"/>
  <c r="D235" i="1"/>
  <c r="F235" i="1" s="1"/>
  <c r="D234" i="1"/>
  <c r="F234" i="1" s="1"/>
  <c r="D233" i="1"/>
  <c r="F233" i="1" s="1"/>
  <c r="D232" i="1"/>
  <c r="F232" i="1" s="1"/>
  <c r="D231" i="1"/>
  <c r="F231" i="1" s="1"/>
  <c r="G230" i="1"/>
  <c r="D230" i="1"/>
  <c r="F230" i="1" s="1"/>
  <c r="F215" i="1"/>
  <c r="F214" i="1"/>
  <c r="F213" i="1"/>
  <c r="F212" i="1"/>
  <c r="F211" i="1"/>
  <c r="F210" i="1"/>
  <c r="D228" i="1"/>
  <c r="F228" i="1" s="1"/>
  <c r="D227" i="1"/>
  <c r="F227" i="1" s="1"/>
  <c r="D226" i="1"/>
  <c r="F226" i="1" s="1"/>
  <c r="D225" i="1"/>
  <c r="F225" i="1" s="1"/>
  <c r="D224" i="1"/>
  <c r="F224" i="1" s="1"/>
  <c r="D223" i="1"/>
  <c r="F223" i="1" s="1"/>
  <c r="D222" i="1"/>
  <c r="F222" i="1" s="1"/>
  <c r="D221" i="1"/>
  <c r="F221" i="1" s="1"/>
  <c r="D220" i="1"/>
  <c r="F220" i="1" s="1"/>
  <c r="D219" i="1"/>
  <c r="F219" i="1" s="1"/>
  <c r="D218" i="1"/>
  <c r="F218" i="1" s="1"/>
  <c r="D217" i="1"/>
  <c r="F217" i="1" s="1"/>
  <c r="E97" i="1" l="1"/>
  <c r="I93" i="1" s="1"/>
  <c r="G97" i="1"/>
  <c r="D98" i="1"/>
  <c r="F132" i="1"/>
  <c r="D132" i="1"/>
  <c r="C132" i="1"/>
  <c r="J210" i="1"/>
  <c r="I210" i="1"/>
  <c r="D205" i="1" l="1"/>
  <c r="F205" i="1" s="1"/>
  <c r="D207" i="1"/>
  <c r="F207" i="1" s="1"/>
  <c r="D206" i="1"/>
  <c r="F206" i="1" s="1"/>
  <c r="D204" i="1"/>
  <c r="F204" i="1" s="1"/>
  <c r="D203" i="1"/>
  <c r="F203" i="1" s="1"/>
  <c r="D202" i="1"/>
  <c r="F202" i="1" s="1"/>
  <c r="D201" i="1"/>
  <c r="F201" i="1" s="1"/>
  <c r="D200" i="1"/>
  <c r="F200" i="1" s="1"/>
  <c r="I200" i="1" s="1"/>
  <c r="K199" i="1"/>
  <c r="G199" i="1"/>
  <c r="D199" i="1"/>
  <c r="F199" i="1" s="1"/>
  <c r="I199" i="1" s="1"/>
  <c r="D197" i="1"/>
  <c r="F197" i="1" s="1"/>
  <c r="D196" i="1"/>
  <c r="F196" i="1" s="1"/>
  <c r="D195" i="1"/>
  <c r="F195" i="1" s="1"/>
  <c r="D194" i="1"/>
  <c r="F194" i="1" s="1"/>
  <c r="D193" i="1"/>
  <c r="F193" i="1" s="1"/>
  <c r="D192" i="1"/>
  <c r="F192" i="1" s="1"/>
  <c r="D191" i="1"/>
  <c r="F191" i="1" s="1"/>
  <c r="D190" i="1"/>
  <c r="F190" i="1" s="1"/>
  <c r="D189" i="1"/>
  <c r="F189" i="1" s="1"/>
  <c r="I189" i="1" s="1"/>
  <c r="K188" i="1"/>
  <c r="G188" i="1"/>
  <c r="D188" i="1"/>
  <c r="F188" i="1" s="1"/>
  <c r="I188" i="1" s="1"/>
  <c r="E174" i="1"/>
  <c r="D174" i="1"/>
  <c r="D173" i="1"/>
  <c r="E173" i="1"/>
  <c r="E171" i="1"/>
  <c r="D171" i="1"/>
  <c r="D175" i="1"/>
  <c r="F175" i="1" s="1"/>
  <c r="D172" i="1"/>
  <c r="F172" i="1" s="1"/>
  <c r="D170" i="1"/>
  <c r="F170" i="1" s="1"/>
  <c r="D169" i="1"/>
  <c r="F169" i="1" s="1"/>
  <c r="D168" i="1"/>
  <c r="F168" i="1" s="1"/>
  <c r="D167" i="1"/>
  <c r="F167" i="1" s="1"/>
  <c r="J167" i="1" s="1"/>
  <c r="K166" i="1"/>
  <c r="G166" i="1"/>
  <c r="D166" i="1"/>
  <c r="F166" i="1" s="1"/>
  <c r="I166" i="1" s="1"/>
  <c r="D186" i="1"/>
  <c r="F186" i="1" s="1"/>
  <c r="D183" i="1"/>
  <c r="F183" i="1" s="1"/>
  <c r="D184" i="1"/>
  <c r="F184" i="1" s="1"/>
  <c r="D185" i="1"/>
  <c r="F185" i="1" s="1"/>
  <c r="D182" i="1"/>
  <c r="F182" i="1" s="1"/>
  <c r="D181" i="1"/>
  <c r="F181" i="1" s="1"/>
  <c r="D180" i="1"/>
  <c r="F180" i="1" s="1"/>
  <c r="D179" i="1"/>
  <c r="F179" i="1" s="1"/>
  <c r="D178" i="1"/>
  <c r="F178" i="1" s="1"/>
  <c r="D177" i="1"/>
  <c r="F177" i="1" s="1"/>
  <c r="D164" i="1"/>
  <c r="F164" i="1" s="1"/>
  <c r="D163" i="1"/>
  <c r="F163" i="1" s="1"/>
  <c r="D162" i="1"/>
  <c r="F162" i="1" s="1"/>
  <c r="D161" i="1"/>
  <c r="K177" i="1"/>
  <c r="G158" i="1"/>
  <c r="D159" i="1"/>
  <c r="F159" i="1" s="1"/>
  <c r="D158" i="1"/>
  <c r="D160" i="1"/>
  <c r="F160" i="1" s="1"/>
  <c r="D156" i="1"/>
  <c r="D155" i="1"/>
  <c r="D154" i="1"/>
  <c r="D153" i="1"/>
  <c r="D152" i="1"/>
  <c r="D151" i="1"/>
  <c r="D150" i="1"/>
  <c r="D149" i="1"/>
  <c r="D148" i="1"/>
  <c r="D147" i="1"/>
  <c r="D146" i="1"/>
  <c r="D145" i="1"/>
  <c r="D144" i="1"/>
  <c r="D143" i="1"/>
  <c r="D142" i="1"/>
  <c r="I141" i="1"/>
  <c r="I155" i="1"/>
  <c r="J156" i="1"/>
  <c r="I156" i="1"/>
  <c r="F173" i="1" l="1"/>
  <c r="F171" i="1"/>
  <c r="I171" i="1" s="1"/>
  <c r="J189" i="1"/>
  <c r="J200" i="1"/>
  <c r="F174" i="1"/>
  <c r="I174" i="1"/>
  <c r="I167" i="1"/>
  <c r="D126" i="1"/>
  <c r="C126" i="1"/>
  <c r="F158" i="1"/>
  <c r="F127" i="1" s="1"/>
  <c r="D127" i="1"/>
  <c r="C127" i="1"/>
  <c r="F161" i="1"/>
  <c r="F131" i="1" s="1"/>
  <c r="F134" i="1" s="1"/>
  <c r="D131" i="1"/>
  <c r="D134" i="1" s="1"/>
  <c r="C131" i="1"/>
  <c r="C134" i="1" s="1"/>
  <c r="J90" i="1"/>
  <c r="J89" i="1"/>
  <c r="J88" i="1"/>
  <c r="J87" i="1"/>
  <c r="J76" i="1"/>
  <c r="J75" i="1"/>
  <c r="J74" i="1"/>
  <c r="J73" i="1"/>
  <c r="H80" i="1"/>
  <c r="H66" i="1"/>
  <c r="C128" i="1" l="1"/>
  <c r="C135" i="1" s="1"/>
  <c r="D128" i="1"/>
  <c r="D135" i="1" s="1"/>
  <c r="J85" i="1"/>
  <c r="J86" i="1" s="1"/>
  <c r="J91" i="1" s="1"/>
  <c r="J92" i="1" s="1"/>
  <c r="C84" i="1" s="1"/>
  <c r="D85" i="1"/>
  <c r="J83" i="1"/>
  <c r="D92" i="1"/>
  <c r="D91" i="1"/>
  <c r="D90" i="1"/>
  <c r="D89" i="1"/>
  <c r="D88" i="1"/>
  <c r="D87" i="1"/>
  <c r="D86" i="1"/>
  <c r="J84" i="1"/>
  <c r="J82" i="1"/>
  <c r="J71" i="1"/>
  <c r="J72" i="1" s="1"/>
  <c r="J77" i="1" s="1"/>
  <c r="J78" i="1" s="1"/>
  <c r="D71" i="1"/>
  <c r="J69" i="1"/>
  <c r="D78" i="1"/>
  <c r="D77" i="1"/>
  <c r="D76" i="1"/>
  <c r="D75" i="1"/>
  <c r="D74" i="1"/>
  <c r="D73" i="1"/>
  <c r="D72" i="1"/>
  <c r="J70" i="1"/>
  <c r="J68" i="1"/>
  <c r="E83" i="1" l="1"/>
  <c r="I79" i="1" s="1"/>
  <c r="D84" i="1"/>
  <c r="G83" i="1"/>
  <c r="D83" i="1"/>
  <c r="E69" i="1"/>
  <c r="D70" i="1"/>
  <c r="G69" i="1"/>
  <c r="D69" i="1"/>
  <c r="C81" i="1" l="1"/>
  <c r="I65" i="1"/>
  <c r="J178" i="1" l="1"/>
  <c r="F6" i="5" l="1"/>
  <c r="G6" i="5" s="1"/>
  <c r="F7" i="5"/>
  <c r="G7" i="5" s="1"/>
  <c r="F8" i="5"/>
  <c r="G8" i="5" s="1"/>
  <c r="G9" i="5"/>
  <c r="G10" i="5"/>
  <c r="F11" i="5"/>
  <c r="F5" i="5"/>
  <c r="G5" i="5" s="1"/>
  <c r="G11" i="5" l="1"/>
  <c r="G177" i="1"/>
  <c r="I177" i="1" l="1"/>
  <c r="I178" i="1"/>
  <c r="E38" i="3" l="1"/>
  <c r="G217" i="1"/>
  <c r="F156" i="1" l="1"/>
  <c r="F155" i="1"/>
  <c r="F154" i="1"/>
  <c r="F153" i="1"/>
  <c r="F152" i="1"/>
  <c r="F151" i="1"/>
  <c r="F150" i="1"/>
  <c r="F149" i="1"/>
  <c r="F148" i="1"/>
  <c r="F147" i="1"/>
  <c r="F146" i="1"/>
  <c r="F145" i="1"/>
  <c r="F144" i="1"/>
  <c r="F143" i="1"/>
  <c r="F142" i="1"/>
  <c r="F141" i="1"/>
  <c r="F126" i="1" l="1"/>
  <c r="F128" i="1" s="1"/>
  <c r="F135" i="1" s="1"/>
  <c r="E7" i="1" l="1"/>
  <c r="E41" i="1" l="1"/>
  <c r="D267" i="1" l="1"/>
  <c r="F123" i="1"/>
  <c r="C47" i="1"/>
  <c r="E42" i="1"/>
  <c r="D55"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<sst xmlns="http://schemas.openxmlformats.org/spreadsheetml/2006/main" count="558" uniqueCount="318">
  <si>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</si>
  <si>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</si>
  <si>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</si>
  <si>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</si>
  <si>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</si>
  <si>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</si>
  <si>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</si>
  <si>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</si>
  <si>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</si>
  <si>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</si>
  <si>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</si>
  <si>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</si>
  <si>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</si>
  <si>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</si>
  <si>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</si>
  <si>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</si>
  <si>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</si>
  <si>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</si>
  <si>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</si>
  <si>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</si>
  <si>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</si>
  <si>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</si>
  <si>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</si>
  <si>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</si>
  <si>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</si>
  <si>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</si>
  <si>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</si>
  <si>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</si>
  <si>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</si>
  <si>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</si>
  <si>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</si>
  <si>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</si>
  <si>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</si>
  <si>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</si>
  <si>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</si>
  <si>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</si>
  <si>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</si>
  <si>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</si>
  <si>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</si>
  <si>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</si>
  <si>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</si>
  <si>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</si>
  <si>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</si>
  <si>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</si>
  <si>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</si>
  <si>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</si>
  <si>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</si>
  <si>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</si>
  <si>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</si>
  <si>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</si>
  <si>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</si>
  <si>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</si>
  <si>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</si>
  <si>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</si>
  <si>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</si>
  <si>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</si>
  <si>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</si>
  <si>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</si>
  <si>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</si>
  <si>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</si>
  <si>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</si>
  <si>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</si>
  <si>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</si>
  <si>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</si>
  <si>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</si>
  <si>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</si>
  <si>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</si>
  <si>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</si>
  <si>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</si>
  <si>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</si>
  <si>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</si>
  <si>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</si>
  <si>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</si>
  <si>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</si>
  <si>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</si>
  <si>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</si>
  <si>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</si>
  <si>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</si>
  <si>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</si>
  <si>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</si>
  <si>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</si>
  <si>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</si>
  <si>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</si>
  <si>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</si>
  <si>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</si>
  <si>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</si>
  <si>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</si>
  <si>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</si>
  <si>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</si>
  <si>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</si>
  <si>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</si>
  <si>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</si>
  <si>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</si>
  <si>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</si>
  <si>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</si>
  <si>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</si>
  <si>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</si>
  <si>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</si>
  <si>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</si>
  <si>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</si>
  <si>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</si>
  <si>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</si>
  <si>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</si>
  <si>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</si>
  <si>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</si>
  <si>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</si>
  <si>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</si>
  <si>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</si>
  <si>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</si>
  <si>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</si>
  <si>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</si>
  <si>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</si>
  <si>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</si>
  <si>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</si>
  <si>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</si>
  <si>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Residential + Commercial</t>
  </si>
  <si>
    <t>Sudhir Bhosale</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</si>
  <si>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</si>
  <si>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</si>
  <si>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</si>
  <si>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</si>
  <si>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</si>
  <si>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</si>
  <si>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</si>
  <si>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</si>
  <si>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</si>
  <si>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</si>
  <si>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</si>
  <si>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</si>
  <si>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</si>
  <si>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</si>
  <si>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</si>
  <si>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</si>
  <si>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</si>
  <si>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</si>
  <si>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</si>
  <si>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</si>
  <si>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</si>
  <si>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</si>
  <si>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</si>
  <si>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</si>
  <si>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</si>
  <si>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</si>
  <si>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</si>
  <si>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</si>
  <si>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</si>
  <si>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Axis Sanpada</t>
  </si>
  <si>
    <t>Shree Ganesh Symphony</t>
  </si>
  <si>
    <t>172, H.No.1/8</t>
  </si>
  <si>
    <t>Badlapur</t>
  </si>
  <si>
    <t>Thane</t>
  </si>
  <si>
    <t>Ambarnath</t>
  </si>
  <si>
    <t>Survey No</t>
  </si>
  <si>
    <t>6.9Km from Badlapur Railway Station</t>
  </si>
  <si>
    <t>D.P Road</t>
  </si>
  <si>
    <t>Shishu Vihar Vidya Mandir (Prathamik Vibhag)</t>
  </si>
  <si>
    <t>Middle Class</t>
  </si>
  <si>
    <t>Developing</t>
  </si>
  <si>
    <t>Open Plot</t>
  </si>
  <si>
    <t>Buidling</t>
  </si>
  <si>
    <t>A wing</t>
  </si>
  <si>
    <t>Ground Floor For Parking &amp; Commercial</t>
  </si>
  <si>
    <t>01</t>
  </si>
  <si>
    <t>02</t>
  </si>
  <si>
    <t>03</t>
  </si>
  <si>
    <t>04</t>
  </si>
  <si>
    <t>05</t>
  </si>
  <si>
    <t>06</t>
  </si>
  <si>
    <t>07</t>
  </si>
  <si>
    <t>08</t>
  </si>
  <si>
    <t>09</t>
  </si>
  <si>
    <t>10</t>
  </si>
  <si>
    <t>11</t>
  </si>
  <si>
    <t>12</t>
  </si>
  <si>
    <t>13</t>
  </si>
  <si>
    <t>14</t>
  </si>
  <si>
    <t>15</t>
  </si>
  <si>
    <t>16</t>
  </si>
  <si>
    <t>Shop</t>
  </si>
  <si>
    <t>Ground Floor</t>
  </si>
  <si>
    <t>B wing</t>
  </si>
  <si>
    <t>1BHK</t>
  </si>
  <si>
    <t>1RK</t>
  </si>
  <si>
    <t>2BHK</t>
  </si>
  <si>
    <t>Balcony</t>
  </si>
  <si>
    <t>A wing - Shop</t>
  </si>
  <si>
    <t>08/09/2020.</t>
  </si>
  <si>
    <t>Pratiksha</t>
  </si>
  <si>
    <t>Legal Charges</t>
  </si>
  <si>
    <t>Recommended rate of the Shop Per Sq. Ft. ( on Saleable area)</t>
  </si>
  <si>
    <t>A wing - Commercial
(Office)</t>
  </si>
  <si>
    <t>Report by :</t>
  </si>
  <si>
    <t>Market Research Data</t>
  </si>
  <si>
    <t>Source</t>
  </si>
  <si>
    <t>Distance from proposed property</t>
  </si>
  <si>
    <t>Net Carpet</t>
  </si>
  <si>
    <t>Saleable Area</t>
  </si>
  <si>
    <t>Rate on Saleable</t>
  </si>
  <si>
    <t>Market Value</t>
  </si>
  <si>
    <t>magicbricks</t>
  </si>
  <si>
    <t>99Acers</t>
  </si>
  <si>
    <t>Average</t>
  </si>
  <si>
    <t xml:space="preserve">Valuation Adopted </t>
  </si>
  <si>
    <t>Trinity Galaxy</t>
  </si>
  <si>
    <t>Motiram Pleasure</t>
  </si>
  <si>
    <t>13/03/2021</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</si>
  <si>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</si>
  <si>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</si>
  <si>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</si>
  <si>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</si>
  <si>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</si>
  <si>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</si>
  <si>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</si>
  <si>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</si>
  <si>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</si>
  <si>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</si>
  <si>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</si>
  <si>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</si>
  <si>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</si>
  <si>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</si>
  <si>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</si>
  <si>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</si>
  <si>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</si>
  <si>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</si>
  <si>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10,000/-</t>
  </si>
  <si>
    <t>B wing = Gr + 1st to 8th Floor</t>
  </si>
  <si>
    <t>KBNP/NRV/B.P./1433/2021-2022 Unique No.203</t>
  </si>
  <si>
    <t>A wing = Gr + 1st to 12th Floor</t>
  </si>
  <si>
    <t>1st Floor For Commercial &amp; Residential</t>
  </si>
  <si>
    <t>Office</t>
  </si>
  <si>
    <t>2nd Floor for Residential</t>
  </si>
  <si>
    <t>4th, 6th, 10th &amp; 12th Floor for Residential</t>
  </si>
  <si>
    <t>401,….,1201</t>
  </si>
  <si>
    <t>402,….,1202</t>
  </si>
  <si>
    <t>403,….,1203</t>
  </si>
  <si>
    <t>404,….,1204</t>
  </si>
  <si>
    <t>405,….,1205</t>
  </si>
  <si>
    <t>406,….,1206</t>
  </si>
  <si>
    <t>407,….,1207</t>
  </si>
  <si>
    <t>408,….,1208</t>
  </si>
  <si>
    <t>409,….,1209</t>
  </si>
  <si>
    <t>410,….,1210</t>
  </si>
  <si>
    <t>3rd, 5th, 7th, 9th &amp; 11th Floor</t>
  </si>
  <si>
    <t>301,….,1101</t>
  </si>
  <si>
    <t>302,….,1102</t>
  </si>
  <si>
    <t>303,….,1103</t>
  </si>
  <si>
    <t>304,….,1104</t>
  </si>
  <si>
    <t>305,….,1105</t>
  </si>
  <si>
    <t>306,….,1106</t>
  </si>
  <si>
    <t>307,….,1107</t>
  </si>
  <si>
    <t>308,….,1108</t>
  </si>
  <si>
    <t>309,….,1109</t>
  </si>
  <si>
    <t>310,….,1110</t>
  </si>
  <si>
    <t>8th Floor(Part Refuge Area)</t>
  </si>
  <si>
    <t>Ground Floor For Parking + Residential + Amenities</t>
  </si>
  <si>
    <t xml:space="preserve">1st to 7th Floor </t>
  </si>
  <si>
    <t>101 to 701</t>
  </si>
  <si>
    <t>102 to 702</t>
  </si>
  <si>
    <t>103 to 703</t>
  </si>
  <si>
    <t>104 to 704</t>
  </si>
  <si>
    <t>105 to 705</t>
  </si>
  <si>
    <t>106 to 706</t>
  </si>
  <si>
    <t>107 to 707</t>
  </si>
  <si>
    <t>108 to 708</t>
  </si>
  <si>
    <t>109 to 709</t>
  </si>
  <si>
    <t>110 to 710</t>
  </si>
  <si>
    <t>111 to 711</t>
  </si>
  <si>
    <t>112 to 712</t>
  </si>
  <si>
    <t>KBNP/NRV/BD/1433-203</t>
  </si>
  <si>
    <t>Valid Up to: A wing = G + 1st to 12th Floor
B wing  = G + 1st to 8th Floor</t>
  </si>
  <si>
    <t>3,00,000/-</t>
  </si>
  <si>
    <t>MSEB charges and Water connection</t>
  </si>
  <si>
    <t>1,75,000/-</t>
  </si>
  <si>
    <t>KBNP/NRV/BD/466-145</t>
  </si>
  <si>
    <t>KBNP/NRV/B.P./466/2022-2023 Unique No.145</t>
  </si>
  <si>
    <t>Valid Up to: C wing = G + 1st to 4th (Pt) Floor</t>
  </si>
  <si>
    <t>A wing = G + 1st to 12th Floor
B wing  = G + 1st to 8th Floor
C wing  = G + 1st to 4th (Pt) Floor</t>
  </si>
  <si>
    <t>Approved Plans, CC, Cost Sheet</t>
  </si>
  <si>
    <t>Saleable area</t>
  </si>
  <si>
    <t>C wing</t>
  </si>
  <si>
    <t>Ground Floor For Parking + Entrance Lobby</t>
  </si>
  <si>
    <t xml:space="preserve">1st to 3rd Floor </t>
  </si>
  <si>
    <t>101 to 301</t>
  </si>
  <si>
    <t>102 to 302</t>
  </si>
  <si>
    <t>103 to 303</t>
  </si>
  <si>
    <t>104 to 304</t>
  </si>
  <si>
    <t>4th Floor (Part Terrace Area)</t>
  </si>
  <si>
    <t>-</t>
  </si>
  <si>
    <t>Terrace Area</t>
  </si>
  <si>
    <t>Flats - 229, Shops - 16, Commercial Spaces - 03</t>
  </si>
  <si>
    <t>C wing  = G + 1st to 4th (Pt) Floor</t>
  </si>
  <si>
    <t>A, B &amp; C wing</t>
  </si>
  <si>
    <t>3 Wings</t>
  </si>
  <si>
    <t>Location Link</t>
  </si>
  <si>
    <t>https://goo.gl/maps/R2tYjDtnZgjssRgX7</t>
  </si>
  <si>
    <t>Grand Total</t>
  </si>
  <si>
    <t>Office No. 1031, Wing J, Akshar Business Park, Plot No. 03 Sector 25, Near APMC Market, 
Vashi, Navi Mumbai, Maharashtra 400703 TEL: 022-46090378/79/8
E mail : vsjcapf@gmail.com. Web site : www.vsjadon.com</t>
  </si>
  <si>
    <t>Contact Details ( Name &amp; Contact No.)</t>
  </si>
  <si>
    <t>Site Meet Person Contact Details ( Name &amp; Contact No.)</t>
  </si>
  <si>
    <t>Flat/Shop No.
Approved Plan</t>
  </si>
  <si>
    <t>Flat/Shop No.
Builder Sale Plan</t>
  </si>
  <si>
    <t xml:space="preserve">Approved Floor plan No. A Wing   </t>
  </si>
  <si>
    <t xml:space="preserve">Approved Floor plan No. B &amp; C Wing   </t>
  </si>
  <si>
    <t>2L to 3L</t>
  </si>
  <si>
    <t>car parking</t>
  </si>
  <si>
    <t>rushikesh</t>
  </si>
  <si>
    <t>verbal</t>
  </si>
  <si>
    <t>Latitude,Longitude</t>
  </si>
  <si>
    <t>19.1601473,73.2640315</t>
  </si>
  <si>
    <t>Wing A &amp; B = P51700025109
Wing C = P51700050772</t>
  </si>
  <si>
    <t>M/s. Pawar Group</t>
  </si>
  <si>
    <t>KBMC/TPD/2024-25/0639
Approved upto : Wing A = Gr/St + 1st to 12th Floor
Wing C = Gr/St + 1st to 4th Floor</t>
  </si>
  <si>
    <r>
      <t xml:space="preserve">1.  Wing A &amp; C = All work completed. OC recievd.
    Wing B = All work completed. Provide OC. 
2. We considered Saleable area as per our calculation.
3. We considered Carpet area as per Approved Plan.
4. We considered Gross carpet area = Net carpet + Enclose balcony + C.B Area.
5. We have considered rate by verifying it from market inquire.
6. Car parking is subjected to authentic documentation.
7. Recommended rate should be considered as all inclusive rate if other charges are not mentioned. (Excluding GST &amp; other government Taxes).
8. We have updated latest revised approved floor plans &amp; CC of Wing A &amp; B (on 20/05/2022).
9. We have updated latest revised approved floor plans &amp; CC of Wing C (on 11/01/2023).
10. Car Parking Charges of the Property have been revised on 29/11/2023.
11. We have updated OC for wing A &amp; C (On 11/04/2025).
11. </t>
    </r>
    <r>
      <rPr>
        <b/>
        <sz val="12"/>
        <color rgb="FFFF0000"/>
        <rFont val="Times New Roman"/>
        <family val="1"/>
      </rPr>
      <t>As per RERA, completion period of project Shree Ganesh Symphony (Wing C) is expired on 31/12/2024 but still project is under construction.</t>
    </r>
    <r>
      <rPr>
        <b/>
        <sz val="12"/>
        <rFont val="Times New Roman"/>
        <family val="1"/>
      </rPr>
      <t xml:space="preserve">
7. On Site, we meet Mr.Pratiksha(Sales) - 8855015853.</t>
    </r>
  </si>
  <si>
    <t>Kunal Kadam</t>
  </si>
  <si>
    <t>As per RERA - Wing A &amp; B = Completed
                          Wing C = Completed</t>
  </si>
  <si>
    <t>60 Years</t>
  </si>
  <si>
    <t>Nothing</t>
  </si>
  <si>
    <t>Wheather the construction is as per approved Building plan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</si>
</sst>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8"/>
      <name val="Calibri"/>
      <family val="2"/>
    </font>
    <font>
      <sz val="11"/>
      <color rgb="FFFF0000"/>
      <name val="Calibri"/>
      <family val="2"/>
      <scheme val="minor"/>
    </font>
    <font>
      <u/>
      <sz val="11"/>
      <color theme="10"/>
      <name val="Calibri"/>
      <family val="2"/>
    </font>
    <font>
      <sz val="11"/>
      <name val="Calibri"/>
      <family val="2"/>
    </font>
    <font>
      <sz val="11"/>
      <color rgb="FFFF000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3" fillId="0" borderId="0"/>
    <xf numFmtId="0" fontId="5" fillId="0" borderId="0"/>
    <xf numFmtId="0" fontId="2" fillId="0" borderId="0"/>
    <xf numFmtId="0" fontId="5" fillId="0" borderId="0"/>
    <xf numFmtId="0" fontId="1" fillId="0" borderId="0"/>
    <xf numFmtId="0" fontId="20" fillId="0" borderId="0" applyNumberFormat="0" applyFill="0" applyBorder="0" applyAlignment="0" applyProtection="0"/>
    <xf numFmtId="164" fontId="5" fillId="0" borderId="0" applyFont="0" applyFill="0" applyBorder="0" applyAlignment="0" applyProtection="0"/>
  </cellStyleXfs>
  <cellXfs count="233">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7" fillId="0" borderId="0" xfId="1" applyFont="1"/>
    <xf numFmtId="0" fontId="6" fillId="0" borderId="0" xfId="2" applyFont="1"/>
    <xf numFmtId="0" fontId="7" fillId="0" borderId="0" xfId="0" applyFont="1"/>
    <xf numFmtId="0" fontId="12" fillId="0" borderId="0" xfId="1" applyFont="1"/>
    <xf numFmtId="0" fontId="15" fillId="0" borderId="0" xfId="1" applyFont="1"/>
    <xf numFmtId="0" fontId="16" fillId="0" borderId="0" xfId="1" applyFont="1"/>
    <xf numFmtId="0" fontId="6" fillId="2" borderId="4" xfId="1" applyFont="1" applyFill="1" applyBorder="1" applyAlignment="1" applyProtection="1">
      <alignment horizontal="left" vertical="top"/>
      <protection locked="0"/>
    </xf>
    <xf numFmtId="0" fontId="12" fillId="0" borderId="4" xfId="1" applyFont="1" applyBorder="1" applyAlignment="1" applyProtection="1">
      <alignment horizontal="center" vertical="top"/>
      <protection locked="0"/>
    </xf>
    <xf numFmtId="0" fontId="10" fillId="0" borderId="4" xfId="0" applyFont="1" applyBorder="1" applyAlignment="1" applyProtection="1">
      <alignment horizontal="center" vertical="center"/>
      <protection locked="0"/>
    </xf>
    <xf numFmtId="1" fontId="7" fillId="0" borderId="4" xfId="0" applyNumberFormat="1" applyFont="1" applyBorder="1" applyAlignment="1" applyProtection="1">
      <alignment horizontal="center" vertical="center"/>
      <protection locked="0"/>
    </xf>
    <xf numFmtId="1" fontId="8" fillId="0" borderId="4" xfId="1" applyNumberFormat="1" applyFont="1" applyBorder="1" applyAlignment="1" applyProtection="1">
      <alignment horizontal="center" vertical="top" wrapText="1"/>
      <protection locked="0"/>
    </xf>
    <xf numFmtId="1" fontId="4" fillId="0" borderId="4" xfId="1" applyNumberFormat="1" applyFont="1" applyBorder="1" applyAlignment="1" applyProtection="1">
      <alignment horizontal="center" vertical="top"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0" xfId="1" applyFont="1" applyProtection="1">
      <protection hidden="1"/>
    </xf>
    <xf numFmtId="0" fontId="17" fillId="0" borderId="0" xfId="0" applyFont="1" applyProtection="1">
      <protection hidden="1"/>
    </xf>
    <xf numFmtId="9" fontId="17" fillId="0" borderId="0" xfId="0" applyNumberFormat="1" applyFont="1" applyProtection="1">
      <protection hidden="1"/>
    </xf>
    <xf numFmtId="1" fontId="6" fillId="0" borderId="1" xfId="1" applyNumberFormat="1" applyFont="1" applyBorder="1" applyAlignment="1" applyProtection="1">
      <alignment horizontal="center" vertical="center" wrapText="1"/>
      <protection locked="0"/>
    </xf>
    <xf numFmtId="1" fontId="6" fillId="0" borderId="4"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4" xfId="1" applyFont="1" applyBorder="1" applyAlignment="1" applyProtection="1">
      <alignment horizontal="center" wrapText="1"/>
      <protection locked="0"/>
    </xf>
    <xf numFmtId="1" fontId="12" fillId="0" borderId="4" xfId="1" applyNumberFormat="1" applyFont="1" applyBorder="1" applyAlignment="1" applyProtection="1">
      <alignment horizontal="center" wrapText="1"/>
      <protection locked="0"/>
    </xf>
    <xf numFmtId="2" fontId="7" fillId="0" borderId="0" xfId="1" applyNumberFormat="1" applyFont="1" applyAlignment="1">
      <alignment horizontal="center" vertical="center"/>
    </xf>
    <xf numFmtId="0" fontId="5" fillId="0" borderId="0" xfId="4"/>
    <xf numFmtId="0" fontId="1" fillId="0" borderId="0" xfId="5"/>
    <xf numFmtId="0" fontId="9" fillId="0" borderId="4" xfId="5" applyFont="1" applyBorder="1" applyAlignment="1">
      <alignment horizontal="left"/>
    </xf>
    <xf numFmtId="0" fontId="9" fillId="0" borderId="4" xfId="5" applyFont="1" applyBorder="1" applyAlignment="1">
      <alignment horizontal="center" vertical="top" wrapText="1"/>
    </xf>
    <xf numFmtId="0" fontId="21" fillId="0" borderId="4" xfId="6" applyFont="1" applyBorder="1" applyAlignment="1">
      <alignment horizontal="center" vertical="top" wrapText="1"/>
    </xf>
    <xf numFmtId="0" fontId="1" fillId="0" borderId="4" xfId="5" applyBorder="1" applyAlignment="1">
      <alignment horizontal="left" vertical="center"/>
    </xf>
    <xf numFmtId="0" fontId="1" fillId="0" borderId="4" xfId="5" applyBorder="1" applyAlignment="1">
      <alignment horizontal="center" vertical="center"/>
    </xf>
    <xf numFmtId="1" fontId="1" fillId="0" borderId="4" xfId="5" applyNumberFormat="1" applyBorder="1" applyAlignment="1">
      <alignment horizontal="center" vertical="center"/>
    </xf>
    <xf numFmtId="166" fontId="1" fillId="0" borderId="4" xfId="7" applyNumberFormat="1" applyFont="1" applyBorder="1" applyAlignment="1">
      <alignment horizontal="right" vertical="center"/>
    </xf>
    <xf numFmtId="43" fontId="5" fillId="0" borderId="0" xfId="4" applyNumberFormat="1"/>
    <xf numFmtId="0" fontId="9" fillId="0" borderId="4" xfId="5" applyFont="1" applyBorder="1" applyAlignment="1">
      <alignment horizontal="center" vertical="center"/>
    </xf>
    <xf numFmtId="1" fontId="19" fillId="0" borderId="4" xfId="5" applyNumberFormat="1" applyFont="1" applyBorder="1" applyAlignment="1">
      <alignment horizontal="center" vertical="center"/>
    </xf>
    <xf numFmtId="0" fontId="5" fillId="0" borderId="4" xfId="4" applyBorder="1" applyAlignment="1">
      <alignment horizontal="center" vertical="center"/>
    </xf>
    <xf numFmtId="0" fontId="22" fillId="0" borderId="0" xfId="4" applyFont="1"/>
    <xf numFmtId="1" fontId="5" fillId="0" borderId="0" xfId="4" applyNumberFormat="1"/>
    <xf numFmtId="0" fontId="5" fillId="0" borderId="0" xfId="4" applyAlignment="1">
      <alignment wrapText="1"/>
    </xf>
    <xf numFmtId="9" fontId="12" fillId="2" borderId="4" xfId="1" applyNumberFormat="1" applyFont="1" applyFill="1" applyBorder="1" applyAlignment="1" applyProtection="1">
      <alignment horizontal="center" vertical="center" wrapText="1"/>
      <protection hidden="1"/>
    </xf>
    <xf numFmtId="0" fontId="7" fillId="0" borderId="18" xfId="1" applyFont="1" applyBorder="1" applyProtection="1">
      <protection hidden="1"/>
    </xf>
    <xf numFmtId="0" fontId="7" fillId="0" borderId="19" xfId="1" applyFont="1" applyBorder="1" applyProtection="1">
      <protection hidden="1"/>
    </xf>
    <xf numFmtId="0" fontId="12" fillId="0" borderId="20"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7" fillId="0" borderId="22" xfId="1" applyFont="1" applyBorder="1" applyProtection="1">
      <protection hidden="1"/>
    </xf>
    <xf numFmtId="0" fontId="7" fillId="0" borderId="22" xfId="1" applyFont="1" applyBorder="1"/>
    <xf numFmtId="0" fontId="17" fillId="0" borderId="22" xfId="0" applyFont="1" applyBorder="1" applyProtection="1">
      <protection hidden="1"/>
    </xf>
    <xf numFmtId="1" fontId="0" fillId="0" borderId="22" xfId="0" applyNumberFormat="1" applyBorder="1"/>
    <xf numFmtId="1" fontId="0" fillId="0" borderId="22" xfId="0" applyNumberFormat="1" applyBorder="1" applyAlignment="1">
      <alignment horizontal="right"/>
    </xf>
    <xf numFmtId="0" fontId="17" fillId="0" borderId="26" xfId="0" applyFont="1" applyBorder="1" applyProtection="1">
      <protection hidden="1"/>
    </xf>
    <xf numFmtId="1" fontId="0" fillId="0" borderId="27" xfId="0" applyNumberFormat="1" applyBorder="1"/>
    <xf numFmtId="0" fontId="12" fillId="0" borderId="24" xfId="1" applyFont="1" applyBorder="1" applyAlignment="1" applyProtection="1">
      <alignment horizontal="center" wrapText="1"/>
      <protection locked="0"/>
    </xf>
    <xf numFmtId="9" fontId="12" fillId="2" borderId="24" xfId="1" applyNumberFormat="1" applyFont="1" applyFill="1" applyBorder="1" applyAlignment="1" applyProtection="1">
      <alignment horizontal="center" vertical="center" wrapText="1"/>
      <protection hidden="1"/>
    </xf>
    <xf numFmtId="0" fontId="12" fillId="2" borderId="4" xfId="1" applyFont="1" applyFill="1" applyBorder="1" applyAlignment="1" applyProtection="1">
      <alignment vertical="top"/>
      <protection locked="0"/>
    </xf>
    <xf numFmtId="1" fontId="10" fillId="0" borderId="4" xfId="0" applyNumberFormat="1" applyFont="1" applyBorder="1" applyAlignment="1" applyProtection="1">
      <alignment horizontal="center" vertical="center"/>
      <protection locked="0"/>
    </xf>
    <xf numFmtId="0" fontId="14" fillId="0" borderId="4" xfId="1" applyFont="1" applyBorder="1" applyAlignment="1" applyProtection="1">
      <alignment horizontal="center" vertical="top" wrapText="1"/>
      <protection locked="0"/>
    </xf>
    <xf numFmtId="1" fontId="6" fillId="0" borderId="4" xfId="1" quotePrefix="1" applyNumberFormat="1" applyFont="1" applyBorder="1" applyAlignment="1" applyProtection="1">
      <alignment horizontal="center" vertical="center" wrapText="1"/>
      <protection locked="0"/>
    </xf>
    <xf numFmtId="1" fontId="8" fillId="0" borderId="4" xfId="1" applyNumberFormat="1" applyFont="1" applyBorder="1" applyAlignment="1" applyProtection="1">
      <alignment horizontal="center" vertical="center" wrapText="1"/>
      <protection locked="0"/>
    </xf>
    <xf numFmtId="0" fontId="8" fillId="2" borderId="4" xfId="1" applyFont="1" applyFill="1" applyBorder="1" applyAlignment="1" applyProtection="1">
      <alignment horizontal="left" vertical="top"/>
      <protection locked="0"/>
    </xf>
    <xf numFmtId="1" fontId="6" fillId="0" borderId="4"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11" xfId="1" applyNumberFormat="1" applyFont="1" applyBorder="1" applyAlignment="1" applyProtection="1">
      <alignment horizontal="center" vertical="center" wrapText="1"/>
      <protection locked="0"/>
    </xf>
    <xf numFmtId="1" fontId="6" fillId="0" borderId="12"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6" fillId="0" borderId="1" xfId="1" quotePrefix="1" applyNumberFormat="1" applyFont="1" applyBorder="1" applyAlignment="1" applyProtection="1">
      <alignment horizontal="center" vertical="center" wrapText="1"/>
      <protection locked="0"/>
    </xf>
    <xf numFmtId="1" fontId="7" fillId="0" borderId="4" xfId="0" applyNumberFormat="1" applyFont="1" applyBorder="1" applyAlignment="1" applyProtection="1">
      <alignment horizontal="center" vertical="top" wrapText="1"/>
      <protection locked="0"/>
    </xf>
    <xf numFmtId="0" fontId="12" fillId="2" borderId="1" xfId="1" applyFont="1" applyFill="1" applyBorder="1" applyAlignment="1" applyProtection="1">
      <alignment horizontal="left" vertical="top"/>
      <protection locked="0"/>
    </xf>
    <xf numFmtId="0" fontId="12" fillId="2" borderId="2" xfId="1" applyFont="1" applyFill="1" applyBorder="1" applyAlignment="1" applyProtection="1">
      <alignment horizontal="left" vertical="top"/>
      <protection locked="0"/>
    </xf>
    <xf numFmtId="0" fontId="12" fillId="2" borderId="3" xfId="1" applyFont="1" applyFill="1" applyBorder="1" applyAlignment="1" applyProtection="1">
      <alignment horizontal="left" vertical="top"/>
      <protection locked="0"/>
    </xf>
    <xf numFmtId="14" fontId="6" fillId="0" borderId="4" xfId="1" applyNumberFormat="1" applyFont="1" applyBorder="1" applyAlignment="1" applyProtection="1">
      <alignment horizontal="left" vertical="top" wrapText="1"/>
      <protection locked="0"/>
    </xf>
    <xf numFmtId="0" fontId="6" fillId="0" borderId="4" xfId="1" applyFont="1" applyBorder="1" applyAlignment="1" applyProtection="1">
      <alignment horizontal="left" vertical="top" wrapText="1"/>
      <protection locked="0"/>
    </xf>
    <xf numFmtId="0" fontId="6" fillId="2" borderId="4" xfId="1" applyFont="1" applyFill="1" applyBorder="1" applyAlignment="1" applyProtection="1">
      <alignment horizontal="left" vertical="top" wrapText="1"/>
      <protection locked="0"/>
    </xf>
    <xf numFmtId="0" fontId="12" fillId="2" borderId="4" xfId="1" applyFont="1" applyFill="1" applyBorder="1" applyAlignment="1" applyProtection="1">
      <alignment horizontal="left" vertical="top" wrapText="1"/>
      <protection locked="0"/>
    </xf>
    <xf numFmtId="0" fontId="12" fillId="2" borderId="4" xfId="1" applyFont="1" applyFill="1" applyBorder="1" applyAlignment="1" applyProtection="1">
      <alignment horizontal="left" vertical="top"/>
      <protection locked="0"/>
    </xf>
    <xf numFmtId="14" fontId="12" fillId="2" borderId="1" xfId="1" applyNumberFormat="1" applyFont="1" applyFill="1" applyBorder="1" applyAlignment="1" applyProtection="1">
      <alignment horizontal="left" vertical="top"/>
      <protection locked="0"/>
    </xf>
    <xf numFmtId="14" fontId="12" fillId="2" borderId="3" xfId="1" applyNumberFormat="1" applyFont="1" applyFill="1" applyBorder="1" applyAlignment="1" applyProtection="1">
      <alignment horizontal="left" vertical="top"/>
      <protection locked="0"/>
    </xf>
    <xf numFmtId="14" fontId="8" fillId="0" borderId="1" xfId="1" applyNumberFormat="1" applyFont="1" applyBorder="1" applyAlignment="1" applyProtection="1">
      <alignment horizontal="left" vertical="top" wrapText="1"/>
      <protection locked="0"/>
    </xf>
    <xf numFmtId="0" fontId="8" fillId="0" borderId="3"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2" borderId="2" xfId="1" applyFont="1" applyFill="1" applyBorder="1" applyAlignment="1" applyProtection="1">
      <alignment horizontal="left" vertical="top"/>
      <protection locked="0"/>
    </xf>
    <xf numFmtId="0" fontId="8" fillId="2" borderId="3" xfId="1" applyFont="1" applyFill="1" applyBorder="1" applyAlignment="1" applyProtection="1">
      <alignment horizontal="left" vertical="top"/>
      <protection locked="0"/>
    </xf>
    <xf numFmtId="3" fontId="12" fillId="2" borderId="1" xfId="1"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2" xfId="1" applyFont="1" applyBorder="1" applyAlignment="1" applyProtection="1">
      <alignment horizontal="left" vertical="top"/>
      <protection locked="0"/>
    </xf>
    <xf numFmtId="0" fontId="6" fillId="0" borderId="3" xfId="1" applyFont="1" applyBorder="1" applyAlignment="1" applyProtection="1">
      <alignment horizontal="left" vertical="top"/>
      <protection locked="0"/>
    </xf>
    <xf numFmtId="0" fontId="12" fillId="2" borderId="1" xfId="1" applyFont="1" applyFill="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 xfId="1" applyFont="1" applyBorder="1" applyAlignment="1" applyProtection="1">
      <alignment horizontal="left" vertical="top" wrapText="1"/>
      <protection locked="0"/>
    </xf>
    <xf numFmtId="1" fontId="8" fillId="0" borderId="4" xfId="0" applyNumberFormat="1" applyFont="1" applyBorder="1" applyAlignment="1" applyProtection="1">
      <alignment horizontal="center" vertical="top" wrapText="1"/>
      <protection locked="0"/>
    </xf>
    <xf numFmtId="1" fontId="6" fillId="0" borderId="4" xfId="0" applyNumberFormat="1" applyFont="1" applyBorder="1" applyAlignment="1" applyProtection="1">
      <alignment horizontal="center" vertical="center" wrapText="1"/>
      <protection locked="0"/>
    </xf>
    <xf numFmtId="1" fontId="7" fillId="0" borderId="4" xfId="0" applyNumberFormat="1" applyFont="1" applyBorder="1" applyAlignment="1" applyProtection="1">
      <alignment horizontal="center" vertical="center" wrapText="1"/>
      <protection locked="0"/>
    </xf>
    <xf numFmtId="0" fontId="10" fillId="0" borderId="4" xfId="0" applyFont="1" applyBorder="1" applyAlignment="1" applyProtection="1">
      <alignment horizontal="center" vertical="top" wrapText="1"/>
      <protection locked="0"/>
    </xf>
    <xf numFmtId="1" fontId="8" fillId="0" borderId="4" xfId="0" applyNumberFormat="1" applyFont="1" applyBorder="1" applyAlignment="1" applyProtection="1">
      <alignment horizontal="center" vertical="center" wrapText="1"/>
      <protection locked="0"/>
    </xf>
    <xf numFmtId="0" fontId="12" fillId="0" borderId="4" xfId="1" applyFont="1" applyBorder="1" applyAlignment="1" applyProtection="1">
      <alignment horizontal="center"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8" fillId="0" borderId="2" xfId="1" applyFont="1" applyBorder="1" applyAlignment="1" applyProtection="1">
      <alignment vertical="top"/>
      <protection locked="0"/>
    </xf>
    <xf numFmtId="0" fontId="8" fillId="0" borderId="3"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2" fillId="0" borderId="6" xfId="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0" xfId="1" applyFont="1" applyBorder="1" applyAlignment="1" applyProtection="1">
      <alignment horizontal="center" vertical="top" wrapText="1"/>
      <protection locked="0"/>
    </xf>
    <xf numFmtId="0" fontId="12" fillId="0" borderId="21" xfId="1" applyFont="1" applyBorder="1" applyAlignment="1" applyProtection="1">
      <alignment horizontal="center" vertical="top" wrapText="1"/>
      <protection locked="0"/>
    </xf>
    <xf numFmtId="0" fontId="6" fillId="0" borderId="4" xfId="1" applyFont="1" applyBorder="1" applyAlignment="1" applyProtection="1">
      <alignment horizontal="left" vertical="top"/>
      <protection locked="0"/>
    </xf>
    <xf numFmtId="0" fontId="12" fillId="0" borderId="5"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3" fillId="0" borderId="20"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20" fillId="0" borderId="1" xfId="6" applyBorder="1" applyAlignment="1" applyProtection="1">
      <alignment horizontal="left"/>
      <protection locked="0"/>
    </xf>
    <xf numFmtId="0" fontId="7" fillId="0" borderId="2" xfId="1" applyFont="1" applyBorder="1" applyAlignment="1" applyProtection="1">
      <alignment horizontal="left"/>
      <protection locked="0"/>
    </xf>
    <xf numFmtId="0" fontId="7" fillId="0" borderId="3" xfId="1" applyFont="1" applyBorder="1" applyAlignment="1" applyProtection="1">
      <alignment horizontal="left"/>
      <protection locked="0"/>
    </xf>
    <xf numFmtId="0" fontId="10" fillId="0" borderId="1" xfId="1" applyFont="1" applyBorder="1" applyAlignment="1" applyProtection="1">
      <alignment horizontal="left"/>
      <protection locked="0"/>
    </xf>
    <xf numFmtId="0" fontId="10" fillId="0" borderId="2" xfId="1" applyFont="1" applyBorder="1" applyAlignment="1" applyProtection="1">
      <alignment horizontal="left"/>
      <protection locked="0"/>
    </xf>
    <xf numFmtId="0" fontId="10" fillId="0" borderId="3" xfId="1" applyFont="1" applyBorder="1" applyAlignment="1" applyProtection="1">
      <alignment horizontal="left"/>
      <protection locked="0"/>
    </xf>
    <xf numFmtId="165" fontId="6" fillId="0" borderId="4" xfId="1" applyNumberFormat="1" applyFont="1" applyBorder="1" applyAlignment="1" applyProtection="1">
      <alignment horizontal="left" vertical="top"/>
      <protection locked="0"/>
    </xf>
    <xf numFmtId="2" fontId="6" fillId="0" borderId="4" xfId="1" applyNumberFormat="1" applyFont="1" applyBorder="1" applyAlignment="1" applyProtection="1">
      <alignment horizontal="left" vertical="top"/>
      <protection locked="0"/>
    </xf>
    <xf numFmtId="0" fontId="12" fillId="0" borderId="4" xfId="1" applyFont="1" applyBorder="1" applyAlignment="1" applyProtection="1">
      <alignment horizontal="left" vertical="top"/>
      <protection locked="0"/>
    </xf>
    <xf numFmtId="0" fontId="8" fillId="0" borderId="4" xfId="1" applyFont="1" applyBorder="1" applyAlignment="1" applyProtection="1">
      <alignment horizontal="left" vertical="top"/>
      <protection locked="0"/>
    </xf>
    <xf numFmtId="0" fontId="13"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vertical="top" wrapText="1"/>
      <protection locked="0"/>
    </xf>
    <xf numFmtId="0" fontId="12" fillId="2" borderId="2" xfId="1" applyFont="1" applyFill="1" applyBorder="1" applyAlignment="1" applyProtection="1">
      <alignment horizontal="left" vertical="top" wrapText="1"/>
      <protection locked="0"/>
    </xf>
    <xf numFmtId="0" fontId="12" fillId="2" borderId="3" xfId="1" applyFont="1" applyFill="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8" fillId="0" borderId="2" xfId="1" applyFont="1" applyBorder="1" applyAlignment="1" applyProtection="1">
      <alignment horizontal="left" vertical="top"/>
      <protection locked="0"/>
    </xf>
    <xf numFmtId="0" fontId="8" fillId="0" borderId="3"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center" wrapText="1"/>
      <protection locked="0"/>
    </xf>
    <xf numFmtId="0" fontId="8" fillId="0" borderId="1" xfId="1" applyFont="1" applyBorder="1" applyAlignment="1" applyProtection="1">
      <alignment horizontal="center" vertical="top"/>
      <protection locked="0"/>
    </xf>
    <xf numFmtId="0" fontId="8" fillId="0" borderId="2" xfId="1" applyFont="1" applyBorder="1" applyAlignment="1" applyProtection="1">
      <alignment horizontal="center" vertical="top"/>
      <protection locked="0"/>
    </xf>
    <xf numFmtId="0" fontId="8" fillId="0" borderId="3" xfId="1" applyFont="1" applyBorder="1" applyAlignment="1" applyProtection="1">
      <alignment horizontal="center" vertical="top"/>
      <protection locked="0"/>
    </xf>
    <xf numFmtId="1" fontId="10" fillId="0" borderId="4" xfId="0" applyNumberFormat="1" applyFont="1" applyBorder="1" applyAlignment="1" applyProtection="1">
      <alignment horizontal="center" vertical="top" wrapText="1"/>
      <protection locked="0"/>
    </xf>
    <xf numFmtId="1" fontId="10" fillId="0" borderId="4"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center" wrapText="1"/>
      <protection locked="0"/>
    </xf>
    <xf numFmtId="0" fontId="12" fillId="0" borderId="2"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0" fontId="12" fillId="0" borderId="1" xfId="1" applyFont="1" applyBorder="1" applyAlignment="1" applyProtection="1">
      <alignment horizontal="center"/>
      <protection locked="0"/>
    </xf>
    <xf numFmtId="0" fontId="12" fillId="0" borderId="3" xfId="1" applyFont="1" applyBorder="1" applyAlignment="1" applyProtection="1">
      <alignment horizontal="center"/>
      <protection locked="0"/>
    </xf>
    <xf numFmtId="2" fontId="6" fillId="0" borderId="4"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2" xfId="1" applyFont="1" applyBorder="1" applyAlignment="1" applyProtection="1">
      <alignment horizontal="center" vertical="top"/>
      <protection locked="0"/>
    </xf>
    <xf numFmtId="0" fontId="12" fillId="0" borderId="3"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2" xfId="1" applyFont="1" applyBorder="1" applyAlignment="1" applyProtection="1">
      <alignment horizontal="center" vertical="top"/>
      <protection locked="0"/>
    </xf>
    <xf numFmtId="0" fontId="13" fillId="0" borderId="3"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1" fillId="0" borderId="2" xfId="1" applyFont="1" applyBorder="1" applyAlignment="1" applyProtection="1">
      <alignment horizontal="center" vertical="top" wrapText="1"/>
      <protection locked="0"/>
    </xf>
    <xf numFmtId="0" fontId="11" fillId="0" borderId="3" xfId="1" applyFont="1" applyBorder="1" applyAlignment="1" applyProtection="1">
      <alignment horizontal="center" vertical="top" wrapText="1"/>
      <protection locked="0"/>
    </xf>
    <xf numFmtId="14" fontId="6" fillId="0" borderId="1" xfId="1" applyNumberFormat="1" applyFont="1" applyBorder="1" applyAlignment="1" applyProtection="1">
      <alignment horizontal="left" vertical="top"/>
      <protection locked="0"/>
    </xf>
    <xf numFmtId="14" fontId="6" fillId="0" borderId="2" xfId="1" applyNumberFormat="1" applyFont="1" applyBorder="1" applyAlignment="1" applyProtection="1">
      <alignment horizontal="left" vertical="top"/>
      <protection locked="0"/>
    </xf>
    <xf numFmtId="14" fontId="6" fillId="0" borderId="3" xfId="1" applyNumberFormat="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14" fontId="12" fillId="0" borderId="2" xfId="1" applyNumberFormat="1" applyFont="1" applyBorder="1" applyAlignment="1" applyProtection="1">
      <alignment horizontal="left" vertical="top"/>
      <protection locked="0"/>
    </xf>
    <xf numFmtId="14" fontId="12" fillId="0" borderId="3" xfId="1" applyNumberFormat="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9" fontId="12" fillId="2" borderId="4" xfId="1" applyNumberFormat="1" applyFont="1" applyFill="1" applyBorder="1" applyAlignment="1" applyProtection="1">
      <alignment horizontal="center" vertical="center" wrapText="1"/>
      <protection hidden="1"/>
    </xf>
    <xf numFmtId="0" fontId="6" fillId="0" borderId="6"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5"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10" xfId="1" applyFont="1" applyBorder="1" applyAlignment="1" applyProtection="1">
      <alignment horizontal="left" vertical="top"/>
      <protection locked="0"/>
    </xf>
    <xf numFmtId="0" fontId="12" fillId="0" borderId="6" xfId="1" applyFont="1" applyBorder="1" applyAlignment="1" applyProtection="1">
      <alignment horizontal="left" vertical="top" wrapText="1"/>
      <protection locked="0"/>
    </xf>
    <xf numFmtId="0" fontId="12" fillId="0" borderId="4" xfId="1" applyFont="1" applyBorder="1" applyAlignment="1" applyProtection="1">
      <alignment horizontal="left"/>
      <protection locked="0"/>
    </xf>
    <xf numFmtId="0" fontId="12" fillId="0" borderId="4"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3" xfId="1" applyFont="1" applyBorder="1" applyAlignment="1" applyProtection="1">
      <alignment horizontal="center"/>
      <protection locked="0"/>
    </xf>
    <xf numFmtId="0" fontId="12" fillId="0" borderId="0" xfId="1" applyFont="1" applyAlignment="1" applyProtection="1">
      <alignment horizontal="left" vertical="top"/>
      <protection locked="0"/>
    </xf>
    <xf numFmtId="1" fontId="13" fillId="0" borderId="4" xfId="1" applyNumberFormat="1" applyFont="1" applyBorder="1" applyAlignment="1" applyProtection="1">
      <alignment horizontal="center" vertical="center" wrapText="1"/>
      <protection locked="0"/>
    </xf>
    <xf numFmtId="1" fontId="8" fillId="0" borderId="4" xfId="1" applyNumberFormat="1" applyFont="1" applyBorder="1" applyAlignment="1" applyProtection="1">
      <alignment horizontal="center" vertical="center" wrapText="1"/>
      <protection locked="0"/>
    </xf>
    <xf numFmtId="9" fontId="12" fillId="2" borderId="24" xfId="1" applyNumberFormat="1" applyFont="1" applyFill="1" applyBorder="1" applyAlignment="1" applyProtection="1">
      <alignment horizontal="center" vertical="center" wrapText="1"/>
      <protection hidden="1"/>
    </xf>
    <xf numFmtId="0" fontId="6" fillId="0" borderId="1" xfId="1" applyFont="1" applyBorder="1" applyAlignment="1" applyProtection="1">
      <alignment vertical="top"/>
      <protection locked="0"/>
    </xf>
    <xf numFmtId="0" fontId="6" fillId="0" borderId="2" xfId="1" applyFont="1" applyBorder="1" applyAlignment="1" applyProtection="1">
      <alignment vertical="top"/>
      <protection locked="0"/>
    </xf>
    <xf numFmtId="0" fontId="6" fillId="0" borderId="3" xfId="1" applyFont="1" applyBorder="1" applyAlignment="1" applyProtection="1">
      <alignment vertical="top"/>
      <protection locked="0"/>
    </xf>
    <xf numFmtId="9" fontId="12" fillId="2" borderId="21" xfId="1" applyNumberFormat="1" applyFont="1" applyFill="1" applyBorder="1" applyAlignment="1" applyProtection="1">
      <alignment horizontal="center" vertical="center" wrapText="1"/>
      <protection hidden="1"/>
    </xf>
    <xf numFmtId="9" fontId="12" fillId="2" borderId="25" xfId="1" applyNumberFormat="1" applyFont="1" applyFill="1" applyBorder="1" applyAlignment="1" applyProtection="1">
      <alignment horizontal="center" vertical="center" wrapText="1"/>
      <protection hidden="1"/>
    </xf>
    <xf numFmtId="0" fontId="12" fillId="0" borderId="20" xfId="1" applyFont="1" applyBorder="1" applyAlignment="1" applyProtection="1">
      <alignment horizontal="center" vertical="top"/>
      <protection locked="0"/>
    </xf>
    <xf numFmtId="1" fontId="8" fillId="0" borderId="4" xfId="0" applyNumberFormat="1" applyFont="1" applyBorder="1" applyAlignment="1" applyProtection="1">
      <alignment horizontal="left" vertical="top" wrapText="1"/>
      <protection locked="0"/>
    </xf>
    <xf numFmtId="0" fontId="13" fillId="0" borderId="4" xfId="2" applyFont="1" applyBorder="1" applyAlignment="1" applyProtection="1">
      <alignment horizontal="left" vertical="top" wrapText="1"/>
      <protection locked="0"/>
    </xf>
    <xf numFmtId="0" fontId="12" fillId="0" borderId="11"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23" xfId="1" applyFont="1" applyBorder="1" applyAlignment="1" applyProtection="1">
      <alignment horizontal="center" vertical="top" wrapText="1"/>
      <protection locked="0"/>
    </xf>
    <xf numFmtId="0" fontId="12" fillId="0" borderId="24"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0" fontId="6" fillId="2" borderId="1" xfId="1" applyFont="1" applyFill="1" applyBorder="1" applyAlignment="1" applyProtection="1">
      <alignment horizontal="left" vertical="top" wrapText="1"/>
      <protection locked="0"/>
    </xf>
    <xf numFmtId="0" fontId="6" fillId="2" borderId="2" xfId="1" applyFont="1" applyFill="1" applyBorder="1" applyAlignment="1" applyProtection="1">
      <alignment horizontal="left" vertical="top" wrapText="1"/>
      <protection locked="0"/>
    </xf>
    <xf numFmtId="0" fontId="6" fillId="2" borderId="3" xfId="1" applyFont="1" applyFill="1" applyBorder="1" applyAlignment="1" applyProtection="1">
      <alignment horizontal="left" vertical="top" wrapText="1"/>
      <protection locked="0"/>
    </xf>
    <xf numFmtId="14" fontId="6" fillId="0" borderId="1" xfId="1" applyNumberFormat="1" applyFont="1" applyBorder="1" applyAlignment="1" applyProtection="1">
      <alignment horizontal="left" vertical="top" wrapText="1"/>
      <protection locked="0"/>
    </xf>
    <xf numFmtId="14" fontId="6" fillId="0" borderId="3" xfId="1" applyNumberFormat="1" applyFont="1" applyBorder="1" applyAlignment="1" applyProtection="1">
      <alignment horizontal="left" vertical="top" wrapText="1"/>
      <protection locked="0"/>
    </xf>
    <xf numFmtId="0" fontId="0" fillId="3" borderId="4" xfId="0" applyFill="1" applyBorder="1" applyAlignment="1">
      <alignment horizontal="center" wrapText="1"/>
    </xf>
    <xf numFmtId="0" fontId="9" fillId="0" borderId="4" xfId="0" applyFont="1" applyBorder="1" applyAlignment="1">
      <alignment horizontal="center"/>
    </xf>
  </cellXfs>
  <cellStyles count="8">
    <cellStyle name="Comma 2" xfId="7" xr:uid="{00000000-0005-0000-0000-000000000000}"/>
    <cellStyle name="Excel Built-in Normal" xfId="2" xr:uid="{00000000-0005-0000-0000-000001000000}"/>
    <cellStyle name="Excel Built-in Normal 2" xfId="4" xr:uid="{00000000-0005-0000-0000-000002000000}"/>
    <cellStyle name="Hyperlink" xfId="6" builtinId="8"/>
    <cellStyle name="Normal" xfId="0" builtinId="0"/>
    <cellStyle name="Normal 2" xfId="3" xr:uid="{00000000-0005-0000-0000-000005000000}"/>
    <cellStyle name="Normal 3" xfId="1" xr:uid="{00000000-0005-0000-0000-000006000000}"/>
    <cellStyle name="Normal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258774</xdr:colOff>
      <xdr:row>326</xdr:row>
      <xdr:rowOff>111369</xdr:rowOff>
    </xdr:from>
    <xdr:to>
      <xdr:col>6</xdr:col>
      <xdr:colOff>583179</xdr:colOff>
      <xdr:row>342</xdr:row>
      <xdr:rowOff>28290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44220" y="72806169"/>
          <a:ext cx="4474374" cy="3105598"/>
        </a:xfrm>
        <a:prstGeom prst="rect">
          <a:avLst/>
        </a:prstGeom>
        <a:ln>
          <a:solidFill>
            <a:schemeClr val="tx1"/>
          </a:solidFill>
        </a:ln>
      </xdr:spPr>
    </xdr:pic>
    <xdr:clientData/>
  </xdr:twoCellAnchor>
  <xdr:twoCellAnchor editAs="oneCell">
    <xdr:from>
      <xdr:col>1</xdr:col>
      <xdr:colOff>387211</xdr:colOff>
      <xdr:row>311</xdr:row>
      <xdr:rowOff>132229</xdr:rowOff>
    </xdr:from>
    <xdr:to>
      <xdr:col>6</xdr:col>
      <xdr:colOff>337904</xdr:colOff>
      <xdr:row>325</xdr:row>
      <xdr:rowOff>188348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72657" y="69837644"/>
          <a:ext cx="4100662" cy="2846212"/>
        </a:xfrm>
        <a:prstGeom prst="rect">
          <a:avLst/>
        </a:prstGeom>
        <a:ln>
          <a:solidFill>
            <a:schemeClr val="tx1"/>
          </a:solidFill>
        </a:ln>
      </xdr:spPr>
    </xdr:pic>
    <xdr:clientData/>
  </xdr:twoCellAnchor>
  <xdr:oneCellAnchor>
    <xdr:from>
      <xdr:col>8</xdr:col>
      <xdr:colOff>1250950</xdr:colOff>
      <xdr:row>263</xdr:row>
      <xdr:rowOff>95250</xdr:rowOff>
    </xdr:from>
    <xdr:ext cx="708912" cy="311496"/>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950200" y="595376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A</a:t>
          </a:r>
        </a:p>
      </xdr:txBody>
    </xdr:sp>
    <xdr:clientData/>
  </xdr:oneCellAnchor>
  <xdr:twoCellAnchor>
    <xdr:from>
      <xdr:col>8</xdr:col>
      <xdr:colOff>1374141</xdr:colOff>
      <xdr:row>267</xdr:row>
      <xdr:rowOff>147320</xdr:rowOff>
    </xdr:from>
    <xdr:to>
      <xdr:col>19</xdr:col>
      <xdr:colOff>5546</xdr:colOff>
      <xdr:row>304</xdr:row>
      <xdr:rowOff>90182</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7957821" y="61008260"/>
          <a:ext cx="6335225" cy="7265682"/>
          <a:chOff x="101601" y="60331350"/>
          <a:chExt cx="6434285" cy="7219962"/>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20651" y="60331350"/>
            <a:ext cx="2030649" cy="2700000"/>
          </a:xfrm>
          <a:prstGeom prst="rect">
            <a:avLst/>
          </a:prstGeom>
          <a:ln>
            <a:solidFill>
              <a:schemeClr val="tx1"/>
            </a:solidFill>
          </a:ln>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312944" y="60331350"/>
            <a:ext cx="2030649" cy="270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312944" y="63131331"/>
            <a:ext cx="2030649" cy="270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505236" y="63131331"/>
            <a:ext cx="2030649" cy="270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5026723" y="65931312"/>
            <a:ext cx="1213313" cy="162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83905" y="65931312"/>
            <a:ext cx="2149041" cy="162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755314" y="65931312"/>
            <a:ext cx="2149041" cy="162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20650" y="63131331"/>
            <a:ext cx="2030649" cy="2700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505237" y="60331350"/>
            <a:ext cx="2030649" cy="2700000"/>
          </a:xfrm>
          <a:prstGeom prst="rect">
            <a:avLst/>
          </a:prstGeom>
          <a:ln>
            <a:solidFill>
              <a:schemeClr val="tx1"/>
            </a:solidFill>
          </a:ln>
        </xdr:spPr>
      </xdr:pic>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1403351" y="6071235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A</a:t>
            </a:r>
          </a:p>
        </xdr:txBody>
      </xdr:sp>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101601" y="610362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B</a:t>
            </a:r>
          </a:p>
        </xdr:txBody>
      </xdr:sp>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2312944" y="606806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A</a:t>
            </a:r>
          </a:p>
        </xdr:txBody>
      </xdr:sp>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4816387" y="621411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3684544" y="612140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B</a:t>
            </a:r>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282700" y="63150381"/>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B</a:t>
            </a:r>
          </a:p>
        </xdr:txBody>
      </xdr:sp>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2668544" y="63290081"/>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B</a:t>
            </a:r>
          </a:p>
        </xdr:txBody>
      </xdr:sp>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4568736" y="63398031"/>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Wing C</a:t>
            </a:r>
          </a:p>
        </xdr:txBody>
      </xdr:sp>
    </xdr:grpSp>
    <xdr:clientData/>
  </xdr:twoCellAnchor>
  <xdr:twoCellAnchor>
    <xdr:from>
      <xdr:col>0</xdr:col>
      <xdr:colOff>274320</xdr:colOff>
      <xdr:row>268</xdr:row>
      <xdr:rowOff>22860</xdr:rowOff>
    </xdr:from>
    <xdr:to>
      <xdr:col>7</xdr:col>
      <xdr:colOff>626820</xdr:colOff>
      <xdr:row>304</xdr:row>
      <xdr:rowOff>192008</xdr:rowOff>
    </xdr:to>
    <xdr:grpSp>
      <xdr:nvGrpSpPr>
        <xdr:cNvPr id="6" name="Group 5">
          <a:extLst>
            <a:ext uri="{FF2B5EF4-FFF2-40B4-BE49-F238E27FC236}">
              <a16:creationId xmlns:a16="http://schemas.microsoft.com/office/drawing/2014/main" id="{BF1674BF-E007-5FAC-C226-E5B5098FEB7C}"/>
            </a:ext>
          </a:extLst>
        </xdr:cNvPr>
        <xdr:cNvGrpSpPr/>
      </xdr:nvGrpSpPr>
      <xdr:grpSpPr>
        <a:xfrm>
          <a:off x="274320" y="61081920"/>
          <a:ext cx="6082740" cy="7293848"/>
          <a:chOff x="312280" y="319310"/>
          <a:chExt cx="6082740" cy="7293848"/>
        </a:xfrm>
      </xdr:grpSpPr>
      <xdr:pic>
        <xdr:nvPicPr>
          <xdr:cNvPr id="7" name="Picture 6">
            <a:extLst>
              <a:ext uri="{FF2B5EF4-FFF2-40B4-BE49-F238E27FC236}">
                <a16:creationId xmlns:a16="http://schemas.microsoft.com/office/drawing/2014/main" id="{F07AF8E7-39C4-7E99-7486-568B96D2F0E5}"/>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406014" y="3066234"/>
            <a:ext cx="1895272" cy="2520000"/>
          </a:xfrm>
          <a:prstGeom prst="rect">
            <a:avLst/>
          </a:prstGeom>
          <a:ln>
            <a:solidFill>
              <a:schemeClr val="tx1"/>
            </a:solidFill>
          </a:ln>
        </xdr:spPr>
      </xdr:pic>
      <xdr:pic>
        <xdr:nvPicPr>
          <xdr:cNvPr id="8" name="Picture 7">
            <a:extLst>
              <a:ext uri="{FF2B5EF4-FFF2-40B4-BE49-F238E27FC236}">
                <a16:creationId xmlns:a16="http://schemas.microsoft.com/office/drawing/2014/main" id="{7EDF9118-DE07-4145-AA25-8AC1D5BC701C}"/>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499748" y="3066234"/>
            <a:ext cx="1895272" cy="2520000"/>
          </a:xfrm>
          <a:prstGeom prst="rect">
            <a:avLst/>
          </a:prstGeom>
          <a:ln>
            <a:solidFill>
              <a:schemeClr val="tx1"/>
            </a:solidFill>
          </a:ln>
        </xdr:spPr>
      </xdr:pic>
      <xdr:pic>
        <xdr:nvPicPr>
          <xdr:cNvPr id="9" name="Picture 8">
            <a:extLst>
              <a:ext uri="{FF2B5EF4-FFF2-40B4-BE49-F238E27FC236}">
                <a16:creationId xmlns:a16="http://schemas.microsoft.com/office/drawing/2014/main" id="{C9F6A16C-9BD0-504A-AC2F-10E3A684A7AA}"/>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12280" y="3066234"/>
            <a:ext cx="1895272" cy="2520000"/>
          </a:xfrm>
          <a:prstGeom prst="rect">
            <a:avLst/>
          </a:prstGeom>
          <a:ln>
            <a:solidFill>
              <a:schemeClr val="tx1"/>
            </a:solidFill>
          </a:ln>
        </xdr:spPr>
      </xdr:pic>
      <xdr:pic>
        <xdr:nvPicPr>
          <xdr:cNvPr id="10" name="Picture 9">
            <a:extLst>
              <a:ext uri="{FF2B5EF4-FFF2-40B4-BE49-F238E27FC236}">
                <a16:creationId xmlns:a16="http://schemas.microsoft.com/office/drawing/2014/main" id="{3B87B200-596E-D3F1-6C00-B546DC39733C}"/>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2406014" y="319310"/>
            <a:ext cx="1895272"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3C51012F-50A1-F723-6D7C-4B735D4ECFC4}"/>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12280" y="319310"/>
            <a:ext cx="1895272" cy="2520000"/>
          </a:xfrm>
          <a:prstGeom prst="rect">
            <a:avLst/>
          </a:prstGeom>
          <a:ln>
            <a:solidFill>
              <a:schemeClr val="tx1"/>
            </a:solidFill>
          </a:ln>
        </xdr:spPr>
      </xdr:pic>
      <xdr:pic>
        <xdr:nvPicPr>
          <xdr:cNvPr id="12" name="Picture 11">
            <a:extLst>
              <a:ext uri="{FF2B5EF4-FFF2-40B4-BE49-F238E27FC236}">
                <a16:creationId xmlns:a16="http://schemas.microsoft.com/office/drawing/2014/main" id="{59000012-34C3-0F11-B4D0-137133DE5E5A}"/>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499748" y="319310"/>
            <a:ext cx="1895272" cy="2520000"/>
          </a:xfrm>
          <a:prstGeom prst="rect">
            <a:avLst/>
          </a:prstGeom>
          <a:ln>
            <a:solidFill>
              <a:schemeClr val="tx1"/>
            </a:solidFill>
          </a:ln>
        </xdr:spPr>
      </xdr:pic>
      <xdr:pic>
        <xdr:nvPicPr>
          <xdr:cNvPr id="39" name="Picture 38">
            <a:extLst>
              <a:ext uri="{FF2B5EF4-FFF2-40B4-BE49-F238E27FC236}">
                <a16:creationId xmlns:a16="http://schemas.microsoft.com/office/drawing/2014/main" id="{E5C12A08-048F-DEDE-15C3-C5FCFC7137DF}"/>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1903474" y="5813158"/>
            <a:ext cx="1348125" cy="1800000"/>
          </a:xfrm>
          <a:prstGeom prst="rect">
            <a:avLst/>
          </a:prstGeom>
          <a:ln>
            <a:solidFill>
              <a:schemeClr val="tx1"/>
            </a:solidFill>
          </a:ln>
        </xdr:spPr>
      </xdr:pic>
      <xdr:pic>
        <xdr:nvPicPr>
          <xdr:cNvPr id="40" name="Picture 39">
            <a:extLst>
              <a:ext uri="{FF2B5EF4-FFF2-40B4-BE49-F238E27FC236}">
                <a16:creationId xmlns:a16="http://schemas.microsoft.com/office/drawing/2014/main" id="{A0711C2B-E67B-626E-5D2C-585B582D25C5}"/>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3450061" y="5813158"/>
            <a:ext cx="1353766" cy="1800000"/>
          </a:xfrm>
          <a:prstGeom prst="rect">
            <a:avLst/>
          </a:prstGeom>
          <a:ln>
            <a:solidFill>
              <a:schemeClr val="tx1"/>
            </a:solidFill>
          </a:ln>
        </xdr:spPr>
      </xdr:pic>
      <xdr:sp macro="" textlink="">
        <xdr:nvSpPr>
          <xdr:cNvPr id="41" name="TextBox 22">
            <a:extLst>
              <a:ext uri="{FF2B5EF4-FFF2-40B4-BE49-F238E27FC236}">
                <a16:creationId xmlns:a16="http://schemas.microsoft.com/office/drawing/2014/main" id="{78D0ACD8-E996-4396-D807-56CE1D99197E}"/>
              </a:ext>
            </a:extLst>
          </xdr:cNvPr>
          <xdr:cNvSpPr txBox="1"/>
        </xdr:nvSpPr>
        <xdr:spPr>
          <a:xfrm>
            <a:off x="5519459" y="3223479"/>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C Wing</a:t>
            </a:r>
          </a:p>
        </xdr:txBody>
      </xdr:sp>
      <xdr:sp macro="" textlink="">
        <xdr:nvSpPr>
          <xdr:cNvPr id="42" name="TextBox 23">
            <a:extLst>
              <a:ext uri="{FF2B5EF4-FFF2-40B4-BE49-F238E27FC236}">
                <a16:creationId xmlns:a16="http://schemas.microsoft.com/office/drawing/2014/main" id="{F40904FE-C18A-9661-B69B-0123ECE8FEAF}"/>
              </a:ext>
            </a:extLst>
          </xdr:cNvPr>
          <xdr:cNvSpPr txBox="1"/>
        </xdr:nvSpPr>
        <xdr:spPr>
          <a:xfrm>
            <a:off x="2912594" y="3223479"/>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C Wing</a:t>
            </a:r>
          </a:p>
        </xdr:txBody>
      </xdr:sp>
      <xdr:sp macro="" textlink="">
        <xdr:nvSpPr>
          <xdr:cNvPr id="43" name="TextBox 24">
            <a:extLst>
              <a:ext uri="{FF2B5EF4-FFF2-40B4-BE49-F238E27FC236}">
                <a16:creationId xmlns:a16="http://schemas.microsoft.com/office/drawing/2014/main" id="{D0026EFB-8DF4-1230-D50E-3CE4DB697F2A}"/>
              </a:ext>
            </a:extLst>
          </xdr:cNvPr>
          <xdr:cNvSpPr txBox="1"/>
        </xdr:nvSpPr>
        <xdr:spPr>
          <a:xfrm>
            <a:off x="462980" y="3038813"/>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C Wing</a:t>
            </a:r>
          </a:p>
        </xdr:txBody>
      </xdr:sp>
      <xdr:sp macro="" textlink="">
        <xdr:nvSpPr>
          <xdr:cNvPr id="44" name="TextBox 25">
            <a:extLst>
              <a:ext uri="{FF2B5EF4-FFF2-40B4-BE49-F238E27FC236}">
                <a16:creationId xmlns:a16="http://schemas.microsoft.com/office/drawing/2014/main" id="{BD2F95C4-AE8E-E7C7-54F7-EFB21338D9FC}"/>
              </a:ext>
            </a:extLst>
          </xdr:cNvPr>
          <xdr:cNvSpPr txBox="1"/>
        </xdr:nvSpPr>
        <xdr:spPr>
          <a:xfrm>
            <a:off x="2410389" y="47845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B Wing</a:t>
            </a:r>
          </a:p>
        </xdr:txBody>
      </xdr:sp>
      <xdr:sp macro="" textlink="">
        <xdr:nvSpPr>
          <xdr:cNvPr id="45" name="TextBox 26">
            <a:extLst>
              <a:ext uri="{FF2B5EF4-FFF2-40B4-BE49-F238E27FC236}">
                <a16:creationId xmlns:a16="http://schemas.microsoft.com/office/drawing/2014/main" id="{CB4B4BC7-44E4-69B3-AF7A-4675C7D1481C}"/>
              </a:ext>
            </a:extLst>
          </xdr:cNvPr>
          <xdr:cNvSpPr txBox="1"/>
        </xdr:nvSpPr>
        <xdr:spPr>
          <a:xfrm>
            <a:off x="312280" y="558131"/>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A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13</xdr:row>
      <xdr:rowOff>0</xdr:rowOff>
    </xdr:from>
    <xdr:to>
      <xdr:col>6</xdr:col>
      <xdr:colOff>379545</xdr:colOff>
      <xdr:row>31</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06425" y="2476500"/>
          <a:ext cx="6754945" cy="3600000"/>
        </a:xfrm>
        <a:prstGeom prst="rect">
          <a:avLst/>
        </a:prstGeom>
        <a:ln>
          <a:solidFill>
            <a:schemeClr val="tx1"/>
          </a:solidFill>
        </a:ln>
      </xdr:spPr>
    </xdr:pic>
    <xdr:clientData/>
  </xdr:twoCellAnchor>
  <xdr:twoCellAnchor editAs="oneCell">
    <xdr:from>
      <xdr:col>1</xdr:col>
      <xdr:colOff>0</xdr:colOff>
      <xdr:row>33</xdr:row>
      <xdr:rowOff>0</xdr:rowOff>
    </xdr:from>
    <xdr:to>
      <xdr:col>6</xdr:col>
      <xdr:colOff>354145</xdr:colOff>
      <xdr:row>51</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1025" y="6286500"/>
          <a:ext cx="6754945" cy="3600000"/>
        </a:xfrm>
        <a:prstGeom prst="rect">
          <a:avLst/>
        </a:prstGeom>
        <a:ln>
          <a:solidFill>
            <a:schemeClr val="tx1"/>
          </a:solidFill>
        </a:ln>
      </xdr:spPr>
    </xdr:pic>
    <xdr:clientData/>
  </xdr:twoCellAnchor>
  <xdr:twoCellAnchor editAs="oneCell">
    <xdr:from>
      <xdr:col>6</xdr:col>
      <xdr:colOff>711200</xdr:colOff>
      <xdr:row>13</xdr:row>
      <xdr:rowOff>0</xdr:rowOff>
    </xdr:from>
    <xdr:to>
      <xdr:col>16</xdr:col>
      <xdr:colOff>312870</xdr:colOff>
      <xdr:row>31</xdr:row>
      <xdr:rowOff>171000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693025" y="2476500"/>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11</xdr:col>
      <xdr:colOff>259556</xdr:colOff>
      <xdr:row>38</xdr:row>
      <xdr:rowOff>91440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1200" y="182880"/>
          <a:ext cx="5136356" cy="6858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R2tYjDtnZgjssRgX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3"/>
  <sheetViews>
    <sheetView tabSelected="1" view="pageBreakPreview" zoomScaleNormal="100" zoomScaleSheetLayoutView="100" zoomScalePageLayoutView="85" workbookViewId="0">
      <selection activeCell="J50" sqref="J50"/>
    </sheetView>
  </sheetViews>
  <sheetFormatPr defaultColWidth="9.109375" defaultRowHeight="15.6" x14ac:dyDescent="0.3"/>
  <cols>
    <col min="1" max="1" width="11.44140625" style="22" customWidth="1"/>
    <col min="2" max="2" width="11.5546875" style="22" customWidth="1"/>
    <col min="3" max="3" width="12.6640625" style="22" customWidth="1"/>
    <col min="4" max="4" width="12.88671875" style="22" customWidth="1"/>
    <col min="5" max="7" width="11.6640625" style="22" customWidth="1"/>
    <col min="8" max="8" width="12.44140625" style="22" customWidth="1"/>
    <col min="9" max="9" width="20.44140625" style="8" customWidth="1"/>
    <col min="10" max="10" width="9.88671875" style="8" bestFit="1" customWidth="1"/>
    <col min="11" max="252" width="9.109375" style="8"/>
    <col min="253" max="253" width="8.6640625" style="8" customWidth="1"/>
    <col min="254" max="254" width="9.88671875" style="8" customWidth="1"/>
    <col min="255" max="255" width="14.44140625" style="8" customWidth="1"/>
    <col min="256" max="256" width="7.33203125" style="8" customWidth="1"/>
    <col min="257" max="257" width="5.5546875" style="8" customWidth="1"/>
    <col min="258" max="258" width="9" style="8" customWidth="1"/>
    <col min="259" max="260" width="9.88671875" style="8" customWidth="1"/>
    <col min="261" max="261" width="11.109375" style="8" customWidth="1"/>
    <col min="262" max="262" width="2.88671875" style="8" customWidth="1"/>
    <col min="263" max="263" width="3.5546875" style="8" customWidth="1"/>
    <col min="264" max="508" width="9.109375" style="8"/>
    <col min="509" max="509" width="8.6640625" style="8" customWidth="1"/>
    <col min="510" max="510" width="9.88671875" style="8" customWidth="1"/>
    <col min="511" max="511" width="14.44140625" style="8" customWidth="1"/>
    <col min="512" max="512" width="7.33203125" style="8" customWidth="1"/>
    <col min="513" max="513" width="5.5546875" style="8" customWidth="1"/>
    <col min="514" max="514" width="9" style="8" customWidth="1"/>
    <col min="515" max="516" width="9.88671875" style="8" customWidth="1"/>
    <col min="517" max="517" width="11.109375" style="8" customWidth="1"/>
    <col min="518" max="518" width="2.88671875" style="8" customWidth="1"/>
    <col min="519" max="519" width="3.5546875" style="8" customWidth="1"/>
    <col min="520" max="764" width="9.109375" style="8"/>
    <col min="765" max="765" width="8.6640625" style="8" customWidth="1"/>
    <col min="766" max="766" width="9.88671875" style="8" customWidth="1"/>
    <col min="767" max="767" width="14.44140625" style="8" customWidth="1"/>
    <col min="768" max="768" width="7.33203125" style="8" customWidth="1"/>
    <col min="769" max="769" width="5.5546875" style="8" customWidth="1"/>
    <col min="770" max="770" width="9" style="8" customWidth="1"/>
    <col min="771" max="772" width="9.88671875" style="8" customWidth="1"/>
    <col min="773" max="773" width="11.109375" style="8" customWidth="1"/>
    <col min="774" max="774" width="2.88671875" style="8" customWidth="1"/>
    <col min="775" max="775" width="3.5546875" style="8" customWidth="1"/>
    <col min="776" max="1020" width="9.109375" style="8"/>
    <col min="1021" max="1021" width="8.6640625" style="8" customWidth="1"/>
    <col min="1022" max="1022" width="9.88671875" style="8" customWidth="1"/>
    <col min="1023" max="1023" width="14.44140625" style="8" customWidth="1"/>
    <col min="1024" max="1024" width="7.33203125" style="8" customWidth="1"/>
    <col min="1025" max="1025" width="5.5546875" style="8" customWidth="1"/>
    <col min="1026" max="1026" width="9" style="8" customWidth="1"/>
    <col min="1027" max="1028" width="9.88671875" style="8" customWidth="1"/>
    <col min="1029" max="1029" width="11.109375" style="8" customWidth="1"/>
    <col min="1030" max="1030" width="2.88671875" style="8" customWidth="1"/>
    <col min="1031" max="1031" width="3.5546875" style="8" customWidth="1"/>
    <col min="1032" max="1276" width="9.109375" style="8"/>
    <col min="1277" max="1277" width="8.6640625" style="8" customWidth="1"/>
    <col min="1278" max="1278" width="9.88671875" style="8" customWidth="1"/>
    <col min="1279" max="1279" width="14.44140625" style="8" customWidth="1"/>
    <col min="1280" max="1280" width="7.33203125" style="8" customWidth="1"/>
    <col min="1281" max="1281" width="5.5546875" style="8" customWidth="1"/>
    <col min="1282" max="1282" width="9" style="8" customWidth="1"/>
    <col min="1283" max="1284" width="9.88671875" style="8" customWidth="1"/>
    <col min="1285" max="1285" width="11.109375" style="8" customWidth="1"/>
    <col min="1286" max="1286" width="2.88671875" style="8" customWidth="1"/>
    <col min="1287" max="1287" width="3.5546875" style="8" customWidth="1"/>
    <col min="1288" max="1532" width="9.109375" style="8"/>
    <col min="1533" max="1533" width="8.6640625" style="8" customWidth="1"/>
    <col min="1534" max="1534" width="9.88671875" style="8" customWidth="1"/>
    <col min="1535" max="1535" width="14.44140625" style="8" customWidth="1"/>
    <col min="1536" max="1536" width="7.33203125" style="8" customWidth="1"/>
    <col min="1537" max="1537" width="5.5546875" style="8" customWidth="1"/>
    <col min="1538" max="1538" width="9" style="8" customWidth="1"/>
    <col min="1539" max="1540" width="9.88671875" style="8" customWidth="1"/>
    <col min="1541" max="1541" width="11.109375" style="8" customWidth="1"/>
    <col min="1542" max="1542" width="2.88671875" style="8" customWidth="1"/>
    <col min="1543" max="1543" width="3.5546875" style="8" customWidth="1"/>
    <col min="1544" max="1788" width="9.109375" style="8"/>
    <col min="1789" max="1789" width="8.6640625" style="8" customWidth="1"/>
    <col min="1790" max="1790" width="9.88671875" style="8" customWidth="1"/>
    <col min="1791" max="1791" width="14.44140625" style="8" customWidth="1"/>
    <col min="1792" max="1792" width="7.33203125" style="8" customWidth="1"/>
    <col min="1793" max="1793" width="5.5546875" style="8" customWidth="1"/>
    <col min="1794" max="1794" width="9" style="8" customWidth="1"/>
    <col min="1795" max="1796" width="9.88671875" style="8" customWidth="1"/>
    <col min="1797" max="1797" width="11.109375" style="8" customWidth="1"/>
    <col min="1798" max="1798" width="2.88671875" style="8" customWidth="1"/>
    <col min="1799" max="1799" width="3.5546875" style="8" customWidth="1"/>
    <col min="1800" max="2044" width="9.109375" style="8"/>
    <col min="2045" max="2045" width="8.6640625" style="8" customWidth="1"/>
    <col min="2046" max="2046" width="9.88671875" style="8" customWidth="1"/>
    <col min="2047" max="2047" width="14.44140625" style="8" customWidth="1"/>
    <col min="2048" max="2048" width="7.33203125" style="8" customWidth="1"/>
    <col min="2049" max="2049" width="5.5546875" style="8" customWidth="1"/>
    <col min="2050" max="2050" width="9" style="8" customWidth="1"/>
    <col min="2051" max="2052" width="9.88671875" style="8" customWidth="1"/>
    <col min="2053" max="2053" width="11.109375" style="8" customWidth="1"/>
    <col min="2054" max="2054" width="2.88671875" style="8" customWidth="1"/>
    <col min="2055" max="2055" width="3.5546875" style="8" customWidth="1"/>
    <col min="2056" max="2300" width="9.109375" style="8"/>
    <col min="2301" max="2301" width="8.6640625" style="8" customWidth="1"/>
    <col min="2302" max="2302" width="9.88671875" style="8" customWidth="1"/>
    <col min="2303" max="2303" width="14.44140625" style="8" customWidth="1"/>
    <col min="2304" max="2304" width="7.33203125" style="8" customWidth="1"/>
    <col min="2305" max="2305" width="5.5546875" style="8" customWidth="1"/>
    <col min="2306" max="2306" width="9" style="8" customWidth="1"/>
    <col min="2307" max="2308" width="9.88671875" style="8" customWidth="1"/>
    <col min="2309" max="2309" width="11.109375" style="8" customWidth="1"/>
    <col min="2310" max="2310" width="2.88671875" style="8" customWidth="1"/>
    <col min="2311" max="2311" width="3.5546875" style="8" customWidth="1"/>
    <col min="2312" max="2556" width="9.109375" style="8"/>
    <col min="2557" max="2557" width="8.6640625" style="8" customWidth="1"/>
    <col min="2558" max="2558" width="9.88671875" style="8" customWidth="1"/>
    <col min="2559" max="2559" width="14.44140625" style="8" customWidth="1"/>
    <col min="2560" max="2560" width="7.33203125" style="8" customWidth="1"/>
    <col min="2561" max="2561" width="5.5546875" style="8" customWidth="1"/>
    <col min="2562" max="2562" width="9" style="8" customWidth="1"/>
    <col min="2563" max="2564" width="9.88671875" style="8" customWidth="1"/>
    <col min="2565" max="2565" width="11.109375" style="8" customWidth="1"/>
    <col min="2566" max="2566" width="2.88671875" style="8" customWidth="1"/>
    <col min="2567" max="2567" width="3.5546875" style="8" customWidth="1"/>
    <col min="2568" max="2812" width="9.109375" style="8"/>
    <col min="2813" max="2813" width="8.6640625" style="8" customWidth="1"/>
    <col min="2814" max="2814" width="9.88671875" style="8" customWidth="1"/>
    <col min="2815" max="2815" width="14.44140625" style="8" customWidth="1"/>
    <col min="2816" max="2816" width="7.33203125" style="8" customWidth="1"/>
    <col min="2817" max="2817" width="5.5546875" style="8" customWidth="1"/>
    <col min="2818" max="2818" width="9" style="8" customWidth="1"/>
    <col min="2819" max="2820" width="9.88671875" style="8" customWidth="1"/>
    <col min="2821" max="2821" width="11.109375" style="8" customWidth="1"/>
    <col min="2822" max="2822" width="2.88671875" style="8" customWidth="1"/>
    <col min="2823" max="2823" width="3.5546875" style="8" customWidth="1"/>
    <col min="2824" max="3068" width="9.109375" style="8"/>
    <col min="3069" max="3069" width="8.6640625" style="8" customWidth="1"/>
    <col min="3070" max="3070" width="9.88671875" style="8" customWidth="1"/>
    <col min="3071" max="3071" width="14.44140625" style="8" customWidth="1"/>
    <col min="3072" max="3072" width="7.33203125" style="8" customWidth="1"/>
    <col min="3073" max="3073" width="5.5546875" style="8" customWidth="1"/>
    <col min="3074" max="3074" width="9" style="8" customWidth="1"/>
    <col min="3075" max="3076" width="9.88671875" style="8" customWidth="1"/>
    <col min="3077" max="3077" width="11.109375" style="8" customWidth="1"/>
    <col min="3078" max="3078" width="2.88671875" style="8" customWidth="1"/>
    <col min="3079" max="3079" width="3.5546875" style="8" customWidth="1"/>
    <col min="3080" max="3324" width="9.109375" style="8"/>
    <col min="3325" max="3325" width="8.6640625" style="8" customWidth="1"/>
    <col min="3326" max="3326" width="9.88671875" style="8" customWidth="1"/>
    <col min="3327" max="3327" width="14.44140625" style="8" customWidth="1"/>
    <col min="3328" max="3328" width="7.33203125" style="8" customWidth="1"/>
    <col min="3329" max="3329" width="5.5546875" style="8" customWidth="1"/>
    <col min="3330" max="3330" width="9" style="8" customWidth="1"/>
    <col min="3331" max="3332" width="9.88671875" style="8" customWidth="1"/>
    <col min="3333" max="3333" width="11.109375" style="8" customWidth="1"/>
    <col min="3334" max="3334" width="2.88671875" style="8" customWidth="1"/>
    <col min="3335" max="3335" width="3.5546875" style="8" customWidth="1"/>
    <col min="3336" max="3580" width="9.109375" style="8"/>
    <col min="3581" max="3581" width="8.6640625" style="8" customWidth="1"/>
    <col min="3582" max="3582" width="9.88671875" style="8" customWidth="1"/>
    <col min="3583" max="3583" width="14.44140625" style="8" customWidth="1"/>
    <col min="3584" max="3584" width="7.33203125" style="8" customWidth="1"/>
    <col min="3585" max="3585" width="5.5546875" style="8" customWidth="1"/>
    <col min="3586" max="3586" width="9" style="8" customWidth="1"/>
    <col min="3587" max="3588" width="9.88671875" style="8" customWidth="1"/>
    <col min="3589" max="3589" width="11.109375" style="8" customWidth="1"/>
    <col min="3590" max="3590" width="2.88671875" style="8" customWidth="1"/>
    <col min="3591" max="3591" width="3.5546875" style="8" customWidth="1"/>
    <col min="3592" max="3836" width="9.109375" style="8"/>
    <col min="3837" max="3837" width="8.6640625" style="8" customWidth="1"/>
    <col min="3838" max="3838" width="9.88671875" style="8" customWidth="1"/>
    <col min="3839" max="3839" width="14.44140625" style="8" customWidth="1"/>
    <col min="3840" max="3840" width="7.33203125" style="8" customWidth="1"/>
    <col min="3841" max="3841" width="5.5546875" style="8" customWidth="1"/>
    <col min="3842" max="3842" width="9" style="8" customWidth="1"/>
    <col min="3843" max="3844" width="9.88671875" style="8" customWidth="1"/>
    <col min="3845" max="3845" width="11.109375" style="8" customWidth="1"/>
    <col min="3846" max="3846" width="2.88671875" style="8" customWidth="1"/>
    <col min="3847" max="3847" width="3.5546875" style="8" customWidth="1"/>
    <col min="3848" max="4092" width="9.109375" style="8"/>
    <col min="4093" max="4093" width="8.6640625" style="8" customWidth="1"/>
    <col min="4094" max="4094" width="9.88671875" style="8" customWidth="1"/>
    <col min="4095" max="4095" width="14.44140625" style="8" customWidth="1"/>
    <col min="4096" max="4096" width="7.33203125" style="8" customWidth="1"/>
    <col min="4097" max="4097" width="5.5546875" style="8" customWidth="1"/>
    <col min="4098" max="4098" width="9" style="8" customWidth="1"/>
    <col min="4099" max="4100" width="9.88671875" style="8" customWidth="1"/>
    <col min="4101" max="4101" width="11.109375" style="8" customWidth="1"/>
    <col min="4102" max="4102" width="2.88671875" style="8" customWidth="1"/>
    <col min="4103" max="4103" width="3.5546875" style="8" customWidth="1"/>
    <col min="4104" max="4348" width="9.109375" style="8"/>
    <col min="4349" max="4349" width="8.6640625" style="8" customWidth="1"/>
    <col min="4350" max="4350" width="9.88671875" style="8" customWidth="1"/>
    <col min="4351" max="4351" width="14.44140625" style="8" customWidth="1"/>
    <col min="4352" max="4352" width="7.33203125" style="8" customWidth="1"/>
    <col min="4353" max="4353" width="5.5546875" style="8" customWidth="1"/>
    <col min="4354" max="4354" width="9" style="8" customWidth="1"/>
    <col min="4355" max="4356" width="9.88671875" style="8" customWidth="1"/>
    <col min="4357" max="4357" width="11.109375" style="8" customWidth="1"/>
    <col min="4358" max="4358" width="2.88671875" style="8" customWidth="1"/>
    <col min="4359" max="4359" width="3.5546875" style="8" customWidth="1"/>
    <col min="4360" max="4604" width="9.109375" style="8"/>
    <col min="4605" max="4605" width="8.6640625" style="8" customWidth="1"/>
    <col min="4606" max="4606" width="9.88671875" style="8" customWidth="1"/>
    <col min="4607" max="4607" width="14.44140625" style="8" customWidth="1"/>
    <col min="4608" max="4608" width="7.33203125" style="8" customWidth="1"/>
    <col min="4609" max="4609" width="5.5546875" style="8" customWidth="1"/>
    <col min="4610" max="4610" width="9" style="8" customWidth="1"/>
    <col min="4611" max="4612" width="9.88671875" style="8" customWidth="1"/>
    <col min="4613" max="4613" width="11.109375" style="8" customWidth="1"/>
    <col min="4614" max="4614" width="2.88671875" style="8" customWidth="1"/>
    <col min="4615" max="4615" width="3.5546875" style="8" customWidth="1"/>
    <col min="4616" max="4860" width="9.109375" style="8"/>
    <col min="4861" max="4861" width="8.6640625" style="8" customWidth="1"/>
    <col min="4862" max="4862" width="9.88671875" style="8" customWidth="1"/>
    <col min="4863" max="4863" width="14.44140625" style="8" customWidth="1"/>
    <col min="4864" max="4864" width="7.33203125" style="8" customWidth="1"/>
    <col min="4865" max="4865" width="5.5546875" style="8" customWidth="1"/>
    <col min="4866" max="4866" width="9" style="8" customWidth="1"/>
    <col min="4867" max="4868" width="9.88671875" style="8" customWidth="1"/>
    <col min="4869" max="4869" width="11.109375" style="8" customWidth="1"/>
    <col min="4870" max="4870" width="2.88671875" style="8" customWidth="1"/>
    <col min="4871" max="4871" width="3.5546875" style="8" customWidth="1"/>
    <col min="4872" max="5116" width="9.109375" style="8"/>
    <col min="5117" max="5117" width="8.6640625" style="8" customWidth="1"/>
    <col min="5118" max="5118" width="9.88671875" style="8" customWidth="1"/>
    <col min="5119" max="5119" width="14.44140625" style="8" customWidth="1"/>
    <col min="5120" max="5120" width="7.33203125" style="8" customWidth="1"/>
    <col min="5121" max="5121" width="5.5546875" style="8" customWidth="1"/>
    <col min="5122" max="5122" width="9" style="8" customWidth="1"/>
    <col min="5123" max="5124" width="9.88671875" style="8" customWidth="1"/>
    <col min="5125" max="5125" width="11.109375" style="8" customWidth="1"/>
    <col min="5126" max="5126" width="2.88671875" style="8" customWidth="1"/>
    <col min="5127" max="5127" width="3.5546875" style="8" customWidth="1"/>
    <col min="5128" max="5372" width="9.109375" style="8"/>
    <col min="5373" max="5373" width="8.6640625" style="8" customWidth="1"/>
    <col min="5374" max="5374" width="9.88671875" style="8" customWidth="1"/>
    <col min="5375" max="5375" width="14.44140625" style="8" customWidth="1"/>
    <col min="5376" max="5376" width="7.33203125" style="8" customWidth="1"/>
    <col min="5377" max="5377" width="5.5546875" style="8" customWidth="1"/>
    <col min="5378" max="5378" width="9" style="8" customWidth="1"/>
    <col min="5379" max="5380" width="9.88671875" style="8" customWidth="1"/>
    <col min="5381" max="5381" width="11.109375" style="8" customWidth="1"/>
    <col min="5382" max="5382" width="2.88671875" style="8" customWidth="1"/>
    <col min="5383" max="5383" width="3.5546875" style="8" customWidth="1"/>
    <col min="5384" max="5628" width="9.109375" style="8"/>
    <col min="5629" max="5629" width="8.6640625" style="8" customWidth="1"/>
    <col min="5630" max="5630" width="9.88671875" style="8" customWidth="1"/>
    <col min="5631" max="5631" width="14.44140625" style="8" customWidth="1"/>
    <col min="5632" max="5632" width="7.33203125" style="8" customWidth="1"/>
    <col min="5633" max="5633" width="5.5546875" style="8" customWidth="1"/>
    <col min="5634" max="5634" width="9" style="8" customWidth="1"/>
    <col min="5635" max="5636" width="9.88671875" style="8" customWidth="1"/>
    <col min="5637" max="5637" width="11.109375" style="8" customWidth="1"/>
    <col min="5638" max="5638" width="2.88671875" style="8" customWidth="1"/>
    <col min="5639" max="5639" width="3.5546875" style="8" customWidth="1"/>
    <col min="5640" max="5884" width="9.109375" style="8"/>
    <col min="5885" max="5885" width="8.6640625" style="8" customWidth="1"/>
    <col min="5886" max="5886" width="9.88671875" style="8" customWidth="1"/>
    <col min="5887" max="5887" width="14.44140625" style="8" customWidth="1"/>
    <col min="5888" max="5888" width="7.33203125" style="8" customWidth="1"/>
    <col min="5889" max="5889" width="5.5546875" style="8" customWidth="1"/>
    <col min="5890" max="5890" width="9" style="8" customWidth="1"/>
    <col min="5891" max="5892" width="9.88671875" style="8" customWidth="1"/>
    <col min="5893" max="5893" width="11.109375" style="8" customWidth="1"/>
    <col min="5894" max="5894" width="2.88671875" style="8" customWidth="1"/>
    <col min="5895" max="5895" width="3.5546875" style="8" customWidth="1"/>
    <col min="5896" max="6140" width="9.109375" style="8"/>
    <col min="6141" max="6141" width="8.6640625" style="8" customWidth="1"/>
    <col min="6142" max="6142" width="9.88671875" style="8" customWidth="1"/>
    <col min="6143" max="6143" width="14.44140625" style="8" customWidth="1"/>
    <col min="6144" max="6144" width="7.33203125" style="8" customWidth="1"/>
    <col min="6145" max="6145" width="5.5546875" style="8" customWidth="1"/>
    <col min="6146" max="6146" width="9" style="8" customWidth="1"/>
    <col min="6147" max="6148" width="9.88671875" style="8" customWidth="1"/>
    <col min="6149" max="6149" width="11.109375" style="8" customWidth="1"/>
    <col min="6150" max="6150" width="2.88671875" style="8" customWidth="1"/>
    <col min="6151" max="6151" width="3.5546875" style="8" customWidth="1"/>
    <col min="6152" max="6396" width="9.109375" style="8"/>
    <col min="6397" max="6397" width="8.6640625" style="8" customWidth="1"/>
    <col min="6398" max="6398" width="9.88671875" style="8" customWidth="1"/>
    <col min="6399" max="6399" width="14.44140625" style="8" customWidth="1"/>
    <col min="6400" max="6400" width="7.33203125" style="8" customWidth="1"/>
    <col min="6401" max="6401" width="5.5546875" style="8" customWidth="1"/>
    <col min="6402" max="6402" width="9" style="8" customWidth="1"/>
    <col min="6403" max="6404" width="9.88671875" style="8" customWidth="1"/>
    <col min="6405" max="6405" width="11.109375" style="8" customWidth="1"/>
    <col min="6406" max="6406" width="2.88671875" style="8" customWidth="1"/>
    <col min="6407" max="6407" width="3.5546875" style="8" customWidth="1"/>
    <col min="6408" max="6652" width="9.109375" style="8"/>
    <col min="6653" max="6653" width="8.6640625" style="8" customWidth="1"/>
    <col min="6654" max="6654" width="9.88671875" style="8" customWidth="1"/>
    <col min="6655" max="6655" width="14.44140625" style="8" customWidth="1"/>
    <col min="6656" max="6656" width="7.33203125" style="8" customWidth="1"/>
    <col min="6657" max="6657" width="5.5546875" style="8" customWidth="1"/>
    <col min="6658" max="6658" width="9" style="8" customWidth="1"/>
    <col min="6659" max="6660" width="9.88671875" style="8" customWidth="1"/>
    <col min="6661" max="6661" width="11.109375" style="8" customWidth="1"/>
    <col min="6662" max="6662" width="2.88671875" style="8" customWidth="1"/>
    <col min="6663" max="6663" width="3.5546875" style="8" customWidth="1"/>
    <col min="6664" max="6908" width="9.109375" style="8"/>
    <col min="6909" max="6909" width="8.6640625" style="8" customWidth="1"/>
    <col min="6910" max="6910" width="9.88671875" style="8" customWidth="1"/>
    <col min="6911" max="6911" width="14.44140625" style="8" customWidth="1"/>
    <col min="6912" max="6912" width="7.33203125" style="8" customWidth="1"/>
    <col min="6913" max="6913" width="5.5546875" style="8" customWidth="1"/>
    <col min="6914" max="6914" width="9" style="8" customWidth="1"/>
    <col min="6915" max="6916" width="9.88671875" style="8" customWidth="1"/>
    <col min="6917" max="6917" width="11.109375" style="8" customWidth="1"/>
    <col min="6918" max="6918" width="2.88671875" style="8" customWidth="1"/>
    <col min="6919" max="6919" width="3.5546875" style="8" customWidth="1"/>
    <col min="6920" max="7164" width="9.109375" style="8"/>
    <col min="7165" max="7165" width="8.6640625" style="8" customWidth="1"/>
    <col min="7166" max="7166" width="9.88671875" style="8" customWidth="1"/>
    <col min="7167" max="7167" width="14.44140625" style="8" customWidth="1"/>
    <col min="7168" max="7168" width="7.33203125" style="8" customWidth="1"/>
    <col min="7169" max="7169" width="5.5546875" style="8" customWidth="1"/>
    <col min="7170" max="7170" width="9" style="8" customWidth="1"/>
    <col min="7171" max="7172" width="9.88671875" style="8" customWidth="1"/>
    <col min="7173" max="7173" width="11.109375" style="8" customWidth="1"/>
    <col min="7174" max="7174" width="2.88671875" style="8" customWidth="1"/>
    <col min="7175" max="7175" width="3.5546875" style="8" customWidth="1"/>
    <col min="7176" max="7420" width="9.109375" style="8"/>
    <col min="7421" max="7421" width="8.6640625" style="8" customWidth="1"/>
    <col min="7422" max="7422" width="9.88671875" style="8" customWidth="1"/>
    <col min="7423" max="7423" width="14.44140625" style="8" customWidth="1"/>
    <col min="7424" max="7424" width="7.33203125" style="8" customWidth="1"/>
    <col min="7425" max="7425" width="5.5546875" style="8" customWidth="1"/>
    <col min="7426" max="7426" width="9" style="8" customWidth="1"/>
    <col min="7427" max="7428" width="9.88671875" style="8" customWidth="1"/>
    <col min="7429" max="7429" width="11.109375" style="8" customWidth="1"/>
    <col min="7430" max="7430" width="2.88671875" style="8" customWidth="1"/>
    <col min="7431" max="7431" width="3.5546875" style="8" customWidth="1"/>
    <col min="7432" max="7676" width="9.109375" style="8"/>
    <col min="7677" max="7677" width="8.6640625" style="8" customWidth="1"/>
    <col min="7678" max="7678" width="9.88671875" style="8" customWidth="1"/>
    <col min="7679" max="7679" width="14.44140625" style="8" customWidth="1"/>
    <col min="7680" max="7680" width="7.33203125" style="8" customWidth="1"/>
    <col min="7681" max="7681" width="5.5546875" style="8" customWidth="1"/>
    <col min="7682" max="7682" width="9" style="8" customWidth="1"/>
    <col min="7683" max="7684" width="9.88671875" style="8" customWidth="1"/>
    <col min="7685" max="7685" width="11.109375" style="8" customWidth="1"/>
    <col min="7686" max="7686" width="2.88671875" style="8" customWidth="1"/>
    <col min="7687" max="7687" width="3.5546875" style="8" customWidth="1"/>
    <col min="7688" max="7932" width="9.109375" style="8"/>
    <col min="7933" max="7933" width="8.6640625" style="8" customWidth="1"/>
    <col min="7934" max="7934" width="9.88671875" style="8" customWidth="1"/>
    <col min="7935" max="7935" width="14.44140625" style="8" customWidth="1"/>
    <col min="7936" max="7936" width="7.33203125" style="8" customWidth="1"/>
    <col min="7937" max="7937" width="5.5546875" style="8" customWidth="1"/>
    <col min="7938" max="7938" width="9" style="8" customWidth="1"/>
    <col min="7939" max="7940" width="9.88671875" style="8" customWidth="1"/>
    <col min="7941" max="7941" width="11.109375" style="8" customWidth="1"/>
    <col min="7942" max="7942" width="2.88671875" style="8" customWidth="1"/>
    <col min="7943" max="7943" width="3.5546875" style="8" customWidth="1"/>
    <col min="7944" max="8188" width="9.109375" style="8"/>
    <col min="8189" max="8189" width="8.6640625" style="8" customWidth="1"/>
    <col min="8190" max="8190" width="9.88671875" style="8" customWidth="1"/>
    <col min="8191" max="8191" width="14.44140625" style="8" customWidth="1"/>
    <col min="8192" max="8192" width="7.33203125" style="8" customWidth="1"/>
    <col min="8193" max="8193" width="5.5546875" style="8" customWidth="1"/>
    <col min="8194" max="8194" width="9" style="8" customWidth="1"/>
    <col min="8195" max="8196" width="9.88671875" style="8" customWidth="1"/>
    <col min="8197" max="8197" width="11.109375" style="8" customWidth="1"/>
    <col min="8198" max="8198" width="2.88671875" style="8" customWidth="1"/>
    <col min="8199" max="8199" width="3.5546875" style="8" customWidth="1"/>
    <col min="8200" max="8444" width="9.109375" style="8"/>
    <col min="8445" max="8445" width="8.6640625" style="8" customWidth="1"/>
    <col min="8446" max="8446" width="9.88671875" style="8" customWidth="1"/>
    <col min="8447" max="8447" width="14.44140625" style="8" customWidth="1"/>
    <col min="8448" max="8448" width="7.33203125" style="8" customWidth="1"/>
    <col min="8449" max="8449" width="5.5546875" style="8" customWidth="1"/>
    <col min="8450" max="8450" width="9" style="8" customWidth="1"/>
    <col min="8451" max="8452" width="9.88671875" style="8" customWidth="1"/>
    <col min="8453" max="8453" width="11.109375" style="8" customWidth="1"/>
    <col min="8454" max="8454" width="2.88671875" style="8" customWidth="1"/>
    <col min="8455" max="8455" width="3.5546875" style="8" customWidth="1"/>
    <col min="8456" max="8700" width="9.109375" style="8"/>
    <col min="8701" max="8701" width="8.6640625" style="8" customWidth="1"/>
    <col min="8702" max="8702" width="9.88671875" style="8" customWidth="1"/>
    <col min="8703" max="8703" width="14.44140625" style="8" customWidth="1"/>
    <col min="8704" max="8704" width="7.33203125" style="8" customWidth="1"/>
    <col min="8705" max="8705" width="5.5546875" style="8" customWidth="1"/>
    <col min="8706" max="8706" width="9" style="8" customWidth="1"/>
    <col min="8707" max="8708" width="9.88671875" style="8" customWidth="1"/>
    <col min="8709" max="8709" width="11.109375" style="8" customWidth="1"/>
    <col min="8710" max="8710" width="2.88671875" style="8" customWidth="1"/>
    <col min="8711" max="8711" width="3.5546875" style="8" customWidth="1"/>
    <col min="8712" max="8956" width="9.109375" style="8"/>
    <col min="8957" max="8957" width="8.6640625" style="8" customWidth="1"/>
    <col min="8958" max="8958" width="9.88671875" style="8" customWidth="1"/>
    <col min="8959" max="8959" width="14.44140625" style="8" customWidth="1"/>
    <col min="8960" max="8960" width="7.33203125" style="8" customWidth="1"/>
    <col min="8961" max="8961" width="5.5546875" style="8" customWidth="1"/>
    <col min="8962" max="8962" width="9" style="8" customWidth="1"/>
    <col min="8963" max="8964" width="9.88671875" style="8" customWidth="1"/>
    <col min="8965" max="8965" width="11.109375" style="8" customWidth="1"/>
    <col min="8966" max="8966" width="2.88671875" style="8" customWidth="1"/>
    <col min="8967" max="8967" width="3.5546875" style="8" customWidth="1"/>
    <col min="8968" max="9212" width="9.109375" style="8"/>
    <col min="9213" max="9213" width="8.6640625" style="8" customWidth="1"/>
    <col min="9214" max="9214" width="9.88671875" style="8" customWidth="1"/>
    <col min="9215" max="9215" width="14.44140625" style="8" customWidth="1"/>
    <col min="9216" max="9216" width="7.33203125" style="8" customWidth="1"/>
    <col min="9217" max="9217" width="5.5546875" style="8" customWidth="1"/>
    <col min="9218" max="9218" width="9" style="8" customWidth="1"/>
    <col min="9219" max="9220" width="9.88671875" style="8" customWidth="1"/>
    <col min="9221" max="9221" width="11.109375" style="8" customWidth="1"/>
    <col min="9222" max="9222" width="2.88671875" style="8" customWidth="1"/>
    <col min="9223" max="9223" width="3.5546875" style="8" customWidth="1"/>
    <col min="9224" max="9468" width="9.109375" style="8"/>
    <col min="9469" max="9469" width="8.6640625" style="8" customWidth="1"/>
    <col min="9470" max="9470" width="9.88671875" style="8" customWidth="1"/>
    <col min="9471" max="9471" width="14.44140625" style="8" customWidth="1"/>
    <col min="9472" max="9472" width="7.33203125" style="8" customWidth="1"/>
    <col min="9473" max="9473" width="5.5546875" style="8" customWidth="1"/>
    <col min="9474" max="9474" width="9" style="8" customWidth="1"/>
    <col min="9475" max="9476" width="9.88671875" style="8" customWidth="1"/>
    <col min="9477" max="9477" width="11.109375" style="8" customWidth="1"/>
    <col min="9478" max="9478" width="2.88671875" style="8" customWidth="1"/>
    <col min="9479" max="9479" width="3.5546875" style="8" customWidth="1"/>
    <col min="9480" max="9724" width="9.109375" style="8"/>
    <col min="9725" max="9725" width="8.6640625" style="8" customWidth="1"/>
    <col min="9726" max="9726" width="9.88671875" style="8" customWidth="1"/>
    <col min="9727" max="9727" width="14.44140625" style="8" customWidth="1"/>
    <col min="9728" max="9728" width="7.33203125" style="8" customWidth="1"/>
    <col min="9729" max="9729" width="5.5546875" style="8" customWidth="1"/>
    <col min="9730" max="9730" width="9" style="8" customWidth="1"/>
    <col min="9731" max="9732" width="9.88671875" style="8" customWidth="1"/>
    <col min="9733" max="9733" width="11.109375" style="8" customWidth="1"/>
    <col min="9734" max="9734" width="2.88671875" style="8" customWidth="1"/>
    <col min="9735" max="9735" width="3.5546875" style="8" customWidth="1"/>
    <col min="9736" max="9980" width="9.109375" style="8"/>
    <col min="9981" max="9981" width="8.6640625" style="8" customWidth="1"/>
    <col min="9982" max="9982" width="9.88671875" style="8" customWidth="1"/>
    <col min="9983" max="9983" width="14.44140625" style="8" customWidth="1"/>
    <col min="9984" max="9984" width="7.33203125" style="8" customWidth="1"/>
    <col min="9985" max="9985" width="5.5546875" style="8" customWidth="1"/>
    <col min="9986" max="9986" width="9" style="8" customWidth="1"/>
    <col min="9987" max="9988" width="9.88671875" style="8" customWidth="1"/>
    <col min="9989" max="9989" width="11.109375" style="8" customWidth="1"/>
    <col min="9990" max="9990" width="2.88671875" style="8" customWidth="1"/>
    <col min="9991" max="9991" width="3.5546875" style="8" customWidth="1"/>
    <col min="9992" max="10236" width="9.109375" style="8"/>
    <col min="10237" max="10237" width="8.6640625" style="8" customWidth="1"/>
    <col min="10238" max="10238" width="9.88671875" style="8" customWidth="1"/>
    <col min="10239" max="10239" width="14.44140625" style="8" customWidth="1"/>
    <col min="10240" max="10240" width="7.33203125" style="8" customWidth="1"/>
    <col min="10241" max="10241" width="5.5546875" style="8" customWidth="1"/>
    <col min="10242" max="10242" width="9" style="8" customWidth="1"/>
    <col min="10243" max="10244" width="9.88671875" style="8" customWidth="1"/>
    <col min="10245" max="10245" width="11.109375" style="8" customWidth="1"/>
    <col min="10246" max="10246" width="2.88671875" style="8" customWidth="1"/>
    <col min="10247" max="10247" width="3.5546875" style="8" customWidth="1"/>
    <col min="10248" max="10492" width="9.109375" style="8"/>
    <col min="10493" max="10493" width="8.6640625" style="8" customWidth="1"/>
    <col min="10494" max="10494" width="9.88671875" style="8" customWidth="1"/>
    <col min="10495" max="10495" width="14.44140625" style="8" customWidth="1"/>
    <col min="10496" max="10496" width="7.33203125" style="8" customWidth="1"/>
    <col min="10497" max="10497" width="5.5546875" style="8" customWidth="1"/>
    <col min="10498" max="10498" width="9" style="8" customWidth="1"/>
    <col min="10499" max="10500" width="9.88671875" style="8" customWidth="1"/>
    <col min="10501" max="10501" width="11.109375" style="8" customWidth="1"/>
    <col min="10502" max="10502" width="2.88671875" style="8" customWidth="1"/>
    <col min="10503" max="10503" width="3.5546875" style="8" customWidth="1"/>
    <col min="10504" max="10748" width="9.109375" style="8"/>
    <col min="10749" max="10749" width="8.6640625" style="8" customWidth="1"/>
    <col min="10750" max="10750" width="9.88671875" style="8" customWidth="1"/>
    <col min="10751" max="10751" width="14.44140625" style="8" customWidth="1"/>
    <col min="10752" max="10752" width="7.33203125" style="8" customWidth="1"/>
    <col min="10753" max="10753" width="5.5546875" style="8" customWidth="1"/>
    <col min="10754" max="10754" width="9" style="8" customWidth="1"/>
    <col min="10755" max="10756" width="9.88671875" style="8" customWidth="1"/>
    <col min="10757" max="10757" width="11.109375" style="8" customWidth="1"/>
    <col min="10758" max="10758" width="2.88671875" style="8" customWidth="1"/>
    <col min="10759" max="10759" width="3.5546875" style="8" customWidth="1"/>
    <col min="10760" max="11004" width="9.109375" style="8"/>
    <col min="11005" max="11005" width="8.6640625" style="8" customWidth="1"/>
    <col min="11006" max="11006" width="9.88671875" style="8" customWidth="1"/>
    <col min="11007" max="11007" width="14.44140625" style="8" customWidth="1"/>
    <col min="11008" max="11008" width="7.33203125" style="8" customWidth="1"/>
    <col min="11009" max="11009" width="5.5546875" style="8" customWidth="1"/>
    <col min="11010" max="11010" width="9" style="8" customWidth="1"/>
    <col min="11011" max="11012" width="9.88671875" style="8" customWidth="1"/>
    <col min="11013" max="11013" width="11.109375" style="8" customWidth="1"/>
    <col min="11014" max="11014" width="2.88671875" style="8" customWidth="1"/>
    <col min="11015" max="11015" width="3.5546875" style="8" customWidth="1"/>
    <col min="11016" max="11260" width="9.109375" style="8"/>
    <col min="11261" max="11261" width="8.6640625" style="8" customWidth="1"/>
    <col min="11262" max="11262" width="9.88671875" style="8" customWidth="1"/>
    <col min="11263" max="11263" width="14.44140625" style="8" customWidth="1"/>
    <col min="11264" max="11264" width="7.33203125" style="8" customWidth="1"/>
    <col min="11265" max="11265" width="5.5546875" style="8" customWidth="1"/>
    <col min="11266" max="11266" width="9" style="8" customWidth="1"/>
    <col min="11267" max="11268" width="9.88671875" style="8" customWidth="1"/>
    <col min="11269" max="11269" width="11.109375" style="8" customWidth="1"/>
    <col min="11270" max="11270" width="2.88671875" style="8" customWidth="1"/>
    <col min="11271" max="11271" width="3.5546875" style="8" customWidth="1"/>
    <col min="11272" max="11516" width="9.109375" style="8"/>
    <col min="11517" max="11517" width="8.6640625" style="8" customWidth="1"/>
    <col min="11518" max="11518" width="9.88671875" style="8" customWidth="1"/>
    <col min="11519" max="11519" width="14.44140625" style="8" customWidth="1"/>
    <col min="11520" max="11520" width="7.33203125" style="8" customWidth="1"/>
    <col min="11521" max="11521" width="5.5546875" style="8" customWidth="1"/>
    <col min="11522" max="11522" width="9" style="8" customWidth="1"/>
    <col min="11523" max="11524" width="9.88671875" style="8" customWidth="1"/>
    <col min="11525" max="11525" width="11.109375" style="8" customWidth="1"/>
    <col min="11526" max="11526" width="2.88671875" style="8" customWidth="1"/>
    <col min="11527" max="11527" width="3.5546875" style="8" customWidth="1"/>
    <col min="11528" max="11772" width="9.109375" style="8"/>
    <col min="11773" max="11773" width="8.6640625" style="8" customWidth="1"/>
    <col min="11774" max="11774" width="9.88671875" style="8" customWidth="1"/>
    <col min="11775" max="11775" width="14.44140625" style="8" customWidth="1"/>
    <col min="11776" max="11776" width="7.33203125" style="8" customWidth="1"/>
    <col min="11777" max="11777" width="5.5546875" style="8" customWidth="1"/>
    <col min="11778" max="11778" width="9" style="8" customWidth="1"/>
    <col min="11779" max="11780" width="9.88671875" style="8" customWidth="1"/>
    <col min="11781" max="11781" width="11.109375" style="8" customWidth="1"/>
    <col min="11782" max="11782" width="2.88671875" style="8" customWidth="1"/>
    <col min="11783" max="11783" width="3.5546875" style="8" customWidth="1"/>
    <col min="11784" max="12028" width="9.109375" style="8"/>
    <col min="12029" max="12029" width="8.6640625" style="8" customWidth="1"/>
    <col min="12030" max="12030" width="9.88671875" style="8" customWidth="1"/>
    <col min="12031" max="12031" width="14.44140625" style="8" customWidth="1"/>
    <col min="12032" max="12032" width="7.33203125" style="8" customWidth="1"/>
    <col min="12033" max="12033" width="5.5546875" style="8" customWidth="1"/>
    <col min="12034" max="12034" width="9" style="8" customWidth="1"/>
    <col min="12035" max="12036" width="9.88671875" style="8" customWidth="1"/>
    <col min="12037" max="12037" width="11.109375" style="8" customWidth="1"/>
    <col min="12038" max="12038" width="2.88671875" style="8" customWidth="1"/>
    <col min="12039" max="12039" width="3.5546875" style="8" customWidth="1"/>
    <col min="12040" max="12284" width="9.109375" style="8"/>
    <col min="12285" max="12285" width="8.6640625" style="8" customWidth="1"/>
    <col min="12286" max="12286" width="9.88671875" style="8" customWidth="1"/>
    <col min="12287" max="12287" width="14.44140625" style="8" customWidth="1"/>
    <col min="12288" max="12288" width="7.33203125" style="8" customWidth="1"/>
    <col min="12289" max="12289" width="5.5546875" style="8" customWidth="1"/>
    <col min="12290" max="12290" width="9" style="8" customWidth="1"/>
    <col min="12291" max="12292" width="9.88671875" style="8" customWidth="1"/>
    <col min="12293" max="12293" width="11.109375" style="8" customWidth="1"/>
    <col min="12294" max="12294" width="2.88671875" style="8" customWidth="1"/>
    <col min="12295" max="12295" width="3.5546875" style="8" customWidth="1"/>
    <col min="12296" max="12540" width="9.109375" style="8"/>
    <col min="12541" max="12541" width="8.6640625" style="8" customWidth="1"/>
    <col min="12542" max="12542" width="9.88671875" style="8" customWidth="1"/>
    <col min="12543" max="12543" width="14.44140625" style="8" customWidth="1"/>
    <col min="12544" max="12544" width="7.33203125" style="8" customWidth="1"/>
    <col min="12545" max="12545" width="5.5546875" style="8" customWidth="1"/>
    <col min="12546" max="12546" width="9" style="8" customWidth="1"/>
    <col min="12547" max="12548" width="9.88671875" style="8" customWidth="1"/>
    <col min="12549" max="12549" width="11.109375" style="8" customWidth="1"/>
    <col min="12550" max="12550" width="2.88671875" style="8" customWidth="1"/>
    <col min="12551" max="12551" width="3.5546875" style="8" customWidth="1"/>
    <col min="12552" max="12796" width="9.109375" style="8"/>
    <col min="12797" max="12797" width="8.6640625" style="8" customWidth="1"/>
    <col min="12798" max="12798" width="9.88671875" style="8" customWidth="1"/>
    <col min="12799" max="12799" width="14.44140625" style="8" customWidth="1"/>
    <col min="12800" max="12800" width="7.33203125" style="8" customWidth="1"/>
    <col min="12801" max="12801" width="5.5546875" style="8" customWidth="1"/>
    <col min="12802" max="12802" width="9" style="8" customWidth="1"/>
    <col min="12803" max="12804" width="9.88671875" style="8" customWidth="1"/>
    <col min="12805" max="12805" width="11.109375" style="8" customWidth="1"/>
    <col min="12806" max="12806" width="2.88671875" style="8" customWidth="1"/>
    <col min="12807" max="12807" width="3.5546875" style="8" customWidth="1"/>
    <col min="12808" max="13052" width="9.109375" style="8"/>
    <col min="13053" max="13053" width="8.6640625" style="8" customWidth="1"/>
    <col min="13054" max="13054" width="9.88671875" style="8" customWidth="1"/>
    <col min="13055" max="13055" width="14.44140625" style="8" customWidth="1"/>
    <col min="13056" max="13056" width="7.33203125" style="8" customWidth="1"/>
    <col min="13057" max="13057" width="5.5546875" style="8" customWidth="1"/>
    <col min="13058" max="13058" width="9" style="8" customWidth="1"/>
    <col min="13059" max="13060" width="9.88671875" style="8" customWidth="1"/>
    <col min="13061" max="13061" width="11.109375" style="8" customWidth="1"/>
    <col min="13062" max="13062" width="2.88671875" style="8" customWidth="1"/>
    <col min="13063" max="13063" width="3.5546875" style="8" customWidth="1"/>
    <col min="13064" max="13308" width="9.109375" style="8"/>
    <col min="13309" max="13309" width="8.6640625" style="8" customWidth="1"/>
    <col min="13310" max="13310" width="9.88671875" style="8" customWidth="1"/>
    <col min="13311" max="13311" width="14.44140625" style="8" customWidth="1"/>
    <col min="13312" max="13312" width="7.33203125" style="8" customWidth="1"/>
    <col min="13313" max="13313" width="5.5546875" style="8" customWidth="1"/>
    <col min="13314" max="13314" width="9" style="8" customWidth="1"/>
    <col min="13315" max="13316" width="9.88671875" style="8" customWidth="1"/>
    <col min="13317" max="13317" width="11.109375" style="8" customWidth="1"/>
    <col min="13318" max="13318" width="2.88671875" style="8" customWidth="1"/>
    <col min="13319" max="13319" width="3.5546875" style="8" customWidth="1"/>
    <col min="13320" max="13564" width="9.109375" style="8"/>
    <col min="13565" max="13565" width="8.6640625" style="8" customWidth="1"/>
    <col min="13566" max="13566" width="9.88671875" style="8" customWidth="1"/>
    <col min="13567" max="13567" width="14.44140625" style="8" customWidth="1"/>
    <col min="13568" max="13568" width="7.33203125" style="8" customWidth="1"/>
    <col min="13569" max="13569" width="5.5546875" style="8" customWidth="1"/>
    <col min="13570" max="13570" width="9" style="8" customWidth="1"/>
    <col min="13571" max="13572" width="9.88671875" style="8" customWidth="1"/>
    <col min="13573" max="13573" width="11.109375" style="8" customWidth="1"/>
    <col min="13574" max="13574" width="2.88671875" style="8" customWidth="1"/>
    <col min="13575" max="13575" width="3.5546875" style="8" customWidth="1"/>
    <col min="13576" max="13820" width="9.109375" style="8"/>
    <col min="13821" max="13821" width="8.6640625" style="8" customWidth="1"/>
    <col min="13822" max="13822" width="9.88671875" style="8" customWidth="1"/>
    <col min="13823" max="13823" width="14.44140625" style="8" customWidth="1"/>
    <col min="13824" max="13824" width="7.33203125" style="8" customWidth="1"/>
    <col min="13825" max="13825" width="5.5546875" style="8" customWidth="1"/>
    <col min="13826" max="13826" width="9" style="8" customWidth="1"/>
    <col min="13827" max="13828" width="9.88671875" style="8" customWidth="1"/>
    <col min="13829" max="13829" width="11.109375" style="8" customWidth="1"/>
    <col min="13830" max="13830" width="2.88671875" style="8" customWidth="1"/>
    <col min="13831" max="13831" width="3.5546875" style="8" customWidth="1"/>
    <col min="13832" max="14076" width="9.109375" style="8"/>
    <col min="14077" max="14077" width="8.6640625" style="8" customWidth="1"/>
    <col min="14078" max="14078" width="9.88671875" style="8" customWidth="1"/>
    <col min="14079" max="14079" width="14.44140625" style="8" customWidth="1"/>
    <col min="14080" max="14080" width="7.33203125" style="8" customWidth="1"/>
    <col min="14081" max="14081" width="5.5546875" style="8" customWidth="1"/>
    <col min="14082" max="14082" width="9" style="8" customWidth="1"/>
    <col min="14083" max="14084" width="9.88671875" style="8" customWidth="1"/>
    <col min="14085" max="14085" width="11.109375" style="8" customWidth="1"/>
    <col min="14086" max="14086" width="2.88671875" style="8" customWidth="1"/>
    <col min="14087" max="14087" width="3.5546875" style="8" customWidth="1"/>
    <col min="14088" max="14332" width="9.109375" style="8"/>
    <col min="14333" max="14333" width="8.6640625" style="8" customWidth="1"/>
    <col min="14334" max="14334" width="9.88671875" style="8" customWidth="1"/>
    <col min="14335" max="14335" width="14.44140625" style="8" customWidth="1"/>
    <col min="14336" max="14336" width="7.33203125" style="8" customWidth="1"/>
    <col min="14337" max="14337" width="5.5546875" style="8" customWidth="1"/>
    <col min="14338" max="14338" width="9" style="8" customWidth="1"/>
    <col min="14339" max="14340" width="9.88671875" style="8" customWidth="1"/>
    <col min="14341" max="14341" width="11.109375" style="8" customWidth="1"/>
    <col min="14342" max="14342" width="2.88671875" style="8" customWidth="1"/>
    <col min="14343" max="14343" width="3.5546875" style="8" customWidth="1"/>
    <col min="14344" max="14588" width="9.109375" style="8"/>
    <col min="14589" max="14589" width="8.6640625" style="8" customWidth="1"/>
    <col min="14590" max="14590" width="9.88671875" style="8" customWidth="1"/>
    <col min="14591" max="14591" width="14.44140625" style="8" customWidth="1"/>
    <col min="14592" max="14592" width="7.33203125" style="8" customWidth="1"/>
    <col min="14593" max="14593" width="5.5546875" style="8" customWidth="1"/>
    <col min="14594" max="14594" width="9" style="8" customWidth="1"/>
    <col min="14595" max="14596" width="9.88671875" style="8" customWidth="1"/>
    <col min="14597" max="14597" width="11.109375" style="8" customWidth="1"/>
    <col min="14598" max="14598" width="2.88671875" style="8" customWidth="1"/>
    <col min="14599" max="14599" width="3.5546875" style="8" customWidth="1"/>
    <col min="14600" max="14844" width="9.109375" style="8"/>
    <col min="14845" max="14845" width="8.6640625" style="8" customWidth="1"/>
    <col min="14846" max="14846" width="9.88671875" style="8" customWidth="1"/>
    <col min="14847" max="14847" width="14.44140625" style="8" customWidth="1"/>
    <col min="14848" max="14848" width="7.33203125" style="8" customWidth="1"/>
    <col min="14849" max="14849" width="5.5546875" style="8" customWidth="1"/>
    <col min="14850" max="14850" width="9" style="8" customWidth="1"/>
    <col min="14851" max="14852" width="9.88671875" style="8" customWidth="1"/>
    <col min="14853" max="14853" width="11.109375" style="8" customWidth="1"/>
    <col min="14854" max="14854" width="2.88671875" style="8" customWidth="1"/>
    <col min="14855" max="14855" width="3.5546875" style="8" customWidth="1"/>
    <col min="14856" max="15100" width="9.109375" style="8"/>
    <col min="15101" max="15101" width="8.6640625" style="8" customWidth="1"/>
    <col min="15102" max="15102" width="9.88671875" style="8" customWidth="1"/>
    <col min="15103" max="15103" width="14.44140625" style="8" customWidth="1"/>
    <col min="15104" max="15104" width="7.33203125" style="8" customWidth="1"/>
    <col min="15105" max="15105" width="5.5546875" style="8" customWidth="1"/>
    <col min="15106" max="15106" width="9" style="8" customWidth="1"/>
    <col min="15107" max="15108" width="9.88671875" style="8" customWidth="1"/>
    <col min="15109" max="15109" width="11.109375" style="8" customWidth="1"/>
    <col min="15110" max="15110" width="2.88671875" style="8" customWidth="1"/>
    <col min="15111" max="15111" width="3.5546875" style="8" customWidth="1"/>
    <col min="15112" max="15356" width="9.109375" style="8"/>
    <col min="15357" max="15357" width="8.6640625" style="8" customWidth="1"/>
    <col min="15358" max="15358" width="9.88671875" style="8" customWidth="1"/>
    <col min="15359" max="15359" width="14.44140625" style="8" customWidth="1"/>
    <col min="15360" max="15360" width="7.33203125" style="8" customWidth="1"/>
    <col min="15361" max="15361" width="5.5546875" style="8" customWidth="1"/>
    <col min="15362" max="15362" width="9" style="8" customWidth="1"/>
    <col min="15363" max="15364" width="9.88671875" style="8" customWidth="1"/>
    <col min="15365" max="15365" width="11.109375" style="8" customWidth="1"/>
    <col min="15366" max="15366" width="2.88671875" style="8" customWidth="1"/>
    <col min="15367" max="15367" width="3.5546875" style="8" customWidth="1"/>
    <col min="15368" max="15612" width="9.109375" style="8"/>
    <col min="15613" max="15613" width="8.6640625" style="8" customWidth="1"/>
    <col min="15614" max="15614" width="9.88671875" style="8" customWidth="1"/>
    <col min="15615" max="15615" width="14.44140625" style="8" customWidth="1"/>
    <col min="15616" max="15616" width="7.33203125" style="8" customWidth="1"/>
    <col min="15617" max="15617" width="5.5546875" style="8" customWidth="1"/>
    <col min="15618" max="15618" width="9" style="8" customWidth="1"/>
    <col min="15619" max="15620" width="9.88671875" style="8" customWidth="1"/>
    <col min="15621" max="15621" width="11.109375" style="8" customWidth="1"/>
    <col min="15622" max="15622" width="2.88671875" style="8" customWidth="1"/>
    <col min="15623" max="15623" width="3.5546875" style="8" customWidth="1"/>
    <col min="15624" max="15868" width="9.109375" style="8"/>
    <col min="15869" max="15869" width="8.6640625" style="8" customWidth="1"/>
    <col min="15870" max="15870" width="9.88671875" style="8" customWidth="1"/>
    <col min="15871" max="15871" width="14.44140625" style="8" customWidth="1"/>
    <col min="15872" max="15872" width="7.33203125" style="8" customWidth="1"/>
    <col min="15873" max="15873" width="5.5546875" style="8" customWidth="1"/>
    <col min="15874" max="15874" width="9" style="8" customWidth="1"/>
    <col min="15875" max="15876" width="9.88671875" style="8" customWidth="1"/>
    <col min="15877" max="15877" width="11.109375" style="8" customWidth="1"/>
    <col min="15878" max="15878" width="2.88671875" style="8" customWidth="1"/>
    <col min="15879" max="15879" width="3.5546875" style="8" customWidth="1"/>
    <col min="15880" max="16124" width="9.109375" style="8"/>
    <col min="16125" max="16125" width="8.6640625" style="8" customWidth="1"/>
    <col min="16126" max="16126" width="9.88671875" style="8" customWidth="1"/>
    <col min="16127" max="16127" width="14.44140625" style="8" customWidth="1"/>
    <col min="16128" max="16128" width="7.33203125" style="8" customWidth="1"/>
    <col min="16129" max="16129" width="5.5546875" style="8" customWidth="1"/>
    <col min="16130" max="16130" width="9" style="8" customWidth="1"/>
    <col min="16131" max="16132" width="9.88671875" style="8" customWidth="1"/>
    <col min="16133" max="16133" width="11.109375" style="8" customWidth="1"/>
    <col min="16134" max="16134" width="2.88671875" style="8" customWidth="1"/>
    <col min="16135" max="16135" width="3.5546875" style="8" customWidth="1"/>
    <col min="16136" max="16384" width="9.109375" style="8"/>
  </cols>
  <sheetData>
    <row r="1" spans="1:8" ht="46.5" customHeight="1" x14ac:dyDescent="0.3">
      <c r="A1" s="180" t="s">
        <v>296</v>
      </c>
      <c r="B1" s="181"/>
      <c r="C1" s="181"/>
      <c r="D1" s="181"/>
      <c r="E1" s="181"/>
      <c r="F1" s="181"/>
      <c r="G1" s="181"/>
      <c r="H1" s="182"/>
    </row>
    <row r="2" spans="1:8" ht="16.5" customHeight="1" x14ac:dyDescent="0.3">
      <c r="A2" s="163" t="s">
        <v>0</v>
      </c>
      <c r="B2" s="164"/>
      <c r="C2" s="164"/>
      <c r="D2" s="164"/>
      <c r="E2" s="164"/>
      <c r="F2" s="164"/>
      <c r="G2" s="164"/>
      <c r="H2" s="165"/>
    </row>
    <row r="3" spans="1:8" x14ac:dyDescent="0.3">
      <c r="A3" s="98" t="s">
        <v>1</v>
      </c>
      <c r="B3" s="99"/>
      <c r="C3" s="99"/>
      <c r="D3" s="99"/>
      <c r="E3" s="183" t="str">
        <f ca="1">TEXT(TODAY(),"DD/MM/YYYY")</f>
        <v>09/07/2025</v>
      </c>
      <c r="F3" s="184"/>
      <c r="G3" s="184"/>
      <c r="H3" s="185"/>
    </row>
    <row r="4" spans="1:8" ht="15" customHeight="1" x14ac:dyDescent="0.3">
      <c r="A4" s="98" t="s">
        <v>2</v>
      </c>
      <c r="B4" s="99"/>
      <c r="C4" s="99"/>
      <c r="D4" s="99"/>
      <c r="E4" s="168" t="s">
        <v>146</v>
      </c>
      <c r="F4" s="169"/>
      <c r="G4" s="169"/>
      <c r="H4" s="170"/>
    </row>
    <row r="5" spans="1:8" x14ac:dyDescent="0.3">
      <c r="A5" s="98" t="s">
        <v>3</v>
      </c>
      <c r="B5" s="99"/>
      <c r="C5" s="99"/>
      <c r="D5" s="99"/>
      <c r="E5" s="186">
        <v>45846</v>
      </c>
      <c r="F5" s="187"/>
      <c r="G5" s="187"/>
      <c r="H5" s="188"/>
    </row>
    <row r="6" spans="1:8" ht="16.5" customHeight="1" x14ac:dyDescent="0.3">
      <c r="A6" s="98" t="s">
        <v>4</v>
      </c>
      <c r="B6" s="99"/>
      <c r="C6" s="99"/>
      <c r="D6" s="99"/>
      <c r="E6" s="121" t="s">
        <v>310</v>
      </c>
      <c r="F6" s="122"/>
      <c r="G6" s="122"/>
      <c r="H6" s="123"/>
    </row>
    <row r="7" spans="1:8" ht="15" customHeight="1" x14ac:dyDescent="0.3">
      <c r="A7" s="98" t="s">
        <v>5</v>
      </c>
      <c r="B7" s="99"/>
      <c r="C7" s="99"/>
      <c r="D7" s="99"/>
      <c r="E7" s="121" t="str">
        <f>E6</f>
        <v>M/s. Pawar Group</v>
      </c>
      <c r="F7" s="122"/>
      <c r="G7" s="122"/>
      <c r="H7" s="123"/>
    </row>
    <row r="8" spans="1:8" x14ac:dyDescent="0.3">
      <c r="A8" s="98" t="s">
        <v>6</v>
      </c>
      <c r="B8" s="99"/>
      <c r="C8" s="99"/>
      <c r="D8" s="99"/>
      <c r="E8" s="157" t="s">
        <v>147</v>
      </c>
      <c r="F8" s="158"/>
      <c r="G8" s="158"/>
      <c r="H8" s="159"/>
    </row>
    <row r="9" spans="1:8" x14ac:dyDescent="0.3">
      <c r="A9" s="98" t="s">
        <v>297</v>
      </c>
      <c r="B9" s="99"/>
      <c r="C9" s="99"/>
      <c r="D9" s="99"/>
      <c r="E9" s="98">
        <v>9011782394</v>
      </c>
      <c r="F9" s="99"/>
      <c r="G9" s="99"/>
      <c r="H9" s="100"/>
    </row>
    <row r="10" spans="1:8" hidden="1" x14ac:dyDescent="0.3">
      <c r="A10" s="98" t="s">
        <v>298</v>
      </c>
      <c r="B10" s="99"/>
      <c r="C10" s="99"/>
      <c r="D10" s="99"/>
      <c r="E10" s="98"/>
      <c r="F10" s="99"/>
      <c r="G10" s="99"/>
      <c r="H10" s="100"/>
    </row>
    <row r="11" spans="1:8" x14ac:dyDescent="0.3">
      <c r="A11" s="133" t="s">
        <v>7</v>
      </c>
      <c r="B11" s="131"/>
      <c r="C11" s="131"/>
      <c r="D11" s="131"/>
      <c r="E11" s="133" t="s">
        <v>291</v>
      </c>
      <c r="F11" s="131"/>
      <c r="G11" s="131"/>
      <c r="H11" s="132"/>
    </row>
    <row r="12" spans="1:8" x14ac:dyDescent="0.3">
      <c r="A12" s="98" t="s">
        <v>8</v>
      </c>
      <c r="B12" s="99"/>
      <c r="C12" s="99"/>
      <c r="D12" s="99"/>
      <c r="E12" s="124" t="s">
        <v>277</v>
      </c>
      <c r="F12" s="125"/>
      <c r="G12" s="125"/>
      <c r="H12" s="126"/>
    </row>
    <row r="13" spans="1:8" ht="32.25" customHeight="1" x14ac:dyDescent="0.3">
      <c r="A13" s="98" t="s">
        <v>9</v>
      </c>
      <c r="B13" s="99"/>
      <c r="C13" s="99"/>
      <c r="D13" s="99"/>
      <c r="E13" s="121" t="s">
        <v>309</v>
      </c>
      <c r="F13" s="99"/>
      <c r="G13" s="99"/>
      <c r="H13" s="100"/>
    </row>
    <row r="14" spans="1:8" ht="33.75" customHeight="1" x14ac:dyDescent="0.3">
      <c r="A14" s="121" t="s">
        <v>10</v>
      </c>
      <c r="B14" s="123"/>
      <c r="C14" s="121" t="str">
        <f>CONCATENATE((IF(OR(E8="",E8="NA"),"",E8)),", ",(IF(OR(A15="",A15="NA"),"",A15)),".",(IF(OR(C15="",C15="NA"),"",C15)),", ",(IF(OR(C16="",C16="NA"),"",C16)),", ",(IF(OR(G16="",G16="NA"),"",G16)),", ",(IF(OR(G17="",G17="NA"),"",G17)),", ",(IF(OR(G18="",G18="NA"),"",G18)),".")</f>
        <v>Shree Ganesh Symphony, Survey No.172, H.No.1/8, D.P Road, Badlapur, Thane, 421503.</v>
      </c>
      <c r="D14" s="122"/>
      <c r="E14" s="122"/>
      <c r="F14" s="122"/>
      <c r="G14" s="122"/>
      <c r="H14" s="123"/>
    </row>
    <row r="15" spans="1:8" ht="15.75" customHeight="1" x14ac:dyDescent="0.3">
      <c r="A15" s="124" t="s">
        <v>152</v>
      </c>
      <c r="B15" s="126"/>
      <c r="C15" s="124" t="s">
        <v>148</v>
      </c>
      <c r="D15" s="125"/>
      <c r="E15" s="125"/>
      <c r="F15" s="125"/>
      <c r="G15" s="125"/>
      <c r="H15" s="126"/>
    </row>
    <row r="16" spans="1:8" ht="15.75" customHeight="1" x14ac:dyDescent="0.3">
      <c r="A16" s="121" t="s">
        <v>11</v>
      </c>
      <c r="B16" s="123"/>
      <c r="C16" s="151" t="s">
        <v>154</v>
      </c>
      <c r="D16" s="151"/>
      <c r="E16" s="191" t="s">
        <v>105</v>
      </c>
      <c r="F16" s="192"/>
      <c r="G16" s="124" t="s">
        <v>149</v>
      </c>
      <c r="H16" s="126"/>
    </row>
    <row r="17" spans="1:8" x14ac:dyDescent="0.3">
      <c r="A17" s="136" t="s">
        <v>13</v>
      </c>
      <c r="B17" s="136"/>
      <c r="C17" s="124" t="s">
        <v>149</v>
      </c>
      <c r="D17" s="125"/>
      <c r="E17" s="191" t="s">
        <v>12</v>
      </c>
      <c r="F17" s="192"/>
      <c r="G17" s="202" t="s">
        <v>150</v>
      </c>
      <c r="H17" s="202"/>
    </row>
    <row r="18" spans="1:8" x14ac:dyDescent="0.3">
      <c r="A18" s="136" t="s">
        <v>106</v>
      </c>
      <c r="B18" s="136"/>
      <c r="C18" s="124" t="s">
        <v>151</v>
      </c>
      <c r="D18" s="125"/>
      <c r="E18" s="191" t="s">
        <v>14</v>
      </c>
      <c r="F18" s="192"/>
      <c r="G18" s="124">
        <v>421503</v>
      </c>
      <c r="H18" s="126"/>
    </row>
    <row r="19" spans="1:8" ht="32.25" customHeight="1" x14ac:dyDescent="0.3">
      <c r="A19" s="136" t="s">
        <v>15</v>
      </c>
      <c r="B19" s="136"/>
      <c r="C19" s="86" t="s">
        <v>155</v>
      </c>
      <c r="D19" s="86"/>
      <c r="E19" s="85" t="s">
        <v>16</v>
      </c>
      <c r="F19" s="85"/>
      <c r="G19" s="189" t="s">
        <v>153</v>
      </c>
      <c r="H19" s="190"/>
    </row>
    <row r="20" spans="1:8" ht="15" customHeight="1" x14ac:dyDescent="0.3">
      <c r="A20" s="191" t="s">
        <v>111</v>
      </c>
      <c r="B20" s="194"/>
      <c r="C20" s="194"/>
      <c r="D20" s="194"/>
      <c r="E20" s="197" t="s">
        <v>17</v>
      </c>
      <c r="F20" s="129"/>
      <c r="G20" s="129"/>
      <c r="H20" s="130"/>
    </row>
    <row r="21" spans="1:8" ht="18.75" customHeight="1" x14ac:dyDescent="0.3">
      <c r="A21" s="195"/>
      <c r="B21" s="196"/>
      <c r="C21" s="196"/>
      <c r="D21" s="196"/>
      <c r="E21" s="198"/>
      <c r="F21" s="199"/>
      <c r="G21" s="199"/>
      <c r="H21" s="200"/>
    </row>
    <row r="22" spans="1:8" ht="15" customHeight="1" x14ac:dyDescent="0.3">
      <c r="A22" s="191" t="s">
        <v>18</v>
      </c>
      <c r="B22" s="194"/>
      <c r="C22" s="194"/>
      <c r="D22" s="194"/>
      <c r="E22" s="137" t="s">
        <v>19</v>
      </c>
      <c r="F22" s="201"/>
      <c r="G22" s="201"/>
      <c r="H22" s="138"/>
    </row>
    <row r="23" spans="1:8" ht="15" customHeight="1" x14ac:dyDescent="0.3">
      <c r="A23" s="98" t="s">
        <v>20</v>
      </c>
      <c r="B23" s="99"/>
      <c r="C23" s="99"/>
      <c r="D23" s="99"/>
      <c r="E23" s="124" t="s">
        <v>156</v>
      </c>
      <c r="F23" s="125"/>
      <c r="G23" s="125"/>
      <c r="H23" s="126"/>
    </row>
    <row r="24" spans="1:8" x14ac:dyDescent="0.3">
      <c r="A24" s="98" t="s">
        <v>21</v>
      </c>
      <c r="B24" s="99"/>
      <c r="C24" s="99"/>
      <c r="D24" s="99"/>
      <c r="E24" s="124" t="s">
        <v>22</v>
      </c>
      <c r="F24" s="125"/>
      <c r="G24" s="125"/>
      <c r="H24" s="126"/>
    </row>
    <row r="25" spans="1:8" x14ac:dyDescent="0.3">
      <c r="A25" s="98" t="s">
        <v>23</v>
      </c>
      <c r="B25" s="99"/>
      <c r="C25" s="99"/>
      <c r="D25" s="99"/>
      <c r="E25" s="124" t="s">
        <v>157</v>
      </c>
      <c r="F25" s="125"/>
      <c r="G25" s="125"/>
      <c r="H25" s="126"/>
    </row>
    <row r="26" spans="1:8" x14ac:dyDescent="0.3">
      <c r="A26" s="98" t="s">
        <v>24</v>
      </c>
      <c r="B26" s="99"/>
      <c r="C26" s="99"/>
      <c r="D26" s="99"/>
      <c r="E26" s="124" t="s">
        <v>25</v>
      </c>
      <c r="F26" s="125"/>
      <c r="G26" s="125"/>
      <c r="H26" s="126"/>
    </row>
    <row r="27" spans="1:8" x14ac:dyDescent="0.3">
      <c r="A27" s="98" t="s">
        <v>119</v>
      </c>
      <c r="B27" s="99"/>
      <c r="C27" s="99"/>
      <c r="D27" s="99"/>
      <c r="E27" s="124" t="s">
        <v>120</v>
      </c>
      <c r="F27" s="125"/>
      <c r="G27" s="125"/>
      <c r="H27" s="126"/>
    </row>
    <row r="28" spans="1:8" ht="15" customHeight="1" x14ac:dyDescent="0.3">
      <c r="A28" s="121" t="s">
        <v>34</v>
      </c>
      <c r="B28" s="122"/>
      <c r="C28" s="122"/>
      <c r="D28" s="122"/>
      <c r="E28" s="168" t="s">
        <v>115</v>
      </c>
      <c r="F28" s="169"/>
      <c r="G28" s="169"/>
      <c r="H28" s="170"/>
    </row>
    <row r="29" spans="1:8" x14ac:dyDescent="0.3">
      <c r="A29" s="85" t="s">
        <v>131</v>
      </c>
      <c r="B29" s="85"/>
      <c r="C29" s="85"/>
      <c r="D29" s="85"/>
      <c r="E29" s="121" t="s">
        <v>35</v>
      </c>
      <c r="F29" s="122"/>
      <c r="G29" s="122"/>
      <c r="H29" s="123"/>
    </row>
    <row r="30" spans="1:8" s="12" customFormat="1" x14ac:dyDescent="0.3">
      <c r="A30" s="204" t="s">
        <v>132</v>
      </c>
      <c r="B30" s="205"/>
      <c r="C30" s="177" t="s">
        <v>30</v>
      </c>
      <c r="D30" s="178"/>
      <c r="E30" s="179"/>
      <c r="F30" s="177" t="s">
        <v>32</v>
      </c>
      <c r="G30" s="178"/>
      <c r="H30" s="179"/>
    </row>
    <row r="31" spans="1:8" s="12" customFormat="1" x14ac:dyDescent="0.3">
      <c r="A31" s="171" t="s">
        <v>26</v>
      </c>
      <c r="B31" s="172" t="s">
        <v>31</v>
      </c>
      <c r="C31" s="174" t="s">
        <v>31</v>
      </c>
      <c r="D31" s="175"/>
      <c r="E31" s="176"/>
      <c r="F31" s="174" t="s">
        <v>158</v>
      </c>
      <c r="G31" s="175"/>
      <c r="H31" s="176"/>
    </row>
    <row r="32" spans="1:8" x14ac:dyDescent="0.3">
      <c r="A32" s="171" t="s">
        <v>27</v>
      </c>
      <c r="B32" s="172" t="s">
        <v>31</v>
      </c>
      <c r="C32" s="174" t="s">
        <v>31</v>
      </c>
      <c r="D32" s="175"/>
      <c r="E32" s="176"/>
      <c r="F32" s="174" t="s">
        <v>159</v>
      </c>
      <c r="G32" s="175"/>
      <c r="H32" s="176"/>
    </row>
    <row r="33" spans="1:8" s="12" customFormat="1" x14ac:dyDescent="0.3">
      <c r="A33" s="171" t="s">
        <v>29</v>
      </c>
      <c r="B33" s="172" t="s">
        <v>31</v>
      </c>
      <c r="C33" s="174" t="s">
        <v>31</v>
      </c>
      <c r="D33" s="175"/>
      <c r="E33" s="176"/>
      <c r="F33" s="174" t="s">
        <v>158</v>
      </c>
      <c r="G33" s="175"/>
      <c r="H33" s="176"/>
    </row>
    <row r="34" spans="1:8" x14ac:dyDescent="0.3">
      <c r="A34" s="171" t="s">
        <v>28</v>
      </c>
      <c r="B34" s="172" t="s">
        <v>31</v>
      </c>
      <c r="C34" s="174" t="s">
        <v>31</v>
      </c>
      <c r="D34" s="175"/>
      <c r="E34" s="176"/>
      <c r="F34" s="174" t="s">
        <v>11</v>
      </c>
      <c r="G34" s="175"/>
      <c r="H34" s="176"/>
    </row>
    <row r="35" spans="1:8" x14ac:dyDescent="0.3">
      <c r="A35" s="98" t="s">
        <v>33</v>
      </c>
      <c r="B35" s="99"/>
      <c r="C35" s="99"/>
      <c r="D35" s="99"/>
      <c r="E35" s="99"/>
      <c r="F35" s="99"/>
      <c r="G35" s="99"/>
      <c r="H35" s="100"/>
    </row>
    <row r="36" spans="1:8" ht="15.75" customHeight="1" x14ac:dyDescent="0.3">
      <c r="A36" s="136" t="s">
        <v>307</v>
      </c>
      <c r="B36" s="136"/>
      <c r="C36" s="146" t="s">
        <v>308</v>
      </c>
      <c r="D36" s="147"/>
      <c r="E36" s="147"/>
      <c r="F36" s="147"/>
      <c r="G36" s="147"/>
      <c r="H36" s="148"/>
    </row>
    <row r="37" spans="1:8" ht="15.75" customHeight="1" x14ac:dyDescent="0.3">
      <c r="A37" s="136" t="s">
        <v>293</v>
      </c>
      <c r="B37" s="136"/>
      <c r="C37" s="143" t="s">
        <v>294</v>
      </c>
      <c r="D37" s="144"/>
      <c r="E37" s="144"/>
      <c r="F37" s="144"/>
      <c r="G37" s="144"/>
      <c r="H37" s="145"/>
    </row>
    <row r="38" spans="1:8" x14ac:dyDescent="0.3">
      <c r="A38" s="152" t="s">
        <v>36</v>
      </c>
      <c r="B38" s="152"/>
      <c r="C38" s="152"/>
      <c r="D38" s="152"/>
      <c r="E38" s="152"/>
      <c r="F38" s="152"/>
      <c r="G38" s="152"/>
      <c r="H38" s="152"/>
    </row>
    <row r="39" spans="1:8" x14ac:dyDescent="0.3">
      <c r="A39" s="136" t="s">
        <v>37</v>
      </c>
      <c r="B39" s="136"/>
      <c r="C39" s="136"/>
      <c r="D39" s="136"/>
      <c r="E39" s="173">
        <v>3986.4</v>
      </c>
      <c r="F39" s="173"/>
      <c r="G39" s="173"/>
      <c r="H39" s="173"/>
    </row>
    <row r="40" spans="1:8" x14ac:dyDescent="0.3">
      <c r="A40" s="136" t="s">
        <v>38</v>
      </c>
      <c r="B40" s="136"/>
      <c r="C40" s="136"/>
      <c r="D40" s="136"/>
      <c r="E40" s="149">
        <v>1.1000000000000001</v>
      </c>
      <c r="F40" s="149"/>
      <c r="G40" s="149"/>
      <c r="H40" s="149"/>
    </row>
    <row r="41" spans="1:8" x14ac:dyDescent="0.3">
      <c r="A41" s="136" t="s">
        <v>39</v>
      </c>
      <c r="B41" s="136"/>
      <c r="C41" s="136"/>
      <c r="D41" s="136"/>
      <c r="E41" s="149">
        <f>E43/E39-E40</f>
        <v>0</v>
      </c>
      <c r="F41" s="149"/>
      <c r="G41" s="149"/>
      <c r="H41" s="149"/>
    </row>
    <row r="42" spans="1:8" x14ac:dyDescent="0.3">
      <c r="A42" s="136" t="s">
        <v>40</v>
      </c>
      <c r="B42" s="136"/>
      <c r="C42" s="136"/>
      <c r="D42" s="136"/>
      <c r="E42" s="149">
        <f>E40+E41</f>
        <v>1.1000000000000001</v>
      </c>
      <c r="F42" s="149"/>
      <c r="G42" s="149"/>
      <c r="H42" s="149"/>
    </row>
    <row r="43" spans="1:8" x14ac:dyDescent="0.3">
      <c r="A43" s="136" t="s">
        <v>130</v>
      </c>
      <c r="B43" s="136"/>
      <c r="C43" s="136"/>
      <c r="D43" s="136"/>
      <c r="E43" s="150">
        <v>4385.04</v>
      </c>
      <c r="F43" s="150"/>
      <c r="G43" s="150"/>
      <c r="H43" s="150"/>
    </row>
    <row r="44" spans="1:8" x14ac:dyDescent="0.3">
      <c r="A44" s="151" t="s">
        <v>41</v>
      </c>
      <c r="B44" s="151"/>
      <c r="C44" s="151"/>
      <c r="D44" s="151"/>
      <c r="E44" s="151" t="s">
        <v>292</v>
      </c>
      <c r="F44" s="151"/>
      <c r="G44" s="151"/>
      <c r="H44" s="151"/>
    </row>
    <row r="45" spans="1:8" x14ac:dyDescent="0.3">
      <c r="A45" s="152" t="s">
        <v>42</v>
      </c>
      <c r="B45" s="152"/>
      <c r="C45" s="152"/>
      <c r="D45" s="152"/>
      <c r="E45" s="152"/>
      <c r="F45" s="152"/>
      <c r="G45" s="152"/>
      <c r="H45" s="152"/>
    </row>
    <row r="46" spans="1:8" x14ac:dyDescent="0.3">
      <c r="A46" s="85" t="s">
        <v>43</v>
      </c>
      <c r="B46" s="85"/>
      <c r="C46" s="86" t="s">
        <v>268</v>
      </c>
      <c r="D46" s="86"/>
      <c r="E46" s="86"/>
      <c r="F46" s="14" t="s">
        <v>44</v>
      </c>
      <c r="G46" s="84">
        <v>44609</v>
      </c>
      <c r="H46" s="84"/>
    </row>
    <row r="47" spans="1:8" ht="31.5" customHeight="1" x14ac:dyDescent="0.3">
      <c r="A47" s="85" t="s">
        <v>301</v>
      </c>
      <c r="B47" s="85"/>
      <c r="C47" s="86" t="str">
        <f>C46</f>
        <v>KBNP/NRV/BD/1433-203</v>
      </c>
      <c r="D47" s="86"/>
      <c r="E47" s="86"/>
      <c r="F47" s="14" t="s">
        <v>44</v>
      </c>
      <c r="G47" s="84">
        <f>G46</f>
        <v>44609</v>
      </c>
      <c r="H47" s="84"/>
    </row>
    <row r="48" spans="1:8" s="11" customFormat="1" ht="31.5" customHeight="1" x14ac:dyDescent="0.3">
      <c r="A48" s="137" t="s">
        <v>45</v>
      </c>
      <c r="B48" s="138"/>
      <c r="C48" s="87" t="s">
        <v>226</v>
      </c>
      <c r="D48" s="88"/>
      <c r="E48" s="88"/>
      <c r="F48" s="64" t="s">
        <v>44</v>
      </c>
      <c r="G48" s="89">
        <v>44609</v>
      </c>
      <c r="H48" s="90"/>
    </row>
    <row r="49" spans="1:11" s="11" customFormat="1" ht="32.25" customHeight="1" x14ac:dyDescent="0.3">
      <c r="A49" s="139"/>
      <c r="B49" s="140"/>
      <c r="C49" s="87" t="s">
        <v>269</v>
      </c>
      <c r="D49" s="87"/>
      <c r="E49" s="87"/>
      <c r="F49" s="87"/>
      <c r="G49" s="87"/>
      <c r="H49" s="87"/>
    </row>
    <row r="50" spans="1:11" ht="31.5" customHeight="1" x14ac:dyDescent="0.3">
      <c r="A50" s="121" t="s">
        <v>302</v>
      </c>
      <c r="B50" s="123"/>
      <c r="C50" s="226" t="s">
        <v>273</v>
      </c>
      <c r="D50" s="227"/>
      <c r="E50" s="228"/>
      <c r="F50" s="14" t="s">
        <v>44</v>
      </c>
      <c r="G50" s="229">
        <v>44851</v>
      </c>
      <c r="H50" s="230"/>
    </row>
    <row r="51" spans="1:11" s="11" customFormat="1" ht="31.5" customHeight="1" x14ac:dyDescent="0.3">
      <c r="A51" s="137" t="s">
        <v>45</v>
      </c>
      <c r="B51" s="138"/>
      <c r="C51" s="87" t="s">
        <v>274</v>
      </c>
      <c r="D51" s="88"/>
      <c r="E51" s="88"/>
      <c r="F51" s="64" t="s">
        <v>44</v>
      </c>
      <c r="G51" s="89">
        <v>44851</v>
      </c>
      <c r="H51" s="90"/>
    </row>
    <row r="52" spans="1:11" s="11" customFormat="1" x14ac:dyDescent="0.3">
      <c r="A52" s="139"/>
      <c r="B52" s="140"/>
      <c r="C52" s="87" t="s">
        <v>275</v>
      </c>
      <c r="D52" s="87"/>
      <c r="E52" s="87"/>
      <c r="F52" s="87"/>
      <c r="G52" s="87"/>
      <c r="H52" s="87"/>
    </row>
    <row r="53" spans="1:11" ht="62.55" customHeight="1" x14ac:dyDescent="0.3">
      <c r="A53" s="93" t="s">
        <v>46</v>
      </c>
      <c r="B53" s="92"/>
      <c r="C53" s="94" t="s">
        <v>311</v>
      </c>
      <c r="D53" s="95"/>
      <c r="E53" s="96" t="s">
        <v>47</v>
      </c>
      <c r="F53" s="69" t="s">
        <v>44</v>
      </c>
      <c r="G53" s="91">
        <v>45742</v>
      </c>
      <c r="H53" s="92"/>
    </row>
    <row r="54" spans="1:11" x14ac:dyDescent="0.3">
      <c r="A54" s="118" t="s">
        <v>49</v>
      </c>
      <c r="B54" s="119"/>
      <c r="C54" s="119"/>
      <c r="D54" s="119"/>
      <c r="E54" s="119"/>
      <c r="F54" s="119"/>
      <c r="G54" s="119"/>
      <c r="H54" s="120"/>
    </row>
    <row r="55" spans="1:11" x14ac:dyDescent="0.3">
      <c r="A55" s="121" t="s">
        <v>129</v>
      </c>
      <c r="B55" s="122"/>
      <c r="C55" s="123"/>
      <c r="D55" s="98">
        <f>E43</f>
        <v>4385.04</v>
      </c>
      <c r="E55" s="99"/>
      <c r="F55" s="99"/>
      <c r="G55" s="99"/>
      <c r="H55" s="100"/>
    </row>
    <row r="56" spans="1:11" x14ac:dyDescent="0.3">
      <c r="A56" s="124" t="s">
        <v>50</v>
      </c>
      <c r="B56" s="131"/>
      <c r="C56" s="132"/>
      <c r="D56" s="133" t="s">
        <v>289</v>
      </c>
      <c r="E56" s="131"/>
      <c r="F56" s="131"/>
      <c r="G56" s="131"/>
      <c r="H56" s="132"/>
    </row>
    <row r="57" spans="1:11" ht="50.25" customHeight="1" x14ac:dyDescent="0.3">
      <c r="A57" s="124" t="s">
        <v>51</v>
      </c>
      <c r="B57" s="131"/>
      <c r="C57" s="132"/>
      <c r="D57" s="124" t="s">
        <v>276</v>
      </c>
      <c r="E57" s="131"/>
      <c r="F57" s="131"/>
      <c r="G57" s="131"/>
      <c r="H57" s="132"/>
    </row>
    <row r="58" spans="1:11" ht="15.75" customHeight="1" x14ac:dyDescent="0.3">
      <c r="A58" s="137" t="s">
        <v>127</v>
      </c>
      <c r="B58" s="201"/>
      <c r="C58" s="138"/>
      <c r="D58" s="129" t="s">
        <v>227</v>
      </c>
      <c r="E58" s="129"/>
      <c r="F58" s="129"/>
      <c r="G58" s="129"/>
      <c r="H58" s="130"/>
    </row>
    <row r="59" spans="1:11" x14ac:dyDescent="0.3">
      <c r="A59" s="218"/>
      <c r="B59" s="219"/>
      <c r="C59" s="220"/>
      <c r="D59" s="206" t="s">
        <v>225</v>
      </c>
      <c r="E59" s="206"/>
      <c r="F59" s="206"/>
      <c r="G59" s="206"/>
      <c r="H59" s="206"/>
    </row>
    <row r="60" spans="1:11" x14ac:dyDescent="0.3">
      <c r="A60" s="139"/>
      <c r="B60" s="221"/>
      <c r="C60" s="140"/>
      <c r="D60" s="206" t="s">
        <v>290</v>
      </c>
      <c r="E60" s="206"/>
      <c r="F60" s="206"/>
      <c r="G60" s="206"/>
      <c r="H60" s="206"/>
    </row>
    <row r="61" spans="1:11" ht="36.75" customHeight="1" x14ac:dyDescent="0.3">
      <c r="A61" s="136" t="s">
        <v>48</v>
      </c>
      <c r="B61" s="136"/>
      <c r="C61" s="136"/>
      <c r="D61" s="85" t="s">
        <v>314</v>
      </c>
      <c r="E61" s="85"/>
      <c r="F61" s="85"/>
      <c r="G61" s="85"/>
      <c r="H61" s="85"/>
    </row>
    <row r="62" spans="1:11" ht="15.75" customHeight="1" x14ac:dyDescent="0.3">
      <c r="A62" s="136" t="s">
        <v>125</v>
      </c>
      <c r="B62" s="136"/>
      <c r="C62" s="136"/>
      <c r="D62" s="121" t="s">
        <v>315</v>
      </c>
      <c r="E62" s="122"/>
      <c r="F62" s="122"/>
      <c r="G62" s="122"/>
      <c r="H62" s="123"/>
    </row>
    <row r="63" spans="1:11" ht="15.75" customHeight="1" x14ac:dyDescent="0.3">
      <c r="A63" s="98" t="s">
        <v>126</v>
      </c>
      <c r="B63" s="99"/>
      <c r="C63" s="99"/>
      <c r="D63" s="121" t="s">
        <v>25</v>
      </c>
      <c r="E63" s="122"/>
      <c r="F63" s="122"/>
      <c r="G63" s="122"/>
      <c r="H63" s="123"/>
      <c r="J63" s="24"/>
      <c r="K63" s="24"/>
    </row>
    <row r="64" spans="1:11" ht="15.75" customHeight="1" thickBot="1" x14ac:dyDescent="0.35">
      <c r="A64" s="98" t="s">
        <v>124</v>
      </c>
      <c r="B64" s="99"/>
      <c r="C64" s="99"/>
      <c r="D64" s="124" t="s">
        <v>316</v>
      </c>
      <c r="E64" s="125"/>
      <c r="F64" s="125"/>
      <c r="G64" s="125"/>
      <c r="H64" s="126"/>
      <c r="J64" s="24"/>
      <c r="K64" s="24"/>
    </row>
    <row r="65" spans="1:11" ht="15.75" customHeight="1" x14ac:dyDescent="0.3">
      <c r="A65" s="113" t="s">
        <v>206</v>
      </c>
      <c r="B65" s="114"/>
      <c r="C65" s="115" t="s">
        <v>227</v>
      </c>
      <c r="D65" s="116"/>
      <c r="E65" s="116"/>
      <c r="F65" s="116"/>
      <c r="G65" s="116"/>
      <c r="H65" s="117"/>
      <c r="I65" s="51" t="str">
        <f ca="1">(IF(E69&gt;99%,"All work completed. Please provide OC.",IF(E69&gt;89.8%,"Plinth, RCC, Brick, Plaster, Flooring, Painting work Completed. Finishing work is in process.",IF(E69&lt;94%,(IF(C69=0,"Work not yet Started.",IF(D69=25%,"Piling work in process",IF(D69=50%,"Excavation work in process",IF(D69=100%,"Excavation work Completed. ","0")))&amp;(IF(C70=0%,"",IF(C70=J71,"Footing work is process",IF(C70=J72,"Footing work Completed",IF(C70=J73,"1st Basement Completed",IF(C70=J74,"1st &amp; 2nd Basement Completed",IF(C70=J75,"1st to 3rd Basement Completed",IF(C70=J76,"1st to 4th Basement Completed",IF(C70=J77,"Plinth work is process",IF(C70=J78,"Plinth work completed","0")))))))))))&amp;(IF(C71=(D66+F66+H66),", RCC Slab",IF(C71&gt;0,", RCC upto "&amp;C71&amp;" Slab",""))&amp;(IF(C72=H66,", Brickwork",IF(C72&gt;0,", Brickwork upto "&amp;C72&amp;" Floor",""))&amp;(IF(C73=H66,", Internal Plaster",IF(C73&gt;0,", Internal Plaster upto "&amp;C73&amp;" Floor",""))&amp;(IF(C74=H66,", External Plaster",IF(C74&gt;0,", External Plaster upto "&amp;C74&amp;" Floor",""))&amp;(IF(C75=H66,", Flooring",IF(C75&gt;0,", Flooring upto "&amp;C75&amp;" Floor",""))&amp;(IF(C76=H66,", Painting",IF(C76&gt;0,", Painting upto "&amp;C76&amp;" Floor",""))&amp;(IF(C77&gt;0,", Finishing upto "&amp;C77&amp;" Floor","")&amp;(IF(C71&gt;0.5," Completed",""))))))))))))))</f>
        <v>All work completed. Please provide OC.</v>
      </c>
      <c r="J65" s="52"/>
      <c r="K65" s="24"/>
    </row>
    <row r="66" spans="1:11" x14ac:dyDescent="0.3">
      <c r="A66" s="53" t="s">
        <v>102</v>
      </c>
      <c r="B66" s="15">
        <v>0</v>
      </c>
      <c r="C66" s="15" t="s">
        <v>104</v>
      </c>
      <c r="D66" s="15">
        <v>1</v>
      </c>
      <c r="E66" s="15" t="s">
        <v>103</v>
      </c>
      <c r="F66" s="15">
        <v>0</v>
      </c>
      <c r="G66" s="15" t="s">
        <v>118</v>
      </c>
      <c r="H66" s="54">
        <f ca="1">--TRIM(RIGHT(SUBSTITUTE(LEFT(C65,_xlfn.AGGREGATE(16,6,FIND({0,1,2,3,4,5,6,7,8,9},C65,ROW(INDIRECT("1:"&amp;LEN(C65)))),1))," ",REPT(" ",LEN(C65))),LEN(C65)))</f>
        <v>12</v>
      </c>
      <c r="I66" s="24"/>
      <c r="J66" s="55"/>
      <c r="K66" s="24"/>
    </row>
    <row r="67" spans="1:11" x14ac:dyDescent="0.3">
      <c r="A67" s="141" t="s">
        <v>128</v>
      </c>
      <c r="B67" s="142"/>
      <c r="C67" s="127" t="str">
        <f>I67</f>
        <v>All work Completed. OC Received.</v>
      </c>
      <c r="D67" s="127"/>
      <c r="E67" s="127"/>
      <c r="F67" s="127"/>
      <c r="G67" s="127"/>
      <c r="H67" s="128"/>
      <c r="I67" s="24" t="s">
        <v>145</v>
      </c>
      <c r="J67" s="55"/>
      <c r="K67" s="24"/>
    </row>
    <row r="68" spans="1:11" x14ac:dyDescent="0.3">
      <c r="A68" s="134" t="s">
        <v>52</v>
      </c>
      <c r="B68" s="112"/>
      <c r="C68" s="30" t="s">
        <v>207</v>
      </c>
      <c r="D68" s="15" t="s">
        <v>121</v>
      </c>
      <c r="E68" s="112" t="s">
        <v>123</v>
      </c>
      <c r="F68" s="112"/>
      <c r="G68" s="112" t="s">
        <v>122</v>
      </c>
      <c r="H68" s="135"/>
      <c r="I68" s="25" t="s">
        <v>208</v>
      </c>
      <c r="J68" s="56">
        <f ca="1">H66*25%</f>
        <v>3</v>
      </c>
      <c r="K68" s="24"/>
    </row>
    <row r="69" spans="1:11" x14ac:dyDescent="0.3">
      <c r="A69" s="112" t="s">
        <v>209</v>
      </c>
      <c r="B69" s="112"/>
      <c r="C69" s="31">
        <v>12</v>
      </c>
      <c r="D69" s="50">
        <f ca="1">((100/H66)*C69)/100</f>
        <v>1</v>
      </c>
      <c r="E69" s="193">
        <f ca="1">(((C70/H66*10)+(40/(D66+F66+H66)*C71)+(7.5/(H66)*C72)+(7.5/(H66)*C73)+(10/H66*C74)+(10/H66*C75)+(5/H66*C76)+(5/H66*C77)+(5/H66*C78))/100)</f>
        <v>1</v>
      </c>
      <c r="F69" s="193"/>
      <c r="G69" s="193">
        <f ca="1">((((C69/H66)*20)+((C70/H66)*25)+(30/(H66+F66+D66)*C71)+(5/H66*C72)+(5/H66*C73)+(5/H66*C74)+(5/H66*C75)+(0/H66*C76)+(0/H66*C77)+(5/H66*C78))/100)</f>
        <v>1</v>
      </c>
      <c r="H69" s="193"/>
      <c r="I69" s="25" t="s">
        <v>139</v>
      </c>
      <c r="J69" s="57">
        <f ca="1">H66*50%</f>
        <v>6</v>
      </c>
    </row>
    <row r="70" spans="1:11" x14ac:dyDescent="0.3">
      <c r="A70" s="112" t="s">
        <v>53</v>
      </c>
      <c r="B70" s="112"/>
      <c r="C70" s="32">
        <v>12</v>
      </c>
      <c r="D70" s="50">
        <f ca="1">((100/H66)*C70)/100</f>
        <v>1</v>
      </c>
      <c r="E70" s="193"/>
      <c r="F70" s="193"/>
      <c r="G70" s="193"/>
      <c r="H70" s="193"/>
      <c r="I70" s="25" t="s">
        <v>140</v>
      </c>
      <c r="J70" s="57">
        <f ca="1">H66</f>
        <v>12</v>
      </c>
      <c r="K70" s="26"/>
    </row>
    <row r="71" spans="1:11" x14ac:dyDescent="0.3">
      <c r="A71" s="203" t="s">
        <v>210</v>
      </c>
      <c r="B71" s="203"/>
      <c r="C71" s="32">
        <v>13</v>
      </c>
      <c r="D71" s="50">
        <f ca="1">((100/(D66+F66+H66))*C71)/100</f>
        <v>1</v>
      </c>
      <c r="E71" s="193"/>
      <c r="F71" s="193"/>
      <c r="G71" s="193"/>
      <c r="H71" s="193"/>
      <c r="I71" s="25" t="s">
        <v>141</v>
      </c>
      <c r="J71" s="58">
        <f ca="1">(IF(B66&gt;1,(H66/(B66+2)),H66/4))</f>
        <v>3</v>
      </c>
      <c r="K71" s="26"/>
    </row>
    <row r="72" spans="1:11" x14ac:dyDescent="0.3">
      <c r="A72" s="112" t="s">
        <v>211</v>
      </c>
      <c r="B72" s="112" t="s">
        <v>212</v>
      </c>
      <c r="C72" s="31">
        <v>12</v>
      </c>
      <c r="D72" s="50">
        <f ca="1">((100/H66)*C72)/100</f>
        <v>1</v>
      </c>
      <c r="E72" s="193"/>
      <c r="F72" s="193"/>
      <c r="G72" s="193"/>
      <c r="H72" s="193"/>
      <c r="I72" s="25" t="s">
        <v>142</v>
      </c>
      <c r="J72" s="58">
        <f ca="1">(IF(B66&gt;1,(H66/(B66+2)+J71),H66/4+J71))</f>
        <v>6</v>
      </c>
      <c r="K72" s="26"/>
    </row>
    <row r="73" spans="1:11" x14ac:dyDescent="0.3">
      <c r="A73" s="112" t="s">
        <v>213</v>
      </c>
      <c r="B73" s="112" t="s">
        <v>212</v>
      </c>
      <c r="C73" s="31">
        <v>12</v>
      </c>
      <c r="D73" s="50">
        <f ca="1">((100/H66)*C73)/100</f>
        <v>1</v>
      </c>
      <c r="E73" s="193"/>
      <c r="F73" s="193"/>
      <c r="G73" s="193"/>
      <c r="H73" s="193"/>
      <c r="I73" s="25" t="s">
        <v>214</v>
      </c>
      <c r="J73" s="58">
        <f>(IF(B66&gt;1,(H66/(B66+2)+J72),0))</f>
        <v>0</v>
      </c>
      <c r="K73" s="26"/>
    </row>
    <row r="74" spans="1:11" x14ac:dyDescent="0.3">
      <c r="A74" s="112" t="s">
        <v>215</v>
      </c>
      <c r="B74" s="112" t="s">
        <v>216</v>
      </c>
      <c r="C74" s="31">
        <v>12</v>
      </c>
      <c r="D74" s="50">
        <f ca="1">((100/(H66))*C74)/100</f>
        <v>1</v>
      </c>
      <c r="E74" s="193"/>
      <c r="F74" s="193"/>
      <c r="G74" s="193"/>
      <c r="H74" s="193"/>
      <c r="I74" s="25" t="s">
        <v>217</v>
      </c>
      <c r="J74" s="58">
        <f>(IF(B66&gt;2,(H66/(B66+2)+J73),0))</f>
        <v>0</v>
      </c>
      <c r="K74" s="26"/>
    </row>
    <row r="75" spans="1:11" x14ac:dyDescent="0.3">
      <c r="A75" s="112" t="s">
        <v>218</v>
      </c>
      <c r="B75" s="112" t="s">
        <v>218</v>
      </c>
      <c r="C75" s="31">
        <v>12</v>
      </c>
      <c r="D75" s="50">
        <f ca="1">((100/H66)*C75)/100</f>
        <v>1</v>
      </c>
      <c r="E75" s="193"/>
      <c r="F75" s="193"/>
      <c r="G75" s="193"/>
      <c r="H75" s="193"/>
      <c r="I75" s="25" t="s">
        <v>219</v>
      </c>
      <c r="J75" s="59">
        <f>(IF(B66&gt;3,(H66/(B66+2)+J74),0))</f>
        <v>0</v>
      </c>
      <c r="K75" s="26"/>
    </row>
    <row r="76" spans="1:11" x14ac:dyDescent="0.3">
      <c r="A76" s="112" t="s">
        <v>220</v>
      </c>
      <c r="B76" s="112"/>
      <c r="C76" s="31">
        <v>12</v>
      </c>
      <c r="D76" s="50">
        <f ca="1">((100/H66)*C76)/100</f>
        <v>1</v>
      </c>
      <c r="E76" s="193"/>
      <c r="F76" s="193"/>
      <c r="G76" s="193"/>
      <c r="H76" s="193"/>
      <c r="I76" s="25" t="s">
        <v>221</v>
      </c>
      <c r="J76" s="58">
        <f>(IF(B66&gt;4,(H66/(B66+2)+J75),0))</f>
        <v>0</v>
      </c>
      <c r="K76" s="26"/>
    </row>
    <row r="77" spans="1:11" ht="15" customHeight="1" x14ac:dyDescent="0.3">
      <c r="A77" s="112" t="s">
        <v>222</v>
      </c>
      <c r="B77" s="112" t="s">
        <v>222</v>
      </c>
      <c r="C77" s="31">
        <v>12</v>
      </c>
      <c r="D77" s="50">
        <f ca="1">((100/(H66))*C77)/100</f>
        <v>1</v>
      </c>
      <c r="E77" s="193"/>
      <c r="F77" s="193"/>
      <c r="G77" s="193"/>
      <c r="H77" s="193"/>
      <c r="I77" s="25" t="s">
        <v>143</v>
      </c>
      <c r="J77" s="58">
        <f ca="1">(IF(B66=1,(H66/(B66+3)+J72),IF(B66=0,(H66/4+J72),IF(B66&gt;1,0))))</f>
        <v>9</v>
      </c>
      <c r="K77" s="26"/>
    </row>
    <row r="78" spans="1:11" ht="15.45" customHeight="1" thickBot="1" x14ac:dyDescent="0.35">
      <c r="A78" s="112" t="s">
        <v>223</v>
      </c>
      <c r="B78" s="112"/>
      <c r="C78" s="31">
        <v>12</v>
      </c>
      <c r="D78" s="50">
        <f ca="1">((100/(H66))*C78)/100</f>
        <v>1</v>
      </c>
      <c r="E78" s="193"/>
      <c r="F78" s="193"/>
      <c r="G78" s="193"/>
      <c r="H78" s="193"/>
      <c r="I78" s="60" t="s">
        <v>144</v>
      </c>
      <c r="J78" s="61">
        <f ca="1">(IF(B66&gt;1.5,(H66/(B66+2)+J72+MAX(0,J73-J72)+MAX(0,J74-J73)+MAX(0,J75-J74)+MAX(0,J76-J75)+MAX(0,J77-J76)),IF(B66=1,(H66/(B66+3)+J77),IF(B66=0,H66/4+J77))))</f>
        <v>12</v>
      </c>
      <c r="K78" s="26"/>
    </row>
    <row r="79" spans="1:11" ht="15.75" customHeight="1" x14ac:dyDescent="0.3">
      <c r="A79" s="127" t="s">
        <v>206</v>
      </c>
      <c r="B79" s="127"/>
      <c r="C79" s="127" t="s">
        <v>225</v>
      </c>
      <c r="D79" s="127"/>
      <c r="E79" s="127"/>
      <c r="F79" s="127"/>
      <c r="G79" s="127"/>
      <c r="H79" s="127"/>
      <c r="I79" s="51" t="str">
        <f ca="1">(IF(E83&gt;99%,"All work completed. Provide OC.",IF(E83&gt;89.8%,"Plinth, RCC, Brick, Plaster, Flooring, Painting work Completed. Finishing work is in process.",IF(E83&lt;94%,(IF(C83=0,"Work not yet Started.",IF(D83=25%,"Piling work in process",IF(D83=50%,"Excavation work in process",IF(D83=100%,"Excavation work Completed. ","0")))&amp;(IF(C84=0%,"",IF(C84=J85,"Footing work is process",IF(C84=J86,"Footing work Completed",IF(C84=J87,"1st Basement Completed",IF(C84=J88,"1st &amp; 2nd Basement Completed",IF(C84=J89,"1st to 3rd Basement Completed",IF(C84=J90,"1st to 4th Basement Completed",IF(C84=J91,"Plinth work is process",IF(C84=J92,"Plinth work completed","0")))))))))))&amp;(IF(C85=(D80+F80+H80),", RCC Slab",IF(C85&gt;0,", RCC upto "&amp;C85&amp;" Slab",""))&amp;(IF(C86=H80,", Brickwork",IF(C86&gt;0,", Brickwork upto "&amp;C86&amp;" Floor",""))&amp;(IF(C87=H80,", Internal Plaster",IF(C87&gt;0,", Internal Plaster upto "&amp;C87&amp;" Floor",""))&amp;(IF(C88=H80,", External Plaster",IF(C88&gt;0,", External Plaster upto "&amp;C88&amp;" Floor",""))&amp;(IF(C89=H80,", Flooring",IF(C89&gt;0,", Flooring upto "&amp;C89&amp;" Floor",""))&amp;(IF(C90=H80,", Painting",IF(C90&gt;0,", Painting upto "&amp;C90&amp;" Floor",""))&amp;(IF(C91&gt;0,", Finishing upto "&amp;C91&amp;" Floor","")&amp;(IF(C85&gt;0.5," Completed",""))))))))))))))</f>
        <v>All work completed. Provide OC.</v>
      </c>
      <c r="J79" s="52"/>
      <c r="K79" s="24"/>
    </row>
    <row r="80" spans="1:11" x14ac:dyDescent="0.3">
      <c r="A80" s="15" t="s">
        <v>102</v>
      </c>
      <c r="B80" s="15">
        <v>0</v>
      </c>
      <c r="C80" s="15" t="s">
        <v>104</v>
      </c>
      <c r="D80" s="15">
        <v>1</v>
      </c>
      <c r="E80" s="15" t="s">
        <v>103</v>
      </c>
      <c r="F80" s="15">
        <v>0</v>
      </c>
      <c r="G80" s="15" t="s">
        <v>118</v>
      </c>
      <c r="H80" s="15">
        <f ca="1">--TRIM(RIGHT(SUBSTITUTE(LEFT(C79,_xlfn.AGGREGATE(16,6,FIND({0,1,2,3,4,5,6,7,8,9},C79,ROW(INDIRECT("1:"&amp;LEN(C79)))),1))," ",REPT(" ",LEN(C79))),LEN(C79)))</f>
        <v>8</v>
      </c>
      <c r="I80" s="24"/>
      <c r="J80" s="55"/>
      <c r="K80" s="24"/>
    </row>
    <row r="81" spans="1:11" x14ac:dyDescent="0.3">
      <c r="A81" s="142" t="s">
        <v>128</v>
      </c>
      <c r="B81" s="142"/>
      <c r="C81" s="127" t="str">
        <f ca="1">I79</f>
        <v>All work completed. Provide OC.</v>
      </c>
      <c r="D81" s="127"/>
      <c r="E81" s="127"/>
      <c r="F81" s="127"/>
      <c r="G81" s="127"/>
      <c r="H81" s="127"/>
      <c r="I81" s="24" t="s">
        <v>145</v>
      </c>
      <c r="J81" s="55"/>
      <c r="K81" s="24"/>
    </row>
    <row r="82" spans="1:11" x14ac:dyDescent="0.3">
      <c r="A82" s="112" t="s">
        <v>52</v>
      </c>
      <c r="B82" s="112"/>
      <c r="C82" s="30" t="s">
        <v>207</v>
      </c>
      <c r="D82" s="15" t="s">
        <v>121</v>
      </c>
      <c r="E82" s="112" t="s">
        <v>123</v>
      </c>
      <c r="F82" s="112"/>
      <c r="G82" s="112" t="s">
        <v>122</v>
      </c>
      <c r="H82" s="112"/>
      <c r="I82" s="25" t="s">
        <v>208</v>
      </c>
      <c r="J82" s="56">
        <f ca="1">H80*25%</f>
        <v>2</v>
      </c>
      <c r="K82" s="24"/>
    </row>
    <row r="83" spans="1:11" x14ac:dyDescent="0.3">
      <c r="A83" s="134" t="s">
        <v>209</v>
      </c>
      <c r="B83" s="112"/>
      <c r="C83" s="31">
        <v>8</v>
      </c>
      <c r="D83" s="50">
        <f ca="1">((100/H80)*C83)/100</f>
        <v>1</v>
      </c>
      <c r="E83" s="193">
        <f ca="1">(((C84/H80*10)+(40/(D80+F80+H80)*C85)+(7.5/(H80)*C86)+(7.5/(H80)*C87)+(10/H80*C88)+(10/H80*C89)+(5/H80*C90)+(5/H80*C91)+(5/H80*C92))/100)</f>
        <v>1</v>
      </c>
      <c r="F83" s="193"/>
      <c r="G83" s="193">
        <f ca="1">((((C83/H80)*20)+((C84/H80)*25)+(30/(H80+F80+D80)*C85)+(5/H80*C86)+(5/H80*C87)+(5/H80*C88)+(5/H80*C89)+(0/H80*C90)+(0/H80*C91)+(5/H80*C92))/100)</f>
        <v>1</v>
      </c>
      <c r="H83" s="213"/>
      <c r="I83" s="25" t="s">
        <v>139</v>
      </c>
      <c r="J83" s="57">
        <f ca="1">H80*50%</f>
        <v>4</v>
      </c>
    </row>
    <row r="84" spans="1:11" x14ac:dyDescent="0.3">
      <c r="A84" s="134" t="s">
        <v>53</v>
      </c>
      <c r="B84" s="112"/>
      <c r="C84" s="32">
        <f ca="1">J92</f>
        <v>8</v>
      </c>
      <c r="D84" s="50">
        <f ca="1">((100/H80)*C84)/100</f>
        <v>1</v>
      </c>
      <c r="E84" s="193"/>
      <c r="F84" s="193"/>
      <c r="G84" s="193"/>
      <c r="H84" s="213"/>
      <c r="I84" s="25" t="s">
        <v>140</v>
      </c>
      <c r="J84" s="57">
        <f ca="1">H80</f>
        <v>8</v>
      </c>
      <c r="K84" s="26"/>
    </row>
    <row r="85" spans="1:11" x14ac:dyDescent="0.3">
      <c r="A85" s="215" t="s">
        <v>210</v>
      </c>
      <c r="B85" s="203"/>
      <c r="C85" s="32">
        <v>9</v>
      </c>
      <c r="D85" s="50">
        <f ca="1">((100/(D80+F80+H80))*C85)/100</f>
        <v>1</v>
      </c>
      <c r="E85" s="193"/>
      <c r="F85" s="193"/>
      <c r="G85" s="193"/>
      <c r="H85" s="213"/>
      <c r="I85" s="25" t="s">
        <v>141</v>
      </c>
      <c r="J85" s="58">
        <f ca="1">(IF(B80&gt;1,(H80/(B80+2)),H80/4))</f>
        <v>2</v>
      </c>
      <c r="K85" s="26"/>
    </row>
    <row r="86" spans="1:11" x14ac:dyDescent="0.3">
      <c r="A86" s="134" t="s">
        <v>211</v>
      </c>
      <c r="B86" s="112" t="s">
        <v>212</v>
      </c>
      <c r="C86" s="31">
        <v>8</v>
      </c>
      <c r="D86" s="50">
        <f ca="1">((100/H80)*C86)/100</f>
        <v>1</v>
      </c>
      <c r="E86" s="193"/>
      <c r="F86" s="193"/>
      <c r="G86" s="193"/>
      <c r="H86" s="213"/>
      <c r="I86" s="25" t="s">
        <v>142</v>
      </c>
      <c r="J86" s="58">
        <f ca="1">(IF(B80&gt;1,(H80/(B80+2)+J85),H80/4+J85))</f>
        <v>4</v>
      </c>
      <c r="K86" s="26"/>
    </row>
    <row r="87" spans="1:11" x14ac:dyDescent="0.3">
      <c r="A87" s="134" t="s">
        <v>213</v>
      </c>
      <c r="B87" s="112" t="s">
        <v>212</v>
      </c>
      <c r="C87" s="31">
        <v>8</v>
      </c>
      <c r="D87" s="50">
        <f ca="1">((100/H80)*C87)/100</f>
        <v>1</v>
      </c>
      <c r="E87" s="193"/>
      <c r="F87" s="193"/>
      <c r="G87" s="193"/>
      <c r="H87" s="213"/>
      <c r="I87" s="25" t="s">
        <v>214</v>
      </c>
      <c r="J87" s="58">
        <f>(IF(B80&gt;1,(H80/(B80+2)+J86),0))</f>
        <v>0</v>
      </c>
      <c r="K87" s="26"/>
    </row>
    <row r="88" spans="1:11" x14ac:dyDescent="0.3">
      <c r="A88" s="134" t="s">
        <v>215</v>
      </c>
      <c r="B88" s="112" t="s">
        <v>216</v>
      </c>
      <c r="C88" s="31">
        <v>8</v>
      </c>
      <c r="D88" s="50">
        <f ca="1">((100/(H80))*C88)/100</f>
        <v>1</v>
      </c>
      <c r="E88" s="193"/>
      <c r="F88" s="193"/>
      <c r="G88" s="193"/>
      <c r="H88" s="213"/>
      <c r="I88" s="25" t="s">
        <v>217</v>
      </c>
      <c r="J88" s="58">
        <f>(IF(B80&gt;2,(H80/(B80+2)+J87),0))</f>
        <v>0</v>
      </c>
      <c r="K88" s="26"/>
    </row>
    <row r="89" spans="1:11" x14ac:dyDescent="0.3">
      <c r="A89" s="134" t="s">
        <v>218</v>
      </c>
      <c r="B89" s="112" t="s">
        <v>218</v>
      </c>
      <c r="C89" s="31">
        <v>8</v>
      </c>
      <c r="D89" s="50">
        <f ca="1">((100/H80)*C89)/100</f>
        <v>1</v>
      </c>
      <c r="E89" s="193"/>
      <c r="F89" s="193"/>
      <c r="G89" s="193"/>
      <c r="H89" s="213"/>
      <c r="I89" s="25" t="s">
        <v>219</v>
      </c>
      <c r="J89" s="59">
        <f>(IF(B80&gt;3,(H80/(B80+2)+J88),0))</f>
        <v>0</v>
      </c>
      <c r="K89" s="26"/>
    </row>
    <row r="90" spans="1:11" x14ac:dyDescent="0.3">
      <c r="A90" s="134" t="s">
        <v>220</v>
      </c>
      <c r="B90" s="112"/>
      <c r="C90" s="31">
        <v>8</v>
      </c>
      <c r="D90" s="50">
        <f ca="1">((100/H80)*C90)/100</f>
        <v>1</v>
      </c>
      <c r="E90" s="193"/>
      <c r="F90" s="193"/>
      <c r="G90" s="193"/>
      <c r="H90" s="213"/>
      <c r="I90" s="25" t="s">
        <v>221</v>
      </c>
      <c r="J90" s="58">
        <f>(IF(B80&gt;4,(H80/(B80+2)+J89),0))</f>
        <v>0</v>
      </c>
      <c r="K90" s="26"/>
    </row>
    <row r="91" spans="1:11" ht="15" customHeight="1" x14ac:dyDescent="0.3">
      <c r="A91" s="134" t="s">
        <v>222</v>
      </c>
      <c r="B91" s="112" t="s">
        <v>222</v>
      </c>
      <c r="C91" s="31">
        <v>8</v>
      </c>
      <c r="D91" s="50">
        <f ca="1">((100/(H80))*C91)/100</f>
        <v>1</v>
      </c>
      <c r="E91" s="193"/>
      <c r="F91" s="193"/>
      <c r="G91" s="193"/>
      <c r="H91" s="213"/>
      <c r="I91" s="25" t="s">
        <v>143</v>
      </c>
      <c r="J91" s="58">
        <f ca="1">(IF(B80=1,(H80/(B80+3)+J86),IF(B80=0,(H80/4+J86),IF(B80&gt;1,0))))</f>
        <v>6</v>
      </c>
      <c r="K91" s="26"/>
    </row>
    <row r="92" spans="1:11" ht="16.2" thickBot="1" x14ac:dyDescent="0.35">
      <c r="A92" s="222" t="s">
        <v>223</v>
      </c>
      <c r="B92" s="223"/>
      <c r="C92" s="62">
        <v>8</v>
      </c>
      <c r="D92" s="63">
        <f ca="1">((100/(H80))*C92)/100</f>
        <v>1</v>
      </c>
      <c r="E92" s="209"/>
      <c r="F92" s="209"/>
      <c r="G92" s="209"/>
      <c r="H92" s="214"/>
      <c r="I92" s="60" t="s">
        <v>144</v>
      </c>
      <c r="J92" s="61">
        <f ca="1">(IF(B80&gt;1.5,(H80/(B80+2)+J86+MAX(0,J87-J86)+MAX(0,J88-J87)+MAX(0,J89-J88)+MAX(0,J90-J89)+MAX(0,J91-J90)),IF(B80=1,(H80/(B80+3)+J91),IF(B80=0,H80/4+J91))))</f>
        <v>8</v>
      </c>
      <c r="K92" s="26"/>
    </row>
    <row r="93" spans="1:11" ht="15.75" customHeight="1" x14ac:dyDescent="0.3">
      <c r="A93" s="113" t="s">
        <v>206</v>
      </c>
      <c r="B93" s="114"/>
      <c r="C93" s="115" t="str">
        <f>D60</f>
        <v>C wing  = G + 1st to 4th (Pt) Floor</v>
      </c>
      <c r="D93" s="116"/>
      <c r="E93" s="116"/>
      <c r="F93" s="116"/>
      <c r="G93" s="116"/>
      <c r="H93" s="117"/>
      <c r="I93" s="51" t="str">
        <f ca="1">(IF(E97&gt;99%,"All work completed. Please provide OC.",IF(E97&gt;89.8%,"Plinth, RCC, Brick, Plaster, Flooring, Painting work Completed. Finishing work is in process.",IF(E97&lt;94%,(IF(C97=0,"Work not yet Started.",IF(D97=25%,"Piling work in process",IF(D97=50%,"Excavation work in process",IF(D97=100%,"Excavation work Completed. ","0")))&amp;(IF(C98=0%,"",IF(C98=J99,"Footing work is process",IF(C98=J100,"Footing work Completed",IF(C98=J101,"1st Basement Completed",IF(C98=J102,"1st &amp; 2nd Basement Completed",IF(C98=J103,"1st to 3rd Basement Completed",IF(C98=J104,"1st to 4th Basement Completed",IF(C98=J105,"Plinth work is process",IF(C98=J106,"Plinth work completed","0")))))))))))&amp;(IF(C99=(D94+F94+H94),", RCC Slab",IF(C99&gt;0,", RCC upto "&amp;C99&amp;" Slab",""))&amp;(IF(C100=H94,", Brickwork",IF(C100&gt;0,", Brickwork upto "&amp;C100&amp;" Floor",""))&amp;(IF(C101=H94,", Internal Plaster",IF(C101&gt;0,", Internal Plaster upto "&amp;C101&amp;" Floor",""))&amp;(IF(C102=H94,", External Plaster",IF(C102&gt;0,", External Plaster upto "&amp;C102&amp;" Floor",""))&amp;(IF(C103=H94,", Flooring",IF(C103&gt;0,", Flooring upto "&amp;C103&amp;" Floor",""))&amp;(IF(C104=H94,", Painting",IF(C104&gt;0,", Painting upto "&amp;C104&amp;" Floor",""))&amp;(IF(C105&gt;0,", Finishing upto "&amp;C105&amp;" Floor","")&amp;(IF(C99&gt;0.5," Completed",""))))))))))))))</f>
        <v>All work completed. Please provide OC.</v>
      </c>
      <c r="J93" s="52"/>
      <c r="K93" s="24"/>
    </row>
    <row r="94" spans="1:11" x14ac:dyDescent="0.3">
      <c r="A94" s="53" t="s">
        <v>102</v>
      </c>
      <c r="B94" s="15">
        <v>0</v>
      </c>
      <c r="C94" s="15" t="s">
        <v>104</v>
      </c>
      <c r="D94" s="15">
        <v>1</v>
      </c>
      <c r="E94" s="15" t="s">
        <v>103</v>
      </c>
      <c r="F94" s="15">
        <v>0</v>
      </c>
      <c r="G94" s="15" t="s">
        <v>118</v>
      </c>
      <c r="H94" s="54">
        <f ca="1">--TRIM(RIGHT(SUBSTITUTE(LEFT(C93,_xlfn.AGGREGATE(16,6,FIND({0,1,2,3,4,5,6,7,8,9},C93,ROW(INDIRECT("1:"&amp;LEN(C93)))),1))," ",REPT(" ",LEN(C93))),LEN(C93)))</f>
        <v>4</v>
      </c>
      <c r="I94" s="24"/>
      <c r="J94" s="55"/>
      <c r="K94" s="24"/>
    </row>
    <row r="95" spans="1:11" x14ac:dyDescent="0.3">
      <c r="A95" s="141" t="s">
        <v>128</v>
      </c>
      <c r="B95" s="142"/>
      <c r="C95" s="127" t="str">
        <f>I95</f>
        <v>All work Completed. OC Received.</v>
      </c>
      <c r="D95" s="127"/>
      <c r="E95" s="127"/>
      <c r="F95" s="127"/>
      <c r="G95" s="127"/>
      <c r="H95" s="128"/>
      <c r="I95" s="24" t="s">
        <v>145</v>
      </c>
      <c r="J95" s="55"/>
      <c r="K95" s="24"/>
    </row>
    <row r="96" spans="1:11" x14ac:dyDescent="0.3">
      <c r="A96" s="134" t="s">
        <v>52</v>
      </c>
      <c r="B96" s="112"/>
      <c r="C96" s="30" t="s">
        <v>207</v>
      </c>
      <c r="D96" s="66" t="s">
        <v>121</v>
      </c>
      <c r="E96" s="112" t="s">
        <v>123</v>
      </c>
      <c r="F96" s="112"/>
      <c r="G96" s="112" t="s">
        <v>122</v>
      </c>
      <c r="H96" s="135"/>
      <c r="I96" s="25" t="s">
        <v>208</v>
      </c>
      <c r="J96" s="56">
        <f ca="1">H94*25%</f>
        <v>1</v>
      </c>
      <c r="K96" s="24"/>
    </row>
    <row r="97" spans="1:11" x14ac:dyDescent="0.3">
      <c r="A97" s="134" t="s">
        <v>209</v>
      </c>
      <c r="B97" s="112"/>
      <c r="C97" s="31">
        <f ca="1">J98</f>
        <v>4</v>
      </c>
      <c r="D97" s="50">
        <f ca="1">((100/H94)*C97)/100</f>
        <v>1</v>
      </c>
      <c r="E97" s="193">
        <f ca="1">(((C98/H94*10)+(40/(D94+F94+H94)*C99)+(7.5/(H94)*C100)+(7.5/(H94)*C101)+(10/H94*C102)+(10/H94*C103)+(5/H94*C104)+(5/H94*C105)+(5/H94*C106))/100)</f>
        <v>1</v>
      </c>
      <c r="F97" s="193"/>
      <c r="G97" s="193">
        <f ca="1">((((C97/H94)*20)+((C98/H94)*25)+(30/(H94+F94+D94)*C99)+(5/H94*C100)+(5/H94*C101)+(5/H94*C102)+(5/H94*C103)+(0/H94*C104)+(0/H94*C105)+(5/H94*C106))/100)</f>
        <v>1</v>
      </c>
      <c r="H97" s="213"/>
      <c r="I97" s="25" t="s">
        <v>139</v>
      </c>
      <c r="J97" s="57">
        <f ca="1">H94*50%</f>
        <v>2</v>
      </c>
    </row>
    <row r="98" spans="1:11" x14ac:dyDescent="0.3">
      <c r="A98" s="134" t="s">
        <v>53</v>
      </c>
      <c r="B98" s="112"/>
      <c r="C98" s="32">
        <v>4</v>
      </c>
      <c r="D98" s="50">
        <f ca="1">((100/H94)*C98)/100</f>
        <v>1</v>
      </c>
      <c r="E98" s="193"/>
      <c r="F98" s="193"/>
      <c r="G98" s="193"/>
      <c r="H98" s="213"/>
      <c r="I98" s="25" t="s">
        <v>140</v>
      </c>
      <c r="J98" s="57">
        <f ca="1">H94</f>
        <v>4</v>
      </c>
      <c r="K98" s="26"/>
    </row>
    <row r="99" spans="1:11" x14ac:dyDescent="0.3">
      <c r="A99" s="215" t="s">
        <v>210</v>
      </c>
      <c r="B99" s="203"/>
      <c r="C99" s="32">
        <v>5</v>
      </c>
      <c r="D99" s="50">
        <f ca="1">((100/(D94+F94+H94))*C99)/100</f>
        <v>1</v>
      </c>
      <c r="E99" s="193"/>
      <c r="F99" s="193"/>
      <c r="G99" s="193"/>
      <c r="H99" s="213"/>
      <c r="I99" s="25" t="s">
        <v>141</v>
      </c>
      <c r="J99" s="58">
        <f ca="1">(IF(B94&gt;1,(H94/(B94+2)),H94/4))</f>
        <v>1</v>
      </c>
      <c r="K99" s="26"/>
    </row>
    <row r="100" spans="1:11" x14ac:dyDescent="0.3">
      <c r="A100" s="134" t="s">
        <v>211</v>
      </c>
      <c r="B100" s="112" t="s">
        <v>212</v>
      </c>
      <c r="C100" s="31">
        <v>4</v>
      </c>
      <c r="D100" s="50">
        <f ca="1">((100/H94)*C100)/100</f>
        <v>1</v>
      </c>
      <c r="E100" s="193"/>
      <c r="F100" s="193"/>
      <c r="G100" s="193"/>
      <c r="H100" s="213"/>
      <c r="I100" s="25" t="s">
        <v>142</v>
      </c>
      <c r="J100" s="58">
        <f ca="1">(IF(B94&gt;1,(H94/(B94+2)+J99),H94/4+J99))</f>
        <v>2</v>
      </c>
      <c r="K100" s="26"/>
    </row>
    <row r="101" spans="1:11" x14ac:dyDescent="0.3">
      <c r="A101" s="134" t="s">
        <v>213</v>
      </c>
      <c r="B101" s="112" t="s">
        <v>212</v>
      </c>
      <c r="C101" s="31">
        <v>4</v>
      </c>
      <c r="D101" s="50">
        <f ca="1">((100/H94)*C101)/100</f>
        <v>1</v>
      </c>
      <c r="E101" s="193"/>
      <c r="F101" s="193"/>
      <c r="G101" s="193"/>
      <c r="H101" s="213"/>
      <c r="I101" s="25" t="s">
        <v>214</v>
      </c>
      <c r="J101" s="58">
        <f>(IF(B94&gt;1,(H94/(B94+2)+J100),0))</f>
        <v>0</v>
      </c>
      <c r="K101" s="26"/>
    </row>
    <row r="102" spans="1:11" x14ac:dyDescent="0.3">
      <c r="A102" s="134" t="s">
        <v>215</v>
      </c>
      <c r="B102" s="112" t="s">
        <v>216</v>
      </c>
      <c r="C102" s="31">
        <v>4</v>
      </c>
      <c r="D102" s="50">
        <f ca="1">((100/(H94))*C102)/100</f>
        <v>1</v>
      </c>
      <c r="E102" s="193"/>
      <c r="F102" s="193"/>
      <c r="G102" s="193"/>
      <c r="H102" s="213"/>
      <c r="I102" s="25" t="s">
        <v>217</v>
      </c>
      <c r="J102" s="58">
        <f>(IF(B94&gt;2,(H94/(B94+2)+J101),0))</f>
        <v>0</v>
      </c>
      <c r="K102" s="26"/>
    </row>
    <row r="103" spans="1:11" x14ac:dyDescent="0.3">
      <c r="A103" s="134" t="s">
        <v>218</v>
      </c>
      <c r="B103" s="112" t="s">
        <v>218</v>
      </c>
      <c r="C103" s="31">
        <v>4</v>
      </c>
      <c r="D103" s="50">
        <f ca="1">((100/H94)*C103)/100</f>
        <v>1</v>
      </c>
      <c r="E103" s="193"/>
      <c r="F103" s="193"/>
      <c r="G103" s="193"/>
      <c r="H103" s="213"/>
      <c r="I103" s="25" t="s">
        <v>219</v>
      </c>
      <c r="J103" s="59">
        <f>(IF(B94&gt;3,(H94/(B94+2)+J102),0))</f>
        <v>0</v>
      </c>
      <c r="K103" s="26"/>
    </row>
    <row r="104" spans="1:11" x14ac:dyDescent="0.3">
      <c r="A104" s="134" t="s">
        <v>220</v>
      </c>
      <c r="B104" s="112"/>
      <c r="C104" s="31">
        <v>4</v>
      </c>
      <c r="D104" s="50">
        <f ca="1">((100/H94)*C104)/100</f>
        <v>1</v>
      </c>
      <c r="E104" s="193"/>
      <c r="F104" s="193"/>
      <c r="G104" s="193"/>
      <c r="H104" s="213"/>
      <c r="I104" s="25" t="s">
        <v>221</v>
      </c>
      <c r="J104" s="58">
        <f>(IF(B94&gt;4,(H94/(B94+2)+J103),0))</f>
        <v>0</v>
      </c>
      <c r="K104" s="26"/>
    </row>
    <row r="105" spans="1:11" ht="15" customHeight="1" x14ac:dyDescent="0.3">
      <c r="A105" s="134" t="s">
        <v>222</v>
      </c>
      <c r="B105" s="112" t="s">
        <v>222</v>
      </c>
      <c r="C105" s="31">
        <v>4</v>
      </c>
      <c r="D105" s="50">
        <f ca="1">((100/(H94))*C105)/100</f>
        <v>1</v>
      </c>
      <c r="E105" s="193"/>
      <c r="F105" s="193"/>
      <c r="G105" s="193"/>
      <c r="H105" s="213"/>
      <c r="I105" s="25" t="s">
        <v>143</v>
      </c>
      <c r="J105" s="58">
        <f ca="1">(IF(B94=1,(H94/(B94+3)+J100),IF(B94=0,(H94/4+J100),IF(B94&gt;1,0))))</f>
        <v>3</v>
      </c>
      <c r="K105" s="26"/>
    </row>
    <row r="106" spans="1:11" ht="16.2" thickBot="1" x14ac:dyDescent="0.35">
      <c r="A106" s="222" t="s">
        <v>223</v>
      </c>
      <c r="B106" s="223"/>
      <c r="C106" s="62">
        <v>4</v>
      </c>
      <c r="D106" s="63">
        <f ca="1">((100/(H94))*C106)/100</f>
        <v>1</v>
      </c>
      <c r="E106" s="209"/>
      <c r="F106" s="209"/>
      <c r="G106" s="209"/>
      <c r="H106" s="214"/>
      <c r="I106" s="60" t="s">
        <v>144</v>
      </c>
      <c r="J106" s="61">
        <f ca="1">(IF(B94&gt;1.5,(H94/(B94+2)+J100+MAX(0,J101-J100)+MAX(0,J102-J101)+MAX(0,J103-J102)+MAX(0,J104-J103)+MAX(0,J105-J104)),IF(B94=1,(H94/(B94+3)+J105),IF(B94=0,H94/4+J105))))</f>
        <v>4</v>
      </c>
      <c r="K106" s="26"/>
    </row>
    <row r="107" spans="1:11" x14ac:dyDescent="0.3">
      <c r="A107" s="133" t="s">
        <v>317</v>
      </c>
      <c r="B107" s="131"/>
      <c r="C107" s="131"/>
      <c r="D107" s="131"/>
      <c r="E107" s="131"/>
      <c r="F107" s="131"/>
      <c r="G107" s="131"/>
      <c r="H107" s="132"/>
    </row>
    <row r="108" spans="1:11" x14ac:dyDescent="0.3">
      <c r="A108" s="98" t="s">
        <v>54</v>
      </c>
      <c r="B108" s="99"/>
      <c r="C108" s="99"/>
      <c r="D108" s="99"/>
      <c r="E108" s="99"/>
      <c r="F108" s="99"/>
      <c r="G108" s="99"/>
      <c r="H108" s="100"/>
    </row>
    <row r="109" spans="1:11" ht="15" customHeight="1" x14ac:dyDescent="0.3">
      <c r="A109" s="102" t="s">
        <v>107</v>
      </c>
      <c r="B109" s="103"/>
      <c r="C109" s="104" t="s">
        <v>108</v>
      </c>
      <c r="D109" s="105"/>
      <c r="E109" s="105"/>
      <c r="F109" s="105"/>
      <c r="G109" s="105"/>
      <c r="H109" s="106"/>
    </row>
    <row r="110" spans="1:11" x14ac:dyDescent="0.3">
      <c r="A110" s="157" t="s">
        <v>55</v>
      </c>
      <c r="B110" s="158"/>
      <c r="C110" s="158"/>
      <c r="D110" s="158"/>
      <c r="E110" s="158"/>
      <c r="F110" s="158"/>
      <c r="G110" s="158"/>
      <c r="H110" s="159"/>
    </row>
    <row r="111" spans="1:11" x14ac:dyDescent="0.3">
      <c r="A111" s="98" t="s">
        <v>109</v>
      </c>
      <c r="B111" s="99"/>
      <c r="C111" s="99"/>
      <c r="D111" s="99"/>
      <c r="E111" s="100"/>
      <c r="F111" s="81">
        <v>3900</v>
      </c>
      <c r="G111" s="82"/>
      <c r="H111" s="83"/>
    </row>
    <row r="112" spans="1:11" x14ac:dyDescent="0.3">
      <c r="A112" s="98" t="s">
        <v>117</v>
      </c>
      <c r="B112" s="99"/>
      <c r="C112" s="99"/>
      <c r="D112" s="99"/>
      <c r="E112" s="100"/>
      <c r="F112" s="97">
        <v>8000</v>
      </c>
      <c r="G112" s="82"/>
      <c r="H112" s="83"/>
    </row>
    <row r="113" spans="1:13" x14ac:dyDescent="0.3">
      <c r="A113" s="98" t="s">
        <v>189</v>
      </c>
      <c r="B113" s="99"/>
      <c r="C113" s="99"/>
      <c r="D113" s="99"/>
      <c r="E113" s="100"/>
      <c r="F113" s="97">
        <v>10000</v>
      </c>
      <c r="G113" s="82"/>
      <c r="H113" s="83"/>
    </row>
    <row r="114" spans="1:13" s="13" customFormat="1" hidden="1" x14ac:dyDescent="0.25">
      <c r="A114" s="98" t="s">
        <v>133</v>
      </c>
      <c r="B114" s="99"/>
      <c r="C114" s="99"/>
      <c r="D114" s="99"/>
      <c r="E114" s="100"/>
      <c r="F114" s="81" t="s">
        <v>31</v>
      </c>
      <c r="G114" s="82"/>
      <c r="H114" s="83"/>
    </row>
    <row r="115" spans="1:13" s="13" customFormat="1" x14ac:dyDescent="0.25">
      <c r="A115" s="98" t="s">
        <v>134</v>
      </c>
      <c r="B115" s="99"/>
      <c r="C115" s="99"/>
      <c r="D115" s="99"/>
      <c r="E115" s="100"/>
      <c r="F115" s="101" t="s">
        <v>270</v>
      </c>
      <c r="G115" s="82"/>
      <c r="H115" s="83"/>
    </row>
    <row r="116" spans="1:13" s="13" customFormat="1" x14ac:dyDescent="0.25">
      <c r="A116" s="98" t="s">
        <v>271</v>
      </c>
      <c r="B116" s="99"/>
      <c r="C116" s="99"/>
      <c r="D116" s="99"/>
      <c r="E116" s="100"/>
      <c r="F116" s="101" t="s">
        <v>272</v>
      </c>
      <c r="G116" s="82"/>
      <c r="H116" s="83"/>
    </row>
    <row r="117" spans="1:13" s="13" customFormat="1" hidden="1" x14ac:dyDescent="0.25">
      <c r="A117" s="98" t="s">
        <v>188</v>
      </c>
      <c r="B117" s="99"/>
      <c r="C117" s="99"/>
      <c r="D117" s="99"/>
      <c r="E117" s="100"/>
      <c r="F117" s="81" t="s">
        <v>224</v>
      </c>
      <c r="G117" s="82"/>
      <c r="H117" s="83"/>
    </row>
    <row r="118" spans="1:13" s="13" customFormat="1" hidden="1" x14ac:dyDescent="0.25">
      <c r="A118" s="98" t="s">
        <v>135</v>
      </c>
      <c r="B118" s="99"/>
      <c r="C118" s="99"/>
      <c r="D118" s="99"/>
      <c r="E118" s="100"/>
      <c r="F118" s="81" t="s">
        <v>31</v>
      </c>
      <c r="G118" s="82"/>
      <c r="H118" s="83"/>
    </row>
    <row r="119" spans="1:13" s="13" customFormat="1" hidden="1" x14ac:dyDescent="0.25">
      <c r="A119" s="98" t="s">
        <v>136</v>
      </c>
      <c r="B119" s="99"/>
      <c r="C119" s="99"/>
      <c r="D119" s="99"/>
      <c r="E119" s="100"/>
      <c r="F119" s="81" t="s">
        <v>31</v>
      </c>
      <c r="G119" s="82"/>
      <c r="H119" s="83"/>
    </row>
    <row r="120" spans="1:13" s="13" customFormat="1" hidden="1" x14ac:dyDescent="0.25">
      <c r="A120" s="98" t="s">
        <v>137</v>
      </c>
      <c r="B120" s="99"/>
      <c r="C120" s="99"/>
      <c r="D120" s="99"/>
      <c r="E120" s="100"/>
      <c r="F120" s="81" t="s">
        <v>31</v>
      </c>
      <c r="G120" s="82"/>
      <c r="H120" s="83"/>
    </row>
    <row r="121" spans="1:13" s="13" customFormat="1" hidden="1" x14ac:dyDescent="0.25">
      <c r="A121" s="98" t="s">
        <v>138</v>
      </c>
      <c r="B121" s="99"/>
      <c r="C121" s="99"/>
      <c r="D121" s="99"/>
      <c r="E121" s="100"/>
      <c r="F121" s="81" t="s">
        <v>31</v>
      </c>
      <c r="G121" s="82"/>
      <c r="H121" s="83"/>
    </row>
    <row r="122" spans="1:13" x14ac:dyDescent="0.3">
      <c r="A122" s="98" t="s">
        <v>56</v>
      </c>
      <c r="B122" s="99"/>
      <c r="C122" s="99"/>
      <c r="D122" s="99"/>
      <c r="E122" s="100"/>
      <c r="F122" s="101" t="s">
        <v>270</v>
      </c>
      <c r="G122" s="155"/>
      <c r="H122" s="156"/>
      <c r="J122" s="8" t="s">
        <v>303</v>
      </c>
      <c r="K122" s="8" t="s">
        <v>304</v>
      </c>
      <c r="L122" s="8" t="s">
        <v>305</v>
      </c>
      <c r="M122" s="8" t="s">
        <v>306</v>
      </c>
    </row>
    <row r="123" spans="1:13" s="9" customFormat="1" x14ac:dyDescent="0.3">
      <c r="A123" s="157" t="s">
        <v>57</v>
      </c>
      <c r="B123" s="158"/>
      <c r="C123" s="158"/>
      <c r="D123" s="158"/>
      <c r="E123" s="159"/>
      <c r="F123" s="81">
        <f>F111*0.8</f>
        <v>3120</v>
      </c>
      <c r="G123" s="82"/>
      <c r="H123" s="83"/>
    </row>
    <row r="124" spans="1:13" s="1" customFormat="1" ht="15.75" customHeight="1" x14ac:dyDescent="0.3">
      <c r="A124" s="111" t="s">
        <v>110</v>
      </c>
      <c r="B124" s="111"/>
      <c r="C124" s="111"/>
      <c r="D124" s="111"/>
      <c r="E124" s="111"/>
      <c r="F124" s="111"/>
      <c r="G124" s="111"/>
      <c r="H124" s="111"/>
    </row>
    <row r="125" spans="1:13" s="1" customFormat="1" ht="15.75" customHeight="1" x14ac:dyDescent="0.3">
      <c r="A125" s="107" t="s">
        <v>58</v>
      </c>
      <c r="B125" s="107"/>
      <c r="C125" s="16" t="s">
        <v>113</v>
      </c>
      <c r="D125" s="110" t="s">
        <v>59</v>
      </c>
      <c r="E125" s="110"/>
      <c r="F125" s="107" t="s">
        <v>60</v>
      </c>
      <c r="G125" s="107"/>
      <c r="H125" s="107"/>
    </row>
    <row r="126" spans="1:13" s="1" customFormat="1" x14ac:dyDescent="0.3">
      <c r="A126" s="108" t="s">
        <v>185</v>
      </c>
      <c r="B126" s="108"/>
      <c r="C126" s="17">
        <f>COUNT(D141:D156)</f>
        <v>16</v>
      </c>
      <c r="D126" s="80">
        <f>SUM(D141:D156)</f>
        <v>2424.3757199999991</v>
      </c>
      <c r="E126" s="80"/>
      <c r="F126" s="80">
        <f>SUM(F141:F156)</f>
        <v>3879.0011520000007</v>
      </c>
      <c r="G126" s="80"/>
      <c r="H126" s="80"/>
    </row>
    <row r="127" spans="1:13" s="1" customFormat="1" ht="32.25" customHeight="1" x14ac:dyDescent="0.3">
      <c r="A127" s="108" t="s">
        <v>190</v>
      </c>
      <c r="B127" s="108"/>
      <c r="C127" s="17">
        <f>COUNT(D158:D160)</f>
        <v>3</v>
      </c>
      <c r="D127" s="109">
        <f>SUM(D158:D160)</f>
        <v>3593.6690399999998</v>
      </c>
      <c r="E127" s="109"/>
      <c r="F127" s="109">
        <f>SUM(F158:F160)</f>
        <v>5749.8704639999996</v>
      </c>
      <c r="G127" s="109"/>
      <c r="H127" s="109"/>
    </row>
    <row r="128" spans="1:13" s="1" customFormat="1" x14ac:dyDescent="0.3">
      <c r="A128" s="111" t="s">
        <v>62</v>
      </c>
      <c r="B128" s="111"/>
      <c r="C128" s="65">
        <f>SUM(C126:C127)</f>
        <v>19</v>
      </c>
      <c r="D128" s="167">
        <f>SUM(D126:E127)</f>
        <v>6018.0447599999989</v>
      </c>
      <c r="E128" s="167"/>
      <c r="F128" s="167">
        <f>SUM(F126:H127)</f>
        <v>9628.8716160000004</v>
      </c>
      <c r="G128" s="167"/>
      <c r="H128" s="167"/>
    </row>
    <row r="129" spans="1:9" s="1" customFormat="1" x14ac:dyDescent="0.3">
      <c r="A129" s="111" t="s">
        <v>101</v>
      </c>
      <c r="B129" s="111"/>
      <c r="C129" s="111"/>
      <c r="D129" s="111"/>
      <c r="E129" s="111"/>
      <c r="F129" s="111"/>
      <c r="G129" s="111"/>
      <c r="H129" s="111"/>
    </row>
    <row r="130" spans="1:9" s="1" customFormat="1" x14ac:dyDescent="0.3">
      <c r="A130" s="107" t="s">
        <v>58</v>
      </c>
      <c r="B130" s="107"/>
      <c r="C130" s="16" t="s">
        <v>113</v>
      </c>
      <c r="D130" s="110" t="s">
        <v>59</v>
      </c>
      <c r="E130" s="110"/>
      <c r="F130" s="107" t="s">
        <v>60</v>
      </c>
      <c r="G130" s="107"/>
      <c r="H130" s="107"/>
    </row>
    <row r="131" spans="1:9" s="1" customFormat="1" x14ac:dyDescent="0.3">
      <c r="A131" s="108" t="s">
        <v>160</v>
      </c>
      <c r="B131" s="108"/>
      <c r="C131" s="17">
        <f>COUNT(D161:D164,D166:D175)+COUNT(D177:D186)*4+COUNT(D188:D197)*5+COUNT(D199:D207)</f>
        <v>113</v>
      </c>
      <c r="D131" s="80">
        <f>SUM(D161:D164,D166:D175)+SUM(D177:D186)*4+SUM(D188:D197)*5+SUM(D199:D207)</f>
        <v>44799.174365399995</v>
      </c>
      <c r="E131" s="80"/>
      <c r="F131" s="80">
        <f>SUM(F161:F164,F166:F175)+SUM(F177:F186)*4+SUM(F188:F197)*5+SUM(F199:F207)</f>
        <v>67265.121608099987</v>
      </c>
      <c r="G131" s="80"/>
      <c r="H131" s="80"/>
    </row>
    <row r="132" spans="1:9" s="1" customFormat="1" x14ac:dyDescent="0.3">
      <c r="A132" s="108" t="s">
        <v>180</v>
      </c>
      <c r="B132" s="108"/>
      <c r="C132" s="17">
        <f>COUNT(D210:D215)+COUNT(D217:D228)*7+COUNT(D230:D240)</f>
        <v>101</v>
      </c>
      <c r="D132" s="80">
        <f>SUM(D210:D215)+SUM(D217:D228)*7+SUM(D230:D240)</f>
        <v>34225.292977200006</v>
      </c>
      <c r="E132" s="80"/>
      <c r="F132" s="80">
        <f>SUM(F210:F215)+SUM(F217:F228)*7+SUM(F230:F240)</f>
        <v>51337.939465800009</v>
      </c>
      <c r="G132" s="80"/>
      <c r="H132" s="80"/>
    </row>
    <row r="133" spans="1:9" s="1" customFormat="1" x14ac:dyDescent="0.3">
      <c r="A133" s="108" t="s">
        <v>279</v>
      </c>
      <c r="B133" s="108"/>
      <c r="C133" s="17">
        <f>COUNT(D244:D247)*3+COUNT(D249,D251:D252)</f>
        <v>15</v>
      </c>
      <c r="D133" s="80">
        <f>SUM(D244:D247)*3+SUM(D249,D251:D252)</f>
        <v>6226.0859700000001</v>
      </c>
      <c r="E133" s="80"/>
      <c r="F133" s="80">
        <f>SUM(F244:F247)*3+SUM(F249,F251:F252)</f>
        <v>9339.1289549999983</v>
      </c>
      <c r="G133" s="80"/>
      <c r="H133" s="80"/>
    </row>
    <row r="134" spans="1:9" s="1" customFormat="1" x14ac:dyDescent="0.3">
      <c r="A134" s="111" t="s">
        <v>62</v>
      </c>
      <c r="B134" s="111"/>
      <c r="C134" s="65">
        <f>SUM(C131:C133)</f>
        <v>229</v>
      </c>
      <c r="D134" s="166">
        <f>SUM(D131:D133)</f>
        <v>85250.553312599994</v>
      </c>
      <c r="E134" s="166"/>
      <c r="F134" s="107">
        <f>SUM(F131:F133)</f>
        <v>127942.19002889999</v>
      </c>
      <c r="G134" s="107"/>
      <c r="H134" s="107"/>
    </row>
    <row r="135" spans="1:9" s="1" customFormat="1" x14ac:dyDescent="0.3">
      <c r="A135" s="111" t="s">
        <v>295</v>
      </c>
      <c r="B135" s="111"/>
      <c r="C135" s="65">
        <f>C128+C134</f>
        <v>248</v>
      </c>
      <c r="D135" s="166">
        <f>D128+D134</f>
        <v>91268.598072599998</v>
      </c>
      <c r="E135" s="166"/>
      <c r="F135" s="107">
        <f>F128+F134</f>
        <v>137571.06164489998</v>
      </c>
      <c r="G135" s="107"/>
      <c r="H135" s="107"/>
    </row>
    <row r="136" spans="1:9" s="9" customFormat="1" x14ac:dyDescent="0.3">
      <c r="A136" s="163" t="s">
        <v>63</v>
      </c>
      <c r="B136" s="164"/>
      <c r="C136" s="164"/>
      <c r="D136" s="164"/>
      <c r="E136" s="164"/>
      <c r="F136" s="164"/>
      <c r="G136" s="164"/>
      <c r="H136" s="165"/>
    </row>
    <row r="137" spans="1:9" x14ac:dyDescent="0.3">
      <c r="A137" s="163" t="s">
        <v>64</v>
      </c>
      <c r="B137" s="164"/>
      <c r="C137" s="164"/>
      <c r="D137" s="164"/>
      <c r="E137" s="164"/>
      <c r="F137" s="164"/>
      <c r="G137" s="164"/>
      <c r="H137" s="165"/>
    </row>
    <row r="138" spans="1:9" ht="66" customHeight="1" x14ac:dyDescent="0.3">
      <c r="A138" s="68" t="s">
        <v>299</v>
      </c>
      <c r="B138" s="68" t="s">
        <v>300</v>
      </c>
      <c r="C138" s="18" t="s">
        <v>65</v>
      </c>
      <c r="D138" s="29" t="s">
        <v>66</v>
      </c>
      <c r="E138" s="19" t="s">
        <v>67</v>
      </c>
      <c r="F138" s="18" t="s">
        <v>278</v>
      </c>
      <c r="G138" s="224" t="s">
        <v>68</v>
      </c>
      <c r="H138" s="225"/>
    </row>
    <row r="139" spans="1:9" s="2" customFormat="1" ht="17.399999999999999" customHeight="1" x14ac:dyDescent="0.3">
      <c r="A139" s="160" t="s">
        <v>160</v>
      </c>
      <c r="B139" s="161"/>
      <c r="C139" s="161"/>
      <c r="D139" s="161"/>
      <c r="E139" s="161"/>
      <c r="F139" s="161"/>
      <c r="G139" s="161"/>
      <c r="H139" s="162"/>
    </row>
    <row r="140" spans="1:9" s="2" customFormat="1" ht="17.399999999999999" customHeight="1" x14ac:dyDescent="0.3">
      <c r="A140" s="160" t="s">
        <v>161</v>
      </c>
      <c r="B140" s="161"/>
      <c r="C140" s="161"/>
      <c r="D140" s="161"/>
      <c r="E140" s="161"/>
      <c r="F140" s="161"/>
      <c r="G140" s="161"/>
      <c r="H140" s="162"/>
    </row>
    <row r="141" spans="1:9" s="2" customFormat="1" ht="17.399999999999999" customHeight="1" x14ac:dyDescent="0.3">
      <c r="A141" s="79" t="s">
        <v>162</v>
      </c>
      <c r="B141" s="72"/>
      <c r="C141" s="28" t="s">
        <v>178</v>
      </c>
      <c r="D141" s="27">
        <f>(4.5*3.75)*10.764</f>
        <v>181.64249999999998</v>
      </c>
      <c r="E141" s="28">
        <v>0</v>
      </c>
      <c r="F141" s="28">
        <f>D141*1.6+E141</f>
        <v>290.62799999999999</v>
      </c>
      <c r="G141" s="73" t="s">
        <v>179</v>
      </c>
      <c r="H141" s="74"/>
      <c r="I141" s="2">
        <f>4.5*3.75+4.5*1.8</f>
        <v>24.975000000000001</v>
      </c>
    </row>
    <row r="142" spans="1:9" s="2" customFormat="1" ht="17.399999999999999" customHeight="1" x14ac:dyDescent="0.3">
      <c r="A142" s="79" t="s">
        <v>163</v>
      </c>
      <c r="B142" s="72"/>
      <c r="C142" s="28" t="s">
        <v>178</v>
      </c>
      <c r="D142" s="27">
        <f>(2.74*5.7)*10.764</f>
        <v>168.11215200000001</v>
      </c>
      <c r="E142" s="28">
        <v>0</v>
      </c>
      <c r="F142" s="28">
        <f t="shared" ref="F142:F156" si="0">D142*1.6+E142</f>
        <v>268.97944320000005</v>
      </c>
      <c r="G142" s="75"/>
      <c r="H142" s="76"/>
    </row>
    <row r="143" spans="1:9" s="2" customFormat="1" ht="17.399999999999999" customHeight="1" x14ac:dyDescent="0.3">
      <c r="A143" s="79" t="s">
        <v>164</v>
      </c>
      <c r="B143" s="72"/>
      <c r="C143" s="28" t="s">
        <v>178</v>
      </c>
      <c r="D143" s="27">
        <f>2.74*5.7*10.764</f>
        <v>168.11215200000001</v>
      </c>
      <c r="E143" s="28">
        <v>0</v>
      </c>
      <c r="F143" s="28">
        <f t="shared" si="0"/>
        <v>268.97944320000005</v>
      </c>
      <c r="G143" s="75"/>
      <c r="H143" s="76"/>
    </row>
    <row r="144" spans="1:9" s="2" customFormat="1" ht="17.399999999999999" customHeight="1" x14ac:dyDescent="0.3">
      <c r="A144" s="79" t="s">
        <v>165</v>
      </c>
      <c r="B144" s="72"/>
      <c r="C144" s="28" t="s">
        <v>178</v>
      </c>
      <c r="D144" s="27">
        <f>2.25*5.7*10.764</f>
        <v>138.04830000000001</v>
      </c>
      <c r="E144" s="28">
        <v>0</v>
      </c>
      <c r="F144" s="28">
        <f t="shared" si="0"/>
        <v>220.87728000000004</v>
      </c>
      <c r="G144" s="75"/>
      <c r="H144" s="76"/>
    </row>
    <row r="145" spans="1:10" s="2" customFormat="1" ht="17.399999999999999" customHeight="1" x14ac:dyDescent="0.3">
      <c r="A145" s="79" t="s">
        <v>166</v>
      </c>
      <c r="B145" s="72"/>
      <c r="C145" s="28" t="s">
        <v>178</v>
      </c>
      <c r="D145" s="27">
        <f>2.4*4.5*10.764</f>
        <v>116.25119999999998</v>
      </c>
      <c r="E145" s="28">
        <v>0</v>
      </c>
      <c r="F145" s="28">
        <f t="shared" si="0"/>
        <v>186.00191999999998</v>
      </c>
      <c r="G145" s="75"/>
      <c r="H145" s="76"/>
    </row>
    <row r="146" spans="1:10" s="2" customFormat="1" ht="17.399999999999999" customHeight="1" x14ac:dyDescent="0.3">
      <c r="A146" s="79" t="s">
        <v>167</v>
      </c>
      <c r="B146" s="72"/>
      <c r="C146" s="28" t="s">
        <v>178</v>
      </c>
      <c r="D146" s="27">
        <f>2.4*4.5*10.764</f>
        <v>116.25119999999998</v>
      </c>
      <c r="E146" s="28">
        <v>0</v>
      </c>
      <c r="F146" s="28">
        <f t="shared" si="0"/>
        <v>186.00191999999998</v>
      </c>
      <c r="G146" s="75"/>
      <c r="H146" s="76"/>
    </row>
    <row r="147" spans="1:10" s="2" customFormat="1" ht="17.399999999999999" customHeight="1" x14ac:dyDescent="0.3">
      <c r="A147" s="79" t="s">
        <v>168</v>
      </c>
      <c r="B147" s="72"/>
      <c r="C147" s="28" t="s">
        <v>178</v>
      </c>
      <c r="D147" s="27">
        <f>2.25*5.7*10.764</f>
        <v>138.04830000000001</v>
      </c>
      <c r="E147" s="28">
        <v>0</v>
      </c>
      <c r="F147" s="28">
        <f t="shared" si="0"/>
        <v>220.87728000000004</v>
      </c>
      <c r="G147" s="75"/>
      <c r="H147" s="76"/>
    </row>
    <row r="148" spans="1:10" s="2" customFormat="1" ht="17.399999999999999" customHeight="1" x14ac:dyDescent="0.3">
      <c r="A148" s="79" t="s">
        <v>169</v>
      </c>
      <c r="B148" s="72"/>
      <c r="C148" s="28" t="s">
        <v>178</v>
      </c>
      <c r="D148" s="27">
        <f>2.74*5.7*10.764</f>
        <v>168.11215200000001</v>
      </c>
      <c r="E148" s="28">
        <v>0</v>
      </c>
      <c r="F148" s="28">
        <f t="shared" si="0"/>
        <v>268.97944320000005</v>
      </c>
      <c r="G148" s="75"/>
      <c r="H148" s="76"/>
    </row>
    <row r="149" spans="1:10" s="2" customFormat="1" ht="17.399999999999999" customHeight="1" x14ac:dyDescent="0.3">
      <c r="A149" s="79" t="s">
        <v>170</v>
      </c>
      <c r="B149" s="72"/>
      <c r="C149" s="28" t="s">
        <v>178</v>
      </c>
      <c r="D149" s="27">
        <f>2.74*5.7*10.764</f>
        <v>168.11215200000001</v>
      </c>
      <c r="E149" s="28">
        <v>0</v>
      </c>
      <c r="F149" s="28">
        <f t="shared" si="0"/>
        <v>268.97944320000005</v>
      </c>
      <c r="G149" s="75"/>
      <c r="H149" s="76"/>
    </row>
    <row r="150" spans="1:10" s="2" customFormat="1" ht="17.399999999999999" customHeight="1" x14ac:dyDescent="0.3">
      <c r="A150" s="79" t="s">
        <v>171</v>
      </c>
      <c r="B150" s="72"/>
      <c r="C150" s="28" t="s">
        <v>178</v>
      </c>
      <c r="D150" s="27">
        <f>2.25*5.7*10.764</f>
        <v>138.04830000000001</v>
      </c>
      <c r="E150" s="28">
        <v>0</v>
      </c>
      <c r="F150" s="28">
        <f t="shared" si="0"/>
        <v>220.87728000000004</v>
      </c>
      <c r="G150" s="75"/>
      <c r="H150" s="76"/>
    </row>
    <row r="151" spans="1:10" s="2" customFormat="1" ht="17.399999999999999" customHeight="1" x14ac:dyDescent="0.3">
      <c r="A151" s="79" t="s">
        <v>172</v>
      </c>
      <c r="B151" s="72"/>
      <c r="C151" s="28" t="s">
        <v>178</v>
      </c>
      <c r="D151" s="27">
        <f>2.4*4.5*10.764</f>
        <v>116.25119999999998</v>
      </c>
      <c r="E151" s="28">
        <v>0</v>
      </c>
      <c r="F151" s="28">
        <f t="shared" si="0"/>
        <v>186.00191999999998</v>
      </c>
      <c r="G151" s="75"/>
      <c r="H151" s="76"/>
    </row>
    <row r="152" spans="1:10" s="2" customFormat="1" ht="17.399999999999999" customHeight="1" x14ac:dyDescent="0.3">
      <c r="A152" s="79" t="s">
        <v>173</v>
      </c>
      <c r="B152" s="72"/>
      <c r="C152" s="28" t="s">
        <v>178</v>
      </c>
      <c r="D152" s="27">
        <f>2.4*4.5*10.764</f>
        <v>116.25119999999998</v>
      </c>
      <c r="E152" s="28">
        <v>0</v>
      </c>
      <c r="F152" s="28">
        <f t="shared" si="0"/>
        <v>186.00191999999998</v>
      </c>
      <c r="G152" s="75"/>
      <c r="H152" s="76"/>
    </row>
    <row r="153" spans="1:10" s="2" customFormat="1" ht="17.399999999999999" customHeight="1" x14ac:dyDescent="0.3">
      <c r="A153" s="79" t="s">
        <v>174</v>
      </c>
      <c r="B153" s="72"/>
      <c r="C153" s="28" t="s">
        <v>178</v>
      </c>
      <c r="D153" s="27">
        <f>2.25*5.7*10.764</f>
        <v>138.04830000000001</v>
      </c>
      <c r="E153" s="28">
        <v>0</v>
      </c>
      <c r="F153" s="28">
        <f t="shared" si="0"/>
        <v>220.87728000000004</v>
      </c>
      <c r="G153" s="75"/>
      <c r="H153" s="76"/>
    </row>
    <row r="154" spans="1:10" s="2" customFormat="1" ht="17.399999999999999" customHeight="1" x14ac:dyDescent="0.3">
      <c r="A154" s="79" t="s">
        <v>175</v>
      </c>
      <c r="B154" s="72"/>
      <c r="C154" s="28" t="s">
        <v>178</v>
      </c>
      <c r="D154" s="27">
        <f>2.74*5.7*10.764</f>
        <v>168.11215200000001</v>
      </c>
      <c r="E154" s="28">
        <v>0</v>
      </c>
      <c r="F154" s="28">
        <f t="shared" si="0"/>
        <v>268.97944320000005</v>
      </c>
      <c r="G154" s="75"/>
      <c r="H154" s="76"/>
    </row>
    <row r="155" spans="1:10" s="2" customFormat="1" ht="17.399999999999999" customHeight="1" x14ac:dyDescent="0.3">
      <c r="A155" s="79" t="s">
        <v>176</v>
      </c>
      <c r="B155" s="72"/>
      <c r="C155" s="28" t="s">
        <v>178</v>
      </c>
      <c r="D155" s="27">
        <f>3.6*5.7*10.764</f>
        <v>220.87727999999998</v>
      </c>
      <c r="E155" s="28">
        <v>0</v>
      </c>
      <c r="F155" s="28">
        <f t="shared" si="0"/>
        <v>353.40364799999998</v>
      </c>
      <c r="G155" s="75"/>
      <c r="H155" s="76"/>
      <c r="I155" s="2">
        <f>3.6*5.7</f>
        <v>20.52</v>
      </c>
    </row>
    <row r="156" spans="1:10" s="2" customFormat="1" ht="17.399999999999999" customHeight="1" x14ac:dyDescent="0.3">
      <c r="A156" s="79" t="s">
        <v>177</v>
      </c>
      <c r="B156" s="72"/>
      <c r="C156" s="28" t="s">
        <v>178</v>
      </c>
      <c r="D156" s="27">
        <f>(3*3.05+2.3*2.65)*10.764</f>
        <v>164.09717999999995</v>
      </c>
      <c r="E156" s="28">
        <v>0</v>
      </c>
      <c r="F156" s="28">
        <f t="shared" si="0"/>
        <v>262.55548799999991</v>
      </c>
      <c r="G156" s="77"/>
      <c r="H156" s="78"/>
      <c r="I156" s="2">
        <f>3*3.05+2.3*2.65</f>
        <v>15.244999999999997</v>
      </c>
      <c r="J156" s="2">
        <f>6.9+2.1</f>
        <v>9</v>
      </c>
    </row>
    <row r="157" spans="1:10" s="2" customFormat="1" ht="17.399999999999999" customHeight="1" x14ac:dyDescent="0.3">
      <c r="A157" s="160" t="s">
        <v>228</v>
      </c>
      <c r="B157" s="161"/>
      <c r="C157" s="161"/>
      <c r="D157" s="161"/>
      <c r="E157" s="161"/>
      <c r="F157" s="161"/>
      <c r="G157" s="161"/>
      <c r="H157" s="162"/>
    </row>
    <row r="158" spans="1:10" s="2" customFormat="1" x14ac:dyDescent="0.3">
      <c r="A158" s="71">
        <v>1</v>
      </c>
      <c r="B158" s="72"/>
      <c r="C158" s="28" t="s">
        <v>229</v>
      </c>
      <c r="D158" s="27">
        <f>(12.1*7.2+1.6*2.25+2.5*1.85+4.5*1.2+1.5*1.5+16*0.75)*10.764</f>
        <v>1237.80618</v>
      </c>
      <c r="E158" s="28">
        <v>0</v>
      </c>
      <c r="F158" s="28">
        <f>D158*1.6+E158</f>
        <v>1980.4898880000001</v>
      </c>
      <c r="G158" s="73" t="str">
        <f>A157</f>
        <v>1st Floor For Commercial &amp; Residential</v>
      </c>
      <c r="H158" s="74"/>
    </row>
    <row r="159" spans="1:10" s="2" customFormat="1" x14ac:dyDescent="0.3">
      <c r="A159" s="71">
        <v>2</v>
      </c>
      <c r="B159" s="72"/>
      <c r="C159" s="28" t="s">
        <v>229</v>
      </c>
      <c r="D159" s="27">
        <f>(8.3*5.7+3.6*4.5+2.25*4.5+1.38*3.1+15*0.75)*10.764</f>
        <v>959.75053200000002</v>
      </c>
      <c r="E159" s="28">
        <v>0</v>
      </c>
      <c r="F159" s="28">
        <f t="shared" ref="F159:F160" si="1">D159*1.6+E159</f>
        <v>1535.6008512000001</v>
      </c>
      <c r="G159" s="75"/>
      <c r="H159" s="76"/>
    </row>
    <row r="160" spans="1:10" s="2" customFormat="1" x14ac:dyDescent="0.3">
      <c r="A160" s="71">
        <v>3</v>
      </c>
      <c r="B160" s="72"/>
      <c r="C160" s="28" t="s">
        <v>229</v>
      </c>
      <c r="D160" s="27">
        <f>(13.9*7.6+1.3*3.8+6*0.3+1.38*4.4+15*0.75)*10.764</f>
        <v>1396.1123279999999</v>
      </c>
      <c r="E160" s="28">
        <v>0</v>
      </c>
      <c r="F160" s="28">
        <f t="shared" si="1"/>
        <v>2233.7797248000002</v>
      </c>
      <c r="G160" s="75"/>
      <c r="H160" s="76"/>
    </row>
    <row r="161" spans="1:11" s="2" customFormat="1" x14ac:dyDescent="0.3">
      <c r="A161" s="71">
        <v>101</v>
      </c>
      <c r="B161" s="72"/>
      <c r="C161" s="28" t="s">
        <v>182</v>
      </c>
      <c r="D161" s="27">
        <f>(4.41*2.74+2.1*2.25+1.2*0.9+1.8*1.2+1.2*1.2+2.25*0.75)*10.764</f>
        <v>249.46538760000004</v>
      </c>
      <c r="E161" s="28">
        <v>0</v>
      </c>
      <c r="F161" s="28">
        <f>D161*1.5+E161</f>
        <v>374.19808140000009</v>
      </c>
      <c r="G161" s="75"/>
      <c r="H161" s="76"/>
    </row>
    <row r="162" spans="1:11" s="2" customFormat="1" x14ac:dyDescent="0.3">
      <c r="A162" s="71">
        <v>102</v>
      </c>
      <c r="B162" s="72"/>
      <c r="C162" s="28" t="s">
        <v>181</v>
      </c>
      <c r="D162" s="27">
        <f>(4.41*2.74+1.95*2.25+3*2.6+1.8*1.2+1.2*0.9+1.2*1.2+0.9*0.9+2.74*0.75+2.25*0.75)*10.764</f>
        <v>360.63059759999999</v>
      </c>
      <c r="E162" s="28">
        <v>0</v>
      </c>
      <c r="F162" s="28">
        <f t="shared" ref="F162:F207" si="2">D162*1.5+E162</f>
        <v>540.94589640000004</v>
      </c>
      <c r="G162" s="75"/>
      <c r="H162" s="76"/>
    </row>
    <row r="163" spans="1:11" s="2" customFormat="1" x14ac:dyDescent="0.3">
      <c r="A163" s="71">
        <v>103</v>
      </c>
      <c r="B163" s="72"/>
      <c r="C163" s="28" t="s">
        <v>181</v>
      </c>
      <c r="D163" s="27">
        <f>(4.5*2.7+2.4*2.1+1.2*1.5+3.5*2.4+1.8*0.75+1.5*0.9+2.1*0.75+2.4*0.75)*10.764</f>
        <v>360.21726000000001</v>
      </c>
      <c r="E163" s="28">
        <v>0</v>
      </c>
      <c r="F163" s="28">
        <f t="shared" si="2"/>
        <v>540.32589000000007</v>
      </c>
      <c r="G163" s="75"/>
      <c r="H163" s="76"/>
    </row>
    <row r="164" spans="1:11" s="2" customFormat="1" x14ac:dyDescent="0.3">
      <c r="A164" s="71">
        <v>104</v>
      </c>
      <c r="B164" s="72"/>
      <c r="C164" s="28" t="s">
        <v>181</v>
      </c>
      <c r="D164" s="27">
        <f>(4.5*2.7+2.4*2.1+1.2*1.5+3.5*2.4+1.8*0.75+1.5*0.9+2.1*0.75+2.4*0.75)*10.764</f>
        <v>360.21726000000001</v>
      </c>
      <c r="E164" s="28">
        <v>0</v>
      </c>
      <c r="F164" s="28">
        <f t="shared" si="2"/>
        <v>540.32589000000007</v>
      </c>
      <c r="G164" s="77"/>
      <c r="H164" s="78"/>
    </row>
    <row r="165" spans="1:11" s="2" customFormat="1" ht="17.399999999999999" customHeight="1" x14ac:dyDescent="0.3">
      <c r="A165" s="208" t="s">
        <v>230</v>
      </c>
      <c r="B165" s="208"/>
      <c r="C165" s="208"/>
      <c r="D165" s="208"/>
      <c r="E165" s="208"/>
      <c r="F165" s="208"/>
      <c r="G165" s="208"/>
      <c r="H165" s="208"/>
    </row>
    <row r="166" spans="1:11" s="2" customFormat="1" ht="17.399999999999999" customHeight="1" x14ac:dyDescent="0.3">
      <c r="A166" s="70">
        <v>201</v>
      </c>
      <c r="B166" s="70"/>
      <c r="C166" s="28" t="s">
        <v>182</v>
      </c>
      <c r="D166" s="28">
        <f>(4.41*2.74+2.1*2.25+1.2*0.9+1.8*1.2+1.2*1.2+2.25*0.75)*10.764</f>
        <v>249.46538760000004</v>
      </c>
      <c r="E166" s="28">
        <v>0</v>
      </c>
      <c r="F166" s="28">
        <f t="shared" si="2"/>
        <v>374.19808140000009</v>
      </c>
      <c r="G166" s="70" t="str">
        <f>A165</f>
        <v>2nd Floor for Residential</v>
      </c>
      <c r="H166" s="70"/>
      <c r="I166" s="2">
        <f>1920000/F166</f>
        <v>5130.9723257175401</v>
      </c>
      <c r="K166" s="2">
        <f>4.41*2.74+2.1*2.25+1.2*0.9+1.8*1.2+2.25*0.75</f>
        <v>21.735900000000004</v>
      </c>
    </row>
    <row r="167" spans="1:11" s="2" customFormat="1" ht="17.399999999999999" customHeight="1" x14ac:dyDescent="0.3">
      <c r="A167" s="70">
        <v>202</v>
      </c>
      <c r="B167" s="70"/>
      <c r="C167" s="28" t="s">
        <v>181</v>
      </c>
      <c r="D167" s="28">
        <f>(4.41*2.74+1.95*2.25+3*2.6+1.8*1.2+1.2*0.9+1.2*1.2+0.9*0.9+2.74*0.75+2.25*0.75)*10.764</f>
        <v>360.63059759999999</v>
      </c>
      <c r="E167" s="28">
        <v>0</v>
      </c>
      <c r="F167" s="28">
        <f t="shared" si="2"/>
        <v>540.94589640000004</v>
      </c>
      <c r="G167" s="70"/>
      <c r="H167" s="70"/>
      <c r="I167" s="2">
        <f>1376000/F167</f>
        <v>2543.6924638069959</v>
      </c>
      <c r="J167" s="2">
        <f>1500000/F167</f>
        <v>2772.9205637430914</v>
      </c>
    </row>
    <row r="168" spans="1:11" s="2" customFormat="1" ht="17.399999999999999" customHeight="1" x14ac:dyDescent="0.3">
      <c r="A168" s="70">
        <v>203</v>
      </c>
      <c r="B168" s="70"/>
      <c r="C168" s="28" t="s">
        <v>181</v>
      </c>
      <c r="D168" s="28">
        <f>(4.5*2.7+2.4*2.1+1.2*1.5+3.5*2.4+1.8*0.75+1.5*0.9+2.1*0.75+2.4*0.75)*10.764</f>
        <v>360.21726000000001</v>
      </c>
      <c r="E168" s="28">
        <v>0</v>
      </c>
      <c r="F168" s="28">
        <f t="shared" si="2"/>
        <v>540.32589000000007</v>
      </c>
      <c r="G168" s="70"/>
      <c r="H168" s="70"/>
    </row>
    <row r="169" spans="1:11" s="2" customFormat="1" ht="17.399999999999999" customHeight="1" x14ac:dyDescent="0.3">
      <c r="A169" s="70">
        <v>204</v>
      </c>
      <c r="B169" s="70"/>
      <c r="C169" s="28" t="s">
        <v>181</v>
      </c>
      <c r="D169" s="28">
        <f>(4.5*2.7+2.4*2.1+1.2*1.5+3.5*2.4+1.8*0.75+1.5*0.9+2.1*0.75+2.4*0.75)*10.764</f>
        <v>360.21726000000001</v>
      </c>
      <c r="E169" s="28">
        <v>0</v>
      </c>
      <c r="F169" s="28">
        <f t="shared" si="2"/>
        <v>540.32589000000007</v>
      </c>
      <c r="G169" s="70"/>
      <c r="H169" s="70"/>
    </row>
    <row r="170" spans="1:11" s="2" customFormat="1" ht="17.399999999999999" customHeight="1" x14ac:dyDescent="0.3">
      <c r="A170" s="70">
        <v>205</v>
      </c>
      <c r="B170" s="70"/>
      <c r="C170" s="28" t="s">
        <v>183</v>
      </c>
      <c r="D170" s="28">
        <f>(3.5*3.75+2.4*2.1+2.45*3.3+3*3.05+1.05*1.8+1.8*1.2+1.05*1.5+(2+3+2.45)*0.75)*10.764</f>
        <v>501.73695000000004</v>
      </c>
      <c r="E170" s="28">
        <v>0</v>
      </c>
      <c r="F170" s="28">
        <f t="shared" si="2"/>
        <v>752.60542500000008</v>
      </c>
      <c r="G170" s="70"/>
      <c r="H170" s="70"/>
    </row>
    <row r="171" spans="1:11" s="2" customFormat="1" ht="17.399999999999999" customHeight="1" x14ac:dyDescent="0.3">
      <c r="A171" s="70">
        <v>206</v>
      </c>
      <c r="B171" s="70"/>
      <c r="C171" s="28" t="s">
        <v>181</v>
      </c>
      <c r="D171" s="28">
        <f>(2.74*4.7+2.25*2.1+2.4*3.1+1.2*1.8+0.95+1.2+0.95*0.9+1.2*1.5+(2.25+2.4)*0.75)*10.764</f>
        <v>382.07356199999992</v>
      </c>
      <c r="E171" s="28">
        <f>2.74*0.75*10.764</f>
        <v>22.12002</v>
      </c>
      <c r="F171" s="28">
        <f t="shared" si="2"/>
        <v>595.23036299999978</v>
      </c>
      <c r="G171" s="70"/>
      <c r="H171" s="70"/>
      <c r="I171" s="2">
        <f>3800*F171</f>
        <v>2261875.379399999</v>
      </c>
    </row>
    <row r="172" spans="1:11" s="2" customFormat="1" ht="17.399999999999999" customHeight="1" x14ac:dyDescent="0.3">
      <c r="A172" s="70">
        <v>207</v>
      </c>
      <c r="B172" s="70"/>
      <c r="C172" s="28" t="s">
        <v>181</v>
      </c>
      <c r="D172" s="28">
        <f t="shared" ref="D172" si="3">(2.74*4.7+2.25*2.1+2.4*3.1+1.2*1.8+0.95+1.2+0.95*0.9+1.2*1.5+(2.74+2.25+2.4)*0.75)*10.764</f>
        <v>404.19358199999999</v>
      </c>
      <c r="E172" s="28">
        <v>0</v>
      </c>
      <c r="F172" s="28">
        <f t="shared" si="2"/>
        <v>606.29037300000005</v>
      </c>
      <c r="G172" s="70"/>
      <c r="H172" s="70"/>
    </row>
    <row r="173" spans="1:11" s="2" customFormat="1" ht="17.399999999999999" customHeight="1" x14ac:dyDescent="0.3">
      <c r="A173" s="70">
        <v>208</v>
      </c>
      <c r="B173" s="70"/>
      <c r="C173" s="28" t="s">
        <v>181</v>
      </c>
      <c r="D173" s="28">
        <f>(2.74*4.7+2.25*2.1+2.4*3.1+1.2*1.8+0.95+1.2+0.95*0.9+1.2*1.5+(2.25+2.4)*0.75)*10.764</f>
        <v>382.07356199999992</v>
      </c>
      <c r="E173" s="28">
        <f>2.74*0.75*10.764</f>
        <v>22.12002</v>
      </c>
      <c r="F173" s="28">
        <f t="shared" si="2"/>
        <v>595.23036299999978</v>
      </c>
      <c r="G173" s="70"/>
      <c r="H173" s="70"/>
    </row>
    <row r="174" spans="1:11" s="2" customFormat="1" ht="17.399999999999999" customHeight="1" x14ac:dyDescent="0.3">
      <c r="A174" s="70">
        <v>209</v>
      </c>
      <c r="B174" s="70"/>
      <c r="C174" s="28" t="s">
        <v>181</v>
      </c>
      <c r="D174" s="28">
        <f>(2.74*4.7+2.25*2.1+2.4*3.1+1.2*1.8+0.95+1.2+0.95*0.9+1.2*1.5+(2.25+2.4)*0.75)*10.764</f>
        <v>382.07356199999992</v>
      </c>
      <c r="E174" s="28">
        <f>2.74*0.75*10.764</f>
        <v>22.12002</v>
      </c>
      <c r="F174" s="28">
        <f t="shared" si="2"/>
        <v>595.23036299999978</v>
      </c>
      <c r="G174" s="70"/>
      <c r="H174" s="70"/>
      <c r="I174" s="2">
        <f>600/D174</f>
        <v>1.5703782194696845</v>
      </c>
    </row>
    <row r="175" spans="1:11" s="2" customFormat="1" ht="17.399999999999999" customHeight="1" x14ac:dyDescent="0.3">
      <c r="A175" s="70">
        <v>210</v>
      </c>
      <c r="B175" s="70"/>
      <c r="C175" s="28" t="s">
        <v>183</v>
      </c>
      <c r="D175" s="28">
        <f>(2.74*4.85+2.1*2.1+3.1*2.45+3.15*2.74+2*1.2+2.1*1.2+2.3*1+(4+2.1+2.45+2.74)*0.75)*10.764</f>
        <v>534.0289499999999</v>
      </c>
      <c r="E175" s="28">
        <v>0</v>
      </c>
      <c r="F175" s="28">
        <f t="shared" si="2"/>
        <v>801.04342499999984</v>
      </c>
      <c r="G175" s="70"/>
      <c r="H175" s="70"/>
    </row>
    <row r="176" spans="1:11" s="2" customFormat="1" ht="17.25" customHeight="1" x14ac:dyDescent="0.3">
      <c r="A176" s="160" t="s">
        <v>231</v>
      </c>
      <c r="B176" s="161"/>
      <c r="C176" s="161"/>
      <c r="D176" s="161"/>
      <c r="E176" s="161"/>
      <c r="F176" s="161"/>
      <c r="G176" s="161"/>
      <c r="H176" s="162"/>
    </row>
    <row r="177" spans="1:11" s="2" customFormat="1" ht="17.399999999999999" customHeight="1" x14ac:dyDescent="0.3">
      <c r="A177" s="71" t="s">
        <v>232</v>
      </c>
      <c r="B177" s="72"/>
      <c r="C177" s="28" t="s">
        <v>182</v>
      </c>
      <c r="D177" s="27">
        <f>(4.41*2.74+2.1*2.25+1.2*0.9+1.8*1.2+1.2*1.2+2.25*0.75)*10.764</f>
        <v>249.46538760000004</v>
      </c>
      <c r="E177" s="28">
        <v>0</v>
      </c>
      <c r="F177" s="28">
        <f t="shared" si="2"/>
        <v>374.19808140000009</v>
      </c>
      <c r="G177" s="73" t="str">
        <f>A176</f>
        <v>4th, 6th, 10th &amp; 12th Floor for Residential</v>
      </c>
      <c r="H177" s="74"/>
      <c r="I177" s="2">
        <f>1920000/F177</f>
        <v>5130.9723257175401</v>
      </c>
      <c r="K177" s="2">
        <f>4.41*2.74+2.1*2.25+1.2*0.9+1.8*1.2+2.25*0.75</f>
        <v>21.735900000000004</v>
      </c>
    </row>
    <row r="178" spans="1:11" s="2" customFormat="1" ht="17.399999999999999" customHeight="1" x14ac:dyDescent="0.3">
      <c r="A178" s="71" t="s">
        <v>233</v>
      </c>
      <c r="B178" s="72"/>
      <c r="C178" s="28" t="s">
        <v>181</v>
      </c>
      <c r="D178" s="27">
        <f>(4.41*2.74+1.95*2.25+3*2.6+1.8*1.2+1.2*0.9+1.2*1.2+0.9*0.9+2.74*0.75+2.25*0.75)*10.764</f>
        <v>360.63059759999999</v>
      </c>
      <c r="E178" s="28">
        <v>0</v>
      </c>
      <c r="F178" s="28">
        <f t="shared" si="2"/>
        <v>540.94589640000004</v>
      </c>
      <c r="G178" s="75"/>
      <c r="H178" s="76"/>
      <c r="I178" s="2">
        <f>1376000/F178</f>
        <v>2543.6924638069959</v>
      </c>
      <c r="J178" s="2">
        <f>1500000/F178</f>
        <v>2772.9205637430914</v>
      </c>
    </row>
    <row r="179" spans="1:11" s="2" customFormat="1" ht="17.399999999999999" customHeight="1" x14ac:dyDescent="0.3">
      <c r="A179" s="71" t="s">
        <v>234</v>
      </c>
      <c r="B179" s="72"/>
      <c r="C179" s="28" t="s">
        <v>181</v>
      </c>
      <c r="D179" s="27">
        <f>(4.5*2.7+2.4*2.1+1.2*1.5+3.5*2.4+1.8*0.75+1.5*0.9+2.1*0.75+2.4*0.75)*10.764</f>
        <v>360.21726000000001</v>
      </c>
      <c r="E179" s="28">
        <v>0</v>
      </c>
      <c r="F179" s="28">
        <f t="shared" si="2"/>
        <v>540.32589000000007</v>
      </c>
      <c r="G179" s="75"/>
      <c r="H179" s="76"/>
    </row>
    <row r="180" spans="1:11" s="2" customFormat="1" ht="17.399999999999999" customHeight="1" x14ac:dyDescent="0.3">
      <c r="A180" s="71" t="s">
        <v>235</v>
      </c>
      <c r="B180" s="72"/>
      <c r="C180" s="28" t="s">
        <v>181</v>
      </c>
      <c r="D180" s="27">
        <f>(4.5*2.7+2.4*2.1+1.2*1.5+3.5*2.4+1.8*0.75+1.5*0.9+2.1*0.75+2.4*0.75)*10.764</f>
        <v>360.21726000000001</v>
      </c>
      <c r="E180" s="28">
        <v>0</v>
      </c>
      <c r="F180" s="28">
        <f t="shared" si="2"/>
        <v>540.32589000000007</v>
      </c>
      <c r="G180" s="75"/>
      <c r="H180" s="76"/>
    </row>
    <row r="181" spans="1:11" s="2" customFormat="1" ht="17.399999999999999" customHeight="1" x14ac:dyDescent="0.3">
      <c r="A181" s="71" t="s">
        <v>236</v>
      </c>
      <c r="B181" s="72"/>
      <c r="C181" s="28" t="s">
        <v>183</v>
      </c>
      <c r="D181" s="27">
        <f>(3.5*3.75+2.4*2.1+2.45*3.3+3*3.05+1.05*1.8+1.8*1.2+1.05*1.5+(2+3+2.45)*0.75)*10.764</f>
        <v>501.73695000000004</v>
      </c>
      <c r="E181" s="28">
        <v>0</v>
      </c>
      <c r="F181" s="28">
        <f t="shared" si="2"/>
        <v>752.60542500000008</v>
      </c>
      <c r="G181" s="75"/>
      <c r="H181" s="76"/>
    </row>
    <row r="182" spans="1:11" s="2" customFormat="1" ht="17.399999999999999" customHeight="1" x14ac:dyDescent="0.3">
      <c r="A182" s="71" t="s">
        <v>237</v>
      </c>
      <c r="B182" s="72"/>
      <c r="C182" s="28" t="s">
        <v>181</v>
      </c>
      <c r="D182" s="27">
        <f>(2.74*4.7+2.25*2.1+2.4*3.1+1.2*1.8+0.95+1.2+0.95*0.9+1.2*1.5+(2.74+2.25+2.4)*0.75)*10.764</f>
        <v>404.19358199999999</v>
      </c>
      <c r="E182" s="28">
        <v>0</v>
      </c>
      <c r="F182" s="28">
        <f t="shared" si="2"/>
        <v>606.29037300000005</v>
      </c>
      <c r="G182" s="75"/>
      <c r="H182" s="76"/>
    </row>
    <row r="183" spans="1:11" s="2" customFormat="1" ht="17.399999999999999" customHeight="1" x14ac:dyDescent="0.3">
      <c r="A183" s="71" t="s">
        <v>238</v>
      </c>
      <c r="B183" s="72"/>
      <c r="C183" s="28" t="s">
        <v>181</v>
      </c>
      <c r="D183" s="27">
        <f t="shared" ref="D183:D185" si="4">(2.74*4.7+2.25*2.1+2.4*3.1+1.2*1.8+0.95+1.2+0.95*0.9+1.2*1.5+(2.74+2.25+2.4)*0.75)*10.764</f>
        <v>404.19358199999999</v>
      </c>
      <c r="E183" s="28">
        <v>0</v>
      </c>
      <c r="F183" s="28">
        <f t="shared" si="2"/>
        <v>606.29037300000005</v>
      </c>
      <c r="G183" s="75"/>
      <c r="H183" s="76"/>
    </row>
    <row r="184" spans="1:11" s="2" customFormat="1" ht="17.399999999999999" customHeight="1" x14ac:dyDescent="0.3">
      <c r="A184" s="71" t="s">
        <v>239</v>
      </c>
      <c r="B184" s="72"/>
      <c r="C184" s="28" t="s">
        <v>181</v>
      </c>
      <c r="D184" s="27">
        <f t="shared" si="4"/>
        <v>404.19358199999999</v>
      </c>
      <c r="E184" s="28">
        <v>0</v>
      </c>
      <c r="F184" s="28">
        <f t="shared" si="2"/>
        <v>606.29037300000005</v>
      </c>
      <c r="G184" s="75"/>
      <c r="H184" s="76"/>
    </row>
    <row r="185" spans="1:11" s="2" customFormat="1" ht="17.399999999999999" customHeight="1" x14ac:dyDescent="0.3">
      <c r="A185" s="71" t="s">
        <v>240</v>
      </c>
      <c r="B185" s="72"/>
      <c r="C185" s="28" t="s">
        <v>181</v>
      </c>
      <c r="D185" s="27">
        <f t="shared" si="4"/>
        <v>404.19358199999999</v>
      </c>
      <c r="E185" s="28">
        <v>0</v>
      </c>
      <c r="F185" s="28">
        <f t="shared" si="2"/>
        <v>606.29037300000005</v>
      </c>
      <c r="G185" s="75"/>
      <c r="H185" s="76"/>
    </row>
    <row r="186" spans="1:11" s="2" customFormat="1" ht="17.399999999999999" customHeight="1" x14ac:dyDescent="0.3">
      <c r="A186" s="71" t="s">
        <v>241</v>
      </c>
      <c r="B186" s="72"/>
      <c r="C186" s="28" t="s">
        <v>183</v>
      </c>
      <c r="D186" s="27">
        <f>(2.74*4.85+2.1*2.1+3.1*2.45+3.15*2.74+2*1.2+2.1*1.2+2.3*1+(4+2.1+2.45+2.74)*0.75)*10.764</f>
        <v>534.0289499999999</v>
      </c>
      <c r="E186" s="28">
        <v>0</v>
      </c>
      <c r="F186" s="28">
        <f t="shared" si="2"/>
        <v>801.04342499999984</v>
      </c>
      <c r="G186" s="77"/>
      <c r="H186" s="78"/>
    </row>
    <row r="187" spans="1:11" s="2" customFormat="1" ht="17.25" customHeight="1" x14ac:dyDescent="0.3">
      <c r="A187" s="160" t="s">
        <v>242</v>
      </c>
      <c r="B187" s="161"/>
      <c r="C187" s="161"/>
      <c r="D187" s="161"/>
      <c r="E187" s="161"/>
      <c r="F187" s="161"/>
      <c r="G187" s="161"/>
      <c r="H187" s="162"/>
    </row>
    <row r="188" spans="1:11" s="2" customFormat="1" ht="17.399999999999999" customHeight="1" x14ac:dyDescent="0.3">
      <c r="A188" s="71" t="s">
        <v>243</v>
      </c>
      <c r="B188" s="72"/>
      <c r="C188" s="28" t="s">
        <v>182</v>
      </c>
      <c r="D188" s="27">
        <f>(4.41*2.74+2.1*2.25+1.2*0.9+1.8*1.2+1.2*1.2+2.25*0.75)*10.764</f>
        <v>249.46538760000004</v>
      </c>
      <c r="E188" s="28">
        <v>0</v>
      </c>
      <c r="F188" s="28">
        <f t="shared" si="2"/>
        <v>374.19808140000009</v>
      </c>
      <c r="G188" s="73" t="str">
        <f>A187</f>
        <v>3rd, 5th, 7th, 9th &amp; 11th Floor</v>
      </c>
      <c r="H188" s="74"/>
      <c r="I188" s="2">
        <f>1920000/F188</f>
        <v>5130.9723257175401</v>
      </c>
      <c r="K188" s="2">
        <f>4.41*2.74+2.1*2.25+1.2*0.9+1.8*1.2+2.25*0.75</f>
        <v>21.735900000000004</v>
      </c>
    </row>
    <row r="189" spans="1:11" s="2" customFormat="1" ht="17.399999999999999" customHeight="1" x14ac:dyDescent="0.3">
      <c r="A189" s="71" t="s">
        <v>244</v>
      </c>
      <c r="B189" s="72"/>
      <c r="C189" s="28" t="s">
        <v>181</v>
      </c>
      <c r="D189" s="27">
        <f>(4.41*2.74+1.95*2.25+3*2.6+1.8*1.2+1.2*0.9+1.2*1.2+0.9*0.9+2.74*0.75+2.25*0.75)*10.764</f>
        <v>360.63059759999999</v>
      </c>
      <c r="E189" s="28">
        <v>0</v>
      </c>
      <c r="F189" s="28">
        <f t="shared" si="2"/>
        <v>540.94589640000004</v>
      </c>
      <c r="G189" s="75"/>
      <c r="H189" s="76"/>
      <c r="I189" s="2">
        <f>1376000/F189</f>
        <v>2543.6924638069959</v>
      </c>
      <c r="J189" s="2">
        <f>1500000/F189</f>
        <v>2772.9205637430914</v>
      </c>
    </row>
    <row r="190" spans="1:11" s="2" customFormat="1" ht="17.399999999999999" customHeight="1" x14ac:dyDescent="0.3">
      <c r="A190" s="71" t="s">
        <v>245</v>
      </c>
      <c r="B190" s="72"/>
      <c r="C190" s="28" t="s">
        <v>181</v>
      </c>
      <c r="D190" s="27">
        <f>(4.5*2.7+2.4*2.1+1.2*1.5+3.5*2.4+1.8*0.75+1.5*0.9+2.1*0.75+2.4*0.75)*10.764</f>
        <v>360.21726000000001</v>
      </c>
      <c r="E190" s="28">
        <v>0</v>
      </c>
      <c r="F190" s="28">
        <f t="shared" si="2"/>
        <v>540.32589000000007</v>
      </c>
      <c r="G190" s="75"/>
      <c r="H190" s="76"/>
    </row>
    <row r="191" spans="1:11" s="2" customFormat="1" ht="17.399999999999999" customHeight="1" x14ac:dyDescent="0.3">
      <c r="A191" s="71" t="s">
        <v>246</v>
      </c>
      <c r="B191" s="72"/>
      <c r="C191" s="28" t="s">
        <v>181</v>
      </c>
      <c r="D191" s="27">
        <f>(4.5*2.7+2.4*2.1+1.2*1.5+3.5*2.4+1.8*0.75+1.5*0.9+2.1*0.75+2.4*0.75)*10.764</f>
        <v>360.21726000000001</v>
      </c>
      <c r="E191" s="28">
        <v>0</v>
      </c>
      <c r="F191" s="28">
        <f t="shared" si="2"/>
        <v>540.32589000000007</v>
      </c>
      <c r="G191" s="75"/>
      <c r="H191" s="76"/>
    </row>
    <row r="192" spans="1:11" s="2" customFormat="1" ht="17.399999999999999" customHeight="1" x14ac:dyDescent="0.3">
      <c r="A192" s="71" t="s">
        <v>247</v>
      </c>
      <c r="B192" s="72"/>
      <c r="C192" s="28" t="s">
        <v>183</v>
      </c>
      <c r="D192" s="27">
        <f>(3.5*3.75+2.4*2.1+2.45*3.3+3*3.05+1.05*1.8+1.8*1.2+1.05*1.5+(2+3+2.45)*0.75)*10.764</f>
        <v>501.73695000000004</v>
      </c>
      <c r="E192" s="28">
        <v>0</v>
      </c>
      <c r="F192" s="28">
        <f t="shared" si="2"/>
        <v>752.60542500000008</v>
      </c>
      <c r="G192" s="75"/>
      <c r="H192" s="76"/>
    </row>
    <row r="193" spans="1:11" s="2" customFormat="1" ht="17.399999999999999" customHeight="1" x14ac:dyDescent="0.3">
      <c r="A193" s="71" t="s">
        <v>248</v>
      </c>
      <c r="B193" s="72"/>
      <c r="C193" s="28" t="s">
        <v>181</v>
      </c>
      <c r="D193" s="27">
        <f>(2.74*4.7+2.25*2.1+2.4*3.1+1.2*1.8+0.95+1.2+0.95*0.9+1.2*1.5+(2.74+2.25+2.4)*0.75)*10.764</f>
        <v>404.19358199999999</v>
      </c>
      <c r="E193" s="28">
        <v>0</v>
      </c>
      <c r="F193" s="28">
        <f t="shared" si="2"/>
        <v>606.29037300000005</v>
      </c>
      <c r="G193" s="75"/>
      <c r="H193" s="76"/>
    </row>
    <row r="194" spans="1:11" s="2" customFormat="1" ht="17.399999999999999" customHeight="1" x14ac:dyDescent="0.3">
      <c r="A194" s="71" t="s">
        <v>249</v>
      </c>
      <c r="B194" s="72"/>
      <c r="C194" s="28" t="s">
        <v>181</v>
      </c>
      <c r="D194" s="27">
        <f t="shared" ref="D194:D196" si="5">(2.74*4.7+2.25*2.1+2.4*3.1+1.2*1.8+0.95+1.2+0.95*0.9+1.2*1.5+(2.74+2.25+2.4)*0.75)*10.764</f>
        <v>404.19358199999999</v>
      </c>
      <c r="E194" s="28">
        <v>0</v>
      </c>
      <c r="F194" s="28">
        <f t="shared" si="2"/>
        <v>606.29037300000005</v>
      </c>
      <c r="G194" s="75"/>
      <c r="H194" s="76"/>
    </row>
    <row r="195" spans="1:11" s="2" customFormat="1" ht="17.399999999999999" customHeight="1" x14ac:dyDescent="0.3">
      <c r="A195" s="71" t="s">
        <v>250</v>
      </c>
      <c r="B195" s="72"/>
      <c r="C195" s="28" t="s">
        <v>181</v>
      </c>
      <c r="D195" s="27">
        <f t="shared" si="5"/>
        <v>404.19358199999999</v>
      </c>
      <c r="E195" s="28">
        <v>0</v>
      </c>
      <c r="F195" s="28">
        <f t="shared" si="2"/>
        <v>606.29037300000005</v>
      </c>
      <c r="G195" s="75"/>
      <c r="H195" s="76"/>
    </row>
    <row r="196" spans="1:11" s="2" customFormat="1" ht="17.399999999999999" customHeight="1" x14ac:dyDescent="0.3">
      <c r="A196" s="71" t="s">
        <v>251</v>
      </c>
      <c r="B196" s="72"/>
      <c r="C196" s="28" t="s">
        <v>181</v>
      </c>
      <c r="D196" s="27">
        <f t="shared" si="5"/>
        <v>404.19358199999999</v>
      </c>
      <c r="E196" s="28">
        <v>0</v>
      </c>
      <c r="F196" s="28">
        <f t="shared" si="2"/>
        <v>606.29037300000005</v>
      </c>
      <c r="G196" s="75"/>
      <c r="H196" s="76"/>
    </row>
    <row r="197" spans="1:11" s="2" customFormat="1" ht="17.399999999999999" customHeight="1" x14ac:dyDescent="0.3">
      <c r="A197" s="71" t="s">
        <v>252</v>
      </c>
      <c r="B197" s="72"/>
      <c r="C197" s="28" t="s">
        <v>183</v>
      </c>
      <c r="D197" s="27">
        <f>(2.74*4.85+2.1*2.1+3.1*2.45+3.15*2.74+2*1.2+2.1*1.2+2.3*1+(4+2.1+2.45+2.74)*0.75)*10.764</f>
        <v>534.0289499999999</v>
      </c>
      <c r="E197" s="28">
        <v>0</v>
      </c>
      <c r="F197" s="28">
        <f t="shared" si="2"/>
        <v>801.04342499999984</v>
      </c>
      <c r="G197" s="77"/>
      <c r="H197" s="78"/>
    </row>
    <row r="198" spans="1:11" s="2" customFormat="1" ht="17.25" customHeight="1" x14ac:dyDescent="0.3">
      <c r="A198" s="160" t="s">
        <v>253</v>
      </c>
      <c r="B198" s="161"/>
      <c r="C198" s="161"/>
      <c r="D198" s="161"/>
      <c r="E198" s="161"/>
      <c r="F198" s="161"/>
      <c r="G198" s="161"/>
      <c r="H198" s="162"/>
    </row>
    <row r="199" spans="1:11" s="2" customFormat="1" ht="17.399999999999999" customHeight="1" x14ac:dyDescent="0.3">
      <c r="A199" s="71">
        <v>801</v>
      </c>
      <c r="B199" s="72"/>
      <c r="C199" s="28" t="s">
        <v>182</v>
      </c>
      <c r="D199" s="27">
        <f>(4.41*2.74+2.1*2.25+1.2*0.9+1.8*1.2+1.2*1.2+2.25*0.75)*10.764</f>
        <v>249.46538760000004</v>
      </c>
      <c r="E199" s="28">
        <v>0</v>
      </c>
      <c r="F199" s="28">
        <f t="shared" si="2"/>
        <v>374.19808140000009</v>
      </c>
      <c r="G199" s="73" t="str">
        <f>A198</f>
        <v>8th Floor(Part Refuge Area)</v>
      </c>
      <c r="H199" s="74"/>
      <c r="I199" s="2">
        <f>1920000/F199</f>
        <v>5130.9723257175401</v>
      </c>
      <c r="K199" s="2">
        <f>4.41*2.74+2.1*2.25+1.2*0.9+1.8*1.2+2.25*0.75</f>
        <v>21.735900000000004</v>
      </c>
    </row>
    <row r="200" spans="1:11" s="2" customFormat="1" ht="17.399999999999999" customHeight="1" x14ac:dyDescent="0.3">
      <c r="A200" s="71">
        <v>802</v>
      </c>
      <c r="B200" s="72"/>
      <c r="C200" s="28" t="s">
        <v>181</v>
      </c>
      <c r="D200" s="27">
        <f>(4.41*2.74+1.95*2.25+3*2.6+1.8*1.2+1.2*0.9+1.2*1.2+0.9*0.9+2.74*0.75+2.25*0.75)*10.764</f>
        <v>360.63059759999999</v>
      </c>
      <c r="E200" s="28">
        <v>0</v>
      </c>
      <c r="F200" s="28">
        <f t="shared" si="2"/>
        <v>540.94589640000004</v>
      </c>
      <c r="G200" s="75"/>
      <c r="H200" s="76"/>
      <c r="I200" s="2">
        <f>1376000/F200</f>
        <v>2543.6924638069959</v>
      </c>
      <c r="J200" s="2">
        <f>1500000/F200</f>
        <v>2772.9205637430914</v>
      </c>
    </row>
    <row r="201" spans="1:11" s="2" customFormat="1" ht="17.399999999999999" customHeight="1" x14ac:dyDescent="0.3">
      <c r="A201" s="71">
        <v>803</v>
      </c>
      <c r="B201" s="72"/>
      <c r="C201" s="28" t="s">
        <v>181</v>
      </c>
      <c r="D201" s="27">
        <f>(4.5*2.7+2.4*2.1+1.2*1.5+3.5*2.4+1.8*0.75+1.5*0.9+2.1*0.75+2.4*0.75)*10.764</f>
        <v>360.21726000000001</v>
      </c>
      <c r="E201" s="28">
        <v>0</v>
      </c>
      <c r="F201" s="28">
        <f t="shared" si="2"/>
        <v>540.32589000000007</v>
      </c>
      <c r="G201" s="75"/>
      <c r="H201" s="76"/>
    </row>
    <row r="202" spans="1:11" s="2" customFormat="1" ht="17.399999999999999" customHeight="1" x14ac:dyDescent="0.3">
      <c r="A202" s="71">
        <v>804</v>
      </c>
      <c r="B202" s="72"/>
      <c r="C202" s="28" t="s">
        <v>181</v>
      </c>
      <c r="D202" s="27">
        <f>(4.5*2.7+2.4*2.1+1.2*1.5+3.5*2.4+1.8*0.75+1.5*0.9+2.1*0.75+2.4*0.75)*10.764</f>
        <v>360.21726000000001</v>
      </c>
      <c r="E202" s="28">
        <v>0</v>
      </c>
      <c r="F202" s="28">
        <f t="shared" si="2"/>
        <v>540.32589000000007</v>
      </c>
      <c r="G202" s="75"/>
      <c r="H202" s="76"/>
    </row>
    <row r="203" spans="1:11" s="2" customFormat="1" ht="17.399999999999999" customHeight="1" x14ac:dyDescent="0.3">
      <c r="A203" s="71">
        <v>805</v>
      </c>
      <c r="B203" s="72"/>
      <c r="C203" s="28" t="s">
        <v>183</v>
      </c>
      <c r="D203" s="27">
        <f>(3.5*3.75+2.4*2.1+2.45*3.3+3*3.05+1.05*1.8+1.8*1.2+1.05*1.5+(2+3+2.45)*0.75)*10.764</f>
        <v>501.73695000000004</v>
      </c>
      <c r="E203" s="28">
        <v>0</v>
      </c>
      <c r="F203" s="28">
        <f t="shared" si="2"/>
        <v>752.60542500000008</v>
      </c>
      <c r="G203" s="75"/>
      <c r="H203" s="76"/>
    </row>
    <row r="204" spans="1:11" s="2" customFormat="1" ht="17.399999999999999" customHeight="1" x14ac:dyDescent="0.3">
      <c r="A204" s="71">
        <v>806</v>
      </c>
      <c r="B204" s="72"/>
      <c r="C204" s="28" t="s">
        <v>181</v>
      </c>
      <c r="D204" s="27">
        <f>(2.74*4.7+2.25*2.1+2.4*3.1+1.2*1.8+0.95+1.2+0.95*0.9+1.2*1.5+(2.74+2.25+2.4)*0.75)*10.764</f>
        <v>404.19358199999999</v>
      </c>
      <c r="E204" s="28">
        <v>0</v>
      </c>
      <c r="F204" s="28">
        <f t="shared" si="2"/>
        <v>606.29037300000005</v>
      </c>
      <c r="G204" s="75"/>
      <c r="H204" s="76"/>
    </row>
    <row r="205" spans="1:11" s="2" customFormat="1" ht="17.399999999999999" customHeight="1" x14ac:dyDescent="0.3">
      <c r="A205" s="71">
        <v>807</v>
      </c>
      <c r="B205" s="72"/>
      <c r="C205" s="28" t="s">
        <v>183</v>
      </c>
      <c r="D205" s="27">
        <f>(2.74*4.7+2.25*2.1+2.74*3.5+2.4*3.1+1.2*1.8+0.95+1.2+0.95*0.9+1.2*1.5+(2.749+2.74+2.25+2.4)*0.75)*10.764</f>
        <v>529.61301900000001</v>
      </c>
      <c r="E205" s="28">
        <v>0</v>
      </c>
      <c r="F205" s="28">
        <f t="shared" si="2"/>
        <v>794.41952850000007</v>
      </c>
      <c r="G205" s="75"/>
      <c r="H205" s="76"/>
    </row>
    <row r="206" spans="1:11" s="2" customFormat="1" ht="17.399999999999999" customHeight="1" x14ac:dyDescent="0.3">
      <c r="A206" s="71">
        <v>808</v>
      </c>
      <c r="B206" s="72"/>
      <c r="C206" s="28" t="s">
        <v>181</v>
      </c>
      <c r="D206" s="27">
        <f t="shared" ref="D206" si="6">(2.74*4.7+2.25*2.1+2.4*3.1+1.2*1.8+0.95+1.2+0.95*0.9+1.2*1.5+(2.74+2.25+2.4)*0.75)*10.764</f>
        <v>404.19358199999999</v>
      </c>
      <c r="E206" s="28">
        <v>0</v>
      </c>
      <c r="F206" s="28">
        <f t="shared" si="2"/>
        <v>606.29037300000005</v>
      </c>
      <c r="G206" s="75"/>
      <c r="H206" s="76"/>
    </row>
    <row r="207" spans="1:11" s="2" customFormat="1" ht="17.399999999999999" customHeight="1" x14ac:dyDescent="0.3">
      <c r="A207" s="71">
        <v>809</v>
      </c>
      <c r="B207" s="72"/>
      <c r="C207" s="28" t="s">
        <v>183</v>
      </c>
      <c r="D207" s="27">
        <f>(2.74*4.85+2.1*2.1+3.1*2.45+3.15*2.74+2*1.2+2.1*1.2+2.3*1+(4+2.1+2.45+2.74)*0.75)*10.764</f>
        <v>534.0289499999999</v>
      </c>
      <c r="E207" s="28">
        <v>0</v>
      </c>
      <c r="F207" s="28">
        <f t="shared" si="2"/>
        <v>801.04342499999984</v>
      </c>
      <c r="G207" s="77"/>
      <c r="H207" s="78"/>
    </row>
    <row r="208" spans="1:11" s="2" customFormat="1" ht="17.399999999999999" customHeight="1" x14ac:dyDescent="0.3">
      <c r="A208" s="207" t="s">
        <v>180</v>
      </c>
      <c r="B208" s="207"/>
      <c r="C208" s="207"/>
      <c r="D208" s="207"/>
      <c r="E208" s="207"/>
      <c r="F208" s="207"/>
      <c r="G208" s="207"/>
      <c r="H208" s="207"/>
    </row>
    <row r="209" spans="1:10" s="2" customFormat="1" ht="17.399999999999999" customHeight="1" x14ac:dyDescent="0.3">
      <c r="A209" s="208" t="s">
        <v>254</v>
      </c>
      <c r="B209" s="208"/>
      <c r="C209" s="208"/>
      <c r="D209" s="208"/>
      <c r="E209" s="208"/>
      <c r="F209" s="208"/>
      <c r="G209" s="208"/>
      <c r="H209" s="208"/>
    </row>
    <row r="210" spans="1:10" s="2" customFormat="1" ht="17.399999999999999" customHeight="1" x14ac:dyDescent="0.3">
      <c r="A210" s="67">
        <v>1</v>
      </c>
      <c r="B210" s="28">
        <v>3</v>
      </c>
      <c r="C210" s="28" t="s">
        <v>181</v>
      </c>
      <c r="D210" s="28">
        <f>(4.41*2.74+3.1*2.4+2.1*2.25+1.2*0.9+1.8*1.2+0.9*0.9+1.2*1.2)*10.764</f>
        <v>320.1041376</v>
      </c>
      <c r="E210" s="28">
        <v>0</v>
      </c>
      <c r="F210" s="28">
        <f t="shared" ref="F210:F215" si="7">D210*1.5+E210</f>
        <v>480.15620639999997</v>
      </c>
      <c r="G210" s="70" t="s">
        <v>179</v>
      </c>
      <c r="H210" s="70"/>
      <c r="I210" s="2">
        <f>4.41*2.74+2.1*2.25+3.1*2.4+1.2*0.9+1.8*1.2+0.9*0.9+1.2*1.2</f>
        <v>29.738400000000002</v>
      </c>
      <c r="J210" s="2">
        <f>27.2+2.4</f>
        <v>29.599999999999998</v>
      </c>
    </row>
    <row r="211" spans="1:10" s="2" customFormat="1" ht="17.399999999999999" customHeight="1" x14ac:dyDescent="0.3">
      <c r="A211" s="67">
        <f>A210+1</f>
        <v>2</v>
      </c>
      <c r="B211" s="28">
        <f>B210+1</f>
        <v>4</v>
      </c>
      <c r="C211" s="28" t="s">
        <v>182</v>
      </c>
      <c r="D211" s="28">
        <f>(4.41*2.74+2.1*2.25+1.2*0.9+1.8*1.2+1.2*1.2)*10.764</f>
        <v>231.30113760000006</v>
      </c>
      <c r="E211" s="28">
        <v>0</v>
      </c>
      <c r="F211" s="28">
        <f t="shared" si="7"/>
        <v>346.95170640000009</v>
      </c>
      <c r="G211" s="70"/>
      <c r="H211" s="70"/>
    </row>
    <row r="212" spans="1:10" s="2" customFormat="1" ht="17.399999999999999" customHeight="1" x14ac:dyDescent="0.3">
      <c r="A212" s="67">
        <f t="shared" ref="A212:A215" si="8">A211+1</f>
        <v>3</v>
      </c>
      <c r="B212" s="28">
        <f t="shared" ref="B212:B215" si="9">B211+1</f>
        <v>5</v>
      </c>
      <c r="C212" s="28" t="s">
        <v>183</v>
      </c>
      <c r="D212" s="28">
        <f>(4.41*2.7+2.1*2.25+3.1*2.55+3.1*2.4+2.45*1.2*2+2.5*0.9)*10.764</f>
        <v>431.71174799999994</v>
      </c>
      <c r="E212" s="28">
        <v>0</v>
      </c>
      <c r="F212" s="28">
        <f t="shared" si="7"/>
        <v>647.56762199999991</v>
      </c>
      <c r="G212" s="70"/>
      <c r="H212" s="70"/>
    </row>
    <row r="213" spans="1:10" s="2" customFormat="1" ht="17.399999999999999" customHeight="1" x14ac:dyDescent="0.3">
      <c r="A213" s="67">
        <f t="shared" si="8"/>
        <v>4</v>
      </c>
      <c r="B213" s="28">
        <f t="shared" si="9"/>
        <v>6</v>
      </c>
      <c r="C213" s="28" t="s">
        <v>181</v>
      </c>
      <c r="D213" s="28">
        <f>(2.74*4.41+2.4*3.1+2.25*2.1+1.2*1.8+0.95*1.2+0.9*0.9+1.2*1.2)*10.764</f>
        <v>320.74997760000002</v>
      </c>
      <c r="E213" s="28">
        <v>0</v>
      </c>
      <c r="F213" s="28">
        <f t="shared" si="7"/>
        <v>481.12496640000006</v>
      </c>
      <c r="G213" s="70"/>
      <c r="H213" s="70"/>
    </row>
    <row r="214" spans="1:10" s="2" customFormat="1" ht="17.399999999999999" customHeight="1" x14ac:dyDescent="0.3">
      <c r="A214" s="67">
        <f t="shared" si="8"/>
        <v>5</v>
      </c>
      <c r="B214" s="28">
        <f t="shared" si="9"/>
        <v>7</v>
      </c>
      <c r="C214" s="28" t="s">
        <v>182</v>
      </c>
      <c r="D214" s="28">
        <f>(2.74*4.41+2.25*2.1+1.2*1.8+0.95*1.2+0.9*0.9+1.2*1.2)*10.764</f>
        <v>240.66581760000003</v>
      </c>
      <c r="E214" s="28">
        <v>0</v>
      </c>
      <c r="F214" s="28">
        <f t="shared" si="7"/>
        <v>360.99872640000001</v>
      </c>
      <c r="G214" s="70"/>
      <c r="H214" s="70"/>
    </row>
    <row r="215" spans="1:10" s="2" customFormat="1" ht="17.399999999999999" customHeight="1" x14ac:dyDescent="0.3">
      <c r="A215" s="67">
        <f t="shared" si="8"/>
        <v>6</v>
      </c>
      <c r="B215" s="28">
        <f t="shared" si="9"/>
        <v>8</v>
      </c>
      <c r="C215" s="28" t="s">
        <v>182</v>
      </c>
      <c r="D215" s="28">
        <f>(2.74*4.41+2.25*2.1+1.2*1.8+0.95*1.2+0.9*0.9+1.2*1.2)*10.764</f>
        <v>240.66581760000003</v>
      </c>
      <c r="E215" s="28">
        <v>0</v>
      </c>
      <c r="F215" s="28">
        <f t="shared" si="7"/>
        <v>360.99872640000001</v>
      </c>
      <c r="G215" s="70"/>
      <c r="H215" s="70"/>
    </row>
    <row r="216" spans="1:10" s="2" customFormat="1" ht="17.399999999999999" customHeight="1" x14ac:dyDescent="0.3">
      <c r="A216" s="160" t="s">
        <v>255</v>
      </c>
      <c r="B216" s="161"/>
      <c r="C216" s="161"/>
      <c r="D216" s="161"/>
      <c r="E216" s="161"/>
      <c r="F216" s="161"/>
      <c r="G216" s="161"/>
      <c r="H216" s="162"/>
    </row>
    <row r="217" spans="1:10" s="2" customFormat="1" ht="17.399999999999999" customHeight="1" x14ac:dyDescent="0.3">
      <c r="A217" s="71" t="s">
        <v>256</v>
      </c>
      <c r="B217" s="72"/>
      <c r="C217" s="28" t="s">
        <v>181</v>
      </c>
      <c r="D217" s="27">
        <f>(4.11*2.74+1.95*2.25+3*2.4+1.65*1.2+1.2*0.9+1.2*1.2+0.9*0.9+(2.74+2.25+2.4)*0.75)*10.764</f>
        <v>362.76186960000007</v>
      </c>
      <c r="E217" s="28">
        <v>0</v>
      </c>
      <c r="F217" s="28">
        <f t="shared" ref="F217:F228" si="10">D217*1.5+E217</f>
        <v>544.14280440000016</v>
      </c>
      <c r="G217" s="73" t="str">
        <f>A216</f>
        <v xml:space="preserve">1st to 7th Floor </v>
      </c>
      <c r="H217" s="74"/>
    </row>
    <row r="218" spans="1:10" s="2" customFormat="1" ht="17.399999999999999" customHeight="1" x14ac:dyDescent="0.3">
      <c r="A218" s="71" t="s">
        <v>257</v>
      </c>
      <c r="B218" s="72"/>
      <c r="C218" s="28" t="s">
        <v>182</v>
      </c>
      <c r="D218" s="27">
        <f>(4.41*2.74+2.1*2.25+1.2*0.9+1.8*1.2+1.2*1.2+(2.74+2.25)*0.75)*10.764</f>
        <v>271.58540760000005</v>
      </c>
      <c r="E218" s="28">
        <v>0</v>
      </c>
      <c r="F218" s="28">
        <f t="shared" si="10"/>
        <v>407.37811140000008</v>
      </c>
      <c r="G218" s="75"/>
      <c r="H218" s="76"/>
    </row>
    <row r="219" spans="1:10" s="2" customFormat="1" ht="17.399999999999999" customHeight="1" x14ac:dyDescent="0.3">
      <c r="A219" s="71" t="s">
        <v>258</v>
      </c>
      <c r="B219" s="72"/>
      <c r="C219" s="28" t="s">
        <v>181</v>
      </c>
      <c r="D219" s="27">
        <f>(4.41*2.74+3.1*2.4+2.1*2.25+1.2*0.9+1.8*1.2+0.9*0.9+1.2*1.2+(2.74+2.25+2.4)*0.75)*10.764</f>
        <v>379.7636076</v>
      </c>
      <c r="E219" s="28">
        <v>0</v>
      </c>
      <c r="F219" s="28">
        <f t="shared" si="10"/>
        <v>569.64541140000006</v>
      </c>
      <c r="G219" s="75"/>
      <c r="H219" s="76"/>
    </row>
    <row r="220" spans="1:10" s="2" customFormat="1" ht="17.399999999999999" customHeight="1" x14ac:dyDescent="0.3">
      <c r="A220" s="71" t="s">
        <v>259</v>
      </c>
      <c r="B220" s="72"/>
      <c r="C220" s="28" t="s">
        <v>182</v>
      </c>
      <c r="D220" s="27">
        <f>(4.41*2.74+2.1*2.25+1.2*0.9+1.8*1.2+1.2*1.2+(2.74+2.25)*0.75)*10.764</f>
        <v>271.58540760000005</v>
      </c>
      <c r="E220" s="28">
        <v>0</v>
      </c>
      <c r="F220" s="28">
        <f t="shared" si="10"/>
        <v>407.37811140000008</v>
      </c>
      <c r="G220" s="75"/>
      <c r="H220" s="76"/>
    </row>
    <row r="221" spans="1:10" s="2" customFormat="1" ht="17.399999999999999" customHeight="1" x14ac:dyDescent="0.3">
      <c r="A221" s="71" t="s">
        <v>260</v>
      </c>
      <c r="B221" s="72"/>
      <c r="C221" s="28" t="s">
        <v>183</v>
      </c>
      <c r="D221" s="27">
        <f>(4.41*2.7+2.1*2.25+3.1*2.55+3.1*2.4+2.45*1.2*2+2.5*0.9+(2.4+2.74+2.25+3.4+2.55)*0.75)*10.764</f>
        <v>539.4055679999999</v>
      </c>
      <c r="E221" s="28">
        <v>0</v>
      </c>
      <c r="F221" s="28">
        <f t="shared" si="10"/>
        <v>809.10835199999985</v>
      </c>
      <c r="G221" s="75"/>
      <c r="H221" s="76"/>
    </row>
    <row r="222" spans="1:10" s="2" customFormat="1" ht="17.399999999999999" customHeight="1" x14ac:dyDescent="0.3">
      <c r="A222" s="71" t="s">
        <v>261</v>
      </c>
      <c r="B222" s="72"/>
      <c r="C222" s="28" t="s">
        <v>181</v>
      </c>
      <c r="D222" s="27">
        <f>(2.74*4.41+2.4*3.1+2.25*2.1+1.2*1.8+0.95*1.2+0.9*0.9+1.2*1.2+(2.74+2.25+2.4)*0.75)*10.764</f>
        <v>380.40944760000002</v>
      </c>
      <c r="E222" s="28">
        <v>0</v>
      </c>
      <c r="F222" s="28">
        <f t="shared" si="10"/>
        <v>570.61417140000003</v>
      </c>
      <c r="G222" s="75"/>
      <c r="H222" s="76"/>
    </row>
    <row r="223" spans="1:10" s="2" customFormat="1" ht="17.399999999999999" customHeight="1" x14ac:dyDescent="0.3">
      <c r="A223" s="71" t="s">
        <v>262</v>
      </c>
      <c r="B223" s="72"/>
      <c r="C223" s="28" t="s">
        <v>182</v>
      </c>
      <c r="D223" s="27">
        <f>(2.74*4.41+2.25*2.1+1.2*1.8+0.95*1.2+0.9*0.9+1.2*1.2+(2.74+2.25)*0.75)*10.764</f>
        <v>280.95008760000002</v>
      </c>
      <c r="E223" s="28">
        <v>0</v>
      </c>
      <c r="F223" s="28">
        <f t="shared" si="10"/>
        <v>421.42513140000005</v>
      </c>
      <c r="G223" s="75"/>
      <c r="H223" s="76"/>
    </row>
    <row r="224" spans="1:10" s="2" customFormat="1" ht="17.399999999999999" customHeight="1" x14ac:dyDescent="0.3">
      <c r="A224" s="71" t="s">
        <v>263</v>
      </c>
      <c r="B224" s="72"/>
      <c r="C224" s="28" t="s">
        <v>181</v>
      </c>
      <c r="D224" s="27">
        <f>(2.74*4.41+2.4*3.1+2.25*2.1+1.2*1.8+0.95*1.2+0.9*0.9+1.2*1.2+(2.74+2.25+2.4)*0.75)*10.764</f>
        <v>380.40944760000002</v>
      </c>
      <c r="E224" s="28">
        <v>0</v>
      </c>
      <c r="F224" s="28">
        <f t="shared" si="10"/>
        <v>570.61417140000003</v>
      </c>
      <c r="G224" s="75"/>
      <c r="H224" s="76"/>
    </row>
    <row r="225" spans="1:9" s="2" customFormat="1" ht="17.399999999999999" customHeight="1" x14ac:dyDescent="0.3">
      <c r="A225" s="71" t="s">
        <v>264</v>
      </c>
      <c r="B225" s="72"/>
      <c r="C225" s="28" t="s">
        <v>182</v>
      </c>
      <c r="D225" s="27">
        <f t="shared" ref="D225:D228" si="11">(2.74*4.41+2.25*2.1+1.2*1.8+0.95*1.2+0.9*0.9+1.2*1.2+(2.74+2.25)*0.75)*10.764</f>
        <v>280.95008760000002</v>
      </c>
      <c r="E225" s="28">
        <v>0</v>
      </c>
      <c r="F225" s="28">
        <f t="shared" si="10"/>
        <v>421.42513140000005</v>
      </c>
      <c r="G225" s="75"/>
      <c r="H225" s="76"/>
    </row>
    <row r="226" spans="1:9" s="2" customFormat="1" ht="17.399999999999999" customHeight="1" x14ac:dyDescent="0.3">
      <c r="A226" s="71" t="s">
        <v>265</v>
      </c>
      <c r="B226" s="72"/>
      <c r="C226" s="28" t="s">
        <v>182</v>
      </c>
      <c r="D226" s="27">
        <f t="shared" si="11"/>
        <v>280.95008760000002</v>
      </c>
      <c r="E226" s="28">
        <v>0</v>
      </c>
      <c r="F226" s="28">
        <f t="shared" si="10"/>
        <v>421.42513140000005</v>
      </c>
      <c r="G226" s="75"/>
      <c r="H226" s="76"/>
    </row>
    <row r="227" spans="1:9" s="2" customFormat="1" ht="17.399999999999999" customHeight="1" x14ac:dyDescent="0.3">
      <c r="A227" s="71" t="s">
        <v>266</v>
      </c>
      <c r="B227" s="72"/>
      <c r="C227" s="28" t="s">
        <v>181</v>
      </c>
      <c r="D227" s="27">
        <f>(2.74*4.41+2.4*3.1+2.25*2.1+1.2*1.8+0.95*1.2+0.9*0.9+1.2*1.2+(2.74+2.25+2.4)*0.75)*10.764</f>
        <v>380.40944760000002</v>
      </c>
      <c r="E227" s="28">
        <v>0</v>
      </c>
      <c r="F227" s="28">
        <f t="shared" si="10"/>
        <v>570.61417140000003</v>
      </c>
      <c r="G227" s="75"/>
      <c r="H227" s="76"/>
    </row>
    <row r="228" spans="1:9" s="2" customFormat="1" ht="17.399999999999999" customHeight="1" x14ac:dyDescent="0.3">
      <c r="A228" s="71" t="s">
        <v>267</v>
      </c>
      <c r="B228" s="72"/>
      <c r="C228" s="28" t="s">
        <v>182</v>
      </c>
      <c r="D228" s="27">
        <f t="shared" si="11"/>
        <v>280.95008760000002</v>
      </c>
      <c r="E228" s="28">
        <v>0</v>
      </c>
      <c r="F228" s="28">
        <f t="shared" si="10"/>
        <v>421.42513140000005</v>
      </c>
      <c r="G228" s="77"/>
      <c r="H228" s="78"/>
      <c r="I228" s="33"/>
    </row>
    <row r="229" spans="1:9" s="2" customFormat="1" ht="17.399999999999999" customHeight="1" x14ac:dyDescent="0.3">
      <c r="A229" s="160" t="s">
        <v>253</v>
      </c>
      <c r="B229" s="161"/>
      <c r="C229" s="161"/>
      <c r="D229" s="161"/>
      <c r="E229" s="161"/>
      <c r="F229" s="161"/>
      <c r="G229" s="161"/>
      <c r="H229" s="162"/>
    </row>
    <row r="230" spans="1:9" s="2" customFormat="1" ht="17.399999999999999" customHeight="1" x14ac:dyDescent="0.3">
      <c r="A230" s="71">
        <v>801</v>
      </c>
      <c r="B230" s="72"/>
      <c r="C230" s="28" t="s">
        <v>181</v>
      </c>
      <c r="D230" s="27">
        <f>(4.11*2.74+1.95*2.25+3*2.4+1.65*1.2+1.2*0.9+1.2*1.2+0.9*0.9+(2.74+2.25+2.4)*0.75)*10.764</f>
        <v>362.76186960000007</v>
      </c>
      <c r="E230" s="28">
        <v>0</v>
      </c>
      <c r="F230" s="28">
        <f t="shared" ref="F230:F240" si="12">D230*1.5+E230</f>
        <v>544.14280440000016</v>
      </c>
      <c r="G230" s="73" t="str">
        <f>A229</f>
        <v>8th Floor(Part Refuge Area)</v>
      </c>
      <c r="H230" s="74"/>
    </row>
    <row r="231" spans="1:9" s="2" customFormat="1" ht="17.399999999999999" customHeight="1" x14ac:dyDescent="0.3">
      <c r="A231" s="71">
        <v>802</v>
      </c>
      <c r="B231" s="72"/>
      <c r="C231" s="28" t="s">
        <v>182</v>
      </c>
      <c r="D231" s="27">
        <f>(4.41*2.74+2.1*2.25+1.2*0.9+1.8*1.2+1.2*1.2+(2.74+2.25)*0.75)*10.764</f>
        <v>271.58540760000005</v>
      </c>
      <c r="E231" s="28">
        <v>0</v>
      </c>
      <c r="F231" s="28">
        <f t="shared" si="12"/>
        <v>407.37811140000008</v>
      </c>
      <c r="G231" s="75"/>
      <c r="H231" s="76"/>
    </row>
    <row r="232" spans="1:9" s="2" customFormat="1" ht="17.399999999999999" customHeight="1" x14ac:dyDescent="0.3">
      <c r="A232" s="71">
        <v>803</v>
      </c>
      <c r="B232" s="72"/>
      <c r="C232" s="28" t="s">
        <v>181</v>
      </c>
      <c r="D232" s="27">
        <f>(4.41*2.74+3.1*2.4+2.1*2.25+1.2*0.9+1.8*1.2+0.9*0.9+1.2*1.2+(2.74+2.25+2.4)*0.75)*10.764</f>
        <v>379.7636076</v>
      </c>
      <c r="E232" s="28">
        <v>0</v>
      </c>
      <c r="F232" s="28">
        <f t="shared" si="12"/>
        <v>569.64541140000006</v>
      </c>
      <c r="G232" s="75"/>
      <c r="H232" s="76"/>
    </row>
    <row r="233" spans="1:9" s="2" customFormat="1" ht="17.399999999999999" customHeight="1" x14ac:dyDescent="0.3">
      <c r="A233" s="71">
        <v>804</v>
      </c>
      <c r="B233" s="72"/>
      <c r="C233" s="28" t="s">
        <v>182</v>
      </c>
      <c r="D233" s="27">
        <f>(4.41*2.74+2.1*2.25+1.2*0.9+1.8*1.2+1.2*1.2+(2.74+2.25)*0.75)*10.764</f>
        <v>271.58540760000005</v>
      </c>
      <c r="E233" s="28">
        <v>0</v>
      </c>
      <c r="F233" s="28">
        <f t="shared" si="12"/>
        <v>407.37811140000008</v>
      </c>
      <c r="G233" s="75"/>
      <c r="H233" s="76"/>
    </row>
    <row r="234" spans="1:9" s="2" customFormat="1" ht="17.399999999999999" customHeight="1" x14ac:dyDescent="0.3">
      <c r="A234" s="71">
        <v>805</v>
      </c>
      <c r="B234" s="72"/>
      <c r="C234" s="28" t="s">
        <v>183</v>
      </c>
      <c r="D234" s="27">
        <f>(4.41*2.7+2.1*2.25+3.1*2.55+3.1*2.4+2.45*1.2*2+2.5*0.9+(2.4+2.74+2.25+3.4+2.55)*0.75)*10.764</f>
        <v>539.4055679999999</v>
      </c>
      <c r="E234" s="28">
        <v>0</v>
      </c>
      <c r="F234" s="28">
        <f t="shared" si="12"/>
        <v>809.10835199999985</v>
      </c>
      <c r="G234" s="75"/>
      <c r="H234" s="76"/>
    </row>
    <row r="235" spans="1:9" s="2" customFormat="1" ht="17.399999999999999" customHeight="1" x14ac:dyDescent="0.3">
      <c r="A235" s="71">
        <v>806</v>
      </c>
      <c r="B235" s="72"/>
      <c r="C235" s="28" t="s">
        <v>181</v>
      </c>
      <c r="D235" s="27">
        <f>(2.74*4.41+2.4*3.1+2.25*2.1+1.2*1.8+0.95*1.2+0.9*0.9+1.2*1.2+(2.74+2.25+2.4)*0.75)*10.764</f>
        <v>380.40944760000002</v>
      </c>
      <c r="E235" s="28">
        <v>0</v>
      </c>
      <c r="F235" s="28">
        <f t="shared" si="12"/>
        <v>570.61417140000003</v>
      </c>
      <c r="G235" s="75"/>
      <c r="H235" s="76"/>
    </row>
    <row r="236" spans="1:9" s="2" customFormat="1" ht="17.399999999999999" customHeight="1" x14ac:dyDescent="0.3">
      <c r="A236" s="71">
        <v>807</v>
      </c>
      <c r="B236" s="72"/>
      <c r="C236" s="28" t="s">
        <v>181</v>
      </c>
      <c r="D236" s="27">
        <f>(2.74*4.41+2.4*3.1+2.25*2.1+1.2*1.8+0.95*1.2+0.9*0.9+1.2*1.2+(2.74+2.25+2.4)*0.75)*10.764</f>
        <v>380.40944760000002</v>
      </c>
      <c r="E236" s="28">
        <v>0</v>
      </c>
      <c r="F236" s="28">
        <f t="shared" si="12"/>
        <v>570.61417140000003</v>
      </c>
      <c r="G236" s="75"/>
      <c r="H236" s="76"/>
    </row>
    <row r="237" spans="1:9" s="2" customFormat="1" ht="17.399999999999999" customHeight="1" x14ac:dyDescent="0.3">
      <c r="A237" s="71">
        <v>808</v>
      </c>
      <c r="B237" s="72"/>
      <c r="C237" s="28" t="s">
        <v>182</v>
      </c>
      <c r="D237" s="27">
        <f t="shared" ref="D237:D240" si="13">(2.74*4.41+2.25*2.1+1.2*1.8+0.95*1.2+0.9*0.9+1.2*1.2+(2.74+2.25)*0.75)*10.764</f>
        <v>280.95008760000002</v>
      </c>
      <c r="E237" s="28">
        <v>0</v>
      </c>
      <c r="F237" s="28">
        <f t="shared" si="12"/>
        <v>421.42513140000005</v>
      </c>
      <c r="G237" s="75"/>
      <c r="H237" s="76"/>
    </row>
    <row r="238" spans="1:9" s="2" customFormat="1" ht="17.399999999999999" customHeight="1" x14ac:dyDescent="0.3">
      <c r="A238" s="71">
        <v>809</v>
      </c>
      <c r="B238" s="72"/>
      <c r="C238" s="28" t="s">
        <v>182</v>
      </c>
      <c r="D238" s="27">
        <f t="shared" si="13"/>
        <v>280.95008760000002</v>
      </c>
      <c r="E238" s="28">
        <v>0</v>
      </c>
      <c r="F238" s="28">
        <f t="shared" si="12"/>
        <v>421.42513140000005</v>
      </c>
      <c r="G238" s="75"/>
      <c r="H238" s="76"/>
    </row>
    <row r="239" spans="1:9" s="2" customFormat="1" ht="17.399999999999999" customHeight="1" x14ac:dyDescent="0.3">
      <c r="A239" s="71">
        <v>810</v>
      </c>
      <c r="B239" s="72"/>
      <c r="C239" s="28" t="s">
        <v>181</v>
      </c>
      <c r="D239" s="27">
        <f>(2.74*4.41+2.4*3.1+2.25*2.1+1.2*1.8+0.95*1.2+0.9*0.9+1.2*1.2+(2.74+2.25+2.4)*0.75)*10.764</f>
        <v>380.40944760000002</v>
      </c>
      <c r="E239" s="28">
        <v>0</v>
      </c>
      <c r="F239" s="28">
        <f t="shared" si="12"/>
        <v>570.61417140000003</v>
      </c>
      <c r="G239" s="75"/>
      <c r="H239" s="76"/>
    </row>
    <row r="240" spans="1:9" s="2" customFormat="1" ht="17.399999999999999" customHeight="1" x14ac:dyDescent="0.3">
      <c r="A240" s="71">
        <v>811</v>
      </c>
      <c r="B240" s="72"/>
      <c r="C240" s="28" t="s">
        <v>182</v>
      </c>
      <c r="D240" s="27">
        <f t="shared" si="13"/>
        <v>280.95008760000002</v>
      </c>
      <c r="E240" s="28">
        <v>0</v>
      </c>
      <c r="F240" s="28">
        <f t="shared" si="12"/>
        <v>421.42513140000005</v>
      </c>
      <c r="G240" s="77"/>
      <c r="H240" s="78"/>
      <c r="I240" s="33"/>
    </row>
    <row r="241" spans="1:9" s="2" customFormat="1" ht="17.399999999999999" customHeight="1" x14ac:dyDescent="0.3">
      <c r="A241" s="160" t="s">
        <v>279</v>
      </c>
      <c r="B241" s="161"/>
      <c r="C241" s="161"/>
      <c r="D241" s="161"/>
      <c r="E241" s="161"/>
      <c r="F241" s="161"/>
      <c r="G241" s="161"/>
      <c r="H241" s="162"/>
    </row>
    <row r="242" spans="1:9" s="2" customFormat="1" ht="17.399999999999999" customHeight="1" x14ac:dyDescent="0.3">
      <c r="A242" s="160" t="s">
        <v>280</v>
      </c>
      <c r="B242" s="161"/>
      <c r="C242" s="161"/>
      <c r="D242" s="161"/>
      <c r="E242" s="161"/>
      <c r="F242" s="161"/>
      <c r="G242" s="161"/>
      <c r="H242" s="162"/>
    </row>
    <row r="243" spans="1:9" s="2" customFormat="1" ht="17.399999999999999" customHeight="1" x14ac:dyDescent="0.3">
      <c r="A243" s="160" t="s">
        <v>281</v>
      </c>
      <c r="B243" s="161"/>
      <c r="C243" s="161"/>
      <c r="D243" s="161"/>
      <c r="E243" s="161"/>
      <c r="F243" s="161"/>
      <c r="G243" s="161"/>
      <c r="H243" s="162"/>
    </row>
    <row r="244" spans="1:9" s="2" customFormat="1" ht="17.399999999999999" customHeight="1" x14ac:dyDescent="0.3">
      <c r="A244" s="71" t="s">
        <v>282</v>
      </c>
      <c r="B244" s="72"/>
      <c r="C244" s="28" t="s">
        <v>181</v>
      </c>
      <c r="D244" s="27">
        <f>(29.88+(2.7+2.25+2.4)*0.75)*10.764</f>
        <v>380.96486999999996</v>
      </c>
      <c r="E244" s="28">
        <v>0</v>
      </c>
      <c r="F244" s="28">
        <f t="shared" ref="F244:F247" si="14">D244*1.5+E244</f>
        <v>571.44730499999991</v>
      </c>
      <c r="G244" s="73" t="str">
        <f>A243</f>
        <v xml:space="preserve">1st to 3rd Floor </v>
      </c>
      <c r="H244" s="74"/>
      <c r="I244" s="2">
        <f>2.7*4.4+2.25*2.1+2.4*3.1+0.9*1.2+1.2*1.8+0.9*2.25</f>
        <v>29.31</v>
      </c>
    </row>
    <row r="245" spans="1:9" s="2" customFormat="1" ht="17.399999999999999" customHeight="1" x14ac:dyDescent="0.3">
      <c r="A245" s="71" t="s">
        <v>283</v>
      </c>
      <c r="B245" s="72"/>
      <c r="C245" s="28" t="s">
        <v>181</v>
      </c>
      <c r="D245" s="27">
        <f t="shared" ref="D245:D247" si="15">(29.88+(2.7+2.25+2.4)*0.75)*10.764</f>
        <v>380.96486999999996</v>
      </c>
      <c r="E245" s="28">
        <v>0</v>
      </c>
      <c r="F245" s="28">
        <f t="shared" si="14"/>
        <v>571.44730499999991</v>
      </c>
      <c r="G245" s="75"/>
      <c r="H245" s="76"/>
    </row>
    <row r="246" spans="1:9" s="2" customFormat="1" ht="17.399999999999999" customHeight="1" x14ac:dyDescent="0.3">
      <c r="A246" s="71" t="s">
        <v>284</v>
      </c>
      <c r="B246" s="72"/>
      <c r="C246" s="28" t="s">
        <v>183</v>
      </c>
      <c r="D246" s="27">
        <f>(39.55+(2.7+2.7+2.5+2.4)*0.75)*10.764</f>
        <v>508.86809999999997</v>
      </c>
      <c r="E246" s="28">
        <v>0</v>
      </c>
      <c r="F246" s="28">
        <f t="shared" si="14"/>
        <v>763.30214999999998</v>
      </c>
      <c r="G246" s="75"/>
      <c r="H246" s="76"/>
    </row>
    <row r="247" spans="1:9" s="2" customFormat="1" ht="17.399999999999999" customHeight="1" x14ac:dyDescent="0.3">
      <c r="A247" s="71" t="s">
        <v>285</v>
      </c>
      <c r="B247" s="72"/>
      <c r="C247" s="28" t="s">
        <v>181</v>
      </c>
      <c r="D247" s="27">
        <f t="shared" si="15"/>
        <v>380.96486999999996</v>
      </c>
      <c r="E247" s="28">
        <v>0</v>
      </c>
      <c r="F247" s="28">
        <f t="shared" si="14"/>
        <v>571.44730499999991</v>
      </c>
      <c r="G247" s="77"/>
      <c r="H247" s="78"/>
    </row>
    <row r="248" spans="1:9" s="2" customFormat="1" ht="17.399999999999999" customHeight="1" x14ac:dyDescent="0.3">
      <c r="A248" s="208" t="s">
        <v>286</v>
      </c>
      <c r="B248" s="208"/>
      <c r="C248" s="208"/>
      <c r="D248" s="208"/>
      <c r="E248" s="208"/>
      <c r="F248" s="208"/>
      <c r="G248" s="208"/>
      <c r="H248" s="208"/>
    </row>
    <row r="249" spans="1:9" s="2" customFormat="1" ht="17.399999999999999" customHeight="1" x14ac:dyDescent="0.3">
      <c r="A249" s="70">
        <v>401</v>
      </c>
      <c r="B249" s="70"/>
      <c r="C249" s="28" t="s">
        <v>181</v>
      </c>
      <c r="D249" s="28">
        <f>(29.88+(2.7+2.25+2.4)*0.75)*10.764</f>
        <v>380.96486999999996</v>
      </c>
      <c r="E249" s="28">
        <v>0</v>
      </c>
      <c r="F249" s="28">
        <f t="shared" ref="F249:F252" si="16">D249*1.5+E249</f>
        <v>571.44730499999991</v>
      </c>
      <c r="G249" s="70" t="str">
        <f>A248</f>
        <v>4th Floor (Part Terrace Area)</v>
      </c>
      <c r="H249" s="70"/>
      <c r="I249" s="2">
        <f>2.7*4.4+2.25*2.1+2.4*3.1+0.9*1.2+1.2*1.8+0.9*2.25</f>
        <v>29.31</v>
      </c>
    </row>
    <row r="250" spans="1:9" s="2" customFormat="1" ht="17.399999999999999" customHeight="1" x14ac:dyDescent="0.3">
      <c r="A250" s="70" t="s">
        <v>287</v>
      </c>
      <c r="B250" s="70"/>
      <c r="C250" s="70" t="s">
        <v>288</v>
      </c>
      <c r="D250" s="70"/>
      <c r="E250" s="70"/>
      <c r="F250" s="70"/>
      <c r="G250" s="70"/>
      <c r="H250" s="70"/>
    </row>
    <row r="251" spans="1:9" s="2" customFormat="1" ht="17.399999999999999" customHeight="1" x14ac:dyDescent="0.3">
      <c r="A251" s="70">
        <v>402</v>
      </c>
      <c r="B251" s="70"/>
      <c r="C251" s="28" t="s">
        <v>183</v>
      </c>
      <c r="D251" s="28">
        <f>(39.55+(2.7+2.7+2.5+2.4)*0.75)*10.764</f>
        <v>508.86809999999997</v>
      </c>
      <c r="E251" s="28">
        <v>0</v>
      </c>
      <c r="F251" s="28">
        <f t="shared" si="16"/>
        <v>763.30214999999998</v>
      </c>
      <c r="G251" s="70"/>
      <c r="H251" s="70"/>
    </row>
    <row r="252" spans="1:9" s="2" customFormat="1" ht="17.399999999999999" customHeight="1" x14ac:dyDescent="0.3">
      <c r="A252" s="70">
        <v>403</v>
      </c>
      <c r="B252" s="70"/>
      <c r="C252" s="28" t="s">
        <v>181</v>
      </c>
      <c r="D252" s="28">
        <f t="shared" ref="D252" si="17">(29.88+(2.7+2.25+2.4)*0.75)*10.764</f>
        <v>380.96486999999996</v>
      </c>
      <c r="E252" s="28">
        <v>0</v>
      </c>
      <c r="F252" s="28">
        <f t="shared" si="16"/>
        <v>571.44730499999991</v>
      </c>
      <c r="G252" s="70"/>
      <c r="H252" s="70"/>
    </row>
    <row r="253" spans="1:9" s="1" customFormat="1" x14ac:dyDescent="0.3">
      <c r="A253" s="216" t="s">
        <v>78</v>
      </c>
      <c r="B253" s="216"/>
      <c r="C253" s="216"/>
      <c r="D253" s="216"/>
      <c r="E253" s="216"/>
      <c r="F253" s="216"/>
      <c r="G253" s="216"/>
      <c r="H253" s="216"/>
    </row>
    <row r="254" spans="1:9" s="10" customFormat="1" ht="214.95" customHeight="1" x14ac:dyDescent="0.3">
      <c r="A254" s="217" t="s">
        <v>312</v>
      </c>
      <c r="B254" s="217"/>
      <c r="C254" s="217"/>
      <c r="D254" s="217"/>
      <c r="E254" s="217"/>
      <c r="F254" s="217"/>
      <c r="G254" s="217"/>
      <c r="H254" s="217"/>
    </row>
    <row r="255" spans="1:9" x14ac:dyDescent="0.3">
      <c r="A255" s="210" t="s">
        <v>69</v>
      </c>
      <c r="B255" s="211"/>
      <c r="C255" s="211"/>
      <c r="D255" s="211"/>
      <c r="E255" s="211"/>
      <c r="F255" s="211"/>
      <c r="G255" s="211"/>
      <c r="H255" s="212"/>
    </row>
    <row r="256" spans="1:9" x14ac:dyDescent="0.3">
      <c r="A256" s="98" t="s">
        <v>70</v>
      </c>
      <c r="B256" s="99"/>
      <c r="C256" s="99"/>
      <c r="D256" s="99"/>
      <c r="E256" s="99"/>
      <c r="F256" s="99"/>
      <c r="G256" s="99"/>
      <c r="H256" s="100"/>
    </row>
    <row r="257" spans="1:8" ht="15.75" customHeight="1" x14ac:dyDescent="0.3">
      <c r="A257" s="210" t="s">
        <v>71</v>
      </c>
      <c r="B257" s="211"/>
      <c r="C257" s="211"/>
      <c r="D257" s="211"/>
      <c r="E257" s="211"/>
      <c r="F257" s="211"/>
      <c r="G257" s="211"/>
      <c r="H257" s="212"/>
    </row>
    <row r="258" spans="1:8" x14ac:dyDescent="0.3">
      <c r="A258" s="98" t="s">
        <v>72</v>
      </c>
      <c r="B258" s="99"/>
      <c r="C258" s="99"/>
      <c r="D258" s="99"/>
      <c r="E258" s="99"/>
      <c r="F258" s="99"/>
      <c r="G258" s="99"/>
      <c r="H258" s="100"/>
    </row>
    <row r="259" spans="1:8" x14ac:dyDescent="0.3">
      <c r="A259" s="98" t="s">
        <v>73</v>
      </c>
      <c r="B259" s="99"/>
      <c r="C259" s="99"/>
      <c r="D259" s="99"/>
      <c r="E259" s="99"/>
      <c r="F259" s="99"/>
      <c r="G259" s="99"/>
      <c r="H259" s="100"/>
    </row>
    <row r="260" spans="1:8" x14ac:dyDescent="0.3">
      <c r="A260" s="98" t="s">
        <v>74</v>
      </c>
      <c r="B260" s="99"/>
      <c r="C260" s="99"/>
      <c r="D260" s="99"/>
      <c r="E260" s="99"/>
      <c r="F260" s="99"/>
      <c r="G260" s="99"/>
      <c r="H260" s="100"/>
    </row>
    <row r="261" spans="1:8" ht="35.25" customHeight="1" x14ac:dyDescent="0.3">
      <c r="A261" s="121" t="s">
        <v>75</v>
      </c>
      <c r="B261" s="122"/>
      <c r="C261" s="122"/>
      <c r="D261" s="122"/>
      <c r="E261" s="122"/>
      <c r="F261" s="122"/>
      <c r="G261" s="122"/>
      <c r="H261" s="123"/>
    </row>
    <row r="262" spans="1:8" x14ac:dyDescent="0.3">
      <c r="A262" s="154" t="s">
        <v>112</v>
      </c>
      <c r="B262" s="154"/>
      <c r="C262" s="154" t="s">
        <v>116</v>
      </c>
      <c r="D262" s="154"/>
      <c r="E262" s="154" t="s">
        <v>191</v>
      </c>
      <c r="F262" s="154"/>
      <c r="G262" s="154" t="s">
        <v>313</v>
      </c>
      <c r="H262" s="154"/>
    </row>
    <row r="263" spans="1:8" x14ac:dyDescent="0.3">
      <c r="A263" s="153" t="s">
        <v>114</v>
      </c>
      <c r="B263" s="153"/>
      <c r="C263" s="153"/>
      <c r="D263" s="153"/>
      <c r="E263" s="153"/>
      <c r="F263" s="153"/>
      <c r="G263" s="153"/>
      <c r="H263" s="153"/>
    </row>
    <row r="264" spans="1:8" x14ac:dyDescent="0.3">
      <c r="A264" s="153"/>
      <c r="B264" s="153"/>
      <c r="C264" s="153"/>
      <c r="D264" s="153"/>
      <c r="E264" s="153"/>
      <c r="F264" s="153"/>
      <c r="G264" s="153"/>
      <c r="H264" s="153"/>
    </row>
    <row r="265" spans="1:8" x14ac:dyDescent="0.3">
      <c r="A265" s="153"/>
      <c r="B265" s="153"/>
      <c r="C265" s="153"/>
      <c r="D265" s="153"/>
      <c r="E265" s="153"/>
      <c r="F265" s="153"/>
      <c r="G265" s="153"/>
      <c r="H265" s="153"/>
    </row>
    <row r="266" spans="1:8" x14ac:dyDescent="0.3">
      <c r="A266" s="153"/>
      <c r="B266" s="153"/>
      <c r="C266" s="153"/>
      <c r="D266" s="153"/>
      <c r="E266" s="153"/>
      <c r="F266" s="153"/>
      <c r="G266" s="153"/>
      <c r="H266" s="153"/>
    </row>
    <row r="267" spans="1:8" x14ac:dyDescent="0.3">
      <c r="A267" s="20" t="s">
        <v>76</v>
      </c>
      <c r="B267" s="21"/>
      <c r="C267" s="21"/>
      <c r="D267" s="20" t="str">
        <f>E8</f>
        <v>Shree Ganesh Symphony</v>
      </c>
      <c r="F267" s="21"/>
      <c r="G267" s="21"/>
      <c r="H267" s="21"/>
    </row>
    <row r="268" spans="1:8" x14ac:dyDescent="0.3">
      <c r="A268" s="21"/>
      <c r="B268" s="21"/>
      <c r="C268" s="21"/>
      <c r="D268" s="21"/>
      <c r="E268" s="21"/>
      <c r="F268" s="21"/>
      <c r="G268" s="21"/>
      <c r="H268" s="21"/>
    </row>
    <row r="269" spans="1:8" x14ac:dyDescent="0.3">
      <c r="A269" s="21"/>
      <c r="B269" s="21"/>
      <c r="C269" s="21"/>
      <c r="D269" s="21"/>
      <c r="E269" s="21"/>
      <c r="F269" s="21"/>
      <c r="G269" s="21"/>
      <c r="H269" s="21"/>
    </row>
    <row r="270" spans="1:8" ht="15" customHeight="1" x14ac:dyDescent="0.3"/>
    <row r="311" spans="1:1" x14ac:dyDescent="0.3">
      <c r="A311" s="23" t="s">
        <v>77</v>
      </c>
    </row>
    <row r="345" hidden="1" x14ac:dyDescent="0.3"/>
    <row r="346" hidden="1" x14ac:dyDescent="0.3"/>
    <row r="347" hidden="1" x14ac:dyDescent="0.3"/>
    <row r="348" hidden="1" x14ac:dyDescent="0.3"/>
    <row r="349" hidden="1" x14ac:dyDescent="0.3"/>
    <row r="350" hidden="1" x14ac:dyDescent="0.3"/>
    <row r="351" hidden="1" x14ac:dyDescent="0.3"/>
    <row r="352" hidden="1" x14ac:dyDescent="0.3"/>
    <row r="353" hidden="1" x14ac:dyDescent="0.3"/>
  </sheetData>
  <mergeCells count="392">
    <mergeCell ref="A10:D10"/>
    <mergeCell ref="E10:H10"/>
    <mergeCell ref="E96:F96"/>
    <mergeCell ref="G96:H96"/>
    <mergeCell ref="A97:B97"/>
    <mergeCell ref="E97:F106"/>
    <mergeCell ref="G97:H106"/>
    <mergeCell ref="A98:B98"/>
    <mergeCell ref="A99:B99"/>
    <mergeCell ref="A100:B100"/>
    <mergeCell ref="A101:B101"/>
    <mergeCell ref="A102:B102"/>
    <mergeCell ref="A103:B103"/>
    <mergeCell ref="A104:B104"/>
    <mergeCell ref="A105:B105"/>
    <mergeCell ref="A106:B106"/>
    <mergeCell ref="C52:H52"/>
    <mergeCell ref="A50:B50"/>
    <mergeCell ref="C50:E50"/>
    <mergeCell ref="G50:H50"/>
    <mergeCell ref="A86:B86"/>
    <mergeCell ref="A87:B87"/>
    <mergeCell ref="A88:B88"/>
    <mergeCell ref="A89:B89"/>
    <mergeCell ref="A244:B244"/>
    <mergeCell ref="A245:B245"/>
    <mergeCell ref="A246:B246"/>
    <mergeCell ref="A247:B247"/>
    <mergeCell ref="G244:H247"/>
    <mergeCell ref="A248:H248"/>
    <mergeCell ref="A249:B249"/>
    <mergeCell ref="G249:H252"/>
    <mergeCell ref="A251:B251"/>
    <mergeCell ref="A252:B252"/>
    <mergeCell ref="A250:B250"/>
    <mergeCell ref="C250:F250"/>
    <mergeCell ref="A134:B134"/>
    <mergeCell ref="D134:E134"/>
    <mergeCell ref="F134:H134"/>
    <mergeCell ref="A142:B142"/>
    <mergeCell ref="A225:B225"/>
    <mergeCell ref="G177:H186"/>
    <mergeCell ref="G138:H138"/>
    <mergeCell ref="A180:B180"/>
    <mergeCell ref="A243:H243"/>
    <mergeCell ref="A165:H165"/>
    <mergeCell ref="A166:B166"/>
    <mergeCell ref="A152:B152"/>
    <mergeCell ref="A156:B156"/>
    <mergeCell ref="A174:B174"/>
    <mergeCell ref="A175:B175"/>
    <mergeCell ref="A178:B178"/>
    <mergeCell ref="A241:H241"/>
    <mergeCell ref="A242:H242"/>
    <mergeCell ref="A226:B226"/>
    <mergeCell ref="A184:B184"/>
    <mergeCell ref="A185:B185"/>
    <mergeCell ref="A186:B186"/>
    <mergeCell ref="A218:B218"/>
    <mergeCell ref="G210:H215"/>
    <mergeCell ref="A133:B133"/>
    <mergeCell ref="D133:E133"/>
    <mergeCell ref="F133:H133"/>
    <mergeCell ref="D60:H60"/>
    <mergeCell ref="A58:C60"/>
    <mergeCell ref="A93:B93"/>
    <mergeCell ref="C93:H93"/>
    <mergeCell ref="A95:B95"/>
    <mergeCell ref="C95:H95"/>
    <mergeCell ref="A96:B96"/>
    <mergeCell ref="A132:B132"/>
    <mergeCell ref="D132:E132"/>
    <mergeCell ref="F132:H132"/>
    <mergeCell ref="A92:B92"/>
    <mergeCell ref="A107:H107"/>
    <mergeCell ref="A112:E112"/>
    <mergeCell ref="A110:H110"/>
    <mergeCell ref="A72:B72"/>
    <mergeCell ref="A73:B73"/>
    <mergeCell ref="G69:H78"/>
    <mergeCell ref="A74:B74"/>
    <mergeCell ref="A75:B75"/>
    <mergeCell ref="A76:B76"/>
    <mergeCell ref="A79:B79"/>
    <mergeCell ref="A219:B219"/>
    <mergeCell ref="A221:B221"/>
    <mergeCell ref="G217:H228"/>
    <mergeCell ref="A182:B182"/>
    <mergeCell ref="A154:B154"/>
    <mergeCell ref="A155:B155"/>
    <mergeCell ref="A143:B143"/>
    <mergeCell ref="G188:H197"/>
    <mergeCell ref="A189:B189"/>
    <mergeCell ref="A190:B190"/>
    <mergeCell ref="A191:B191"/>
    <mergeCell ref="A179:B179"/>
    <mergeCell ref="A181:B181"/>
    <mergeCell ref="A144:B144"/>
    <mergeCell ref="A145:B145"/>
    <mergeCell ref="A146:B146"/>
    <mergeCell ref="A147:B147"/>
    <mergeCell ref="G166:H175"/>
    <mergeCell ref="A167:B167"/>
    <mergeCell ref="A168:B168"/>
    <mergeCell ref="A169:B169"/>
    <mergeCell ref="A170:B170"/>
    <mergeCell ref="A171:B171"/>
    <mergeCell ref="A172:B172"/>
    <mergeCell ref="A257:H257"/>
    <mergeCell ref="A222:B222"/>
    <mergeCell ref="A158:B158"/>
    <mergeCell ref="A159:B159"/>
    <mergeCell ref="A160:B160"/>
    <mergeCell ref="A217:B217"/>
    <mergeCell ref="A220:B220"/>
    <mergeCell ref="A228:B228"/>
    <mergeCell ref="A216:H216"/>
    <mergeCell ref="A229:H229"/>
    <mergeCell ref="A176:H176"/>
    <mergeCell ref="A177:B177"/>
    <mergeCell ref="A253:H253"/>
    <mergeCell ref="A254:H254"/>
    <mergeCell ref="A200:B200"/>
    <mergeCell ref="A201:B201"/>
    <mergeCell ref="A202:B202"/>
    <mergeCell ref="A203:B203"/>
    <mergeCell ref="A204:B204"/>
    <mergeCell ref="A205:B205"/>
    <mergeCell ref="A206:B206"/>
    <mergeCell ref="A207:B207"/>
    <mergeCell ref="A187:H187"/>
    <mergeCell ref="A188:B188"/>
    <mergeCell ref="A139:H139"/>
    <mergeCell ref="A157:H157"/>
    <mergeCell ref="A84:B84"/>
    <mergeCell ref="A85:B85"/>
    <mergeCell ref="G230:H240"/>
    <mergeCell ref="A240:B240"/>
    <mergeCell ref="A90:B90"/>
    <mergeCell ref="A91:B91"/>
    <mergeCell ref="A224:B224"/>
    <mergeCell ref="A239:B239"/>
    <mergeCell ref="A236:B236"/>
    <mergeCell ref="A237:B237"/>
    <mergeCell ref="A238:B238"/>
    <mergeCell ref="A235:B235"/>
    <mergeCell ref="A183:B183"/>
    <mergeCell ref="A194:B194"/>
    <mergeCell ref="A195:B195"/>
    <mergeCell ref="A196:B196"/>
    <mergeCell ref="A197:B197"/>
    <mergeCell ref="A192:B192"/>
    <mergeCell ref="A193:B193"/>
    <mergeCell ref="A198:H198"/>
    <mergeCell ref="A199:B199"/>
    <mergeCell ref="G199:H207"/>
    <mergeCell ref="C79:H79"/>
    <mergeCell ref="A258:H258"/>
    <mergeCell ref="A259:H259"/>
    <mergeCell ref="A260:H260"/>
    <mergeCell ref="A234:B234"/>
    <mergeCell ref="A233:B233"/>
    <mergeCell ref="A230:B230"/>
    <mergeCell ref="A231:B231"/>
    <mergeCell ref="A232:B232"/>
    <mergeCell ref="A227:B227"/>
    <mergeCell ref="A208:H208"/>
    <mergeCell ref="A209:H209"/>
    <mergeCell ref="E82:F82"/>
    <mergeCell ref="G82:H82"/>
    <mergeCell ref="A83:B83"/>
    <mergeCell ref="E83:F92"/>
    <mergeCell ref="A255:H255"/>
    <mergeCell ref="A256:H256"/>
    <mergeCell ref="A223:B223"/>
    <mergeCell ref="G83:H92"/>
    <mergeCell ref="A81:B81"/>
    <mergeCell ref="C81:H81"/>
    <mergeCell ref="A82:B82"/>
    <mergeCell ref="A108:H108"/>
    <mergeCell ref="A24:D24"/>
    <mergeCell ref="A25:D25"/>
    <mergeCell ref="E25:H25"/>
    <mergeCell ref="E24:H24"/>
    <mergeCell ref="A26:D26"/>
    <mergeCell ref="E26:H26"/>
    <mergeCell ref="A23:D23"/>
    <mergeCell ref="E23:H23"/>
    <mergeCell ref="A18:B18"/>
    <mergeCell ref="C18:D18"/>
    <mergeCell ref="E18:F18"/>
    <mergeCell ref="G18:H18"/>
    <mergeCell ref="A77:B77"/>
    <mergeCell ref="A78:B78"/>
    <mergeCell ref="E69:F78"/>
    <mergeCell ref="A20:D21"/>
    <mergeCell ref="E20:H21"/>
    <mergeCell ref="A22:D22"/>
    <mergeCell ref="E22:H22"/>
    <mergeCell ref="E17:F17"/>
    <mergeCell ref="G17:H17"/>
    <mergeCell ref="C31:E31"/>
    <mergeCell ref="A32:B32"/>
    <mergeCell ref="C32:E32"/>
    <mergeCell ref="A33:B33"/>
    <mergeCell ref="A69:B69"/>
    <mergeCell ref="A70:B70"/>
    <mergeCell ref="A71:B71"/>
    <mergeCell ref="D55:H55"/>
    <mergeCell ref="D62:H62"/>
    <mergeCell ref="C33:E33"/>
    <mergeCell ref="C34:E34"/>
    <mergeCell ref="A30:B30"/>
    <mergeCell ref="D59:H59"/>
    <mergeCell ref="A41:D41"/>
    <mergeCell ref="E41:H41"/>
    <mergeCell ref="A15:B15"/>
    <mergeCell ref="A12:D12"/>
    <mergeCell ref="E12:H12"/>
    <mergeCell ref="A13:D13"/>
    <mergeCell ref="E13:H13"/>
    <mergeCell ref="A14:B14"/>
    <mergeCell ref="C14:H14"/>
    <mergeCell ref="C15:H15"/>
    <mergeCell ref="A19:B19"/>
    <mergeCell ref="C19:D19"/>
    <mergeCell ref="E19:F19"/>
    <mergeCell ref="G19:H19"/>
    <mergeCell ref="A16:B16"/>
    <mergeCell ref="C16:D16"/>
    <mergeCell ref="E16:F16"/>
    <mergeCell ref="G16:H16"/>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11:D11"/>
    <mergeCell ref="E11:H11"/>
    <mergeCell ref="A17:B17"/>
    <mergeCell ref="C17:D17"/>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A263:H266"/>
    <mergeCell ref="A262:B262"/>
    <mergeCell ref="E262:F262"/>
    <mergeCell ref="C262:D262"/>
    <mergeCell ref="G262:H262"/>
    <mergeCell ref="A124:H124"/>
    <mergeCell ref="A122:E122"/>
    <mergeCell ref="F122:H122"/>
    <mergeCell ref="A123:E123"/>
    <mergeCell ref="F123:H123"/>
    <mergeCell ref="D131:E131"/>
    <mergeCell ref="F131:H131"/>
    <mergeCell ref="A140:H140"/>
    <mergeCell ref="A131:B131"/>
    <mergeCell ref="A151:B151"/>
    <mergeCell ref="A261:H261"/>
    <mergeCell ref="A137:H137"/>
    <mergeCell ref="D130:E130"/>
    <mergeCell ref="A136:H136"/>
    <mergeCell ref="A135:B135"/>
    <mergeCell ref="D135:E135"/>
    <mergeCell ref="F135:H135"/>
    <mergeCell ref="D128:E128"/>
    <mergeCell ref="F128:H128"/>
    <mergeCell ref="A37:B37"/>
    <mergeCell ref="A36:B36"/>
    <mergeCell ref="A48:B49"/>
    <mergeCell ref="D57:H57"/>
    <mergeCell ref="A57:C57"/>
    <mergeCell ref="A67:B67"/>
    <mergeCell ref="A61:C61"/>
    <mergeCell ref="A62:C62"/>
    <mergeCell ref="D61:H61"/>
    <mergeCell ref="C37:H37"/>
    <mergeCell ref="C36:H36"/>
    <mergeCell ref="E42:H42"/>
    <mergeCell ref="E43:H43"/>
    <mergeCell ref="E44:H44"/>
    <mergeCell ref="A42:D42"/>
    <mergeCell ref="A43:D43"/>
    <mergeCell ref="A44:D44"/>
    <mergeCell ref="A45:H45"/>
    <mergeCell ref="A51:B52"/>
    <mergeCell ref="C51:E51"/>
    <mergeCell ref="G51:H51"/>
    <mergeCell ref="E68:F68"/>
    <mergeCell ref="A65:B65"/>
    <mergeCell ref="C65:H65"/>
    <mergeCell ref="A54:H54"/>
    <mergeCell ref="A55:C55"/>
    <mergeCell ref="A63:C63"/>
    <mergeCell ref="D63:H63"/>
    <mergeCell ref="A64:C64"/>
    <mergeCell ref="D64:H64"/>
    <mergeCell ref="C67:H67"/>
    <mergeCell ref="D58:H58"/>
    <mergeCell ref="A56:C56"/>
    <mergeCell ref="D56:H56"/>
    <mergeCell ref="A68:B68"/>
    <mergeCell ref="G68:H68"/>
    <mergeCell ref="A109:B109"/>
    <mergeCell ref="C109:H109"/>
    <mergeCell ref="F130:H130"/>
    <mergeCell ref="A125:B125"/>
    <mergeCell ref="A127:B127"/>
    <mergeCell ref="D127:E127"/>
    <mergeCell ref="F127:H127"/>
    <mergeCell ref="A121:E121"/>
    <mergeCell ref="F121:H121"/>
    <mergeCell ref="A119:E119"/>
    <mergeCell ref="F119:H119"/>
    <mergeCell ref="A120:E120"/>
    <mergeCell ref="F120:H120"/>
    <mergeCell ref="A114:E114"/>
    <mergeCell ref="F114:H114"/>
    <mergeCell ref="A115:E115"/>
    <mergeCell ref="F115:H115"/>
    <mergeCell ref="D125:E125"/>
    <mergeCell ref="F125:H125"/>
    <mergeCell ref="A126:B126"/>
    <mergeCell ref="D126:E126"/>
    <mergeCell ref="A130:B130"/>
    <mergeCell ref="A129:H129"/>
    <mergeCell ref="A128:B128"/>
    <mergeCell ref="F126:H126"/>
    <mergeCell ref="F118:H118"/>
    <mergeCell ref="G46:H46"/>
    <mergeCell ref="G47:H47"/>
    <mergeCell ref="A47:B47"/>
    <mergeCell ref="C47:E47"/>
    <mergeCell ref="C48:E48"/>
    <mergeCell ref="A46:B46"/>
    <mergeCell ref="C46:E46"/>
    <mergeCell ref="C49:H49"/>
    <mergeCell ref="G48:H48"/>
    <mergeCell ref="G53:H53"/>
    <mergeCell ref="A53:B53"/>
    <mergeCell ref="C53:E53"/>
    <mergeCell ref="F112:H112"/>
    <mergeCell ref="A113:E113"/>
    <mergeCell ref="F113:H113"/>
    <mergeCell ref="A111:E111"/>
    <mergeCell ref="F111:H111"/>
    <mergeCell ref="F117:H117"/>
    <mergeCell ref="A118:E118"/>
    <mergeCell ref="A117:E117"/>
    <mergeCell ref="A116:E116"/>
    <mergeCell ref="F116:H116"/>
    <mergeCell ref="A173:B173"/>
    <mergeCell ref="A161:B161"/>
    <mergeCell ref="A162:B162"/>
    <mergeCell ref="G158:H164"/>
    <mergeCell ref="A148:B148"/>
    <mergeCell ref="A149:B149"/>
    <mergeCell ref="A150:B150"/>
    <mergeCell ref="A163:B163"/>
    <mergeCell ref="A164:B164"/>
    <mergeCell ref="A153:B153"/>
    <mergeCell ref="G141:H156"/>
    <mergeCell ref="A141:B141"/>
  </mergeCells>
  <phoneticPr fontId="18" type="noConversion"/>
  <hyperlinks>
    <hyperlink ref="C37" r:id="rId1" xr:uid="{00000000-0004-0000-0000-000000000000}"/>
  </hyperlinks>
  <printOptions horizontalCentered="1"/>
  <pageMargins left="0.19685039370078741" right="0.19685039370078741" top="0.78740157480314965" bottom="0.78740157480314965" header="0.19685039370078741" footer="0.19685039370078741"/>
  <pageSetup paperSize="9" orientation="portrait" r:id="rId2"/>
  <headerFooter>
    <oddHeader>&amp;C&amp;G</oddHeader>
    <oddFooter>&amp;L&amp;"Times New Roman,Bold"&amp;12Ref No: &amp;F&amp;C&amp;G&amp;R&amp;"Times New Roman,Bold"&amp;12                                                           &amp;P</oddFooter>
  </headerFooter>
  <rowBreaks count="2" manualBreakCount="2">
    <brk id="266" max="16383" man="1"/>
    <brk id="31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2"/>
  <sheetViews>
    <sheetView topLeftCell="A31" workbookViewId="0">
      <selection activeCell="C6" sqref="C6"/>
    </sheetView>
  </sheetViews>
  <sheetFormatPr defaultColWidth="8.6640625" defaultRowHeight="14.4" x14ac:dyDescent="0.3"/>
  <cols>
    <col min="1" max="1" width="8.6640625" style="34"/>
    <col min="2" max="2" width="22.109375" style="34" customWidth="1"/>
    <col min="3" max="3" width="37" style="34" customWidth="1"/>
    <col min="4" max="5" width="11.44140625" style="34" customWidth="1"/>
    <col min="6" max="6" width="14" style="34" customWidth="1"/>
    <col min="7" max="7" width="20" style="34" customWidth="1"/>
    <col min="8" max="8" width="16.44140625" style="34" customWidth="1"/>
    <col min="9" max="9" width="8.6640625" style="34"/>
    <col min="10" max="10" width="9.88671875" style="34" bestFit="1" customWidth="1"/>
    <col min="11" max="16384" width="8.6640625" style="34"/>
  </cols>
  <sheetData>
    <row r="1" spans="1:10" ht="15" customHeight="1" x14ac:dyDescent="0.3"/>
    <row r="2" spans="1:10" ht="15" customHeight="1" x14ac:dyDescent="0.3">
      <c r="A2" s="35"/>
      <c r="B2" s="35"/>
      <c r="C2" s="35"/>
      <c r="D2" s="35"/>
      <c r="E2" s="35"/>
      <c r="F2" s="35"/>
      <c r="G2" s="35"/>
      <c r="H2" s="35"/>
    </row>
    <row r="3" spans="1:10" x14ac:dyDescent="0.3">
      <c r="A3" s="35"/>
      <c r="B3" s="36" t="s">
        <v>192</v>
      </c>
      <c r="C3" s="36"/>
      <c r="D3" s="36"/>
      <c r="E3" s="36"/>
      <c r="F3" s="36"/>
      <c r="G3" s="36"/>
      <c r="H3" s="36"/>
    </row>
    <row r="4" spans="1:10" x14ac:dyDescent="0.3">
      <c r="A4" s="35"/>
      <c r="B4" s="37" t="s">
        <v>193</v>
      </c>
      <c r="C4" s="37" t="s">
        <v>194</v>
      </c>
      <c r="D4" s="37" t="s">
        <v>80</v>
      </c>
      <c r="E4" s="37" t="s">
        <v>195</v>
      </c>
      <c r="F4" s="37" t="s">
        <v>196</v>
      </c>
      <c r="G4" s="37" t="s">
        <v>197</v>
      </c>
      <c r="H4" s="37" t="s">
        <v>198</v>
      </c>
    </row>
    <row r="5" spans="1:10" x14ac:dyDescent="0.3">
      <c r="A5" s="35"/>
      <c r="B5" s="38" t="s">
        <v>199</v>
      </c>
      <c r="C5" s="39" t="s">
        <v>203</v>
      </c>
      <c r="D5" s="40" t="s">
        <v>181</v>
      </c>
      <c r="E5" s="40">
        <v>364</v>
      </c>
      <c r="F5" s="41">
        <f>E5*1.45</f>
        <v>527.79999999999995</v>
      </c>
      <c r="G5" s="41">
        <f>H5/F5</f>
        <v>2000.7578628268286</v>
      </c>
      <c r="H5" s="42">
        <v>1056000</v>
      </c>
      <c r="J5" s="43"/>
    </row>
    <row r="6" spans="1:10" x14ac:dyDescent="0.3">
      <c r="A6" s="35"/>
      <c r="B6" s="38" t="s">
        <v>199</v>
      </c>
      <c r="C6" s="39" t="s">
        <v>203</v>
      </c>
      <c r="D6" s="40" t="s">
        <v>181</v>
      </c>
      <c r="E6" s="40">
        <v>326</v>
      </c>
      <c r="F6" s="41">
        <f t="shared" ref="F6:F11" si="0">E6*1.45</f>
        <v>472.7</v>
      </c>
      <c r="G6" s="41">
        <f t="shared" ref="G6:G10" si="1">H6/F6</f>
        <v>2760.7361963190183</v>
      </c>
      <c r="H6" s="42">
        <v>1305000</v>
      </c>
      <c r="J6" s="43"/>
    </row>
    <row r="7" spans="1:10" x14ac:dyDescent="0.3">
      <c r="A7" s="35"/>
      <c r="B7" s="38" t="s">
        <v>199</v>
      </c>
      <c r="C7" s="39" t="s">
        <v>203</v>
      </c>
      <c r="D7" s="40" t="s">
        <v>182</v>
      </c>
      <c r="E7" s="40">
        <v>211</v>
      </c>
      <c r="F7" s="41">
        <f t="shared" si="0"/>
        <v>305.95</v>
      </c>
      <c r="G7" s="41">
        <f t="shared" si="1"/>
        <v>2758.6206896551726</v>
      </c>
      <c r="H7" s="42">
        <v>844000</v>
      </c>
      <c r="J7" s="43"/>
    </row>
    <row r="8" spans="1:10" ht="15" customHeight="1" x14ac:dyDescent="0.3">
      <c r="A8" s="35"/>
      <c r="B8" s="38" t="s">
        <v>199</v>
      </c>
      <c r="C8" s="39" t="s">
        <v>203</v>
      </c>
      <c r="D8" s="40" t="s">
        <v>183</v>
      </c>
      <c r="E8" s="40">
        <v>392</v>
      </c>
      <c r="F8" s="41">
        <f t="shared" si="0"/>
        <v>568.4</v>
      </c>
      <c r="G8" s="41">
        <f t="shared" si="1"/>
        <v>2758.6206896551726</v>
      </c>
      <c r="H8" s="42">
        <v>1568000</v>
      </c>
      <c r="J8" s="43"/>
    </row>
    <row r="9" spans="1:10" x14ac:dyDescent="0.3">
      <c r="A9" s="35"/>
      <c r="B9" s="38" t="s">
        <v>200</v>
      </c>
      <c r="C9" s="39" t="s">
        <v>204</v>
      </c>
      <c r="D9" s="40" t="s">
        <v>181</v>
      </c>
      <c r="E9" s="40">
        <v>0</v>
      </c>
      <c r="F9" s="41">
        <v>630</v>
      </c>
      <c r="G9" s="41">
        <f t="shared" si="1"/>
        <v>3174.6031746031745</v>
      </c>
      <c r="H9" s="42">
        <v>2000000</v>
      </c>
      <c r="J9" s="43"/>
    </row>
    <row r="10" spans="1:10" ht="15" customHeight="1" x14ac:dyDescent="0.3">
      <c r="A10" s="35"/>
      <c r="B10" s="38" t="s">
        <v>200</v>
      </c>
      <c r="C10" s="39" t="s">
        <v>204</v>
      </c>
      <c r="D10" s="40" t="s">
        <v>181</v>
      </c>
      <c r="E10" s="40">
        <v>0</v>
      </c>
      <c r="F10" s="41">
        <v>635</v>
      </c>
      <c r="G10" s="41">
        <f t="shared" si="1"/>
        <v>3464.5669291338581</v>
      </c>
      <c r="H10" s="42">
        <v>2200000</v>
      </c>
      <c r="J10" s="43"/>
    </row>
    <row r="11" spans="1:10" ht="15" customHeight="1" x14ac:dyDescent="0.3">
      <c r="A11" s="35"/>
      <c r="B11" s="44" t="s">
        <v>201</v>
      </c>
      <c r="C11" s="39"/>
      <c r="D11" s="40"/>
      <c r="E11" s="40">
        <v>0</v>
      </c>
      <c r="F11" s="41">
        <f t="shared" si="0"/>
        <v>0</v>
      </c>
      <c r="G11" s="45">
        <f>AVERAGE(G5:G10)</f>
        <v>2819.6509236988709</v>
      </c>
      <c r="H11" s="40"/>
      <c r="J11" s="43"/>
    </row>
    <row r="12" spans="1:10" ht="15" customHeight="1" x14ac:dyDescent="0.3">
      <c r="B12" s="44" t="s">
        <v>202</v>
      </c>
      <c r="C12" s="40"/>
      <c r="D12" s="40"/>
      <c r="E12" s="40"/>
      <c r="F12" s="46"/>
      <c r="G12" s="44">
        <v>2800</v>
      </c>
      <c r="H12" s="44"/>
      <c r="I12" s="47"/>
      <c r="J12" s="43"/>
    </row>
    <row r="13" spans="1:10" ht="15" customHeight="1" x14ac:dyDescent="0.3">
      <c r="G13" s="48"/>
    </row>
    <row r="14" spans="1:10" x14ac:dyDescent="0.3">
      <c r="E14" s="48"/>
      <c r="G14" s="48"/>
    </row>
    <row r="15" spans="1:10" x14ac:dyDescent="0.3">
      <c r="E15" s="48"/>
      <c r="G15" s="48"/>
    </row>
    <row r="16" spans="1:10" x14ac:dyDescent="0.3">
      <c r="E16" s="48"/>
      <c r="G16" s="48"/>
    </row>
    <row r="17" spans="2:7" x14ac:dyDescent="0.3">
      <c r="E17" s="48"/>
      <c r="G17" s="48"/>
    </row>
    <row r="18" spans="2:7" x14ac:dyDescent="0.3">
      <c r="E18" s="48"/>
      <c r="G18" s="48"/>
    </row>
    <row r="19" spans="2:7" x14ac:dyDescent="0.3">
      <c r="E19" s="48"/>
      <c r="G19" s="48"/>
    </row>
    <row r="20" spans="2:7" x14ac:dyDescent="0.3">
      <c r="G20" s="48"/>
    </row>
    <row r="21" spans="2:7" x14ac:dyDescent="0.3">
      <c r="G21" s="48"/>
    </row>
    <row r="22" spans="2:7" x14ac:dyDescent="0.3">
      <c r="B22" s="49"/>
      <c r="G22" s="4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64"/>
  <sheetViews>
    <sheetView topLeftCell="A46" workbookViewId="0">
      <selection activeCell="P56" sqref="P56"/>
    </sheetView>
  </sheetViews>
  <sheetFormatPr defaultRowHeight="14.4" x14ac:dyDescent="0.3"/>
  <cols>
    <col min="1" max="1" width="11.109375" bestFit="1" customWidth="1"/>
  </cols>
  <sheetData>
    <row r="2" spans="1:2" x14ac:dyDescent="0.3">
      <c r="A2" t="s">
        <v>186</v>
      </c>
      <c r="B2" t="s">
        <v>187</v>
      </c>
    </row>
    <row r="41" spans="1:2" x14ac:dyDescent="0.3">
      <c r="A41" t="s">
        <v>205</v>
      </c>
      <c r="B41" t="s">
        <v>187</v>
      </c>
    </row>
    <row r="53" spans="8:9" x14ac:dyDescent="0.3">
      <c r="H53">
        <v>101</v>
      </c>
      <c r="I53">
        <v>701</v>
      </c>
    </row>
    <row r="54" spans="8:9" x14ac:dyDescent="0.3">
      <c r="H54">
        <v>102</v>
      </c>
      <c r="I54">
        <v>702</v>
      </c>
    </row>
    <row r="55" spans="8:9" x14ac:dyDescent="0.3">
      <c r="H55">
        <v>103</v>
      </c>
      <c r="I55">
        <v>703</v>
      </c>
    </row>
    <row r="56" spans="8:9" x14ac:dyDescent="0.3">
      <c r="H56">
        <v>104</v>
      </c>
      <c r="I56">
        <v>704</v>
      </c>
    </row>
    <row r="57" spans="8:9" x14ac:dyDescent="0.3">
      <c r="H57">
        <v>105</v>
      </c>
      <c r="I57">
        <v>705</v>
      </c>
    </row>
    <row r="58" spans="8:9" x14ac:dyDescent="0.3">
      <c r="H58">
        <v>106</v>
      </c>
      <c r="I58">
        <v>706</v>
      </c>
    </row>
    <row r="59" spans="8:9" x14ac:dyDescent="0.3">
      <c r="H59">
        <v>107</v>
      </c>
      <c r="I59">
        <v>707</v>
      </c>
    </row>
    <row r="60" spans="8:9" x14ac:dyDescent="0.3">
      <c r="H60">
        <v>108</v>
      </c>
      <c r="I60">
        <v>708</v>
      </c>
    </row>
    <row r="61" spans="8:9" x14ac:dyDescent="0.3">
      <c r="H61">
        <v>109</v>
      </c>
      <c r="I61">
        <v>709</v>
      </c>
    </row>
    <row r="62" spans="8:9" x14ac:dyDescent="0.3">
      <c r="H62">
        <v>110</v>
      </c>
      <c r="I62">
        <v>710</v>
      </c>
    </row>
    <row r="63" spans="8:9" x14ac:dyDescent="0.3">
      <c r="H63">
        <v>111</v>
      </c>
      <c r="I63">
        <v>711</v>
      </c>
    </row>
    <row r="64" spans="8:9" x14ac:dyDescent="0.3">
      <c r="H64">
        <v>112</v>
      </c>
      <c r="I64">
        <v>712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38"/>
  <sheetViews>
    <sheetView topLeftCell="A19" workbookViewId="0">
      <selection activeCell="E38" sqref="E38"/>
    </sheetView>
  </sheetViews>
  <sheetFormatPr defaultRowHeight="14.4" x14ac:dyDescent="0.3"/>
  <cols>
    <col min="2" max="2" width="12.33203125" customWidth="1"/>
  </cols>
  <sheetData>
    <row r="2" spans="1:12" x14ac:dyDescent="0.3">
      <c r="B2" s="3" t="s">
        <v>79</v>
      </c>
      <c r="C2" s="231"/>
      <c r="D2" s="231"/>
    </row>
    <row r="3" spans="1:12" x14ac:dyDescent="0.3">
      <c r="D3" s="4"/>
      <c r="E3" s="4"/>
      <c r="F3" s="4"/>
      <c r="G3" s="4"/>
      <c r="H3" s="4"/>
      <c r="I3" s="4"/>
    </row>
    <row r="4" spans="1:12" x14ac:dyDescent="0.3">
      <c r="A4" s="3" t="s">
        <v>80</v>
      </c>
      <c r="B4" s="5" t="s">
        <v>81</v>
      </c>
      <c r="C4" s="232" t="s">
        <v>82</v>
      </c>
      <c r="D4" s="232"/>
      <c r="E4" s="232"/>
      <c r="F4" s="6"/>
      <c r="G4" s="232" t="s">
        <v>83</v>
      </c>
      <c r="H4" s="232"/>
      <c r="I4" s="232"/>
      <c r="J4" s="232" t="s">
        <v>84</v>
      </c>
      <c r="K4" s="232"/>
      <c r="L4" s="232"/>
    </row>
    <row r="5" spans="1:12" x14ac:dyDescent="0.3">
      <c r="A5" s="3">
        <v>202</v>
      </c>
      <c r="B5" s="5"/>
      <c r="C5" s="5" t="s">
        <v>85</v>
      </c>
      <c r="D5" s="5" t="s">
        <v>86</v>
      </c>
      <c r="E5" s="5" t="s">
        <v>61</v>
      </c>
      <c r="F5" s="5"/>
      <c r="G5" s="5" t="s">
        <v>85</v>
      </c>
      <c r="H5" s="5" t="s">
        <v>86</v>
      </c>
      <c r="I5" s="5" t="s">
        <v>61</v>
      </c>
      <c r="J5" s="5" t="s">
        <v>85</v>
      </c>
      <c r="K5" s="5" t="s">
        <v>86</v>
      </c>
      <c r="L5" s="5" t="s">
        <v>61</v>
      </c>
    </row>
    <row r="6" spans="1:12" x14ac:dyDescent="0.3">
      <c r="B6" s="7" t="s">
        <v>87</v>
      </c>
      <c r="C6" s="7">
        <v>4.1100000000000003</v>
      </c>
      <c r="D6" s="7">
        <v>2.74</v>
      </c>
      <c r="E6" s="7">
        <f>C6*D6</f>
        <v>11.261400000000002</v>
      </c>
      <c r="F6" s="7" t="s">
        <v>88</v>
      </c>
      <c r="G6" s="7"/>
      <c r="H6" s="7"/>
      <c r="I6" s="7">
        <f>G6*H6</f>
        <v>0</v>
      </c>
      <c r="J6" s="7"/>
      <c r="K6" s="7"/>
      <c r="L6" s="7">
        <f>J6*K6</f>
        <v>0</v>
      </c>
    </row>
    <row r="7" spans="1:12" x14ac:dyDescent="0.3">
      <c r="B7" s="7"/>
      <c r="C7" s="7"/>
      <c r="D7" s="7"/>
      <c r="E7" s="7">
        <f t="shared" ref="E7:E33" si="0">C7*D7</f>
        <v>0</v>
      </c>
      <c r="F7" s="7" t="s">
        <v>89</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90</v>
      </c>
      <c r="C9" s="7">
        <v>1.95</v>
      </c>
      <c r="D9" s="7">
        <v>2.25</v>
      </c>
      <c r="E9" s="7">
        <f t="shared" si="0"/>
        <v>4.3875000000000002</v>
      </c>
      <c r="F9" s="7" t="s">
        <v>88</v>
      </c>
      <c r="G9" s="7"/>
      <c r="H9" s="7"/>
      <c r="I9" s="7">
        <f t="shared" si="1"/>
        <v>0</v>
      </c>
      <c r="J9" s="7"/>
      <c r="K9" s="7"/>
      <c r="L9" s="7">
        <f t="shared" si="2"/>
        <v>0</v>
      </c>
    </row>
    <row r="10" spans="1:12" x14ac:dyDescent="0.3">
      <c r="B10" s="7"/>
      <c r="C10" s="7"/>
      <c r="D10" s="7"/>
      <c r="E10" s="7">
        <f t="shared" si="0"/>
        <v>0</v>
      </c>
      <c r="F10" s="7" t="s">
        <v>89</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91</v>
      </c>
      <c r="C13" s="7">
        <v>1.5</v>
      </c>
      <c r="D13" s="7">
        <v>2.4</v>
      </c>
      <c r="E13" s="7">
        <f t="shared" si="0"/>
        <v>3.5999999999999996</v>
      </c>
      <c r="F13" s="7" t="s">
        <v>184</v>
      </c>
      <c r="G13" s="7">
        <v>1.45</v>
      </c>
      <c r="H13" s="7">
        <v>2.4</v>
      </c>
      <c r="I13" s="7">
        <f t="shared" si="1"/>
        <v>3.48</v>
      </c>
      <c r="J13" s="7"/>
      <c r="K13" s="7"/>
      <c r="L13" s="7">
        <f t="shared" si="2"/>
        <v>0</v>
      </c>
    </row>
    <row r="14" spans="1:12" x14ac:dyDescent="0.3">
      <c r="B14" s="7"/>
      <c r="C14" s="7"/>
      <c r="D14" s="7"/>
      <c r="E14" s="7">
        <f t="shared" si="0"/>
        <v>0</v>
      </c>
      <c r="F14" s="7" t="s">
        <v>89</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92</v>
      </c>
      <c r="C17" s="7"/>
      <c r="D17" s="7"/>
      <c r="E17" s="7">
        <f t="shared" si="0"/>
        <v>0</v>
      </c>
      <c r="F17" s="7" t="s">
        <v>88</v>
      </c>
      <c r="G17" s="7"/>
      <c r="H17" s="7"/>
      <c r="I17" s="7">
        <f t="shared" si="1"/>
        <v>0</v>
      </c>
      <c r="J17" s="7"/>
      <c r="K17" s="7"/>
      <c r="L17" s="7">
        <f t="shared" si="2"/>
        <v>0</v>
      </c>
    </row>
    <row r="18" spans="2:12" x14ac:dyDescent="0.3">
      <c r="B18" s="7"/>
      <c r="C18" s="7"/>
      <c r="D18" s="7"/>
      <c r="E18" s="7">
        <f t="shared" si="0"/>
        <v>0</v>
      </c>
      <c r="F18" s="7" t="s">
        <v>89</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92</v>
      </c>
      <c r="C20" s="7"/>
      <c r="D20" s="7"/>
      <c r="E20" s="7">
        <f t="shared" si="0"/>
        <v>0</v>
      </c>
      <c r="F20" s="7" t="s">
        <v>88</v>
      </c>
      <c r="G20" s="7"/>
      <c r="H20" s="7"/>
      <c r="I20" s="7">
        <f t="shared" si="1"/>
        <v>0</v>
      </c>
      <c r="J20" s="7"/>
      <c r="K20" s="7"/>
      <c r="L20" s="7">
        <f t="shared" si="2"/>
        <v>0</v>
      </c>
    </row>
    <row r="21" spans="2:12" x14ac:dyDescent="0.3">
      <c r="B21" s="7"/>
      <c r="C21" s="7"/>
      <c r="D21" s="7"/>
      <c r="E21" s="7">
        <f t="shared" si="0"/>
        <v>0</v>
      </c>
      <c r="F21" s="7" t="s">
        <v>89</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93</v>
      </c>
      <c r="C23" s="7">
        <v>1.65</v>
      </c>
      <c r="D23" s="7">
        <v>1.2</v>
      </c>
      <c r="E23" s="7">
        <f t="shared" si="0"/>
        <v>1.9799999999999998</v>
      </c>
      <c r="F23" s="7" t="s">
        <v>94</v>
      </c>
      <c r="G23" s="7"/>
      <c r="H23" s="7"/>
      <c r="I23" s="7">
        <f t="shared" si="1"/>
        <v>0</v>
      </c>
      <c r="J23" s="7"/>
      <c r="K23" s="7"/>
      <c r="L23" s="7">
        <f t="shared" si="2"/>
        <v>0</v>
      </c>
    </row>
    <row r="24" spans="2:12" x14ac:dyDescent="0.3">
      <c r="B24" s="7" t="s">
        <v>95</v>
      </c>
      <c r="C24" s="7">
        <v>1.2</v>
      </c>
      <c r="D24" s="7">
        <v>0.9</v>
      </c>
      <c r="E24" s="7">
        <f t="shared" si="0"/>
        <v>1.08</v>
      </c>
      <c r="F24" s="7" t="s">
        <v>94</v>
      </c>
      <c r="G24" s="7"/>
      <c r="H24" s="7"/>
      <c r="I24" s="7">
        <f t="shared" si="1"/>
        <v>0</v>
      </c>
      <c r="J24" s="7"/>
      <c r="K24" s="7"/>
      <c r="L24" s="7">
        <f t="shared" si="2"/>
        <v>0</v>
      </c>
    </row>
    <row r="25" spans="2:12" x14ac:dyDescent="0.3">
      <c r="B25" s="7" t="s">
        <v>96</v>
      </c>
      <c r="C25" s="7"/>
      <c r="D25" s="7"/>
      <c r="E25" s="7">
        <f t="shared" si="0"/>
        <v>0</v>
      </c>
      <c r="F25" s="7" t="s">
        <v>94</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97</v>
      </c>
      <c r="C27" s="7">
        <v>1</v>
      </c>
      <c r="D27" s="7">
        <v>2.25</v>
      </c>
      <c r="E27" s="7">
        <f t="shared" si="0"/>
        <v>2.25</v>
      </c>
      <c r="F27" s="7"/>
      <c r="G27" s="7"/>
      <c r="H27" s="7"/>
      <c r="I27" s="7">
        <f t="shared" si="1"/>
        <v>0</v>
      </c>
      <c r="J27" s="7"/>
      <c r="K27" s="7"/>
      <c r="L27" s="7">
        <f t="shared" si="2"/>
        <v>0</v>
      </c>
    </row>
    <row r="28" spans="2:12" x14ac:dyDescent="0.3">
      <c r="B28" s="7" t="s">
        <v>98</v>
      </c>
      <c r="C28" s="7">
        <v>0.2</v>
      </c>
      <c r="D28" s="7">
        <v>1.2</v>
      </c>
      <c r="E28" s="7">
        <f t="shared" si="0"/>
        <v>0.24</v>
      </c>
      <c r="F28" s="7"/>
      <c r="G28" s="7"/>
      <c r="H28" s="7"/>
      <c r="I28" s="7">
        <f t="shared" si="1"/>
        <v>0</v>
      </c>
      <c r="J28" s="7"/>
      <c r="K28" s="7"/>
      <c r="L28" s="7">
        <f t="shared" si="2"/>
        <v>0</v>
      </c>
    </row>
    <row r="29" spans="2:12" x14ac:dyDescent="0.3">
      <c r="B29" s="7" t="s">
        <v>99</v>
      </c>
      <c r="C29" s="7"/>
      <c r="D29" s="7"/>
      <c r="E29" s="7">
        <f t="shared" si="0"/>
        <v>0</v>
      </c>
      <c r="F29" s="7"/>
      <c r="G29" s="7"/>
      <c r="H29" s="7"/>
      <c r="I29" s="7">
        <f t="shared" si="1"/>
        <v>0</v>
      </c>
      <c r="J29" s="7"/>
      <c r="K29" s="7"/>
      <c r="L29" s="7">
        <f t="shared" si="2"/>
        <v>0</v>
      </c>
    </row>
    <row r="30" spans="2:12" x14ac:dyDescent="0.3">
      <c r="B30" s="7" t="s">
        <v>100</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62</v>
      </c>
      <c r="C34" s="7"/>
      <c r="D34" s="7">
        <f>E34*10.764</f>
        <v>266.93535959999997</v>
      </c>
      <c r="E34" s="7">
        <f>SUM(E6:E33)</f>
        <v>24.7989</v>
      </c>
      <c r="F34" s="7"/>
      <c r="G34" s="7"/>
      <c r="H34" s="7">
        <f>I34*10.764</f>
        <v>37.45872</v>
      </c>
      <c r="I34" s="7">
        <f>SUM(I6:I33)</f>
        <v>3.48</v>
      </c>
      <c r="J34" s="7"/>
      <c r="K34" s="7">
        <f>L34*10.764</f>
        <v>0</v>
      </c>
      <c r="L34" s="7">
        <f>SUM(L6:L33)</f>
        <v>0</v>
      </c>
    </row>
    <row r="36" spans="2:12" x14ac:dyDescent="0.3">
      <c r="D36">
        <f>D34+H34</f>
        <v>304.39407959999994</v>
      </c>
      <c r="E36">
        <f>E34+I34</f>
        <v>28.2789</v>
      </c>
    </row>
    <row r="38" spans="2:12" x14ac:dyDescent="0.3">
      <c r="E38">
        <f>26.07+3.48</f>
        <v>29.55</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Note</vt:lpstr>
      <vt:lpstr>Flat detail</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2025-07-09T05:50:41Z</cp:lastPrinted>
  <dcterms:created xsi:type="dcterms:W3CDTF">2019-07-16T09:29:46Z</dcterms:created>
  <dcterms:modified xsi:type="dcterms:W3CDTF">2025-07-09T05:51:58Z</dcterms:modified>
</cp:coreProperties>
</file>