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Dump\Excel\"/>
    </mc:Choice>
  </mc:AlternateContent>
  <xr:revisionPtr revIDLastSave="0" documentId="13_ncr:1_{62BD0C0F-0D04-4000-9255-3ACEE94328D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9" i="1" l="1"/>
  <c r="C72" i="1" l="1"/>
  <c r="C73" i="1" s="1"/>
  <c r="A168" i="1"/>
  <c r="A169" i="1" s="1"/>
  <c r="A170" i="1" s="1"/>
  <c r="A171" i="1" s="1"/>
  <c r="A172" i="1" s="1"/>
  <c r="A161" i="1"/>
  <c r="A162" i="1" s="1"/>
  <c r="A163" i="1" s="1"/>
  <c r="A164" i="1" s="1"/>
  <c r="A165" i="1" s="1"/>
  <c r="D178" i="1"/>
  <c r="D179" i="1"/>
  <c r="C74" i="1" l="1"/>
  <c r="D177" i="1"/>
  <c r="D176" i="1"/>
  <c r="D175" i="1"/>
  <c r="D174" i="1"/>
  <c r="D165" i="1"/>
  <c r="D158" i="1"/>
  <c r="D157" i="1"/>
  <c r="D164" i="1"/>
  <c r="D170" i="1"/>
  <c r="D169" i="1"/>
  <c r="D168" i="1"/>
  <c r="D167" i="1"/>
  <c r="F179" i="1"/>
  <c r="A175" i="1"/>
  <c r="A176" i="1" s="1"/>
  <c r="A177" i="1" s="1"/>
  <c r="A178" i="1" s="1"/>
  <c r="A179" i="1" s="1"/>
  <c r="D163" i="1"/>
  <c r="D162" i="1"/>
  <c r="D161" i="1"/>
  <c r="D160" i="1"/>
  <c r="F157" i="1" l="1"/>
  <c r="J157" i="1" s="1"/>
  <c r="D156" i="1"/>
  <c r="D155" i="1"/>
  <c r="D154" i="1"/>
  <c r="D153" i="1"/>
  <c r="F158" i="1"/>
  <c r="J158" i="1" s="1"/>
  <c r="D149" i="1"/>
  <c r="F149" i="1" s="1"/>
  <c r="D148" i="1"/>
  <c r="F148" i="1" s="1"/>
  <c r="D147" i="1"/>
  <c r="F147" i="1" s="1"/>
  <c r="A147" i="1"/>
  <c r="A148" i="1" s="1"/>
  <c r="A149" i="1" s="1"/>
  <c r="A150" i="1" s="1"/>
  <c r="A151" i="1" s="1"/>
  <c r="G146" i="1"/>
  <c r="D146" i="1"/>
  <c r="F146" i="1" s="1"/>
  <c r="D142" i="1"/>
  <c r="D141" i="1"/>
  <c r="D140" i="1"/>
  <c r="D139" i="1"/>
  <c r="D135" i="1"/>
  <c r="D134" i="1"/>
  <c r="D133" i="1"/>
  <c r="F133" i="1" s="1"/>
  <c r="D132" i="1"/>
  <c r="F132" i="1" s="1"/>
  <c r="D128" i="1"/>
  <c r="D127" i="1"/>
  <c r="D126" i="1"/>
  <c r="D125" i="1"/>
  <c r="F135" i="1"/>
  <c r="F134" i="1"/>
  <c r="A133" i="1"/>
  <c r="A134" i="1" s="1"/>
  <c r="A135" i="1" s="1"/>
  <c r="A136" i="1" s="1"/>
  <c r="A137" i="1" s="1"/>
  <c r="G132" i="1"/>
  <c r="D121" i="1"/>
  <c r="D120" i="1"/>
  <c r="D119" i="1"/>
  <c r="D118" i="1"/>
  <c r="C109" i="1" s="1"/>
  <c r="E109" i="1" l="1"/>
  <c r="J141" i="1" l="1"/>
  <c r="I163" i="1" l="1"/>
  <c r="J90" i="1" l="1"/>
  <c r="J89" i="1"/>
  <c r="J88" i="1"/>
  <c r="F170" i="1" l="1"/>
  <c r="F128" i="1"/>
  <c r="F142" i="1"/>
  <c r="F156" i="1"/>
  <c r="J156" i="1" s="1"/>
  <c r="F169" i="1"/>
  <c r="F168" i="1"/>
  <c r="G167" i="1"/>
  <c r="F167" i="1"/>
  <c r="F165" i="1"/>
  <c r="F155" i="1"/>
  <c r="J155" i="1" s="1"/>
  <c r="F154" i="1"/>
  <c r="J154" i="1" s="1"/>
  <c r="A154" i="1"/>
  <c r="A155" i="1" s="1"/>
  <c r="A156" i="1" s="1"/>
  <c r="A157" i="1" s="1"/>
  <c r="A158" i="1" s="1"/>
  <c r="G153" i="1"/>
  <c r="F153" i="1"/>
  <c r="J153" i="1" s="1"/>
  <c r="F140" i="1"/>
  <c r="F139" i="1"/>
  <c r="F127" i="1"/>
  <c r="F126" i="1"/>
  <c r="F125" i="1"/>
  <c r="F141" i="1"/>
  <c r="A140" i="1"/>
  <c r="A141" i="1" s="1"/>
  <c r="A142" i="1" s="1"/>
  <c r="A143" i="1" s="1"/>
  <c r="A144" i="1" s="1"/>
  <c r="G139" i="1"/>
  <c r="G125" i="1"/>
  <c r="G118" i="1"/>
  <c r="A126" i="1"/>
  <c r="A127" i="1" s="1"/>
  <c r="A128" i="1" s="1"/>
  <c r="A129" i="1" s="1"/>
  <c r="A130" i="1" s="1"/>
  <c r="C13" i="1" l="1"/>
  <c r="E28" i="1" l="1"/>
  <c r="F119" i="1" l="1"/>
  <c r="F120" i="1"/>
  <c r="F121" i="1"/>
  <c r="F118" i="1"/>
  <c r="A119" i="1"/>
  <c r="A120" i="1" s="1"/>
  <c r="I118" i="1" l="1"/>
  <c r="A121" i="1"/>
  <c r="A122" i="1" s="1"/>
  <c r="A123" i="1" s="1"/>
  <c r="F106" i="1"/>
  <c r="B188" i="1" l="1"/>
  <c r="A181" i="1"/>
  <c r="F178" i="1" l="1"/>
  <c r="F177" i="1"/>
  <c r="F176" i="1"/>
  <c r="F175" i="1"/>
  <c r="F174" i="1"/>
  <c r="F185" i="1"/>
  <c r="F184" i="1"/>
  <c r="F183" i="1"/>
  <c r="F182" i="1"/>
  <c r="F181" i="1"/>
  <c r="F164" i="1"/>
  <c r="F163" i="1"/>
  <c r="F162" i="1"/>
  <c r="F161" i="1"/>
  <c r="J161" i="1" s="1"/>
  <c r="F160" i="1"/>
  <c r="G109" i="1" s="1"/>
  <c r="A182" i="1"/>
  <c r="I174" i="1" l="1"/>
  <c r="J174" i="1" s="1"/>
  <c r="K174" i="1" s="1"/>
  <c r="L174" i="1" s="1"/>
  <c r="J163" i="1"/>
  <c r="K163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0" i="1"/>
  <c r="G174" i="1"/>
  <c r="G181" i="1"/>
  <c r="G182" i="1" s="1"/>
  <c r="G183" i="1" s="1"/>
  <c r="G184" i="1" s="1"/>
  <c r="G185" i="1" s="1"/>
  <c r="G160" i="1"/>
  <c r="J76" i="1"/>
  <c r="J75" i="1"/>
  <c r="J74" i="1"/>
  <c r="C65" i="1"/>
  <c r="C79" i="1" s="1"/>
  <c r="C49" i="1"/>
  <c r="E41" i="1"/>
  <c r="E42" i="1" s="1"/>
  <c r="E25" i="1"/>
  <c r="E23" i="1"/>
  <c r="E7" i="1"/>
  <c r="E3" i="1"/>
  <c r="A183" i="1"/>
  <c r="D59" i="1" l="1"/>
  <c r="H66" i="1"/>
  <c r="A184" i="1"/>
  <c r="D73" i="1" l="1"/>
  <c r="D78" i="1"/>
  <c r="J69" i="1"/>
  <c r="D76" i="1"/>
  <c r="J70" i="1"/>
  <c r="D75" i="1"/>
  <c r="J71" i="1"/>
  <c r="J72" i="1" s="1"/>
  <c r="J77" i="1" s="1"/>
  <c r="J68" i="1"/>
  <c r="D74" i="1"/>
  <c r="D72" i="1"/>
  <c r="J65" i="1"/>
  <c r="J67" i="1" s="1"/>
  <c r="D77" i="1"/>
  <c r="J73" i="1"/>
  <c r="D71" i="1"/>
  <c r="D69" i="1"/>
  <c r="A185" i="1"/>
  <c r="J78" i="1" l="1"/>
  <c r="J66" i="1" s="1"/>
  <c r="G69" i="1"/>
  <c r="E69" i="1"/>
  <c r="H80" i="1"/>
  <c r="D63" i="1" l="1"/>
  <c r="D64" i="1" s="1"/>
  <c r="D70" i="1"/>
  <c r="I66" i="1" s="1"/>
  <c r="I67" i="1" s="1"/>
  <c r="I65" i="1" s="1"/>
  <c r="C67" i="1" s="1"/>
  <c r="J85" i="1"/>
  <c r="J86" i="1" s="1"/>
  <c r="C84" i="1" s="1"/>
  <c r="E83" i="1" s="1"/>
  <c r="C93" i="1" s="1"/>
  <c r="J84" i="1"/>
  <c r="J83" i="1"/>
  <c r="J82" i="1"/>
  <c r="D92" i="1"/>
  <c r="D91" i="1"/>
  <c r="D90" i="1"/>
  <c r="D89" i="1"/>
  <c r="D88" i="1"/>
  <c r="D87" i="1"/>
  <c r="D86" i="1"/>
  <c r="D85" i="1"/>
  <c r="D83" i="1"/>
  <c r="J79" i="1"/>
  <c r="J81" i="1" s="1"/>
  <c r="J91" i="1" l="1"/>
  <c r="D84" i="1"/>
  <c r="I80" i="1" s="1"/>
  <c r="I81" i="1" s="1"/>
  <c r="J80" i="1"/>
  <c r="G83" i="1"/>
  <c r="G93" i="1" s="1"/>
  <c r="F64" i="1"/>
  <c r="J87" i="1"/>
  <c r="J92" i="1" l="1"/>
  <c r="I79" i="1"/>
  <c r="C81" i="1" s="1"/>
</calcChain>
</file>

<file path=xl/sharedStrings.xml><?xml version="1.0" encoding="utf-8"?>
<sst xmlns="http://schemas.openxmlformats.org/spreadsheetml/2006/main" count="302" uniqueCount="230">
  <si>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</si>
  <si>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</si>
  <si>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</si>
  <si>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</si>
  <si>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</si>
  <si>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</si>
  <si>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</si>
  <si>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</si>
  <si>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</si>
  <si>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</si>
  <si>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</si>
  <si>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</si>
  <si>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</si>
  <si>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</si>
  <si>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</si>
  <si>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</si>
  <si>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</si>
  <si>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</si>
  <si>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</si>
  <si>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</si>
  <si>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</si>
  <si>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</si>
  <si>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</si>
  <si>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</si>
  <si>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</si>
  <si>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</si>
  <si>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</si>
  <si>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</si>
  <si>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</si>
  <si>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</si>
  <si>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</si>
  <si>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</si>
  <si>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</si>
  <si>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</si>
  <si>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</si>
  <si>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</si>
  <si>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</si>
  <si>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</si>
  <si>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</si>
  <si>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</si>
  <si>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</si>
  <si>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</si>
  <si>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</si>
  <si>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</si>
  <si>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</si>
  <si>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</si>
  <si>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</si>
  <si>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</si>
  <si>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</si>
  <si>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</si>
  <si>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</si>
  <si>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</si>
  <si>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</si>
  <si>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</si>
  <si>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</si>
  <si>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</si>
  <si>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</si>
  <si>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</si>
  <si>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</si>
  <si>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</si>
  <si>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</si>
  <si>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</si>
  <si>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</si>
  <si>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</si>
  <si>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</si>
  <si>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</si>
  <si>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</si>
  <si>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</si>
  <si>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</si>
  <si>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</si>
  <si>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</si>
  <si>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</si>
  <si>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</si>
  <si>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</si>
  <si>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</si>
  <si>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</si>
  <si>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</si>
  <si>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</si>
  <si>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</si>
  <si>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</si>
  <si>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</si>
  <si>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</si>
  <si>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</si>
  <si>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</si>
  <si>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</si>
  <si>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</si>
  <si>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</si>
  <si>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</si>
  <si>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</si>
  <si>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</si>
  <si>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</si>
  <si>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</si>
  <si>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</si>
  <si>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</si>
  <si>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</si>
  <si>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</si>
  <si>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</si>
  <si>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</si>
  <si>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</si>
  <si>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</si>
  <si>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</si>
  <si>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</si>
  <si>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</si>
  <si>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</si>
  <si>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</si>
  <si>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</si>
  <si>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</si>
  <si>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</si>
  <si>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</si>
  <si>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</si>
  <si>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</si>
  <si>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</si>
  <si>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</si>
  <si>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</si>
  <si>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</si>
  <si>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</si>
  <si>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</si>
  <si>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</si>
  <si>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</si>
  <si>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</si>
  <si>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</si>
  <si>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</si>
  <si>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</si>
  <si>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</si>
  <si>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</si>
  <si>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</si>
  <si>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</si>
  <si>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</si>
  <si>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</si>
  <si>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</si>
  <si>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</si>
  <si>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</si>
  <si>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</si>
  <si>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</si>
  <si>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</si>
  <si>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</si>
  <si>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</si>
  <si>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</si>
  <si>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Piling Work in process</t>
  </si>
  <si>
    <t>Basement</t>
  </si>
  <si>
    <t>Basement 2</t>
  </si>
  <si>
    <t>Basement 3</t>
  </si>
  <si>
    <t>Basement 4</t>
  </si>
  <si>
    <t>2nd to 5th Floor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</si>
  <si>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</si>
  <si>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</si>
  <si>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</si>
  <si>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</si>
  <si>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</si>
  <si>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</si>
  <si>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</si>
  <si>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</si>
  <si>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</si>
  <si>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</si>
  <si>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</si>
  <si>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</si>
  <si>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</si>
  <si>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</si>
  <si>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</si>
  <si>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</si>
  <si>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</si>
  <si>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Village</t>
  </si>
  <si>
    <t xml:space="preserve">O. Certificate No.: 
Approved upto : </t>
  </si>
  <si>
    <t>Axis Goregaon</t>
  </si>
  <si>
    <t>Transcon Triumph Tower 4</t>
  </si>
  <si>
    <t>M/s.Transcon Triumph Phase 2 Private Limited</t>
  </si>
  <si>
    <t>P51800034924</t>
  </si>
  <si>
    <t>Tower No.4</t>
  </si>
  <si>
    <t>Slum Rehabilitation Authority</t>
  </si>
  <si>
    <t>SRA/DDTP/633/KW/PL/AP</t>
  </si>
  <si>
    <t>Oberoi Springs</t>
  </si>
  <si>
    <t>Tower 3</t>
  </si>
  <si>
    <t>Tower 1</t>
  </si>
  <si>
    <t>Satyadev Plaza</t>
  </si>
  <si>
    <t>Kadam Heights</t>
  </si>
  <si>
    <t>Mumbai</t>
  </si>
  <si>
    <t>Veera Desai Industrial Estate</t>
  </si>
  <si>
    <t>Andheri</t>
  </si>
  <si>
    <t>Veera Desai Road</t>
  </si>
  <si>
    <t>Oshiwara</t>
  </si>
  <si>
    <t>Jogeshwari West</t>
  </si>
  <si>
    <t>CTS No</t>
  </si>
  <si>
    <t>695, 702, 704, 704/1 to 79, 705(pt), 705/2, 720/A/5, 720/84 to 160, 725, 725/7 to 70, 728, 729, 730, 731, 731/1, 732(pt), 732/1(pt) to 15(pt), 737/8/1 &amp; 737/8/2(pt)</t>
  </si>
  <si>
    <t>Approved Plans, CC</t>
  </si>
  <si>
    <t>Tower 4</t>
  </si>
  <si>
    <t>Flats</t>
  </si>
  <si>
    <t>As per RERA - 31/03/2027</t>
  </si>
  <si>
    <t>Infra &amp; Development Charges</t>
  </si>
  <si>
    <t>Water, Electricity, Gas Charges</t>
  </si>
  <si>
    <t>Construction details:
Part II</t>
  </si>
  <si>
    <t xml:space="preserve">Construction work is in process at the time of Visit. 
</t>
  </si>
  <si>
    <t>20000 to 25000</t>
  </si>
  <si>
    <t>Gaurav</t>
  </si>
  <si>
    <t>Cost sheet</t>
  </si>
  <si>
    <t xml:space="preserve">1. Vitrified tiles flooring 2. Granite Kitchen Platform 3.Decorative Enternace etc.
</t>
  </si>
  <si>
    <t>Latitude &amp; Longitude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</si>
  <si>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</si>
  <si>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Construction details:</t>
  </si>
  <si>
    <t>Approved area of building (Sq.Mt)
For Tower 4</t>
  </si>
  <si>
    <r>
      <rPr>
        <b/>
        <sz val="12"/>
        <rFont val="Times New Roman"/>
        <family val="1"/>
      </rPr>
      <t>Tower No.4</t>
    </r>
    <r>
      <rPr>
        <sz val="12"/>
        <rFont val="Times New Roman"/>
        <family val="1"/>
      </rPr>
      <t xml:space="preserve"> =  LG Floor + UG Floor (1st Floor) + 2nd to 5th Podium + 6th (eco-Bal) + 7th to 38th Floor</t>
    </r>
  </si>
  <si>
    <r>
      <rPr>
        <b/>
        <sz val="12"/>
        <rFont val="Times New Roman"/>
        <family val="1"/>
      </rPr>
      <t>Tower No.4</t>
    </r>
    <r>
      <rPr>
        <sz val="12"/>
        <rFont val="Times New Roman"/>
        <family val="1"/>
      </rPr>
      <t xml:space="preserve"> = LG Floor + P1 to P5 + P6 (Eco-Deck Floor) + 7th to 35th Floor</t>
    </r>
  </si>
  <si>
    <t xml:space="preserve"> (Lower Ground) Floor for Stack Parking</t>
  </si>
  <si>
    <t>1st Podium Floor for Parking</t>
  </si>
  <si>
    <t>The plinth CC (Inculding Service Basement) is granted for Tower no.4 is Sale Building as per approved amended plan dated 31/03/2022.</t>
  </si>
  <si>
    <t>2nd Podium Floor floor for Residential</t>
  </si>
  <si>
    <t>Entrance Lobby (Triple Height)</t>
  </si>
  <si>
    <t>3rd Podium Floor for Residential &amp; Badminton Court</t>
  </si>
  <si>
    <t>4th Podium Floor</t>
  </si>
  <si>
    <t>Badminton Court</t>
  </si>
  <si>
    <t>Badminton Court Below</t>
  </si>
  <si>
    <t>5th Podium Floor for Residential &amp; Health Spa</t>
  </si>
  <si>
    <t>Entrance Lobby &amp; Health Spa</t>
  </si>
  <si>
    <t>6th Podium (Eco-Deck) Floor for Residential &amp; Café</t>
  </si>
  <si>
    <t>Entrance Lobby &amp; Café</t>
  </si>
  <si>
    <t>7th Floor for Residential</t>
  </si>
  <si>
    <t>9th to 14th, 16th to 21st, 23rd to 28th Floor</t>
  </si>
  <si>
    <t>8th, 15th, 22nd &amp; 29th Floor</t>
  </si>
  <si>
    <t>Refuge Area</t>
  </si>
  <si>
    <t>30th to 35th Floor</t>
  </si>
  <si>
    <t>We considered Gross carpet area = Net carpet + Deck Area.</t>
  </si>
  <si>
    <t>Tushar Bhuwad</t>
  </si>
  <si>
    <t>We have updated latest approved floor plans (On 21/04/2025).</t>
  </si>
  <si>
    <t>https://maps.app.goo.gl/GZ4BFfnJrtVPenV38</t>
  </si>
  <si>
    <t>19.1379335,72.8348443</t>
  </si>
  <si>
    <t>2.3KM from Jogeshwari Railway Station</t>
  </si>
  <si>
    <t>Provided layout plan is not legible. Please provide legible approved layout plan &amp; Revised approved CC (dtd. 18/06/2024).</t>
  </si>
  <si>
    <t>Flats = 186</t>
  </si>
  <si>
    <t>Recommended Rates/Other Charges of the Property have been revised on 28/04/2025.</t>
  </si>
  <si>
    <t>25000 to 26400 &amp; Parking 12L by aakash mote on 28/04/2025 LTV 66.75 Case 3401 &amp; 3402 jodi flat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</si>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</sst>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24" fillId="2" borderId="14" xfId="0" applyFont="1" applyFill="1" applyBorder="1"/>
    <xf numFmtId="0" fontId="25" fillId="0" borderId="8" xfId="0" applyFont="1" applyBorder="1"/>
    <xf numFmtId="0" fontId="6" fillId="4" borderId="1" xfId="1" applyFont="1" applyFill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8" fontId="6" fillId="0" borderId="16" xfId="1" applyNumberFormat="1" applyFont="1" applyBorder="1" applyAlignment="1" applyProtection="1">
      <alignment horizontal="center" vertical="center" wrapText="1"/>
      <protection locked="0"/>
    </xf>
    <xf numFmtId="168" fontId="6" fillId="0" borderId="23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31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4" borderId="7" xfId="1" applyNumberFormat="1" applyFont="1" applyFill="1" applyBorder="1" applyAlignment="1" applyProtection="1">
      <alignment horizontal="left" vertical="top" wrapText="1"/>
      <protection locked="0"/>
    </xf>
    <xf numFmtId="0" fontId="6" fillId="4" borderId="8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4" borderId="7" xfId="1" applyFont="1" applyFill="1" applyBorder="1" applyAlignment="1" applyProtection="1">
      <alignment horizontal="left" vertical="top" wrapText="1"/>
      <protection locked="0"/>
    </xf>
    <xf numFmtId="0" fontId="6" fillId="4" borderId="20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9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7" xfId="1" applyFont="1" applyBorder="1" applyAlignment="1" applyProtection="1">
      <alignment horizontal="center" vertical="top" wrapText="1"/>
      <protection locked="0"/>
    </xf>
    <xf numFmtId="0" fontId="14" fillId="0" borderId="8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9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7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557673</xdr:colOff>
      <xdr:row>210</xdr:row>
      <xdr:rowOff>19661</xdr:rowOff>
    </xdr:from>
    <xdr:to>
      <xdr:col>11</xdr:col>
      <xdr:colOff>332004</xdr:colOff>
      <xdr:row>211</xdr:row>
      <xdr:rowOff>187288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018114" y="39307485"/>
          <a:ext cx="68200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Part 1</a:t>
          </a:r>
        </a:p>
      </xdr:txBody>
    </xdr:sp>
    <xdr:clientData/>
  </xdr:twoCellAnchor>
  <xdr:twoCellAnchor>
    <xdr:from>
      <xdr:col>9</xdr:col>
      <xdr:colOff>212311</xdr:colOff>
      <xdr:row>215</xdr:row>
      <xdr:rowOff>71824</xdr:rowOff>
    </xdr:from>
    <xdr:to>
      <xdr:col>10</xdr:col>
      <xdr:colOff>132320</xdr:colOff>
      <xdr:row>217</xdr:row>
      <xdr:rowOff>37744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910752" y="40356971"/>
          <a:ext cx="68200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Part 2</a:t>
          </a:r>
        </a:p>
      </xdr:txBody>
    </xdr:sp>
    <xdr:clientData/>
  </xdr:twoCellAnchor>
  <xdr:twoCellAnchor>
    <xdr:from>
      <xdr:col>10</xdr:col>
      <xdr:colOff>132321</xdr:colOff>
      <xdr:row>211</xdr:row>
      <xdr:rowOff>37127</xdr:rowOff>
    </xdr:from>
    <xdr:to>
      <xdr:col>10</xdr:col>
      <xdr:colOff>557674</xdr:colOff>
      <xdr:row>213</xdr:row>
      <xdr:rowOff>14253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8592762" y="39526656"/>
          <a:ext cx="425353" cy="36933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121920</xdr:colOff>
      <xdr:row>205</xdr:row>
      <xdr:rowOff>68580</xdr:rowOff>
    </xdr:from>
    <xdr:ext cx="863570" cy="342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768840" y="34381440"/>
          <a:ext cx="86357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Tower 4</a:t>
          </a:r>
        </a:p>
      </xdr:txBody>
    </xdr:sp>
    <xdr:clientData/>
  </xdr:oneCellAnchor>
  <xdr:twoCellAnchor editAs="oneCell">
    <xdr:from>
      <xdr:col>8</xdr:col>
      <xdr:colOff>101600</xdr:colOff>
      <xdr:row>50</xdr:row>
      <xdr:rowOff>76200</xdr:rowOff>
    </xdr:from>
    <xdr:to>
      <xdr:col>14</xdr:col>
      <xdr:colOff>8850</xdr:colOff>
      <xdr:row>56</xdr:row>
      <xdr:rowOff>298114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12045950"/>
          <a:ext cx="5400000" cy="16411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247650</xdr:colOff>
      <xdr:row>45</xdr:row>
      <xdr:rowOff>82550</xdr:rowOff>
    </xdr:from>
    <xdr:to>
      <xdr:col>12</xdr:col>
      <xdr:colOff>56700</xdr:colOff>
      <xdr:row>49</xdr:row>
      <xdr:rowOff>394826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8350" y="10610850"/>
          <a:ext cx="3600000" cy="13282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750570</xdr:colOff>
      <xdr:row>209</xdr:row>
      <xdr:rowOff>185420</xdr:rowOff>
    </xdr:from>
    <xdr:to>
      <xdr:col>16</xdr:col>
      <xdr:colOff>179038</xdr:colOff>
      <xdr:row>248</xdr:row>
      <xdr:rowOff>166370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509510" y="40693340"/>
          <a:ext cx="6324568" cy="7700010"/>
          <a:chOff x="209550" y="40678100"/>
          <a:chExt cx="6419818" cy="7651750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0584" y="46331908"/>
            <a:ext cx="1617750" cy="199794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0218" y="406781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3505004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550" y="406781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4884" y="43505004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0218" y="43505004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4884" y="406781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</xdr:col>
      <xdr:colOff>209550</xdr:colOff>
      <xdr:row>271</xdr:row>
      <xdr:rowOff>184238</xdr:rowOff>
    </xdr:from>
    <xdr:to>
      <xdr:col>6</xdr:col>
      <xdr:colOff>514400</xdr:colOff>
      <xdr:row>288</xdr:row>
      <xdr:rowOff>187053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0" y="52762238"/>
          <a:ext cx="4680000" cy="33492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520700</xdr:colOff>
      <xdr:row>251</xdr:row>
      <xdr:rowOff>69850</xdr:rowOff>
    </xdr:from>
    <xdr:to>
      <xdr:col>7</xdr:col>
      <xdr:colOff>279950</xdr:colOff>
      <xdr:row>271</xdr:row>
      <xdr:rowOff>74389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0700" y="48710850"/>
          <a:ext cx="5760000" cy="39415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436421</xdr:colOff>
      <xdr:row>278</xdr:row>
      <xdr:rowOff>65932</xdr:rowOff>
    </xdr:from>
    <xdr:to>
      <xdr:col>4</xdr:col>
      <xdr:colOff>208116</xdr:colOff>
      <xdr:row>282</xdr:row>
      <xdr:rowOff>182429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20654192">
          <a:off x="2970071" y="54021882"/>
          <a:ext cx="762295" cy="90389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>
    <xdr:from>
      <xdr:col>0</xdr:col>
      <xdr:colOff>388620</xdr:colOff>
      <xdr:row>211</xdr:row>
      <xdr:rowOff>15240</xdr:rowOff>
    </xdr:from>
    <xdr:to>
      <xdr:col>7</xdr:col>
      <xdr:colOff>417468</xdr:colOff>
      <xdr:row>247</xdr:row>
      <xdr:rowOff>52984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003E618-F20A-1046-C15C-825842605770}"/>
            </a:ext>
          </a:extLst>
        </xdr:cNvPr>
        <xdr:cNvGrpSpPr/>
      </xdr:nvGrpSpPr>
      <xdr:grpSpPr>
        <a:xfrm>
          <a:off x="388620" y="40919400"/>
          <a:ext cx="5934348" cy="7162444"/>
          <a:chOff x="146729" y="111600"/>
          <a:chExt cx="5934348" cy="7162444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5790920-43B4-1F34-BE49-307E6F193F2C}"/>
              </a:ext>
            </a:extLst>
          </xdr:cNvPr>
          <xdr:cNvGrpSpPr/>
        </xdr:nvGrpSpPr>
        <xdr:grpSpPr>
          <a:xfrm>
            <a:off x="1696297" y="5474044"/>
            <a:ext cx="2835213" cy="1800000"/>
            <a:chOff x="2708167" y="5474044"/>
            <a:chExt cx="2835213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A00A4BF0-BAE9-88E4-F30C-A182DC57A0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08167" y="547404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594BDFD2-121E-572A-B0C2-1AC8FFC104B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95255" y="5474044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59C7839F-066E-C7C7-D5F8-4E98950C58DE}"/>
              </a:ext>
            </a:extLst>
          </xdr:cNvPr>
          <xdr:cNvGrpSpPr/>
        </xdr:nvGrpSpPr>
        <xdr:grpSpPr>
          <a:xfrm>
            <a:off x="146729" y="111600"/>
            <a:ext cx="5934348" cy="5220000"/>
            <a:chOff x="146729" y="111600"/>
            <a:chExt cx="5934348" cy="5220000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22F3FAB5-EB20-B048-99A6-28E4188DB9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93702" y="11160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14CDDF72-8AEE-10E9-6881-6259C76E4EE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729" y="111600"/>
              <a:ext cx="3909563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7B7BDBC5-92DA-180D-4074-FF1F19C55E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93702" y="2811600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GZ4BFfnJrtVPenV3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1"/>
  <sheetViews>
    <sheetView tabSelected="1" view="pageBreakPreview" topLeftCell="A192" zoomScaleNormal="100" zoomScaleSheetLayoutView="100" zoomScalePageLayoutView="85" workbookViewId="0">
      <selection activeCell="I196" sqref="I196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88671875" style="40" customWidth="1"/>
    <col min="4" max="4" width="14.109375" style="40" customWidth="1"/>
    <col min="5" max="7" width="11.886718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3.5546875" style="21" bestFit="1" customWidth="1"/>
    <col min="12" max="12" width="11.88671875" style="21" bestFit="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88671875" style="21" customWidth="1"/>
    <col min="17" max="247" width="9.109375" style="21"/>
    <col min="248" max="248" width="8.88671875" style="21" customWidth="1"/>
    <col min="249" max="249" width="9.88671875" style="21" customWidth="1"/>
    <col min="250" max="250" width="14.44140625" style="21" customWidth="1"/>
    <col min="251" max="251" width="7.10937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88671875" style="21" customWidth="1"/>
    <col min="505" max="505" width="9.88671875" style="21" customWidth="1"/>
    <col min="506" max="506" width="14.44140625" style="21" customWidth="1"/>
    <col min="507" max="507" width="7.10937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88671875" style="21" customWidth="1"/>
    <col min="761" max="761" width="9.88671875" style="21" customWidth="1"/>
    <col min="762" max="762" width="14.44140625" style="21" customWidth="1"/>
    <col min="763" max="763" width="7.10937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88671875" style="21" customWidth="1"/>
    <col min="1017" max="1017" width="9.88671875" style="21" customWidth="1"/>
    <col min="1018" max="1018" width="14.44140625" style="21" customWidth="1"/>
    <col min="1019" max="1019" width="7.10937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88671875" style="21" customWidth="1"/>
    <col min="1273" max="1273" width="9.88671875" style="21" customWidth="1"/>
    <col min="1274" max="1274" width="14.44140625" style="21" customWidth="1"/>
    <col min="1275" max="1275" width="7.10937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88671875" style="21" customWidth="1"/>
    <col min="1529" max="1529" width="9.88671875" style="21" customWidth="1"/>
    <col min="1530" max="1530" width="14.44140625" style="21" customWidth="1"/>
    <col min="1531" max="1531" width="7.10937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88671875" style="21" customWidth="1"/>
    <col min="1785" max="1785" width="9.88671875" style="21" customWidth="1"/>
    <col min="1786" max="1786" width="14.44140625" style="21" customWidth="1"/>
    <col min="1787" max="1787" width="7.10937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88671875" style="21" customWidth="1"/>
    <col min="2041" max="2041" width="9.88671875" style="21" customWidth="1"/>
    <col min="2042" max="2042" width="14.44140625" style="21" customWidth="1"/>
    <col min="2043" max="2043" width="7.10937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88671875" style="21" customWidth="1"/>
    <col min="2297" max="2297" width="9.88671875" style="21" customWidth="1"/>
    <col min="2298" max="2298" width="14.44140625" style="21" customWidth="1"/>
    <col min="2299" max="2299" width="7.10937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88671875" style="21" customWidth="1"/>
    <col min="2553" max="2553" width="9.88671875" style="21" customWidth="1"/>
    <col min="2554" max="2554" width="14.44140625" style="21" customWidth="1"/>
    <col min="2555" max="2555" width="7.10937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88671875" style="21" customWidth="1"/>
    <col min="2809" max="2809" width="9.88671875" style="21" customWidth="1"/>
    <col min="2810" max="2810" width="14.44140625" style="21" customWidth="1"/>
    <col min="2811" max="2811" width="7.10937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88671875" style="21" customWidth="1"/>
    <col min="3065" max="3065" width="9.88671875" style="21" customWidth="1"/>
    <col min="3066" max="3066" width="14.44140625" style="21" customWidth="1"/>
    <col min="3067" max="3067" width="7.10937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88671875" style="21" customWidth="1"/>
    <col min="3321" max="3321" width="9.88671875" style="21" customWidth="1"/>
    <col min="3322" max="3322" width="14.44140625" style="21" customWidth="1"/>
    <col min="3323" max="3323" width="7.10937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88671875" style="21" customWidth="1"/>
    <col min="3577" max="3577" width="9.88671875" style="21" customWidth="1"/>
    <col min="3578" max="3578" width="14.44140625" style="21" customWidth="1"/>
    <col min="3579" max="3579" width="7.10937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88671875" style="21" customWidth="1"/>
    <col min="3833" max="3833" width="9.88671875" style="21" customWidth="1"/>
    <col min="3834" max="3834" width="14.44140625" style="21" customWidth="1"/>
    <col min="3835" max="3835" width="7.10937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88671875" style="21" customWidth="1"/>
    <col min="4089" max="4089" width="9.88671875" style="21" customWidth="1"/>
    <col min="4090" max="4090" width="14.44140625" style="21" customWidth="1"/>
    <col min="4091" max="4091" width="7.10937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88671875" style="21" customWidth="1"/>
    <col min="4345" max="4345" width="9.88671875" style="21" customWidth="1"/>
    <col min="4346" max="4346" width="14.44140625" style="21" customWidth="1"/>
    <col min="4347" max="4347" width="7.10937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88671875" style="21" customWidth="1"/>
    <col min="4601" max="4601" width="9.88671875" style="21" customWidth="1"/>
    <col min="4602" max="4602" width="14.44140625" style="21" customWidth="1"/>
    <col min="4603" max="4603" width="7.10937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88671875" style="21" customWidth="1"/>
    <col min="4857" max="4857" width="9.88671875" style="21" customWidth="1"/>
    <col min="4858" max="4858" width="14.44140625" style="21" customWidth="1"/>
    <col min="4859" max="4859" width="7.10937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88671875" style="21" customWidth="1"/>
    <col min="5113" max="5113" width="9.88671875" style="21" customWidth="1"/>
    <col min="5114" max="5114" width="14.44140625" style="21" customWidth="1"/>
    <col min="5115" max="5115" width="7.10937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88671875" style="21" customWidth="1"/>
    <col min="5369" max="5369" width="9.88671875" style="21" customWidth="1"/>
    <col min="5370" max="5370" width="14.44140625" style="21" customWidth="1"/>
    <col min="5371" max="5371" width="7.10937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88671875" style="21" customWidth="1"/>
    <col min="5625" max="5625" width="9.88671875" style="21" customWidth="1"/>
    <col min="5626" max="5626" width="14.44140625" style="21" customWidth="1"/>
    <col min="5627" max="5627" width="7.10937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88671875" style="21" customWidth="1"/>
    <col min="5881" max="5881" width="9.88671875" style="21" customWidth="1"/>
    <col min="5882" max="5882" width="14.44140625" style="21" customWidth="1"/>
    <col min="5883" max="5883" width="7.10937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88671875" style="21" customWidth="1"/>
    <col min="6137" max="6137" width="9.88671875" style="21" customWidth="1"/>
    <col min="6138" max="6138" width="14.44140625" style="21" customWidth="1"/>
    <col min="6139" max="6139" width="7.10937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88671875" style="21" customWidth="1"/>
    <col min="6393" max="6393" width="9.88671875" style="21" customWidth="1"/>
    <col min="6394" max="6394" width="14.44140625" style="21" customWidth="1"/>
    <col min="6395" max="6395" width="7.10937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88671875" style="21" customWidth="1"/>
    <col min="6649" max="6649" width="9.88671875" style="21" customWidth="1"/>
    <col min="6650" max="6650" width="14.44140625" style="21" customWidth="1"/>
    <col min="6651" max="6651" width="7.10937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88671875" style="21" customWidth="1"/>
    <col min="6905" max="6905" width="9.88671875" style="21" customWidth="1"/>
    <col min="6906" max="6906" width="14.44140625" style="21" customWidth="1"/>
    <col min="6907" max="6907" width="7.10937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88671875" style="21" customWidth="1"/>
    <col min="7161" max="7161" width="9.88671875" style="21" customWidth="1"/>
    <col min="7162" max="7162" width="14.44140625" style="21" customWidth="1"/>
    <col min="7163" max="7163" width="7.10937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88671875" style="21" customWidth="1"/>
    <col min="7417" max="7417" width="9.88671875" style="21" customWidth="1"/>
    <col min="7418" max="7418" width="14.44140625" style="21" customWidth="1"/>
    <col min="7419" max="7419" width="7.10937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88671875" style="21" customWidth="1"/>
    <col min="7673" max="7673" width="9.88671875" style="21" customWidth="1"/>
    <col min="7674" max="7674" width="14.44140625" style="21" customWidth="1"/>
    <col min="7675" max="7675" width="7.10937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88671875" style="21" customWidth="1"/>
    <col min="7929" max="7929" width="9.88671875" style="21" customWidth="1"/>
    <col min="7930" max="7930" width="14.44140625" style="21" customWidth="1"/>
    <col min="7931" max="7931" width="7.10937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88671875" style="21" customWidth="1"/>
    <col min="8185" max="8185" width="9.88671875" style="21" customWidth="1"/>
    <col min="8186" max="8186" width="14.44140625" style="21" customWidth="1"/>
    <col min="8187" max="8187" width="7.10937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88671875" style="21" customWidth="1"/>
    <col min="8441" max="8441" width="9.88671875" style="21" customWidth="1"/>
    <col min="8442" max="8442" width="14.44140625" style="21" customWidth="1"/>
    <col min="8443" max="8443" width="7.10937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88671875" style="21" customWidth="1"/>
    <col min="8697" max="8697" width="9.88671875" style="21" customWidth="1"/>
    <col min="8698" max="8698" width="14.44140625" style="21" customWidth="1"/>
    <col min="8699" max="8699" width="7.10937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88671875" style="21" customWidth="1"/>
    <col min="8953" max="8953" width="9.88671875" style="21" customWidth="1"/>
    <col min="8954" max="8954" width="14.44140625" style="21" customWidth="1"/>
    <col min="8955" max="8955" width="7.10937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88671875" style="21" customWidth="1"/>
    <col min="9209" max="9209" width="9.88671875" style="21" customWidth="1"/>
    <col min="9210" max="9210" width="14.44140625" style="21" customWidth="1"/>
    <col min="9211" max="9211" width="7.10937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88671875" style="21" customWidth="1"/>
    <col min="9465" max="9465" width="9.88671875" style="21" customWidth="1"/>
    <col min="9466" max="9466" width="14.44140625" style="21" customWidth="1"/>
    <col min="9467" max="9467" width="7.10937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88671875" style="21" customWidth="1"/>
    <col min="9721" max="9721" width="9.88671875" style="21" customWidth="1"/>
    <col min="9722" max="9722" width="14.44140625" style="21" customWidth="1"/>
    <col min="9723" max="9723" width="7.10937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88671875" style="21" customWidth="1"/>
    <col min="9977" max="9977" width="9.88671875" style="21" customWidth="1"/>
    <col min="9978" max="9978" width="14.44140625" style="21" customWidth="1"/>
    <col min="9979" max="9979" width="7.10937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88671875" style="21" customWidth="1"/>
    <col min="10233" max="10233" width="9.88671875" style="21" customWidth="1"/>
    <col min="10234" max="10234" width="14.44140625" style="21" customWidth="1"/>
    <col min="10235" max="10235" width="7.10937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88671875" style="21" customWidth="1"/>
    <col min="10489" max="10489" width="9.88671875" style="21" customWidth="1"/>
    <col min="10490" max="10490" width="14.44140625" style="21" customWidth="1"/>
    <col min="10491" max="10491" width="7.10937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88671875" style="21" customWidth="1"/>
    <col min="10745" max="10745" width="9.88671875" style="21" customWidth="1"/>
    <col min="10746" max="10746" width="14.44140625" style="21" customWidth="1"/>
    <col min="10747" max="10747" width="7.10937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88671875" style="21" customWidth="1"/>
    <col min="11001" max="11001" width="9.88671875" style="21" customWidth="1"/>
    <col min="11002" max="11002" width="14.44140625" style="21" customWidth="1"/>
    <col min="11003" max="11003" width="7.10937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88671875" style="21" customWidth="1"/>
    <col min="11257" max="11257" width="9.88671875" style="21" customWidth="1"/>
    <col min="11258" max="11258" width="14.44140625" style="21" customWidth="1"/>
    <col min="11259" max="11259" width="7.10937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88671875" style="21" customWidth="1"/>
    <col min="11513" max="11513" width="9.88671875" style="21" customWidth="1"/>
    <col min="11514" max="11514" width="14.44140625" style="21" customWidth="1"/>
    <col min="11515" max="11515" width="7.10937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88671875" style="21" customWidth="1"/>
    <col min="11769" max="11769" width="9.88671875" style="21" customWidth="1"/>
    <col min="11770" max="11770" width="14.44140625" style="21" customWidth="1"/>
    <col min="11771" max="11771" width="7.10937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88671875" style="21" customWidth="1"/>
    <col min="12025" max="12025" width="9.88671875" style="21" customWidth="1"/>
    <col min="12026" max="12026" width="14.44140625" style="21" customWidth="1"/>
    <col min="12027" max="12027" width="7.10937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88671875" style="21" customWidth="1"/>
    <col min="12281" max="12281" width="9.88671875" style="21" customWidth="1"/>
    <col min="12282" max="12282" width="14.44140625" style="21" customWidth="1"/>
    <col min="12283" max="12283" width="7.10937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88671875" style="21" customWidth="1"/>
    <col min="12537" max="12537" width="9.88671875" style="21" customWidth="1"/>
    <col min="12538" max="12538" width="14.44140625" style="21" customWidth="1"/>
    <col min="12539" max="12539" width="7.10937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88671875" style="21" customWidth="1"/>
    <col min="12793" max="12793" width="9.88671875" style="21" customWidth="1"/>
    <col min="12794" max="12794" width="14.44140625" style="21" customWidth="1"/>
    <col min="12795" max="12795" width="7.10937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88671875" style="21" customWidth="1"/>
    <col min="13049" max="13049" width="9.88671875" style="21" customWidth="1"/>
    <col min="13050" max="13050" width="14.44140625" style="21" customWidth="1"/>
    <col min="13051" max="13051" width="7.10937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88671875" style="21" customWidth="1"/>
    <col min="13305" max="13305" width="9.88671875" style="21" customWidth="1"/>
    <col min="13306" max="13306" width="14.44140625" style="21" customWidth="1"/>
    <col min="13307" max="13307" width="7.10937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88671875" style="21" customWidth="1"/>
    <col min="13561" max="13561" width="9.88671875" style="21" customWidth="1"/>
    <col min="13562" max="13562" width="14.44140625" style="21" customWidth="1"/>
    <col min="13563" max="13563" width="7.10937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88671875" style="21" customWidth="1"/>
    <col min="13817" max="13817" width="9.88671875" style="21" customWidth="1"/>
    <col min="13818" max="13818" width="14.44140625" style="21" customWidth="1"/>
    <col min="13819" max="13819" width="7.10937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88671875" style="21" customWidth="1"/>
    <col min="14073" max="14073" width="9.88671875" style="21" customWidth="1"/>
    <col min="14074" max="14074" width="14.44140625" style="21" customWidth="1"/>
    <col min="14075" max="14075" width="7.10937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88671875" style="21" customWidth="1"/>
    <col min="14329" max="14329" width="9.88671875" style="21" customWidth="1"/>
    <col min="14330" max="14330" width="14.44140625" style="21" customWidth="1"/>
    <col min="14331" max="14331" width="7.10937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88671875" style="21" customWidth="1"/>
    <col min="14585" max="14585" width="9.88671875" style="21" customWidth="1"/>
    <col min="14586" max="14586" width="14.44140625" style="21" customWidth="1"/>
    <col min="14587" max="14587" width="7.10937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88671875" style="21" customWidth="1"/>
    <col min="14841" max="14841" width="9.88671875" style="21" customWidth="1"/>
    <col min="14842" max="14842" width="14.44140625" style="21" customWidth="1"/>
    <col min="14843" max="14843" width="7.10937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88671875" style="21" customWidth="1"/>
    <col min="15097" max="15097" width="9.88671875" style="21" customWidth="1"/>
    <col min="15098" max="15098" width="14.44140625" style="21" customWidth="1"/>
    <col min="15099" max="15099" width="7.10937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88671875" style="21" customWidth="1"/>
    <col min="15353" max="15353" width="9.88671875" style="21" customWidth="1"/>
    <col min="15354" max="15354" width="14.44140625" style="21" customWidth="1"/>
    <col min="15355" max="15355" width="7.10937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88671875" style="21" customWidth="1"/>
    <col min="15609" max="15609" width="9.88671875" style="21" customWidth="1"/>
    <col min="15610" max="15610" width="14.44140625" style="21" customWidth="1"/>
    <col min="15611" max="15611" width="7.10937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88671875" style="21" customWidth="1"/>
    <col min="15865" max="15865" width="9.88671875" style="21" customWidth="1"/>
    <col min="15866" max="15866" width="14.44140625" style="21" customWidth="1"/>
    <col min="15867" max="15867" width="7.10937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88671875" style="21" customWidth="1"/>
    <col min="16121" max="16121" width="9.88671875" style="21" customWidth="1"/>
    <col min="16122" max="16122" width="14.44140625" style="21" customWidth="1"/>
    <col min="16123" max="16123" width="7.10937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57" t="s">
        <v>196</v>
      </c>
      <c r="B1" s="157"/>
      <c r="C1" s="157"/>
      <c r="D1" s="157"/>
      <c r="E1" s="157"/>
      <c r="F1" s="157"/>
      <c r="G1" s="157"/>
      <c r="H1" s="157"/>
    </row>
    <row r="2" spans="1:8" ht="16.5" customHeight="1" x14ac:dyDescent="0.3">
      <c r="A2" s="86" t="s">
        <v>0</v>
      </c>
      <c r="B2" s="86"/>
      <c r="C2" s="86"/>
      <c r="D2" s="86"/>
      <c r="E2" s="86"/>
      <c r="F2" s="86"/>
      <c r="G2" s="86"/>
      <c r="H2" s="86"/>
    </row>
    <row r="3" spans="1:8" x14ac:dyDescent="0.3">
      <c r="A3" s="113" t="s">
        <v>1</v>
      </c>
      <c r="B3" s="113"/>
      <c r="C3" s="113"/>
      <c r="D3" s="113"/>
      <c r="E3" s="113" t="str">
        <f ca="1">TEXT(TODAY(),"DD/MM/YYYY")</f>
        <v>15/07/2025</v>
      </c>
      <c r="F3" s="113"/>
      <c r="G3" s="113"/>
      <c r="H3" s="113"/>
    </row>
    <row r="4" spans="1:8" ht="15" customHeight="1" x14ac:dyDescent="0.3">
      <c r="A4" s="113" t="s">
        <v>2</v>
      </c>
      <c r="B4" s="113"/>
      <c r="C4" s="113"/>
      <c r="D4" s="113"/>
      <c r="E4" s="113" t="s">
        <v>163</v>
      </c>
      <c r="F4" s="113"/>
      <c r="G4" s="113"/>
      <c r="H4" s="113"/>
    </row>
    <row r="5" spans="1:8" x14ac:dyDescent="0.3">
      <c r="A5" s="113" t="s">
        <v>3</v>
      </c>
      <c r="B5" s="113"/>
      <c r="C5" s="113"/>
      <c r="D5" s="113"/>
      <c r="E5" s="158">
        <v>45847</v>
      </c>
      <c r="F5" s="158"/>
      <c r="G5" s="158"/>
      <c r="H5" s="158"/>
    </row>
    <row r="6" spans="1:8" ht="16.5" customHeight="1" x14ac:dyDescent="0.3">
      <c r="A6" s="113" t="s">
        <v>4</v>
      </c>
      <c r="B6" s="113"/>
      <c r="C6" s="113"/>
      <c r="D6" s="113"/>
      <c r="E6" s="113" t="s">
        <v>165</v>
      </c>
      <c r="F6" s="113"/>
      <c r="G6" s="113"/>
      <c r="H6" s="113"/>
    </row>
    <row r="7" spans="1:8" ht="15" customHeight="1" x14ac:dyDescent="0.3">
      <c r="A7" s="113" t="s">
        <v>5</v>
      </c>
      <c r="B7" s="113"/>
      <c r="C7" s="113"/>
      <c r="D7" s="113"/>
      <c r="E7" s="113" t="str">
        <f>E6</f>
        <v>M/s.Transcon Triumph Phase 2 Private Limited</v>
      </c>
      <c r="F7" s="113"/>
      <c r="G7" s="113"/>
      <c r="H7" s="113"/>
    </row>
    <row r="8" spans="1:8" x14ac:dyDescent="0.3">
      <c r="A8" s="113" t="s">
        <v>6</v>
      </c>
      <c r="B8" s="113"/>
      <c r="C8" s="113"/>
      <c r="D8" s="113"/>
      <c r="E8" s="100" t="s">
        <v>164</v>
      </c>
      <c r="F8" s="100"/>
      <c r="G8" s="100"/>
      <c r="H8" s="100"/>
    </row>
    <row r="9" spans="1:8" x14ac:dyDescent="0.3">
      <c r="A9" s="113" t="s">
        <v>118</v>
      </c>
      <c r="B9" s="113"/>
      <c r="C9" s="113"/>
      <c r="D9" s="113"/>
      <c r="E9" s="113">
        <v>2266128128</v>
      </c>
      <c r="F9" s="113"/>
      <c r="G9" s="113"/>
      <c r="H9" s="113"/>
    </row>
    <row r="10" spans="1:8" x14ac:dyDescent="0.3">
      <c r="A10" s="113" t="s">
        <v>7</v>
      </c>
      <c r="B10" s="113"/>
      <c r="C10" s="113"/>
      <c r="D10" s="113"/>
      <c r="E10" s="113" t="s">
        <v>167</v>
      </c>
      <c r="F10" s="113"/>
      <c r="G10" s="113"/>
      <c r="H10" s="113"/>
    </row>
    <row r="11" spans="1:8" x14ac:dyDescent="0.3">
      <c r="A11" s="85" t="s">
        <v>8</v>
      </c>
      <c r="B11" s="85"/>
      <c r="C11" s="85"/>
      <c r="D11" s="85"/>
      <c r="E11" s="88" t="s">
        <v>183</v>
      </c>
      <c r="F11" s="88"/>
      <c r="G11" s="88"/>
      <c r="H11" s="88"/>
    </row>
    <row r="12" spans="1:8" x14ac:dyDescent="0.3">
      <c r="A12" s="85" t="s">
        <v>9</v>
      </c>
      <c r="B12" s="85"/>
      <c r="C12" s="85"/>
      <c r="D12" s="85"/>
      <c r="E12" s="88" t="s">
        <v>166</v>
      </c>
      <c r="F12" s="113"/>
      <c r="G12" s="113"/>
      <c r="H12" s="113"/>
    </row>
    <row r="13" spans="1:8" ht="80.25" customHeight="1" x14ac:dyDescent="0.3">
      <c r="A13" s="124" t="s">
        <v>10</v>
      </c>
      <c r="B13" s="124"/>
      <c r="C13" s="124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Transcon Triumph Tower 4, CTS No.695, 702, 704, 704/1 to 79, 705(pt), 705/2, 720/A/5, 720/84 to 160, 725, 725/7 to 70, 728, 729, 730, 731, 731/1, 732(pt), 732/1(pt) to 15(pt), 737/8/1 &amp; 737/8/2(pt), near Oberoi Springs, Veera Desai Road, Veera Desai Industrial Estate, Oshiwara, Jogeshwari West, Andheri, Mumbai - 400047.</v>
      </c>
      <c r="D13" s="124"/>
      <c r="E13" s="124"/>
      <c r="F13" s="124"/>
      <c r="G13" s="124"/>
      <c r="H13" s="124"/>
    </row>
    <row r="14" spans="1:8" ht="33" customHeight="1" x14ac:dyDescent="0.3">
      <c r="A14" s="88" t="s">
        <v>181</v>
      </c>
      <c r="B14" s="88"/>
      <c r="C14" s="88" t="s">
        <v>182</v>
      </c>
      <c r="D14" s="88"/>
      <c r="E14" s="88"/>
      <c r="F14" s="88"/>
      <c r="G14" s="88"/>
      <c r="H14" s="88"/>
    </row>
    <row r="15" spans="1:8" ht="15.75" customHeight="1" x14ac:dyDescent="0.3">
      <c r="A15" s="154" t="s">
        <v>160</v>
      </c>
      <c r="B15" s="155"/>
      <c r="C15" s="154" t="s">
        <v>176</v>
      </c>
      <c r="D15" s="156"/>
      <c r="E15" s="156"/>
      <c r="F15" s="156"/>
      <c r="G15" s="156"/>
      <c r="H15" s="155"/>
    </row>
    <row r="16" spans="1:8" ht="15.75" customHeight="1" x14ac:dyDescent="0.3">
      <c r="A16" s="124" t="s">
        <v>11</v>
      </c>
      <c r="B16" s="124"/>
      <c r="C16" s="113" t="s">
        <v>178</v>
      </c>
      <c r="D16" s="113"/>
      <c r="E16" s="124" t="s">
        <v>161</v>
      </c>
      <c r="F16" s="124"/>
      <c r="G16" s="88" t="s">
        <v>179</v>
      </c>
      <c r="H16" s="88"/>
    </row>
    <row r="17" spans="1:8" x14ac:dyDescent="0.3">
      <c r="A17" s="85" t="s">
        <v>13</v>
      </c>
      <c r="B17" s="85"/>
      <c r="C17" s="88" t="s">
        <v>180</v>
      </c>
      <c r="D17" s="88"/>
      <c r="E17" s="124" t="s">
        <v>12</v>
      </c>
      <c r="F17" s="124"/>
      <c r="G17" s="153" t="s">
        <v>175</v>
      </c>
      <c r="H17" s="153"/>
    </row>
    <row r="18" spans="1:8" x14ac:dyDescent="0.3">
      <c r="A18" s="85" t="s">
        <v>74</v>
      </c>
      <c r="B18" s="85"/>
      <c r="C18" s="88" t="s">
        <v>177</v>
      </c>
      <c r="D18" s="88"/>
      <c r="E18" s="124" t="s">
        <v>14</v>
      </c>
      <c r="F18" s="124"/>
      <c r="G18" s="88">
        <v>400047</v>
      </c>
      <c r="H18" s="88"/>
    </row>
    <row r="19" spans="1:8" ht="32.25" customHeight="1" x14ac:dyDescent="0.3">
      <c r="A19" s="85" t="s">
        <v>120</v>
      </c>
      <c r="B19" s="85"/>
      <c r="C19" s="88" t="s">
        <v>170</v>
      </c>
      <c r="D19" s="88"/>
      <c r="E19" s="124" t="s">
        <v>15</v>
      </c>
      <c r="F19" s="124"/>
      <c r="G19" s="88" t="s">
        <v>224</v>
      </c>
      <c r="H19" s="88"/>
    </row>
    <row r="20" spans="1:8" ht="15" customHeight="1" x14ac:dyDescent="0.3">
      <c r="A20" s="124" t="s">
        <v>76</v>
      </c>
      <c r="B20" s="124"/>
      <c r="C20" s="124"/>
      <c r="D20" s="124"/>
      <c r="E20" s="113" t="s">
        <v>16</v>
      </c>
      <c r="F20" s="113"/>
      <c r="G20" s="113"/>
      <c r="H20" s="113"/>
    </row>
    <row r="21" spans="1:8" ht="18.75" customHeight="1" x14ac:dyDescent="0.3">
      <c r="A21" s="124"/>
      <c r="B21" s="124"/>
      <c r="C21" s="124"/>
      <c r="D21" s="124"/>
      <c r="E21" s="113"/>
      <c r="F21" s="113"/>
      <c r="G21" s="113"/>
      <c r="H21" s="113"/>
    </row>
    <row r="22" spans="1:8" ht="15" customHeight="1" x14ac:dyDescent="0.3">
      <c r="A22" s="124" t="s">
        <v>17</v>
      </c>
      <c r="B22" s="124"/>
      <c r="C22" s="124"/>
      <c r="D22" s="124"/>
      <c r="E22" s="88" t="s">
        <v>18</v>
      </c>
      <c r="F22" s="88"/>
      <c r="G22" s="88"/>
      <c r="H22" s="88"/>
    </row>
    <row r="23" spans="1:8" ht="15" customHeight="1" x14ac:dyDescent="0.3">
      <c r="A23" s="85" t="s">
        <v>19</v>
      </c>
      <c r="B23" s="85"/>
      <c r="C23" s="85"/>
      <c r="D23" s="85"/>
      <c r="E23" s="88" t="str">
        <f>IF(AND(G17="Mumbai"),"Upper Class","Middle Class")</f>
        <v>Upper Class</v>
      </c>
      <c r="F23" s="88"/>
      <c r="G23" s="88"/>
      <c r="H23" s="88"/>
    </row>
    <row r="24" spans="1:8" x14ac:dyDescent="0.3">
      <c r="A24" s="85" t="s">
        <v>20</v>
      </c>
      <c r="B24" s="85"/>
      <c r="C24" s="85"/>
      <c r="D24" s="85"/>
      <c r="E24" s="88" t="s">
        <v>21</v>
      </c>
      <c r="F24" s="88"/>
      <c r="G24" s="88"/>
      <c r="H24" s="88"/>
    </row>
    <row r="25" spans="1:8" ht="15.75" customHeight="1" x14ac:dyDescent="0.3">
      <c r="A25" s="85" t="s">
        <v>22</v>
      </c>
      <c r="B25" s="85"/>
      <c r="C25" s="85"/>
      <c r="D25" s="85"/>
      <c r="E25" s="88" t="str">
        <f>IF(AND(G17="Mumbai"),"Developed","Developing")</f>
        <v>Developed</v>
      </c>
      <c r="F25" s="88"/>
      <c r="G25" s="88"/>
      <c r="H25" s="88"/>
    </row>
    <row r="26" spans="1:8" x14ac:dyDescent="0.3">
      <c r="A26" s="85" t="s">
        <v>23</v>
      </c>
      <c r="B26" s="85"/>
      <c r="C26" s="85"/>
      <c r="D26" s="85"/>
      <c r="E26" s="88" t="s">
        <v>24</v>
      </c>
      <c r="F26" s="88"/>
      <c r="G26" s="88"/>
      <c r="H26" s="88"/>
    </row>
    <row r="27" spans="1:8" ht="15.75" customHeight="1" x14ac:dyDescent="0.3">
      <c r="A27" s="85" t="s">
        <v>81</v>
      </c>
      <c r="B27" s="85"/>
      <c r="C27" s="85"/>
      <c r="D27" s="85"/>
      <c r="E27" s="88" t="s">
        <v>82</v>
      </c>
      <c r="F27" s="88"/>
      <c r="G27" s="88"/>
      <c r="H27" s="88"/>
    </row>
    <row r="28" spans="1:8" ht="15" customHeight="1" x14ac:dyDescent="0.3">
      <c r="A28" s="85" t="s">
        <v>33</v>
      </c>
      <c r="B28" s="85"/>
      <c r="C28" s="85"/>
      <c r="D28" s="85"/>
      <c r="E28" s="88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8" s="88"/>
      <c r="G28" s="88"/>
      <c r="H28" s="88"/>
    </row>
    <row r="29" spans="1:8" ht="15.75" customHeight="1" x14ac:dyDescent="0.3">
      <c r="A29" s="85" t="s">
        <v>92</v>
      </c>
      <c r="B29" s="85"/>
      <c r="C29" s="85"/>
      <c r="D29" s="85"/>
      <c r="E29" s="88" t="s">
        <v>34</v>
      </c>
      <c r="F29" s="88"/>
      <c r="G29" s="88"/>
      <c r="H29" s="88"/>
    </row>
    <row r="30" spans="1:8" s="22" customFormat="1" x14ac:dyDescent="0.3">
      <c r="A30" s="152" t="s">
        <v>93</v>
      </c>
      <c r="B30" s="152"/>
      <c r="C30" s="151" t="s">
        <v>29</v>
      </c>
      <c r="D30" s="151"/>
      <c r="E30" s="151"/>
      <c r="F30" s="151" t="s">
        <v>31</v>
      </c>
      <c r="G30" s="151"/>
      <c r="H30" s="151"/>
    </row>
    <row r="31" spans="1:8" s="22" customFormat="1" x14ac:dyDescent="0.3">
      <c r="A31" s="150" t="s">
        <v>25</v>
      </c>
      <c r="B31" s="150" t="s">
        <v>30</v>
      </c>
      <c r="C31" s="130" t="s">
        <v>30</v>
      </c>
      <c r="D31" s="130"/>
      <c r="E31" s="130"/>
      <c r="F31" s="130" t="s">
        <v>174</v>
      </c>
      <c r="G31" s="130"/>
      <c r="H31" s="130"/>
    </row>
    <row r="32" spans="1:8" x14ac:dyDescent="0.3">
      <c r="A32" s="150" t="s">
        <v>26</v>
      </c>
      <c r="B32" s="150" t="s">
        <v>30</v>
      </c>
      <c r="C32" s="130" t="s">
        <v>30</v>
      </c>
      <c r="D32" s="130"/>
      <c r="E32" s="130"/>
      <c r="F32" s="130" t="s">
        <v>171</v>
      </c>
      <c r="G32" s="130"/>
      <c r="H32" s="130"/>
    </row>
    <row r="33" spans="1:8" s="22" customFormat="1" x14ac:dyDescent="0.3">
      <c r="A33" s="150" t="s">
        <v>28</v>
      </c>
      <c r="B33" s="150" t="s">
        <v>30</v>
      </c>
      <c r="C33" s="130" t="s">
        <v>30</v>
      </c>
      <c r="D33" s="130"/>
      <c r="E33" s="130"/>
      <c r="F33" s="130" t="s">
        <v>172</v>
      </c>
      <c r="G33" s="130"/>
      <c r="H33" s="130"/>
    </row>
    <row r="34" spans="1:8" x14ac:dyDescent="0.3">
      <c r="A34" s="150" t="s">
        <v>27</v>
      </c>
      <c r="B34" s="150" t="s">
        <v>30</v>
      </c>
      <c r="C34" s="130" t="s">
        <v>30</v>
      </c>
      <c r="D34" s="130"/>
      <c r="E34" s="130"/>
      <c r="F34" s="130" t="s">
        <v>173</v>
      </c>
      <c r="G34" s="130"/>
      <c r="H34" s="130"/>
    </row>
    <row r="35" spans="1:8" x14ac:dyDescent="0.3">
      <c r="A35" s="85" t="s">
        <v>32</v>
      </c>
      <c r="B35" s="85"/>
      <c r="C35" s="85"/>
      <c r="D35" s="85"/>
      <c r="E35" s="85"/>
      <c r="F35" s="85"/>
      <c r="G35" s="85"/>
      <c r="H35" s="85"/>
    </row>
    <row r="36" spans="1:8" ht="15.75" customHeight="1" x14ac:dyDescent="0.3">
      <c r="A36" s="86" t="s">
        <v>195</v>
      </c>
      <c r="B36" s="86"/>
      <c r="C36" s="176" t="s">
        <v>223</v>
      </c>
      <c r="D36" s="176"/>
      <c r="E36" s="176"/>
      <c r="F36" s="176"/>
      <c r="G36" s="176"/>
      <c r="H36" s="176"/>
    </row>
    <row r="37" spans="1:8" x14ac:dyDescent="0.3">
      <c r="A37" s="86" t="s">
        <v>159</v>
      </c>
      <c r="B37" s="86"/>
      <c r="C37" s="87" t="s">
        <v>222</v>
      </c>
      <c r="D37" s="88"/>
      <c r="E37" s="88"/>
      <c r="F37" s="88"/>
      <c r="G37" s="88"/>
      <c r="H37" s="88"/>
    </row>
    <row r="38" spans="1:8" x14ac:dyDescent="0.3">
      <c r="A38" s="129" t="s">
        <v>35</v>
      </c>
      <c r="B38" s="129"/>
      <c r="C38" s="129"/>
      <c r="D38" s="129"/>
      <c r="E38" s="129"/>
      <c r="F38" s="129"/>
      <c r="G38" s="129"/>
      <c r="H38" s="129"/>
    </row>
    <row r="39" spans="1:8" x14ac:dyDescent="0.3">
      <c r="A39" s="85" t="s">
        <v>36</v>
      </c>
      <c r="B39" s="85"/>
      <c r="C39" s="85"/>
      <c r="D39" s="85"/>
      <c r="E39" s="127">
        <v>21745.34</v>
      </c>
      <c r="F39" s="127"/>
      <c r="G39" s="127"/>
      <c r="H39" s="127"/>
    </row>
    <row r="40" spans="1:8" x14ac:dyDescent="0.3">
      <c r="A40" s="85" t="s">
        <v>37</v>
      </c>
      <c r="B40" s="85"/>
      <c r="C40" s="85"/>
      <c r="D40" s="85"/>
      <c r="E40" s="149">
        <v>2.2000000000000002</v>
      </c>
      <c r="F40" s="149"/>
      <c r="G40" s="149"/>
      <c r="H40" s="149"/>
    </row>
    <row r="41" spans="1:8" x14ac:dyDescent="0.3">
      <c r="A41" s="85" t="s">
        <v>38</v>
      </c>
      <c r="B41" s="85"/>
      <c r="C41" s="85"/>
      <c r="D41" s="85"/>
      <c r="E41" s="149">
        <f>E43/E39-E40</f>
        <v>1.0165893934056673</v>
      </c>
      <c r="F41" s="149"/>
      <c r="G41" s="149"/>
      <c r="H41" s="149"/>
    </row>
    <row r="42" spans="1:8" x14ac:dyDescent="0.3">
      <c r="A42" s="85" t="s">
        <v>39</v>
      </c>
      <c r="B42" s="85"/>
      <c r="C42" s="85"/>
      <c r="D42" s="85"/>
      <c r="E42" s="149">
        <f>E40+E41</f>
        <v>3.2165893934056675</v>
      </c>
      <c r="F42" s="149"/>
      <c r="G42" s="149"/>
      <c r="H42" s="149"/>
    </row>
    <row r="43" spans="1:8" x14ac:dyDescent="0.3">
      <c r="A43" s="85" t="s">
        <v>91</v>
      </c>
      <c r="B43" s="85"/>
      <c r="C43" s="85"/>
      <c r="D43" s="85"/>
      <c r="E43" s="112">
        <v>69945.83</v>
      </c>
      <c r="F43" s="112"/>
      <c r="G43" s="112"/>
      <c r="H43" s="112"/>
    </row>
    <row r="44" spans="1:8" x14ac:dyDescent="0.3">
      <c r="A44" s="113" t="s">
        <v>40</v>
      </c>
      <c r="B44" s="113"/>
      <c r="C44" s="113"/>
      <c r="D44" s="113"/>
      <c r="E44" s="113" t="s">
        <v>119</v>
      </c>
      <c r="F44" s="113"/>
      <c r="G44" s="113"/>
      <c r="H44" s="113"/>
    </row>
    <row r="45" spans="1:8" x14ac:dyDescent="0.3">
      <c r="A45" s="129" t="s">
        <v>41</v>
      </c>
      <c r="B45" s="129"/>
      <c r="C45" s="129"/>
      <c r="D45" s="129"/>
      <c r="E45" s="129"/>
      <c r="F45" s="129"/>
      <c r="G45" s="129"/>
      <c r="H45" s="129"/>
    </row>
    <row r="46" spans="1:8" ht="33.75" customHeight="1" x14ac:dyDescent="0.3">
      <c r="A46" s="71" t="s">
        <v>148</v>
      </c>
      <c r="B46" s="72"/>
      <c r="C46" s="73" t="s">
        <v>168</v>
      </c>
      <c r="D46" s="74"/>
      <c r="E46" s="74"/>
      <c r="F46" s="74"/>
      <c r="G46" s="74"/>
      <c r="H46" s="75"/>
    </row>
    <row r="47" spans="1:8" ht="15.75" customHeight="1" x14ac:dyDescent="0.3">
      <c r="A47" s="71" t="s">
        <v>42</v>
      </c>
      <c r="B47" s="72"/>
      <c r="C47" s="71" t="s">
        <v>169</v>
      </c>
      <c r="D47" s="143"/>
      <c r="E47" s="72"/>
      <c r="F47" s="18" t="s">
        <v>43</v>
      </c>
      <c r="G47" s="142">
        <v>44651</v>
      </c>
      <c r="H47" s="72"/>
    </row>
    <row r="48" spans="1:8" ht="15.6" customHeight="1" x14ac:dyDescent="0.3">
      <c r="A48" s="144" t="s">
        <v>44</v>
      </c>
      <c r="B48" s="137"/>
      <c r="C48" s="144" t="s">
        <v>169</v>
      </c>
      <c r="D48" s="145"/>
      <c r="E48" s="137"/>
      <c r="F48" s="60" t="s">
        <v>43</v>
      </c>
      <c r="G48" s="136">
        <v>45461</v>
      </c>
      <c r="H48" s="137"/>
    </row>
    <row r="49" spans="1:14" s="23" customFormat="1" ht="15.75" customHeight="1" x14ac:dyDescent="0.3">
      <c r="A49" s="138" t="s">
        <v>152</v>
      </c>
      <c r="B49" s="139"/>
      <c r="C49" s="71" t="str">
        <f>C48</f>
        <v>SRA/DDTP/633/KW/PL/AP</v>
      </c>
      <c r="D49" s="143"/>
      <c r="E49" s="72"/>
      <c r="F49" s="18" t="s">
        <v>43</v>
      </c>
      <c r="G49" s="142">
        <v>44659</v>
      </c>
      <c r="H49" s="72"/>
    </row>
    <row r="50" spans="1:14" s="23" customFormat="1" ht="33.75" customHeight="1" x14ac:dyDescent="0.3">
      <c r="A50" s="140"/>
      <c r="B50" s="141"/>
      <c r="C50" s="71" t="s">
        <v>203</v>
      </c>
      <c r="D50" s="143"/>
      <c r="E50" s="143"/>
      <c r="F50" s="143"/>
      <c r="G50" s="143"/>
      <c r="H50" s="72"/>
    </row>
    <row r="51" spans="1:14" x14ac:dyDescent="0.3">
      <c r="A51" s="179" t="s">
        <v>162</v>
      </c>
      <c r="B51" s="180"/>
      <c r="C51" s="146" t="s">
        <v>30</v>
      </c>
      <c r="D51" s="147"/>
      <c r="E51" s="148"/>
      <c r="F51" s="52" t="s">
        <v>43</v>
      </c>
      <c r="G51" s="177" t="s">
        <v>30</v>
      </c>
      <c r="H51" s="178"/>
    </row>
    <row r="52" spans="1:14" hidden="1" x14ac:dyDescent="0.3">
      <c r="A52" s="181"/>
      <c r="B52" s="182"/>
      <c r="C52" s="146" t="s">
        <v>30</v>
      </c>
      <c r="D52" s="147"/>
      <c r="E52" s="147"/>
      <c r="F52" s="147"/>
      <c r="G52" s="147"/>
      <c r="H52" s="148"/>
    </row>
    <row r="53" spans="1:14" x14ac:dyDescent="0.3">
      <c r="A53" s="167" t="s">
        <v>46</v>
      </c>
      <c r="B53" s="167"/>
      <c r="C53" s="167"/>
      <c r="D53" s="167"/>
      <c r="E53" s="167"/>
      <c r="F53" s="167"/>
      <c r="G53" s="167"/>
      <c r="H53" s="167"/>
    </row>
    <row r="54" spans="1:14" ht="32.4" customHeight="1" x14ac:dyDescent="0.3">
      <c r="A54" s="124" t="s">
        <v>198</v>
      </c>
      <c r="B54" s="124"/>
      <c r="C54" s="124"/>
      <c r="D54" s="85">
        <v>15548.53</v>
      </c>
      <c r="E54" s="85"/>
      <c r="F54" s="85"/>
      <c r="G54" s="85"/>
      <c r="H54" s="85"/>
    </row>
    <row r="55" spans="1:14" x14ac:dyDescent="0.3">
      <c r="A55" s="88" t="s">
        <v>47</v>
      </c>
      <c r="B55" s="113"/>
      <c r="C55" s="113"/>
      <c r="D55" s="113" t="s">
        <v>226</v>
      </c>
      <c r="E55" s="113"/>
      <c r="F55" s="113"/>
      <c r="G55" s="113"/>
      <c r="H55" s="113"/>
      <c r="I55" s="24"/>
    </row>
    <row r="56" spans="1:14" ht="33" customHeight="1" x14ac:dyDescent="0.3">
      <c r="A56" s="133" t="s">
        <v>48</v>
      </c>
      <c r="B56" s="134"/>
      <c r="C56" s="135"/>
      <c r="D56" s="131" t="s">
        <v>200</v>
      </c>
      <c r="E56" s="132"/>
      <c r="F56" s="132"/>
      <c r="G56" s="132"/>
      <c r="H56" s="132"/>
    </row>
    <row r="57" spans="1:14" ht="31.5" customHeight="1" x14ac:dyDescent="0.3">
      <c r="A57" s="88" t="s">
        <v>89</v>
      </c>
      <c r="B57" s="88"/>
      <c r="C57" s="88"/>
      <c r="D57" s="88" t="s">
        <v>199</v>
      </c>
      <c r="E57" s="88"/>
      <c r="F57" s="88"/>
      <c r="G57" s="88"/>
      <c r="H57" s="88"/>
    </row>
    <row r="58" spans="1:14" ht="15.75" customHeight="1" x14ac:dyDescent="0.3">
      <c r="A58" s="85" t="s">
        <v>45</v>
      </c>
      <c r="B58" s="85"/>
      <c r="C58" s="85"/>
      <c r="D58" s="124" t="s">
        <v>186</v>
      </c>
      <c r="E58" s="124"/>
      <c r="F58" s="124"/>
      <c r="G58" s="124"/>
      <c r="H58" s="124"/>
      <c r="J58" s="25"/>
      <c r="K58" s="24"/>
      <c r="N58" s="24"/>
    </row>
    <row r="59" spans="1:14" ht="15.75" customHeight="1" x14ac:dyDescent="0.3">
      <c r="A59" s="85" t="s">
        <v>87</v>
      </c>
      <c r="B59" s="85"/>
      <c r="C59" s="85"/>
      <c r="D59" s="183" t="str">
        <f>(IF(G51="NA","60 Years After Completion",IF(G51&lt;&gt;"NA",""&amp;60-ROUNDDOWN((E3-G51)/360,0)&amp;" Years"," ")))</f>
        <v>60 Years After Completion</v>
      </c>
      <c r="E59" s="183"/>
      <c r="F59" s="183"/>
      <c r="G59" s="183"/>
      <c r="H59" s="183"/>
      <c r="N59" s="24"/>
    </row>
    <row r="60" spans="1:14" ht="15.75" customHeight="1" x14ac:dyDescent="0.3">
      <c r="A60" s="85" t="s">
        <v>88</v>
      </c>
      <c r="B60" s="85"/>
      <c r="C60" s="85"/>
      <c r="D60" s="124" t="s">
        <v>24</v>
      </c>
      <c r="E60" s="124"/>
      <c r="F60" s="124"/>
      <c r="G60" s="124"/>
      <c r="H60" s="124"/>
      <c r="J60" s="26"/>
      <c r="K60" s="26"/>
    </row>
    <row r="61" spans="1:14" ht="30" customHeight="1" x14ac:dyDescent="0.3">
      <c r="A61" s="85" t="s">
        <v>75</v>
      </c>
      <c r="B61" s="85"/>
      <c r="C61" s="85"/>
      <c r="D61" s="88" t="s">
        <v>194</v>
      </c>
      <c r="E61" s="124"/>
      <c r="F61" s="124"/>
      <c r="G61" s="124"/>
      <c r="H61" s="124"/>
    </row>
    <row r="62" spans="1:14" x14ac:dyDescent="0.3">
      <c r="A62" s="124" t="s">
        <v>146</v>
      </c>
      <c r="B62" s="124"/>
      <c r="C62" s="124"/>
      <c r="D62" s="124" t="s">
        <v>30</v>
      </c>
      <c r="E62" s="124"/>
      <c r="F62" s="124"/>
      <c r="G62" s="124"/>
      <c r="H62" s="124"/>
      <c r="I62" s="27"/>
      <c r="J62" s="27"/>
      <c r="K62" s="27"/>
      <c r="L62" s="27"/>
      <c r="M62" s="27"/>
      <c r="N62" s="27"/>
    </row>
    <row r="63" spans="1:14" ht="15.75" customHeight="1" x14ac:dyDescent="0.3">
      <c r="A63" s="85" t="s">
        <v>86</v>
      </c>
      <c r="B63" s="85"/>
      <c r="C63" s="85"/>
      <c r="D63" s="88" t="str">
        <f ca="1">(IF(G69&gt;95%,"Nothing",IF(G69&gt;0%,"Cement, Aggregate, Steel, etc",IF(G69=0%,"Work not yet Started"))))</f>
        <v>Cement, Aggregate, Steel, etc</v>
      </c>
      <c r="E63" s="88"/>
      <c r="F63" s="88"/>
      <c r="G63" s="88"/>
      <c r="H63" s="88"/>
      <c r="J63" s="26"/>
    </row>
    <row r="64" spans="1:14" ht="33.75" customHeight="1" thickBot="1" x14ac:dyDescent="0.35">
      <c r="A64" s="124" t="s">
        <v>115</v>
      </c>
      <c r="B64" s="124"/>
      <c r="C64" s="124"/>
      <c r="D64" s="88" t="str">
        <f ca="1">(IF(D63="Nothing","Yes",IF(D63="Cement, Aggregate, Steel, etc","Under Construction",IF(D63="Work not yet Started","Work not yet Started"))))</f>
        <v>Under Construction</v>
      </c>
      <c r="E64" s="88"/>
      <c r="F64" s="88" t="str">
        <f ca="1">(IF(D63="Nothing","Yes",IF(D63="Cement, Aggregate, Steel, etc","Under Construction",IF(D63="Work not yet Started","Work not yet Started"))))</f>
        <v>Under Construction</v>
      </c>
      <c r="G64" s="88"/>
      <c r="H64" s="88"/>
    </row>
    <row r="65" spans="1:10" ht="31.5" customHeight="1" x14ac:dyDescent="0.3">
      <c r="A65" s="128" t="s">
        <v>197</v>
      </c>
      <c r="B65" s="128"/>
      <c r="C65" s="128" t="str">
        <f>D57</f>
        <v>Tower No.4 =  LG Floor + UG Floor (1st Floor) + 2nd to 5th Podium + 6th (eco-Bal) + 7th to 38th Floor</v>
      </c>
      <c r="D65" s="128"/>
      <c r="E65" s="128"/>
      <c r="F65" s="128"/>
      <c r="G65" s="128"/>
      <c r="H65" s="128"/>
      <c r="I65" s="58" t="str">
        <f ca="1">IF(D78=100%,"All work Completed. Possession granted to the Building.",IF(D77=100%,"All work Completed, Waiting for OC",I66&amp;""&amp;I67&amp;""&amp;J66&amp;""&amp;J65&amp;" "&amp;J67))</f>
        <v>Excavation, Plinth Completed, RCC upto 24 Slab, Brickwork upto 23 Floor, Internal Plaster upto 17.25 Floor, External Plaster upto 14.95 Floor Completed</v>
      </c>
      <c r="J65" s="4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24 Slab, Brickwork upto 23 Floor, Internal Plaster upto 17.25 Floor, External Plaster upto 14.95 Floor</v>
      </c>
    </row>
    <row r="66" spans="1:10" x14ac:dyDescent="0.3">
      <c r="A66" s="54" t="s">
        <v>139</v>
      </c>
      <c r="B66" s="54">
        <v>1</v>
      </c>
      <c r="C66" s="54" t="s">
        <v>73</v>
      </c>
      <c r="D66" s="54">
        <v>1</v>
      </c>
      <c r="E66" s="54" t="s">
        <v>72</v>
      </c>
      <c r="F66" s="54">
        <v>0</v>
      </c>
      <c r="G66" s="47" t="s">
        <v>80</v>
      </c>
      <c r="H66" s="54">
        <f ca="1">--TRIM(RIGHT(SUBSTITUTE(LEFT(C65,_xlfn.AGGREGATE(16,6,FIND({0,1,2,3,4,5,6,7,8,9},C65,ROW(INDIRECT("1:"&amp;LEN(C65)))),1))," ",REPT(" ",LEN(C65))),LEN(C65)))</f>
        <v>38</v>
      </c>
      <c r="I66" s="5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5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4.799999999999997" customHeight="1" x14ac:dyDescent="0.3">
      <c r="A67" s="100" t="s">
        <v>90</v>
      </c>
      <c r="B67" s="100"/>
      <c r="C67" s="64" t="str">
        <f ca="1">(IF($C$52=C65,"All work Completed. OC Received.",I65))</f>
        <v>Excavation, Plinth Completed, RCC upto 24 Slab, Brickwork upto 23 Floor, Internal Plaster upto 17.25 Floor, External Plaster upto 14.95 Floor Completed</v>
      </c>
      <c r="D67" s="64"/>
      <c r="E67" s="64"/>
      <c r="F67" s="64"/>
      <c r="G67" s="64"/>
      <c r="H67" s="64"/>
      <c r="I67" s="59" t="str">
        <f ca="1">IF(I66&lt;&gt;""," Completed","")</f>
        <v xml:space="preserve"> Completed</v>
      </c>
      <c r="J67" s="51" t="str">
        <f ca="1">IF(J65&lt;&gt;"","Completed","")</f>
        <v>Completed</v>
      </c>
    </row>
    <row r="68" spans="1:10" ht="15.75" customHeight="1" x14ac:dyDescent="0.3">
      <c r="A68" s="66" t="s">
        <v>49</v>
      </c>
      <c r="B68" s="67"/>
      <c r="C68" s="44" t="s">
        <v>137</v>
      </c>
      <c r="D68" s="44" t="s">
        <v>83</v>
      </c>
      <c r="E68" s="67" t="s">
        <v>85</v>
      </c>
      <c r="F68" s="67"/>
      <c r="G68" s="67" t="s">
        <v>84</v>
      </c>
      <c r="H68" s="114"/>
      <c r="I68" s="14" t="s">
        <v>138</v>
      </c>
      <c r="J68" s="28">
        <f ca="1">H66*25%</f>
        <v>9.5</v>
      </c>
    </row>
    <row r="69" spans="1:10" x14ac:dyDescent="0.3">
      <c r="A69" s="66" t="s">
        <v>126</v>
      </c>
      <c r="B69" s="67"/>
      <c r="C69" s="44">
        <v>38</v>
      </c>
      <c r="D69" s="19">
        <f ca="1">((100/H66)*C69)/100</f>
        <v>1</v>
      </c>
      <c r="E69" s="115">
        <f ca="1">(((C70/H66*10)+(40/(D66+F66+H66)*C71)+(7.5/(H66)*C72)+(7.5/(H66)*C73)+(10/H66*C74)+(10/H66*C75)+(5/H66*C76)+(5/H66*C77)+(5/H66*C78))/100)</f>
        <v>0.46493674089068826</v>
      </c>
      <c r="F69" s="116"/>
      <c r="G69" s="115">
        <f ca="1">((((C69/H66)*20)+((C70/H66)*25)+(30/(H66+F66+D66)*C71)+(5/H66*C72)+(5/H66*C73)+(5/H66*C74)+(5/H66*C75)+(0/H66*C76)+(0/H66*C77)+(5/H66*C78))/100)</f>
        <v>0.70724696356275307</v>
      </c>
      <c r="H69" s="121"/>
      <c r="I69" s="14" t="s">
        <v>98</v>
      </c>
      <c r="J69" s="29">
        <f ca="1">H66*50%</f>
        <v>19</v>
      </c>
    </row>
    <row r="70" spans="1:10" x14ac:dyDescent="0.3">
      <c r="A70" s="66" t="s">
        <v>50</v>
      </c>
      <c r="B70" s="67"/>
      <c r="C70" s="55">
        <v>38</v>
      </c>
      <c r="D70" s="19">
        <f ca="1">((100/H66)*C70)/100</f>
        <v>1</v>
      </c>
      <c r="E70" s="117"/>
      <c r="F70" s="118"/>
      <c r="G70" s="117"/>
      <c r="H70" s="122"/>
      <c r="I70" s="14" t="s">
        <v>99</v>
      </c>
      <c r="J70" s="29">
        <f ca="1">H66</f>
        <v>38</v>
      </c>
    </row>
    <row r="71" spans="1:10" ht="15.75" customHeight="1" x14ac:dyDescent="0.3">
      <c r="A71" s="66" t="s">
        <v>127</v>
      </c>
      <c r="B71" s="67"/>
      <c r="C71" s="44">
        <v>24</v>
      </c>
      <c r="D71" s="19">
        <f ca="1">((100/(D66+F66+H66))*C71)/100</f>
        <v>0.61538461538461542</v>
      </c>
      <c r="E71" s="117"/>
      <c r="F71" s="118"/>
      <c r="G71" s="117"/>
      <c r="H71" s="122"/>
      <c r="I71" s="14" t="s">
        <v>100</v>
      </c>
      <c r="J71" s="30">
        <f ca="1">(IF(B66&gt;1,(H66/(B66+2)),H66/4))</f>
        <v>9.5</v>
      </c>
    </row>
    <row r="72" spans="1:10" ht="15.75" customHeight="1" x14ac:dyDescent="0.3">
      <c r="A72" s="66" t="s">
        <v>134</v>
      </c>
      <c r="B72" s="67" t="s">
        <v>128</v>
      </c>
      <c r="C72" s="44">
        <f>C71-1</f>
        <v>23</v>
      </c>
      <c r="D72" s="19">
        <f ca="1">((100/H66)*C72)/100</f>
        <v>0.60526315789473684</v>
      </c>
      <c r="E72" s="117"/>
      <c r="F72" s="118"/>
      <c r="G72" s="117"/>
      <c r="H72" s="122"/>
      <c r="I72" s="14" t="s">
        <v>101</v>
      </c>
      <c r="J72" s="30">
        <f ca="1">(IF(B66&gt;1,(H66/(B66+2)+J71),H66/4+J71))</f>
        <v>19</v>
      </c>
    </row>
    <row r="73" spans="1:10" ht="15.75" customHeight="1" x14ac:dyDescent="0.3">
      <c r="A73" s="66" t="s">
        <v>135</v>
      </c>
      <c r="B73" s="67" t="s">
        <v>128</v>
      </c>
      <c r="C73" s="55">
        <f>C72*0.75</f>
        <v>17.25</v>
      </c>
      <c r="D73" s="19">
        <f ca="1">((100/H66)*C73)/100</f>
        <v>0.45394736842105265</v>
      </c>
      <c r="E73" s="117"/>
      <c r="F73" s="118"/>
      <c r="G73" s="117"/>
      <c r="H73" s="122"/>
      <c r="I73" s="14" t="s">
        <v>144</v>
      </c>
      <c r="J73" s="30">
        <f>(IF(B66&gt;1,(H66/(B66+2)+J72),0))</f>
        <v>0</v>
      </c>
    </row>
    <row r="74" spans="1:10" ht="15" customHeight="1" x14ac:dyDescent="0.3">
      <c r="A74" s="66" t="s">
        <v>133</v>
      </c>
      <c r="B74" s="67" t="s">
        <v>130</v>
      </c>
      <c r="C74" s="55">
        <f>C72*0.65</f>
        <v>14.950000000000001</v>
      </c>
      <c r="D74" s="19">
        <f ca="1">((100/(H66))*C74)/100</f>
        <v>0.39342105263157895</v>
      </c>
      <c r="E74" s="117"/>
      <c r="F74" s="118"/>
      <c r="G74" s="117"/>
      <c r="H74" s="122"/>
      <c r="I74" s="14" t="s">
        <v>140</v>
      </c>
      <c r="J74" s="30">
        <f>(IF(B66&gt;2,(H66/(B66+2)+J73),0))</f>
        <v>0</v>
      </c>
    </row>
    <row r="75" spans="1:10" ht="15.75" customHeight="1" x14ac:dyDescent="0.3">
      <c r="A75" s="66" t="s">
        <v>129</v>
      </c>
      <c r="B75" s="67" t="s">
        <v>129</v>
      </c>
      <c r="C75" s="44">
        <v>0</v>
      </c>
      <c r="D75" s="19">
        <f ca="1">((100/H66)*C75)/100</f>
        <v>0</v>
      </c>
      <c r="E75" s="117"/>
      <c r="F75" s="118"/>
      <c r="G75" s="117"/>
      <c r="H75" s="122"/>
      <c r="I75" s="14" t="s">
        <v>141</v>
      </c>
      <c r="J75" s="31">
        <f>(IF(B66&gt;3,(H66/(B66+2)+J74),0))</f>
        <v>0</v>
      </c>
    </row>
    <row r="76" spans="1:10" ht="15.75" customHeight="1" x14ac:dyDescent="0.3">
      <c r="A76" s="66" t="s">
        <v>136</v>
      </c>
      <c r="B76" s="67"/>
      <c r="C76" s="44">
        <v>0</v>
      </c>
      <c r="D76" s="19">
        <f ca="1">((100/H66)*C76)/100</f>
        <v>0</v>
      </c>
      <c r="E76" s="117"/>
      <c r="F76" s="118"/>
      <c r="G76" s="117"/>
      <c r="H76" s="122"/>
      <c r="I76" s="14" t="s">
        <v>142</v>
      </c>
      <c r="J76" s="30">
        <f>(IF(B66&gt;4,(H66/(B66+2)+J75),0))</f>
        <v>0</v>
      </c>
    </row>
    <row r="77" spans="1:10" ht="15.75" customHeight="1" x14ac:dyDescent="0.3">
      <c r="A77" s="66" t="s">
        <v>131</v>
      </c>
      <c r="B77" s="67" t="s">
        <v>131</v>
      </c>
      <c r="C77" s="44">
        <v>0</v>
      </c>
      <c r="D77" s="19">
        <f ca="1">((100/(H66))*C77)/100</f>
        <v>0</v>
      </c>
      <c r="E77" s="117"/>
      <c r="F77" s="118"/>
      <c r="G77" s="117"/>
      <c r="H77" s="122"/>
      <c r="I77" s="14" t="s">
        <v>145</v>
      </c>
      <c r="J77" s="30">
        <f ca="1">(IF(B66=1,(H66/(B66+3)+J72),IF(B66=0,(H66/4+J72),IF(B66&gt;1,0))))</f>
        <v>28.5</v>
      </c>
    </row>
    <row r="78" spans="1:10" ht="16.2" thickBot="1" x14ac:dyDescent="0.35">
      <c r="A78" s="125" t="s">
        <v>132</v>
      </c>
      <c r="B78" s="126"/>
      <c r="C78" s="45">
        <v>0</v>
      </c>
      <c r="D78" s="20">
        <f ca="1">((100/(H66))*C78)/100</f>
        <v>0</v>
      </c>
      <c r="E78" s="119"/>
      <c r="F78" s="120"/>
      <c r="G78" s="119"/>
      <c r="H78" s="123"/>
      <c r="I78" s="15" t="s">
        <v>102</v>
      </c>
      <c r="J78" s="32">
        <f ca="1">(IF(B66&gt;1.5,(H66/(B66+2)+J72+MAX(0,J73-J72)+MAX(0,J74-J73)+MAX(0,J75-J74)+MAX(0,J76-J75)+MAX(0,J77-J76)),IF(B66=1,(H66/(B66+3)+J77),IF(B66=0,H66/4+J77))))</f>
        <v>38</v>
      </c>
    </row>
    <row r="79" spans="1:10" ht="31.5" hidden="1" customHeight="1" x14ac:dyDescent="0.3">
      <c r="A79" s="94" t="s">
        <v>189</v>
      </c>
      <c r="B79" s="95"/>
      <c r="C79" s="96" t="str">
        <f>C65</f>
        <v>Tower No.4 =  LG Floor + UG Floor (1st Floor) + 2nd to 5th Podium + 6th (eco-Bal) + 7th to 38th Floor</v>
      </c>
      <c r="D79" s="97"/>
      <c r="E79" s="97"/>
      <c r="F79" s="97"/>
      <c r="G79" s="97"/>
      <c r="H79" s="98"/>
      <c r="I79" s="48" t="str">
        <f ca="1">IF(D92=100%,"All work Completed. Possession granted to the Building.",IF(D91=100%,"All work Completed, Waiting for OC",I80&amp;""&amp;I81&amp;""&amp;J80&amp;""&amp;J79&amp;" "&amp;J81))</f>
        <v xml:space="preserve">Excavation Completed, Footing work Completed </v>
      </c>
      <c r="J79" s="49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/>
      </c>
    </row>
    <row r="80" spans="1:10" hidden="1" x14ac:dyDescent="0.3">
      <c r="A80" s="16" t="s">
        <v>139</v>
      </c>
      <c r="B80" s="54">
        <v>0</v>
      </c>
      <c r="C80" s="54" t="s">
        <v>73</v>
      </c>
      <c r="D80" s="54">
        <v>1</v>
      </c>
      <c r="E80" s="54" t="s">
        <v>72</v>
      </c>
      <c r="F80" s="54">
        <v>0</v>
      </c>
      <c r="G80" s="47" t="s">
        <v>80</v>
      </c>
      <c r="H80" s="17">
        <f ca="1">--TRIM(RIGHT(SUBSTITUTE(LEFT(C79,_xlfn.AGGREGATE(16,6,FIND({0,1,2,3,4,5,6,7,8,9},C79,ROW(INDIRECT("1:"&amp;LEN(C79)))),1))," ",REPT(" ",LEN(C79))),LEN(C79)))</f>
        <v>38</v>
      </c>
      <c r="I80" s="50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</v>
      </c>
      <c r="J80" s="51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, Footing work Completed</v>
      </c>
    </row>
    <row r="81" spans="1:12" hidden="1" x14ac:dyDescent="0.3">
      <c r="A81" s="99" t="s">
        <v>90</v>
      </c>
      <c r="B81" s="100"/>
      <c r="C81" s="64" t="str">
        <f ca="1">(IF($C$52=C79,"All work Completed. OC Received.",I79))</f>
        <v xml:space="preserve">Excavation Completed, Footing work Completed </v>
      </c>
      <c r="D81" s="64"/>
      <c r="E81" s="64"/>
      <c r="F81" s="64"/>
      <c r="G81" s="64"/>
      <c r="H81" s="65"/>
      <c r="I81" s="50" t="str">
        <f ca="1">IF(I80&lt;&gt;""," Completed","")</f>
        <v xml:space="preserve"> Completed</v>
      </c>
      <c r="J81" s="51" t="str">
        <f ca="1">IF(J79&lt;&gt;"","Completed","")</f>
        <v/>
      </c>
    </row>
    <row r="82" spans="1:12" ht="15.75" hidden="1" customHeight="1" x14ac:dyDescent="0.3">
      <c r="A82" s="66" t="s">
        <v>49</v>
      </c>
      <c r="B82" s="67"/>
      <c r="C82" s="44" t="s">
        <v>137</v>
      </c>
      <c r="D82" s="44" t="s">
        <v>83</v>
      </c>
      <c r="E82" s="67" t="s">
        <v>85</v>
      </c>
      <c r="F82" s="67"/>
      <c r="G82" s="67" t="s">
        <v>84</v>
      </c>
      <c r="H82" s="114"/>
      <c r="I82" s="14" t="s">
        <v>138</v>
      </c>
      <c r="J82" s="28">
        <f ca="1">H80*25%</f>
        <v>9.5</v>
      </c>
    </row>
    <row r="83" spans="1:12" hidden="1" x14ac:dyDescent="0.3">
      <c r="A83" s="66" t="s">
        <v>126</v>
      </c>
      <c r="B83" s="67"/>
      <c r="C83" s="44">
        <v>38</v>
      </c>
      <c r="D83" s="19">
        <f ca="1">((100/H80)*C83)/100</f>
        <v>1</v>
      </c>
      <c r="E83" s="115">
        <f ca="1">(((C84/H80*10)+(40/(D80+F80+H80)*C85)+(7.5/(H80)*C86)+(7.5/(H80)*C87)+(10/H80*C88)+(10/H80*C89)+(5/H80*C90)+(5/H80*C91)+(5/H80*C92))/100)</f>
        <v>0.05</v>
      </c>
      <c r="F83" s="116"/>
      <c r="G83" s="115">
        <f ca="1">((((C83/H80)*20)+((C84/H80)*25)+(30/(H80+F80+D80)*C85)+(5/H80*C86)+(5/H80*C87)+(5/H80*C88)+(5/H80*C89)+(0/H80*C90)+(0/H80*C91)+(5/H80*C92))/100)</f>
        <v>0.32500000000000001</v>
      </c>
      <c r="H83" s="121"/>
      <c r="I83" s="14" t="s">
        <v>98</v>
      </c>
      <c r="J83" s="29">
        <f ca="1">H80*50%</f>
        <v>19</v>
      </c>
    </row>
    <row r="84" spans="1:12" hidden="1" x14ac:dyDescent="0.3">
      <c r="A84" s="66" t="s">
        <v>50</v>
      </c>
      <c r="B84" s="67"/>
      <c r="C84" s="55">
        <f ca="1">J86</f>
        <v>19</v>
      </c>
      <c r="D84" s="19">
        <f ca="1">((100/H80)*C84)/100</f>
        <v>0.5</v>
      </c>
      <c r="E84" s="117"/>
      <c r="F84" s="118"/>
      <c r="G84" s="117"/>
      <c r="H84" s="122"/>
      <c r="I84" s="14" t="s">
        <v>99</v>
      </c>
      <c r="J84" s="29">
        <f ca="1">H80</f>
        <v>38</v>
      </c>
    </row>
    <row r="85" spans="1:12" ht="15.75" hidden="1" customHeight="1" x14ac:dyDescent="0.3">
      <c r="A85" s="66" t="s">
        <v>127</v>
      </c>
      <c r="B85" s="67"/>
      <c r="C85" s="44">
        <v>0</v>
      </c>
      <c r="D85" s="19">
        <f ca="1">((100/(D80+F80+H80))*C85)/100</f>
        <v>0</v>
      </c>
      <c r="E85" s="117"/>
      <c r="F85" s="118"/>
      <c r="G85" s="117"/>
      <c r="H85" s="122"/>
      <c r="I85" s="14" t="s">
        <v>100</v>
      </c>
      <c r="J85" s="30">
        <f ca="1">(IF(B80&gt;1,(H80/(B80+2)),H80/4))</f>
        <v>9.5</v>
      </c>
    </row>
    <row r="86" spans="1:12" ht="15.75" hidden="1" customHeight="1" x14ac:dyDescent="0.3">
      <c r="A86" s="66" t="s">
        <v>134</v>
      </c>
      <c r="B86" s="67" t="s">
        <v>128</v>
      </c>
      <c r="C86" s="44">
        <v>0</v>
      </c>
      <c r="D86" s="19">
        <f ca="1">((100/H80)*C86)/100</f>
        <v>0</v>
      </c>
      <c r="E86" s="117"/>
      <c r="F86" s="118"/>
      <c r="G86" s="117"/>
      <c r="H86" s="122"/>
      <c r="I86" s="14" t="s">
        <v>101</v>
      </c>
      <c r="J86" s="30">
        <f ca="1">(IF(B80&gt;1,(H80/(B80+2)+J85),H80/4+J85))</f>
        <v>19</v>
      </c>
    </row>
    <row r="87" spans="1:12" ht="15.75" hidden="1" customHeight="1" x14ac:dyDescent="0.3">
      <c r="A87" s="66" t="s">
        <v>135</v>
      </c>
      <c r="B87" s="67" t="s">
        <v>128</v>
      </c>
      <c r="C87" s="44">
        <v>0</v>
      </c>
      <c r="D87" s="19">
        <f ca="1">((100/H80)*C87)/100</f>
        <v>0</v>
      </c>
      <c r="E87" s="117"/>
      <c r="F87" s="118"/>
      <c r="G87" s="117"/>
      <c r="H87" s="122"/>
      <c r="I87" s="14" t="s">
        <v>144</v>
      </c>
      <c r="J87" s="30">
        <f>(IF(B80&gt;1,(H80/(B80+2)+J86),0))</f>
        <v>0</v>
      </c>
    </row>
    <row r="88" spans="1:12" ht="15" hidden="1" customHeight="1" x14ac:dyDescent="0.3">
      <c r="A88" s="66" t="s">
        <v>133</v>
      </c>
      <c r="B88" s="67" t="s">
        <v>130</v>
      </c>
      <c r="C88" s="44">
        <v>0</v>
      </c>
      <c r="D88" s="19">
        <f ca="1">((100/(H80))*C88)/100</f>
        <v>0</v>
      </c>
      <c r="E88" s="117"/>
      <c r="F88" s="118"/>
      <c r="G88" s="117"/>
      <c r="H88" s="122"/>
      <c r="I88" s="14" t="s">
        <v>140</v>
      </c>
      <c r="J88" s="30">
        <f>(IF(B80&gt;2,(H80/(B80+2)+J87),0))</f>
        <v>0</v>
      </c>
    </row>
    <row r="89" spans="1:12" ht="15.75" hidden="1" customHeight="1" x14ac:dyDescent="0.3">
      <c r="A89" s="66" t="s">
        <v>129</v>
      </c>
      <c r="B89" s="67" t="s">
        <v>129</v>
      </c>
      <c r="C89" s="44">
        <v>0</v>
      </c>
      <c r="D89" s="19">
        <f ca="1">((100/H80)*C89)/100</f>
        <v>0</v>
      </c>
      <c r="E89" s="117"/>
      <c r="F89" s="118"/>
      <c r="G89" s="117"/>
      <c r="H89" s="122"/>
      <c r="I89" s="14" t="s">
        <v>141</v>
      </c>
      <c r="J89" s="31">
        <f>(IF(B80&gt;3,(H80/(B80+2)+J88),0))</f>
        <v>0</v>
      </c>
    </row>
    <row r="90" spans="1:12" ht="15.75" hidden="1" customHeight="1" x14ac:dyDescent="0.3">
      <c r="A90" s="66" t="s">
        <v>136</v>
      </c>
      <c r="B90" s="67"/>
      <c r="C90" s="44">
        <v>0</v>
      </c>
      <c r="D90" s="19">
        <f ca="1">((100/H80)*C90)/100</f>
        <v>0</v>
      </c>
      <c r="E90" s="117"/>
      <c r="F90" s="118"/>
      <c r="G90" s="117"/>
      <c r="H90" s="122"/>
      <c r="I90" s="14" t="s">
        <v>142</v>
      </c>
      <c r="J90" s="30">
        <f>(IF(B80&gt;4,(H80/(B80+2)+J89),0))</f>
        <v>0</v>
      </c>
    </row>
    <row r="91" spans="1:12" ht="15.75" hidden="1" customHeight="1" x14ac:dyDescent="0.3">
      <c r="A91" s="66" t="s">
        <v>131</v>
      </c>
      <c r="B91" s="67" t="s">
        <v>131</v>
      </c>
      <c r="C91" s="44">
        <v>0</v>
      </c>
      <c r="D91" s="19">
        <f ca="1">((100/(H80))*C91)/100</f>
        <v>0</v>
      </c>
      <c r="E91" s="117"/>
      <c r="F91" s="118"/>
      <c r="G91" s="117"/>
      <c r="H91" s="122"/>
      <c r="I91" s="14" t="s">
        <v>145</v>
      </c>
      <c r="J91" s="30">
        <f ca="1">(IF(B80=1,(H80/(B80+3)+J86),IF(B80=0,(H80/4+J86),IF(B80&gt;1,0))))</f>
        <v>28.5</v>
      </c>
    </row>
    <row r="92" spans="1:12" ht="16.2" hidden="1" thickBot="1" x14ac:dyDescent="0.35">
      <c r="A92" s="125" t="s">
        <v>132</v>
      </c>
      <c r="B92" s="126"/>
      <c r="C92" s="45">
        <v>0</v>
      </c>
      <c r="D92" s="20">
        <f ca="1">((100/(H80))*C92)/100</f>
        <v>0</v>
      </c>
      <c r="E92" s="119"/>
      <c r="F92" s="120"/>
      <c r="G92" s="119"/>
      <c r="H92" s="123"/>
      <c r="I92" s="15" t="s">
        <v>102</v>
      </c>
      <c r="J92" s="32">
        <f ca="1">(IF(B80&gt;1.5,(H80/(B80+2)+J86+MAX(0,J87-J86)+MAX(0,J88-J87)+MAX(0,J89-J88)+MAX(0,J90-J89)+MAX(0,J91-J90)),IF(B80=1,(H80/(B80+3)+J91),IF(B80=0,H80/4+J91))))</f>
        <v>38</v>
      </c>
    </row>
    <row r="93" spans="1:12" ht="33" hidden="1" customHeight="1" x14ac:dyDescent="0.3">
      <c r="A93" s="169" t="s">
        <v>85</v>
      </c>
      <c r="B93" s="169"/>
      <c r="C93" s="188">
        <f ca="1">AVERAGE(E69,E83)</f>
        <v>0.25746837044534415</v>
      </c>
      <c r="D93" s="189"/>
      <c r="E93" s="169" t="s">
        <v>84</v>
      </c>
      <c r="F93" s="169"/>
      <c r="G93" s="184">
        <f ca="1">AVERAGE(G69,G83)</f>
        <v>0.51612348178137657</v>
      </c>
      <c r="H93" s="185"/>
    </row>
    <row r="94" spans="1:12" x14ac:dyDescent="0.3">
      <c r="A94" s="186" t="s">
        <v>153</v>
      </c>
      <c r="B94" s="186"/>
      <c r="C94" s="186"/>
      <c r="D94" s="186"/>
      <c r="E94" s="186"/>
      <c r="F94" s="187" t="s">
        <v>158</v>
      </c>
      <c r="G94" s="187"/>
      <c r="H94" s="187"/>
      <c r="I94" s="56" t="s">
        <v>191</v>
      </c>
      <c r="J94" s="56" t="s">
        <v>192</v>
      </c>
      <c r="K94" s="56" t="s">
        <v>193</v>
      </c>
      <c r="L94" s="57">
        <v>44852</v>
      </c>
    </row>
    <row r="95" spans="1:12" x14ac:dyDescent="0.3">
      <c r="A95" s="85" t="s">
        <v>156</v>
      </c>
      <c r="B95" s="85"/>
      <c r="C95" s="85"/>
      <c r="D95" s="85"/>
      <c r="E95" s="85"/>
      <c r="F95" s="84">
        <v>26400</v>
      </c>
      <c r="G95" s="84"/>
      <c r="H95" s="84"/>
      <c r="I95" s="21" t="s">
        <v>228</v>
      </c>
    </row>
    <row r="96" spans="1:12" hidden="1" x14ac:dyDescent="0.3">
      <c r="A96" s="85" t="s">
        <v>155</v>
      </c>
      <c r="B96" s="85"/>
      <c r="C96" s="85"/>
      <c r="D96" s="85"/>
      <c r="E96" s="85"/>
      <c r="F96" s="84"/>
      <c r="G96" s="84"/>
      <c r="H96" s="84"/>
    </row>
    <row r="97" spans="1:9" hidden="1" x14ac:dyDescent="0.3">
      <c r="A97" s="85" t="s">
        <v>157</v>
      </c>
      <c r="B97" s="85"/>
      <c r="C97" s="85"/>
      <c r="D97" s="85"/>
      <c r="E97" s="85"/>
      <c r="F97" s="84"/>
      <c r="G97" s="84"/>
      <c r="H97" s="84"/>
    </row>
    <row r="98" spans="1:9" s="33" customFormat="1" hidden="1" x14ac:dyDescent="0.25">
      <c r="A98" s="85" t="s">
        <v>154</v>
      </c>
      <c r="B98" s="85"/>
      <c r="C98" s="85"/>
      <c r="D98" s="85"/>
      <c r="E98" s="85"/>
      <c r="F98" s="84"/>
      <c r="G98" s="84"/>
      <c r="H98" s="84"/>
    </row>
    <row r="99" spans="1:9" s="33" customFormat="1" hidden="1" x14ac:dyDescent="0.25">
      <c r="A99" s="85" t="s">
        <v>94</v>
      </c>
      <c r="B99" s="85"/>
      <c r="C99" s="85"/>
      <c r="D99" s="85"/>
      <c r="E99" s="85"/>
      <c r="F99" s="84"/>
      <c r="G99" s="84"/>
      <c r="H99" s="84"/>
    </row>
    <row r="100" spans="1:9" s="33" customFormat="1" hidden="1" x14ac:dyDescent="0.25">
      <c r="A100" s="85" t="s">
        <v>95</v>
      </c>
      <c r="B100" s="85"/>
      <c r="C100" s="85"/>
      <c r="D100" s="85"/>
      <c r="E100" s="85"/>
      <c r="F100" s="84"/>
      <c r="G100" s="84"/>
      <c r="H100" s="84"/>
    </row>
    <row r="101" spans="1:9" s="33" customFormat="1" x14ac:dyDescent="0.25">
      <c r="A101" s="85" t="s">
        <v>187</v>
      </c>
      <c r="B101" s="85"/>
      <c r="C101" s="85"/>
      <c r="D101" s="85"/>
      <c r="E101" s="85"/>
      <c r="F101" s="84">
        <v>500000</v>
      </c>
      <c r="G101" s="84"/>
      <c r="H101" s="84"/>
    </row>
    <row r="102" spans="1:9" s="33" customFormat="1" x14ac:dyDescent="0.25">
      <c r="A102" s="85" t="s">
        <v>188</v>
      </c>
      <c r="B102" s="85"/>
      <c r="C102" s="85"/>
      <c r="D102" s="85"/>
      <c r="E102" s="85"/>
      <c r="F102" s="84">
        <v>100000</v>
      </c>
      <c r="G102" s="84"/>
      <c r="H102" s="84"/>
    </row>
    <row r="103" spans="1:9" s="33" customFormat="1" hidden="1" x14ac:dyDescent="0.25">
      <c r="A103" s="85" t="s">
        <v>96</v>
      </c>
      <c r="B103" s="85"/>
      <c r="C103" s="85"/>
      <c r="D103" s="85"/>
      <c r="E103" s="85"/>
      <c r="F103" s="84"/>
      <c r="G103" s="84"/>
      <c r="H103" s="84"/>
    </row>
    <row r="104" spans="1:9" s="33" customFormat="1" x14ac:dyDescent="0.25">
      <c r="A104" s="85" t="s">
        <v>97</v>
      </c>
      <c r="B104" s="85"/>
      <c r="C104" s="85"/>
      <c r="D104" s="85"/>
      <c r="E104" s="85"/>
      <c r="F104" s="84">
        <v>180000</v>
      </c>
      <c r="G104" s="84"/>
      <c r="H104" s="84"/>
    </row>
    <row r="105" spans="1:9" x14ac:dyDescent="0.3">
      <c r="A105" s="85" t="s">
        <v>51</v>
      </c>
      <c r="B105" s="85"/>
      <c r="C105" s="85"/>
      <c r="D105" s="85"/>
      <c r="E105" s="85"/>
      <c r="F105" s="84">
        <v>1200000</v>
      </c>
      <c r="G105" s="84"/>
      <c r="H105" s="84"/>
    </row>
    <row r="106" spans="1:9" s="34" customFormat="1" x14ac:dyDescent="0.3">
      <c r="A106" s="129" t="s">
        <v>52</v>
      </c>
      <c r="B106" s="129"/>
      <c r="C106" s="129"/>
      <c r="D106" s="129"/>
      <c r="E106" s="129"/>
      <c r="F106" s="84">
        <f>F95*0.8</f>
        <v>21120</v>
      </c>
      <c r="G106" s="84"/>
      <c r="H106" s="84"/>
    </row>
    <row r="107" spans="1:9" s="35" customFormat="1" x14ac:dyDescent="0.3">
      <c r="A107" s="164" t="s">
        <v>71</v>
      </c>
      <c r="B107" s="164"/>
      <c r="C107" s="164"/>
      <c r="D107" s="164"/>
      <c r="E107" s="164"/>
      <c r="F107" s="164"/>
      <c r="G107" s="164"/>
      <c r="H107" s="164"/>
    </row>
    <row r="108" spans="1:9" s="35" customFormat="1" ht="15.75" customHeight="1" x14ac:dyDescent="0.3">
      <c r="A108" s="102" t="s">
        <v>53</v>
      </c>
      <c r="B108" s="102"/>
      <c r="C108" s="101" t="s">
        <v>78</v>
      </c>
      <c r="D108" s="101"/>
      <c r="E108" s="168" t="s">
        <v>54</v>
      </c>
      <c r="F108" s="168"/>
      <c r="G108" s="102" t="s">
        <v>55</v>
      </c>
      <c r="H108" s="102"/>
    </row>
    <row r="109" spans="1:9" s="35" customFormat="1" x14ac:dyDescent="0.3">
      <c r="A109" s="163" t="s">
        <v>185</v>
      </c>
      <c r="B109" s="163"/>
      <c r="C109" s="165">
        <f>COUNT(D118:D121)+COUNT(D125:D128)+COUNT(D132:D135)+COUNT(D139:D142)+COUNT(D146:D149)+COUNT(D153:D158)+COUNT(D160:D165)*18+COUNT(D167:D170)*4+COUNT(D174:D179)*6</f>
        <v>186</v>
      </c>
      <c r="D109" s="165"/>
      <c r="E109" s="166">
        <f>SUM(D118:D121)+SUM(D125:D128)+SUM(D132:D135)+SUM(D139:D142)+SUM(D146:D149)+SUM(D153:D158)+SUM(D160:D165)*18+SUM(D167:D170)*4+SUM(D174:D179)*6</f>
        <v>146016.40482</v>
      </c>
      <c r="F109" s="166"/>
      <c r="G109" s="166">
        <f>SUM(F118:F121)+SUM(F125:F128)+SUM(F132:F135)+SUM(F139:F142)+SUM(F146:F149)+SUM(F153:F158)+SUM(F160:F165)*18+SUM(F167:F170)*4+SUM(F174:F179)*6</f>
        <v>233626.24771200001</v>
      </c>
      <c r="H109" s="166"/>
    </row>
    <row r="110" spans="1:9" s="34" customFormat="1" x14ac:dyDescent="0.3">
      <c r="A110" s="86" t="s">
        <v>56</v>
      </c>
      <c r="B110" s="86"/>
      <c r="C110" s="86"/>
      <c r="D110" s="86"/>
      <c r="E110" s="86"/>
      <c r="F110" s="86"/>
      <c r="G110" s="86"/>
      <c r="H110" s="86"/>
    </row>
    <row r="111" spans="1:9" x14ac:dyDescent="0.3">
      <c r="A111" s="86" t="s">
        <v>57</v>
      </c>
      <c r="B111" s="86"/>
      <c r="C111" s="86"/>
      <c r="D111" s="86"/>
      <c r="E111" s="86"/>
      <c r="F111" s="86"/>
      <c r="G111" s="86"/>
      <c r="H111" s="86"/>
    </row>
    <row r="112" spans="1:9" ht="47.25" customHeight="1" x14ac:dyDescent="0.3">
      <c r="A112" s="110" t="s">
        <v>116</v>
      </c>
      <c r="B112" s="110" t="s">
        <v>117</v>
      </c>
      <c r="C112" s="89" t="s">
        <v>58</v>
      </c>
      <c r="D112" s="89" t="s">
        <v>59</v>
      </c>
      <c r="E112" s="171" t="s">
        <v>60</v>
      </c>
      <c r="F112" s="43" t="s">
        <v>147</v>
      </c>
      <c r="G112" s="110" t="s">
        <v>61</v>
      </c>
      <c r="H112" s="173"/>
      <c r="I112" s="36"/>
    </row>
    <row r="113" spans="1:14" s="37" customFormat="1" x14ac:dyDescent="0.3">
      <c r="A113" s="111"/>
      <c r="B113" s="111"/>
      <c r="C113" s="90"/>
      <c r="D113" s="90"/>
      <c r="E113" s="172"/>
      <c r="F113" s="13">
        <v>0.6</v>
      </c>
      <c r="G113" s="111"/>
      <c r="H113" s="174"/>
      <c r="I113" s="36"/>
    </row>
    <row r="114" spans="1:14" s="37" customFormat="1" x14ac:dyDescent="0.3">
      <c r="A114" s="91" t="s">
        <v>184</v>
      </c>
      <c r="B114" s="92"/>
      <c r="C114" s="92"/>
      <c r="D114" s="92"/>
      <c r="E114" s="92"/>
      <c r="F114" s="92"/>
      <c r="G114" s="92"/>
      <c r="H114" s="93"/>
      <c r="J114" s="36"/>
    </row>
    <row r="115" spans="1:14" s="37" customFormat="1" ht="15.75" customHeight="1" x14ac:dyDescent="0.3">
      <c r="A115" s="91" t="s">
        <v>201</v>
      </c>
      <c r="B115" s="92"/>
      <c r="C115" s="92"/>
      <c r="D115" s="92"/>
      <c r="E115" s="92"/>
      <c r="F115" s="92"/>
      <c r="G115" s="92"/>
      <c r="H115" s="93"/>
      <c r="J115" s="36"/>
    </row>
    <row r="116" spans="1:14" s="37" customFormat="1" ht="15.75" customHeight="1" x14ac:dyDescent="0.3">
      <c r="A116" s="91" t="s">
        <v>202</v>
      </c>
      <c r="B116" s="92"/>
      <c r="C116" s="92"/>
      <c r="D116" s="92"/>
      <c r="E116" s="92"/>
      <c r="F116" s="92"/>
      <c r="G116" s="92"/>
      <c r="H116" s="93"/>
      <c r="J116" s="36"/>
    </row>
    <row r="117" spans="1:14" s="37" customFormat="1" ht="15.75" customHeight="1" x14ac:dyDescent="0.3">
      <c r="A117" s="91" t="s">
        <v>204</v>
      </c>
      <c r="B117" s="92"/>
      <c r="C117" s="92"/>
      <c r="D117" s="92"/>
      <c r="E117" s="92"/>
      <c r="F117" s="92"/>
      <c r="G117" s="92"/>
      <c r="H117" s="93"/>
      <c r="J117" s="36"/>
    </row>
    <row r="118" spans="1:14" s="37" customFormat="1" ht="15.75" customHeight="1" x14ac:dyDescent="0.3">
      <c r="A118" s="82">
        <v>1</v>
      </c>
      <c r="B118" s="83"/>
      <c r="C118" s="53">
        <v>2</v>
      </c>
      <c r="D118" s="42">
        <f>(61.98+3.05*1.225)*10.764</f>
        <v>707.36971499999993</v>
      </c>
      <c r="E118" s="42">
        <v>0</v>
      </c>
      <c r="F118" s="42">
        <f>D118*(($F$113)+1)+(IF(E118&lt;101,E118,IF(E118&lt;201,E118/2,IF(E118&lt;=301,E118/3,E118/4))))</f>
        <v>1131.7915439999999</v>
      </c>
      <c r="G118" s="104" t="str">
        <f>A117</f>
        <v>2nd Podium Floor floor for Residential</v>
      </c>
      <c r="H118" s="105"/>
      <c r="I118" s="36">
        <f>21900000/F118</f>
        <v>19349.852997311315</v>
      </c>
      <c r="L118" s="103"/>
      <c r="M118" s="103"/>
      <c r="N118" s="36"/>
    </row>
    <row r="119" spans="1:14" s="37" customFormat="1" ht="15.75" customHeight="1" x14ac:dyDescent="0.3">
      <c r="A119" s="82">
        <f t="shared" ref="A119:A123" si="0">A118+1</f>
        <v>2</v>
      </c>
      <c r="B119" s="83"/>
      <c r="C119" s="53">
        <v>3</v>
      </c>
      <c r="D119" s="42">
        <f>(81.24+3.05*1.225+3.25*1.23)*10.764</f>
        <v>957.71344499999987</v>
      </c>
      <c r="E119" s="42">
        <v>0</v>
      </c>
      <c r="F119" s="42">
        <f>D119*(($F$113)+1)+(IF(E119&lt;101,E119,IF(E119&lt;201,E119/2,IF(E119&lt;=301,E119/3,E119/4))))</f>
        <v>1532.341512</v>
      </c>
      <c r="G119" s="106"/>
      <c r="H119" s="107"/>
      <c r="I119" s="36"/>
      <c r="L119" s="103"/>
      <c r="M119" s="103"/>
      <c r="N119" s="36"/>
    </row>
    <row r="120" spans="1:14" s="37" customFormat="1" ht="15.75" customHeight="1" x14ac:dyDescent="0.3">
      <c r="A120" s="82">
        <f t="shared" si="0"/>
        <v>3</v>
      </c>
      <c r="B120" s="83"/>
      <c r="C120" s="53">
        <v>3</v>
      </c>
      <c r="D120" s="42">
        <f>(81.24+3.05*1.225+3.25*1.23)*10.764</f>
        <v>957.71344499999987</v>
      </c>
      <c r="E120" s="42">
        <v>0</v>
      </c>
      <c r="F120" s="42">
        <f>D120*(($F$113)+1)+(IF(E120&lt;101,E120,IF(E120&lt;201,E120/2,IF(E120&lt;=301,E120/3,E120/4))))</f>
        <v>1532.341512</v>
      </c>
      <c r="G120" s="106"/>
      <c r="H120" s="107"/>
      <c r="I120" s="36"/>
      <c r="L120" s="103"/>
      <c r="M120" s="103"/>
      <c r="N120" s="36"/>
    </row>
    <row r="121" spans="1:14" s="37" customFormat="1" ht="15.75" customHeight="1" x14ac:dyDescent="0.3">
      <c r="A121" s="82">
        <f t="shared" si="0"/>
        <v>4</v>
      </c>
      <c r="B121" s="83"/>
      <c r="C121" s="53">
        <v>2</v>
      </c>
      <c r="D121" s="42">
        <f>(62.13+3.05*1.225)*10.764</f>
        <v>708.98431500000004</v>
      </c>
      <c r="E121" s="42">
        <v>0</v>
      </c>
      <c r="F121" s="42">
        <f>D121*(($F$113)+1)+(IF(E121&lt;101,E121,IF(E121&lt;201,E121/2,IF(E121&lt;=301,E121/3,E121/4))))</f>
        <v>1134.374904</v>
      </c>
      <c r="G121" s="106"/>
      <c r="H121" s="107"/>
      <c r="I121" s="36"/>
      <c r="L121" s="103"/>
      <c r="M121" s="103"/>
      <c r="N121" s="36"/>
    </row>
    <row r="122" spans="1:14" s="37" customFormat="1" ht="15.75" customHeight="1" x14ac:dyDescent="0.3">
      <c r="A122" s="82">
        <f t="shared" si="0"/>
        <v>5</v>
      </c>
      <c r="B122" s="83"/>
      <c r="C122" s="76" t="s">
        <v>205</v>
      </c>
      <c r="D122" s="77"/>
      <c r="E122" s="77"/>
      <c r="F122" s="78"/>
      <c r="G122" s="106"/>
      <c r="H122" s="107"/>
      <c r="I122" s="36"/>
      <c r="L122" s="103"/>
      <c r="M122" s="103"/>
      <c r="N122" s="36"/>
    </row>
    <row r="123" spans="1:14" s="37" customFormat="1" ht="15.75" customHeight="1" x14ac:dyDescent="0.3">
      <c r="A123" s="82">
        <f t="shared" si="0"/>
        <v>6</v>
      </c>
      <c r="B123" s="83"/>
      <c r="C123" s="79"/>
      <c r="D123" s="80"/>
      <c r="E123" s="80"/>
      <c r="F123" s="81"/>
      <c r="G123" s="108"/>
      <c r="H123" s="109"/>
      <c r="I123" s="36"/>
      <c r="L123" s="103"/>
      <c r="M123" s="103"/>
      <c r="N123" s="36"/>
    </row>
    <row r="124" spans="1:14" s="37" customFormat="1" ht="15.75" customHeight="1" x14ac:dyDescent="0.3">
      <c r="A124" s="91" t="s">
        <v>206</v>
      </c>
      <c r="B124" s="92"/>
      <c r="C124" s="92"/>
      <c r="D124" s="92"/>
      <c r="E124" s="92"/>
      <c r="F124" s="92"/>
      <c r="G124" s="92"/>
      <c r="H124" s="93"/>
      <c r="J124" s="36"/>
    </row>
    <row r="125" spans="1:14" s="37" customFormat="1" ht="15.75" customHeight="1" x14ac:dyDescent="0.3">
      <c r="A125" s="82">
        <v>1</v>
      </c>
      <c r="B125" s="83"/>
      <c r="C125" s="53">
        <v>2</v>
      </c>
      <c r="D125" s="42">
        <f>(61.98+3.05*1.225)*10.764</f>
        <v>707.36971499999993</v>
      </c>
      <c r="E125" s="42">
        <v>0</v>
      </c>
      <c r="F125" s="42">
        <f>D125*(($F$113)+1)+(IF(E125&lt;101,E125,IF(E125&lt;201,E125/2,IF(E125&lt;=301,E125/3,E125/4))))</f>
        <v>1131.7915439999999</v>
      </c>
      <c r="G125" s="104" t="str">
        <f>A124</f>
        <v>3rd Podium Floor for Residential &amp; Badminton Court</v>
      </c>
      <c r="H125" s="105"/>
      <c r="I125" s="36"/>
      <c r="L125" s="103"/>
      <c r="M125" s="103"/>
      <c r="N125" s="36"/>
    </row>
    <row r="126" spans="1:14" s="37" customFormat="1" ht="15.75" customHeight="1" x14ac:dyDescent="0.3">
      <c r="A126" s="82">
        <f t="shared" ref="A126:A130" si="1">A125+1</f>
        <v>2</v>
      </c>
      <c r="B126" s="83"/>
      <c r="C126" s="53">
        <v>3</v>
      </c>
      <c r="D126" s="42">
        <f>(81.24+3.05*1.225+3.25*1.23)*10.764</f>
        <v>957.71344499999987</v>
      </c>
      <c r="E126" s="42">
        <v>0</v>
      </c>
      <c r="F126" s="42">
        <f>D126*(($F$113)+1)+(IF(E126&lt;101,E126,IF(E126&lt;201,E126/2,IF(E126&lt;=301,E126/3,E126/4))))</f>
        <v>1532.341512</v>
      </c>
      <c r="G126" s="106"/>
      <c r="H126" s="107"/>
      <c r="I126" s="36"/>
      <c r="L126" s="103"/>
      <c r="M126" s="103"/>
      <c r="N126" s="36"/>
    </row>
    <row r="127" spans="1:14" s="37" customFormat="1" ht="15.75" customHeight="1" x14ac:dyDescent="0.3">
      <c r="A127" s="82">
        <f t="shared" si="1"/>
        <v>3</v>
      </c>
      <c r="B127" s="83"/>
      <c r="C127" s="53">
        <v>3</v>
      </c>
      <c r="D127" s="42">
        <f>(81.24+3.05*1.225+3.25*1.23)*10.764</f>
        <v>957.71344499999987</v>
      </c>
      <c r="E127" s="42">
        <v>0</v>
      </c>
      <c r="F127" s="42">
        <f>D127*(($F$113)+1)+(IF(E127&lt;101,E127,IF(E127&lt;201,E127/2,IF(E127&lt;=301,E127/3,E127/4))))</f>
        <v>1532.341512</v>
      </c>
      <c r="G127" s="106"/>
      <c r="H127" s="107"/>
      <c r="I127" s="36"/>
      <c r="L127" s="103"/>
      <c r="M127" s="103"/>
      <c r="N127" s="36"/>
    </row>
    <row r="128" spans="1:14" s="37" customFormat="1" ht="15.75" customHeight="1" x14ac:dyDescent="0.3">
      <c r="A128" s="82">
        <f t="shared" si="1"/>
        <v>4</v>
      </c>
      <c r="B128" s="83"/>
      <c r="C128" s="53">
        <v>2</v>
      </c>
      <c r="D128" s="42">
        <f>(62.13+3.05*1.225)*10.764</f>
        <v>708.98431500000004</v>
      </c>
      <c r="E128" s="42">
        <v>0</v>
      </c>
      <c r="F128" s="42">
        <f>D128*(($F$113)+1)+(IF(E128&lt;101,E128,IF(E128&lt;201,E128/2,IF(E128&lt;=301,E128/3,E128/4))))</f>
        <v>1134.374904</v>
      </c>
      <c r="G128" s="106"/>
      <c r="H128" s="107"/>
      <c r="I128" s="36"/>
      <c r="L128" s="103"/>
      <c r="M128" s="103"/>
      <c r="N128" s="36"/>
    </row>
    <row r="129" spans="1:14" s="37" customFormat="1" ht="15.75" customHeight="1" x14ac:dyDescent="0.3">
      <c r="A129" s="82">
        <f t="shared" si="1"/>
        <v>5</v>
      </c>
      <c r="B129" s="83"/>
      <c r="C129" s="76" t="s">
        <v>208</v>
      </c>
      <c r="D129" s="77"/>
      <c r="E129" s="77"/>
      <c r="F129" s="78"/>
      <c r="G129" s="106"/>
      <c r="H129" s="107"/>
      <c r="I129" s="36"/>
      <c r="L129" s="103"/>
      <c r="M129" s="103"/>
      <c r="N129" s="36"/>
    </row>
    <row r="130" spans="1:14" s="37" customFormat="1" ht="15.75" customHeight="1" x14ac:dyDescent="0.3">
      <c r="A130" s="82">
        <f t="shared" si="1"/>
        <v>6</v>
      </c>
      <c r="B130" s="83"/>
      <c r="C130" s="79"/>
      <c r="D130" s="80"/>
      <c r="E130" s="80"/>
      <c r="F130" s="81"/>
      <c r="G130" s="108"/>
      <c r="H130" s="109"/>
      <c r="I130" s="36"/>
      <c r="L130" s="103"/>
      <c r="M130" s="103"/>
      <c r="N130" s="36"/>
    </row>
    <row r="131" spans="1:14" s="37" customFormat="1" ht="15.75" customHeight="1" x14ac:dyDescent="0.3">
      <c r="A131" s="91" t="s">
        <v>207</v>
      </c>
      <c r="B131" s="92"/>
      <c r="C131" s="92"/>
      <c r="D131" s="92"/>
      <c r="E131" s="92"/>
      <c r="F131" s="92"/>
      <c r="G131" s="92"/>
      <c r="H131" s="93"/>
      <c r="J131" s="36"/>
    </row>
    <row r="132" spans="1:14" s="37" customFormat="1" ht="15.75" customHeight="1" x14ac:dyDescent="0.3">
      <c r="A132" s="82">
        <v>1</v>
      </c>
      <c r="B132" s="83"/>
      <c r="C132" s="53">
        <v>2</v>
      </c>
      <c r="D132" s="42">
        <f>(61.98+3.05*1.225)*10.764</f>
        <v>707.36971499999993</v>
      </c>
      <c r="E132" s="42">
        <v>0</v>
      </c>
      <c r="F132" s="42">
        <f>D132*(($F$113)+1)+(IF(E132&lt;101,E132,IF(E132&lt;201,E132/2,IF(E132&lt;=301,E132/3,E132/4))))</f>
        <v>1131.7915439999999</v>
      </c>
      <c r="G132" s="104" t="str">
        <f>A131</f>
        <v>4th Podium Floor</v>
      </c>
      <c r="H132" s="105"/>
      <c r="I132" s="36"/>
      <c r="L132" s="103"/>
      <c r="M132" s="103"/>
      <c r="N132" s="36"/>
    </row>
    <row r="133" spans="1:14" s="37" customFormat="1" ht="15.75" customHeight="1" x14ac:dyDescent="0.3">
      <c r="A133" s="82">
        <f t="shared" ref="A133:A137" si="2">A132+1</f>
        <v>2</v>
      </c>
      <c r="B133" s="83"/>
      <c r="C133" s="53">
        <v>3</v>
      </c>
      <c r="D133" s="42">
        <f>(81.24+3.05*1.225+3.25*1.23)*10.764</f>
        <v>957.71344499999987</v>
      </c>
      <c r="E133" s="42">
        <v>0</v>
      </c>
      <c r="F133" s="42">
        <f>D133*(($F$113)+1)+(IF(E133&lt;101,E133,IF(E133&lt;201,E133/2,IF(E133&lt;=301,E133/3,E133/4))))</f>
        <v>1532.341512</v>
      </c>
      <c r="G133" s="106"/>
      <c r="H133" s="107"/>
      <c r="I133" s="36"/>
      <c r="L133" s="103"/>
      <c r="M133" s="103"/>
      <c r="N133" s="36"/>
    </row>
    <row r="134" spans="1:14" s="37" customFormat="1" ht="15.75" customHeight="1" x14ac:dyDescent="0.3">
      <c r="A134" s="82">
        <f t="shared" si="2"/>
        <v>3</v>
      </c>
      <c r="B134" s="83"/>
      <c r="C134" s="53">
        <v>3</v>
      </c>
      <c r="D134" s="42">
        <f>(81.24+3.05*1.225+3.25*1.23)*10.764</f>
        <v>957.71344499999987</v>
      </c>
      <c r="E134" s="42">
        <v>0</v>
      </c>
      <c r="F134" s="42">
        <f>D134*(($F$113)+1)+(IF(E134&lt;101,E134,IF(E134&lt;201,E134/2,IF(E134&lt;=301,E134/3,E134/4))))</f>
        <v>1532.341512</v>
      </c>
      <c r="G134" s="106"/>
      <c r="H134" s="107"/>
      <c r="I134" s="36"/>
      <c r="L134" s="103"/>
      <c r="M134" s="103"/>
      <c r="N134" s="36"/>
    </row>
    <row r="135" spans="1:14" s="37" customFormat="1" ht="15.75" customHeight="1" x14ac:dyDescent="0.3">
      <c r="A135" s="82">
        <f t="shared" si="2"/>
        <v>4</v>
      </c>
      <c r="B135" s="83"/>
      <c r="C135" s="53">
        <v>2</v>
      </c>
      <c r="D135" s="42">
        <f>(62.13+3.05*1.225)*10.764</f>
        <v>708.98431500000004</v>
      </c>
      <c r="E135" s="42">
        <v>0</v>
      </c>
      <c r="F135" s="42">
        <f>D135*(($F$113)+1)+(IF(E135&lt;101,E135,IF(E135&lt;201,E135/2,IF(E135&lt;=301,E135/3,E135/4))))</f>
        <v>1134.374904</v>
      </c>
      <c r="G135" s="106"/>
      <c r="H135" s="107"/>
      <c r="I135" s="36"/>
      <c r="L135" s="103"/>
      <c r="M135" s="103"/>
      <c r="N135" s="36"/>
    </row>
    <row r="136" spans="1:14" s="37" customFormat="1" ht="15.75" customHeight="1" x14ac:dyDescent="0.3">
      <c r="A136" s="82">
        <f t="shared" si="2"/>
        <v>5</v>
      </c>
      <c r="B136" s="83"/>
      <c r="C136" s="76" t="s">
        <v>209</v>
      </c>
      <c r="D136" s="77"/>
      <c r="E136" s="77"/>
      <c r="F136" s="78"/>
      <c r="G136" s="106"/>
      <c r="H136" s="107"/>
      <c r="I136" s="36"/>
      <c r="L136" s="103"/>
      <c r="M136" s="103"/>
      <c r="N136" s="36"/>
    </row>
    <row r="137" spans="1:14" s="37" customFormat="1" ht="15.75" customHeight="1" x14ac:dyDescent="0.3">
      <c r="A137" s="82">
        <f t="shared" si="2"/>
        <v>6</v>
      </c>
      <c r="B137" s="83"/>
      <c r="C137" s="79"/>
      <c r="D137" s="80"/>
      <c r="E137" s="80"/>
      <c r="F137" s="81"/>
      <c r="G137" s="108"/>
      <c r="H137" s="109"/>
      <c r="I137" s="36"/>
      <c r="L137" s="103"/>
      <c r="M137" s="103"/>
      <c r="N137" s="36"/>
    </row>
    <row r="138" spans="1:14" s="37" customFormat="1" ht="15.75" customHeight="1" x14ac:dyDescent="0.3">
      <c r="A138" s="91" t="s">
        <v>210</v>
      </c>
      <c r="B138" s="92"/>
      <c r="C138" s="92"/>
      <c r="D138" s="92"/>
      <c r="E138" s="92"/>
      <c r="F138" s="92"/>
      <c r="G138" s="92"/>
      <c r="H138" s="93"/>
      <c r="J138" s="36"/>
    </row>
    <row r="139" spans="1:14" s="37" customFormat="1" ht="15.75" customHeight="1" x14ac:dyDescent="0.3">
      <c r="A139" s="82">
        <v>1</v>
      </c>
      <c r="B139" s="83"/>
      <c r="C139" s="53">
        <v>2</v>
      </c>
      <c r="D139" s="42">
        <f>(61.98+3.05*1.225)*10.764</f>
        <v>707.36971499999993</v>
      </c>
      <c r="E139" s="42">
        <v>0</v>
      </c>
      <c r="F139" s="42">
        <f>D139*(($F$113)+1)+(IF(E139&lt;101,E139,IF(E139&lt;201,E139/2,IF(E139&lt;=301,E139/3,E139/4))))</f>
        <v>1131.7915439999999</v>
      </c>
      <c r="G139" s="104" t="str">
        <f>A138</f>
        <v>5th Podium Floor for Residential &amp; Health Spa</v>
      </c>
      <c r="H139" s="105"/>
      <c r="I139" s="36"/>
      <c r="L139" s="103"/>
      <c r="M139" s="103"/>
      <c r="N139" s="36"/>
    </row>
    <row r="140" spans="1:14" s="37" customFormat="1" ht="15.75" customHeight="1" x14ac:dyDescent="0.3">
      <c r="A140" s="82">
        <f t="shared" ref="A140:A144" si="3">A139+1</f>
        <v>2</v>
      </c>
      <c r="B140" s="83"/>
      <c r="C140" s="53">
        <v>3</v>
      </c>
      <c r="D140" s="42">
        <f>(81.24+3.05*1.225+3.25*1.23)*10.764</f>
        <v>957.71344499999987</v>
      </c>
      <c r="E140" s="42">
        <v>0</v>
      </c>
      <c r="F140" s="42">
        <f>D140*(($F$113)+1)+(IF(E140&lt;101,E140,IF(E140&lt;201,E140/2,IF(E140&lt;=301,E140/3,E140/4))))</f>
        <v>1532.341512</v>
      </c>
      <c r="G140" s="106"/>
      <c r="H140" s="107"/>
      <c r="I140" s="36"/>
      <c r="L140" s="103"/>
      <c r="M140" s="103"/>
      <c r="N140" s="36"/>
    </row>
    <row r="141" spans="1:14" s="37" customFormat="1" ht="15.75" customHeight="1" x14ac:dyDescent="0.3">
      <c r="A141" s="82">
        <f t="shared" si="3"/>
        <v>3</v>
      </c>
      <c r="B141" s="83"/>
      <c r="C141" s="53">
        <v>3</v>
      </c>
      <c r="D141" s="42">
        <f>(81.24+3.05*1.225+3.25*1.23)*10.764</f>
        <v>957.71344499999987</v>
      </c>
      <c r="E141" s="42">
        <v>0</v>
      </c>
      <c r="F141" s="42">
        <f>D141*(($F$113)+1)+(IF(E141&lt;101,E141,IF(E141&lt;201,E141/2,IF(E141&lt;=301,E141/3,E141/4))))</f>
        <v>1532.341512</v>
      </c>
      <c r="G141" s="106"/>
      <c r="H141" s="107"/>
      <c r="I141" s="36"/>
      <c r="J141" s="37">
        <f>1543*25000</f>
        <v>38575000</v>
      </c>
      <c r="L141" s="103"/>
      <c r="M141" s="103"/>
      <c r="N141" s="36"/>
    </row>
    <row r="142" spans="1:14" s="37" customFormat="1" ht="15.75" customHeight="1" x14ac:dyDescent="0.3">
      <c r="A142" s="82">
        <f t="shared" si="3"/>
        <v>4</v>
      </c>
      <c r="B142" s="83"/>
      <c r="C142" s="53">
        <v>2</v>
      </c>
      <c r="D142" s="42">
        <f>(62.13+3.05*1.225)*10.764</f>
        <v>708.98431500000004</v>
      </c>
      <c r="E142" s="42">
        <v>0</v>
      </c>
      <c r="F142" s="42">
        <f>D142*(($F$113)+1)+(IF(E142&lt;101,E142,IF(E142&lt;201,E142/2,IF(E142&lt;=301,E142/3,E142/4))))</f>
        <v>1134.374904</v>
      </c>
      <c r="G142" s="106"/>
      <c r="H142" s="107"/>
      <c r="I142" s="36"/>
      <c r="L142" s="103"/>
      <c r="M142" s="103"/>
      <c r="N142" s="36"/>
    </row>
    <row r="143" spans="1:14" s="37" customFormat="1" ht="15.75" customHeight="1" x14ac:dyDescent="0.3">
      <c r="A143" s="82">
        <f t="shared" si="3"/>
        <v>5</v>
      </c>
      <c r="B143" s="83"/>
      <c r="C143" s="76" t="s">
        <v>211</v>
      </c>
      <c r="D143" s="77"/>
      <c r="E143" s="77"/>
      <c r="F143" s="78"/>
      <c r="G143" s="106"/>
      <c r="H143" s="107"/>
      <c r="I143" s="36"/>
      <c r="L143" s="103"/>
      <c r="M143" s="103"/>
      <c r="N143" s="36"/>
    </row>
    <row r="144" spans="1:14" s="37" customFormat="1" ht="15.75" customHeight="1" x14ac:dyDescent="0.3">
      <c r="A144" s="82">
        <f t="shared" si="3"/>
        <v>6</v>
      </c>
      <c r="B144" s="83"/>
      <c r="C144" s="79"/>
      <c r="D144" s="80"/>
      <c r="E144" s="80"/>
      <c r="F144" s="81"/>
      <c r="G144" s="108"/>
      <c r="H144" s="109"/>
      <c r="I144" s="36"/>
      <c r="L144" s="103"/>
      <c r="M144" s="103"/>
      <c r="N144" s="36"/>
    </row>
    <row r="145" spans="1:14" s="37" customFormat="1" ht="15.75" customHeight="1" x14ac:dyDescent="0.3">
      <c r="A145" s="91" t="s">
        <v>212</v>
      </c>
      <c r="B145" s="92"/>
      <c r="C145" s="92"/>
      <c r="D145" s="92"/>
      <c r="E145" s="92"/>
      <c r="F145" s="92"/>
      <c r="G145" s="92"/>
      <c r="H145" s="93"/>
      <c r="J145" s="36"/>
    </row>
    <row r="146" spans="1:14" s="37" customFormat="1" ht="15.75" customHeight="1" x14ac:dyDescent="0.3">
      <c r="A146" s="82">
        <v>1</v>
      </c>
      <c r="B146" s="83"/>
      <c r="C146" s="53">
        <v>2</v>
      </c>
      <c r="D146" s="42">
        <f>(61.98+3.05*1.225)*10.764</f>
        <v>707.36971499999993</v>
      </c>
      <c r="E146" s="42">
        <v>0</v>
      </c>
      <c r="F146" s="42">
        <f>D146*(($F$113)+1)+(IF(E146&lt;101,E146,IF(E146&lt;201,E146/2,IF(E146&lt;=301,E146/3,E146/4))))</f>
        <v>1131.7915439999999</v>
      </c>
      <c r="G146" s="104" t="str">
        <f>A145</f>
        <v>6th Podium (Eco-Deck) Floor for Residential &amp; Café</v>
      </c>
      <c r="H146" s="105"/>
      <c r="I146" s="36"/>
      <c r="L146" s="103"/>
      <c r="M146" s="103"/>
      <c r="N146" s="36"/>
    </row>
    <row r="147" spans="1:14" s="37" customFormat="1" ht="15.75" customHeight="1" x14ac:dyDescent="0.3">
      <c r="A147" s="82">
        <f t="shared" ref="A147:A151" si="4">A146+1</f>
        <v>2</v>
      </c>
      <c r="B147" s="83"/>
      <c r="C147" s="53">
        <v>3</v>
      </c>
      <c r="D147" s="42">
        <f>(81.24+3.05*1.225+3.25*1.23)*10.764</f>
        <v>957.71344499999987</v>
      </c>
      <c r="E147" s="42">
        <v>0</v>
      </c>
      <c r="F147" s="42">
        <f>D147*(($F$113)+1)+(IF(E147&lt;101,E147,IF(E147&lt;201,E147/2,IF(E147&lt;=301,E147/3,E147/4))))</f>
        <v>1532.341512</v>
      </c>
      <c r="G147" s="106"/>
      <c r="H147" s="107"/>
      <c r="I147" s="36"/>
      <c r="L147" s="103"/>
      <c r="M147" s="103"/>
      <c r="N147" s="36"/>
    </row>
    <row r="148" spans="1:14" s="37" customFormat="1" ht="15.75" customHeight="1" x14ac:dyDescent="0.3">
      <c r="A148" s="82">
        <f t="shared" si="4"/>
        <v>3</v>
      </c>
      <c r="B148" s="83"/>
      <c r="C148" s="53">
        <v>3</v>
      </c>
      <c r="D148" s="42">
        <f>(81.24+3.05*1.225+3.25*1.23)*10.764</f>
        <v>957.71344499999987</v>
      </c>
      <c r="E148" s="42">
        <v>0</v>
      </c>
      <c r="F148" s="42">
        <f>D148*(($F$113)+1)+(IF(E148&lt;101,E148,IF(E148&lt;201,E148/2,IF(E148&lt;=301,E148/3,E148/4))))</f>
        <v>1532.341512</v>
      </c>
      <c r="G148" s="106"/>
      <c r="H148" s="107"/>
      <c r="I148" s="36"/>
      <c r="L148" s="103"/>
      <c r="M148" s="103"/>
      <c r="N148" s="36"/>
    </row>
    <row r="149" spans="1:14" s="37" customFormat="1" ht="15.75" customHeight="1" x14ac:dyDescent="0.3">
      <c r="A149" s="82">
        <f t="shared" si="4"/>
        <v>4</v>
      </c>
      <c r="B149" s="83"/>
      <c r="C149" s="53">
        <v>2</v>
      </c>
      <c r="D149" s="42">
        <f>(62.13+3.05*1.225)*10.764</f>
        <v>708.98431500000004</v>
      </c>
      <c r="E149" s="42">
        <v>0</v>
      </c>
      <c r="F149" s="42">
        <f>D149*(($F$113)+1)+(IF(E149&lt;101,E149,IF(E149&lt;201,E149/2,IF(E149&lt;=301,E149/3,E149/4))))</f>
        <v>1134.374904</v>
      </c>
      <c r="G149" s="106"/>
      <c r="H149" s="107"/>
      <c r="I149" s="36"/>
      <c r="L149" s="103"/>
      <c r="M149" s="103"/>
      <c r="N149" s="36"/>
    </row>
    <row r="150" spans="1:14" s="37" customFormat="1" ht="15.75" customHeight="1" x14ac:dyDescent="0.3">
      <c r="A150" s="82">
        <f t="shared" si="4"/>
        <v>5</v>
      </c>
      <c r="B150" s="83"/>
      <c r="C150" s="76" t="s">
        <v>213</v>
      </c>
      <c r="D150" s="77"/>
      <c r="E150" s="77"/>
      <c r="F150" s="78"/>
      <c r="G150" s="106"/>
      <c r="H150" s="107"/>
      <c r="I150" s="36"/>
      <c r="L150" s="103"/>
      <c r="M150" s="103"/>
      <c r="N150" s="36"/>
    </row>
    <row r="151" spans="1:14" s="37" customFormat="1" ht="15.75" customHeight="1" x14ac:dyDescent="0.3">
      <c r="A151" s="82">
        <f t="shared" si="4"/>
        <v>6</v>
      </c>
      <c r="B151" s="83"/>
      <c r="C151" s="79"/>
      <c r="D151" s="80"/>
      <c r="E151" s="80"/>
      <c r="F151" s="81"/>
      <c r="G151" s="108"/>
      <c r="H151" s="109"/>
      <c r="I151" s="36"/>
      <c r="L151" s="103"/>
      <c r="M151" s="103"/>
      <c r="N151" s="36"/>
    </row>
    <row r="152" spans="1:14" s="37" customFormat="1" ht="15.75" customHeight="1" x14ac:dyDescent="0.3">
      <c r="A152" s="91" t="s">
        <v>214</v>
      </c>
      <c r="B152" s="92"/>
      <c r="C152" s="92"/>
      <c r="D152" s="92"/>
      <c r="E152" s="92"/>
      <c r="F152" s="92"/>
      <c r="G152" s="92"/>
      <c r="H152" s="93"/>
      <c r="J152" s="36"/>
    </row>
    <row r="153" spans="1:14" s="37" customFormat="1" ht="15.75" customHeight="1" x14ac:dyDescent="0.3">
      <c r="A153" s="82">
        <v>1</v>
      </c>
      <c r="B153" s="83"/>
      <c r="C153" s="53">
        <v>2</v>
      </c>
      <c r="D153" s="42">
        <f>(61.98+3.05*1.225)*10.764</f>
        <v>707.36971499999993</v>
      </c>
      <c r="E153" s="42">
        <v>0</v>
      </c>
      <c r="F153" s="42">
        <f t="shared" ref="F153:F158" si="5">D153*(($F$113)+1)+(IF(E153&lt;101,E153,IF(E153&lt;201,E153/2,IF(E153&lt;=301,E153/3,E153/4))))</f>
        <v>1131.7915439999999</v>
      </c>
      <c r="G153" s="104" t="str">
        <f>A152</f>
        <v>7th Floor for Residential</v>
      </c>
      <c r="H153" s="105"/>
      <c r="I153" s="36"/>
      <c r="J153" s="37">
        <f>28100000/F153</f>
        <v>24827.8935718926</v>
      </c>
      <c r="L153" s="103"/>
      <c r="M153" s="103"/>
      <c r="N153" s="36"/>
    </row>
    <row r="154" spans="1:14" s="37" customFormat="1" ht="15.75" customHeight="1" x14ac:dyDescent="0.3">
      <c r="A154" s="82">
        <f t="shared" ref="A154:A158" si="6">A153+1</f>
        <v>2</v>
      </c>
      <c r="B154" s="83"/>
      <c r="C154" s="53">
        <v>3</v>
      </c>
      <c r="D154" s="42">
        <f>(81.24+3.05*1.225+3.25*1.23)*10.764</f>
        <v>957.71344499999987</v>
      </c>
      <c r="E154" s="42">
        <v>0</v>
      </c>
      <c r="F154" s="42">
        <f t="shared" si="5"/>
        <v>1532.341512</v>
      </c>
      <c r="G154" s="106"/>
      <c r="H154" s="107"/>
      <c r="I154" s="36"/>
      <c r="J154" s="37">
        <f t="shared" ref="J154:J156" si="7">28100000/F154</f>
        <v>18337.948675242835</v>
      </c>
      <c r="L154" s="103"/>
      <c r="M154" s="103"/>
      <c r="N154" s="36"/>
    </row>
    <row r="155" spans="1:14" s="37" customFormat="1" ht="15.75" customHeight="1" x14ac:dyDescent="0.3">
      <c r="A155" s="82">
        <f t="shared" si="6"/>
        <v>3</v>
      </c>
      <c r="B155" s="83"/>
      <c r="C155" s="53">
        <v>3</v>
      </c>
      <c r="D155" s="42">
        <f>(81.24+3.05*1.225+3.25*1.23)*10.764</f>
        <v>957.71344499999987</v>
      </c>
      <c r="E155" s="42">
        <v>0</v>
      </c>
      <c r="F155" s="42">
        <f t="shared" si="5"/>
        <v>1532.341512</v>
      </c>
      <c r="G155" s="106"/>
      <c r="H155" s="107"/>
      <c r="I155" s="36"/>
      <c r="J155" s="37">
        <f t="shared" si="7"/>
        <v>18337.948675242835</v>
      </c>
      <c r="L155" s="103"/>
      <c r="M155" s="103"/>
      <c r="N155" s="36"/>
    </row>
    <row r="156" spans="1:14" s="37" customFormat="1" ht="15.6" customHeight="1" x14ac:dyDescent="0.3">
      <c r="A156" s="82">
        <f t="shared" si="6"/>
        <v>4</v>
      </c>
      <c r="B156" s="83"/>
      <c r="C156" s="53">
        <v>2</v>
      </c>
      <c r="D156" s="42">
        <f>(62.13+3.05*1.225)*10.764</f>
        <v>708.98431500000004</v>
      </c>
      <c r="E156" s="42">
        <v>0</v>
      </c>
      <c r="F156" s="42">
        <f t="shared" si="5"/>
        <v>1134.374904</v>
      </c>
      <c r="G156" s="106"/>
      <c r="H156" s="107"/>
      <c r="I156" s="36"/>
      <c r="J156" s="37">
        <f t="shared" si="7"/>
        <v>24771.351958611383</v>
      </c>
      <c r="L156" s="103"/>
      <c r="M156" s="103"/>
      <c r="N156" s="36"/>
    </row>
    <row r="157" spans="1:14" s="37" customFormat="1" ht="15.75" customHeight="1" x14ac:dyDescent="0.3">
      <c r="A157" s="82">
        <f t="shared" si="6"/>
        <v>5</v>
      </c>
      <c r="B157" s="83"/>
      <c r="C157" s="53">
        <v>2</v>
      </c>
      <c r="D157" s="42">
        <f>(59.85)*10.764</f>
        <v>644.22539999999992</v>
      </c>
      <c r="E157" s="42">
        <v>0</v>
      </c>
      <c r="F157" s="42">
        <f t="shared" si="5"/>
        <v>1030.76064</v>
      </c>
      <c r="G157" s="106"/>
      <c r="H157" s="107"/>
      <c r="I157" s="36"/>
      <c r="J157" s="37">
        <f t="shared" ref="J157:J158" si="8">28100000/F157</f>
        <v>27261.421235486836</v>
      </c>
      <c r="L157" s="103"/>
      <c r="M157" s="103"/>
      <c r="N157" s="36"/>
    </row>
    <row r="158" spans="1:14" s="37" customFormat="1" ht="15.6" customHeight="1" x14ac:dyDescent="0.3">
      <c r="A158" s="82">
        <f t="shared" si="6"/>
        <v>6</v>
      </c>
      <c r="B158" s="83"/>
      <c r="C158" s="53">
        <v>2</v>
      </c>
      <c r="D158" s="42">
        <f>(59.85)*10.764</f>
        <v>644.22539999999992</v>
      </c>
      <c r="E158" s="42">
        <v>0</v>
      </c>
      <c r="F158" s="42">
        <f t="shared" si="5"/>
        <v>1030.76064</v>
      </c>
      <c r="G158" s="108"/>
      <c r="H158" s="109"/>
      <c r="I158" s="36"/>
      <c r="J158" s="37">
        <f t="shared" si="8"/>
        <v>27261.421235486836</v>
      </c>
      <c r="L158" s="103"/>
      <c r="M158" s="103"/>
      <c r="N158" s="36"/>
    </row>
    <row r="159" spans="1:14" s="37" customFormat="1" ht="15.75" customHeight="1" x14ac:dyDescent="0.3">
      <c r="A159" s="91" t="s">
        <v>215</v>
      </c>
      <c r="B159" s="92"/>
      <c r="C159" s="92"/>
      <c r="D159" s="92"/>
      <c r="E159" s="92"/>
      <c r="F159" s="92"/>
      <c r="G159" s="92"/>
      <c r="H159" s="93"/>
      <c r="I159" s="36"/>
    </row>
    <row r="160" spans="1:14" s="37" customFormat="1" ht="15.75" customHeight="1" x14ac:dyDescent="0.3">
      <c r="A160" s="82">
        <v>1</v>
      </c>
      <c r="B160" s="83"/>
      <c r="C160" s="53">
        <v>2</v>
      </c>
      <c r="D160" s="42">
        <f>(61.98+3.05*1.225)*10.764</f>
        <v>707.36971499999993</v>
      </c>
      <c r="E160" s="42">
        <v>0</v>
      </c>
      <c r="F160" s="42">
        <f t="shared" ref="F160:F165" si="9">D160*(($F$113)+1)+(IF(E160&lt;101,E160,IF(E160&lt;201,E160/2,IF(E160&lt;=301,E160/3,E160/4))))</f>
        <v>1131.7915439999999</v>
      </c>
      <c r="G160" s="104" t="str">
        <f>A159</f>
        <v>9th to 14th, 16th to 21st, 23rd to 28th Floor</v>
      </c>
      <c r="H160" s="105"/>
      <c r="I160" s="36"/>
    </row>
    <row r="161" spans="1:12" s="37" customFormat="1" ht="15.75" customHeight="1" x14ac:dyDescent="0.3">
      <c r="A161" s="82">
        <f t="shared" ref="A161:A165" si="10">A160+1</f>
        <v>2</v>
      </c>
      <c r="B161" s="83"/>
      <c r="C161" s="53">
        <v>3</v>
      </c>
      <c r="D161" s="42">
        <f>(81.24+3.05*1.225+3.25*1.23)*10.764</f>
        <v>957.71344499999987</v>
      </c>
      <c r="E161" s="42">
        <v>0</v>
      </c>
      <c r="F161" s="42">
        <f t="shared" si="9"/>
        <v>1532.341512</v>
      </c>
      <c r="G161" s="106"/>
      <c r="H161" s="107"/>
      <c r="I161" s="36"/>
      <c r="J161" s="37">
        <f>40917021/F161</f>
        <v>26702.285802200469</v>
      </c>
    </row>
    <row r="162" spans="1:12" s="37" customFormat="1" ht="15.75" customHeight="1" x14ac:dyDescent="0.3">
      <c r="A162" s="82">
        <f t="shared" si="10"/>
        <v>3</v>
      </c>
      <c r="B162" s="83"/>
      <c r="C162" s="53">
        <v>3</v>
      </c>
      <c r="D162" s="42">
        <f>(81.24+3.05*1.225+3.25*1.23)*10.764</f>
        <v>957.71344499999987</v>
      </c>
      <c r="E162" s="42">
        <v>0</v>
      </c>
      <c r="F162" s="42">
        <f t="shared" si="9"/>
        <v>1532.341512</v>
      </c>
      <c r="G162" s="106"/>
      <c r="H162" s="107"/>
      <c r="I162" s="36"/>
    </row>
    <row r="163" spans="1:12" s="37" customFormat="1" ht="15.75" customHeight="1" x14ac:dyDescent="0.3">
      <c r="A163" s="82">
        <f t="shared" si="10"/>
        <v>4</v>
      </c>
      <c r="B163" s="83"/>
      <c r="C163" s="53">
        <v>2</v>
      </c>
      <c r="D163" s="42">
        <f>(62.13+3.05*1.225)*10.764</f>
        <v>708.98431500000004</v>
      </c>
      <c r="E163" s="42">
        <v>0</v>
      </c>
      <c r="F163" s="42">
        <f t="shared" si="9"/>
        <v>1134.374904</v>
      </c>
      <c r="G163" s="106"/>
      <c r="H163" s="107"/>
      <c r="I163" s="36">
        <f>748*1.6</f>
        <v>1196.8</v>
      </c>
      <c r="J163" s="37">
        <f>28144681/F163</f>
        <v>24810.740171311125</v>
      </c>
      <c r="K163" s="37">
        <f>23000*F163+5500000</f>
        <v>31590622.791999999</v>
      </c>
    </row>
    <row r="164" spans="1:12" s="37" customFormat="1" ht="15.75" customHeight="1" x14ac:dyDescent="0.3">
      <c r="A164" s="82">
        <f t="shared" si="10"/>
        <v>5</v>
      </c>
      <c r="B164" s="83"/>
      <c r="C164" s="53">
        <v>2</v>
      </c>
      <c r="D164" s="42">
        <f>(59.85)*10.764</f>
        <v>644.22539999999992</v>
      </c>
      <c r="E164" s="42">
        <v>0</v>
      </c>
      <c r="F164" s="42">
        <f t="shared" si="9"/>
        <v>1030.76064</v>
      </c>
      <c r="G164" s="106"/>
      <c r="H164" s="107"/>
      <c r="I164" s="36"/>
    </row>
    <row r="165" spans="1:12" s="37" customFormat="1" ht="15.75" customHeight="1" x14ac:dyDescent="0.3">
      <c r="A165" s="82">
        <f t="shared" si="10"/>
        <v>6</v>
      </c>
      <c r="B165" s="83"/>
      <c r="C165" s="53">
        <v>2</v>
      </c>
      <c r="D165" s="42">
        <f>(59.85)*10.764</f>
        <v>644.22539999999992</v>
      </c>
      <c r="E165" s="42">
        <v>0</v>
      </c>
      <c r="F165" s="42">
        <f t="shared" si="9"/>
        <v>1030.76064</v>
      </c>
      <c r="G165" s="108"/>
      <c r="H165" s="109"/>
      <c r="I165" s="36"/>
    </row>
    <row r="166" spans="1:12" s="37" customFormat="1" ht="15.75" customHeight="1" x14ac:dyDescent="0.3">
      <c r="A166" s="91" t="s">
        <v>216</v>
      </c>
      <c r="B166" s="92"/>
      <c r="C166" s="92"/>
      <c r="D166" s="92"/>
      <c r="E166" s="92"/>
      <c r="F166" s="92"/>
      <c r="G166" s="92"/>
      <c r="H166" s="93"/>
      <c r="I166" s="36"/>
    </row>
    <row r="167" spans="1:12" s="37" customFormat="1" ht="15.75" customHeight="1" x14ac:dyDescent="0.3">
      <c r="A167" s="82">
        <v>1</v>
      </c>
      <c r="B167" s="83"/>
      <c r="C167" s="53">
        <v>2</v>
      </c>
      <c r="D167" s="42">
        <f>(61.98+3.05*1.225)*10.764</f>
        <v>707.36971499999993</v>
      </c>
      <c r="E167" s="42">
        <v>0</v>
      </c>
      <c r="F167" s="42">
        <f t="shared" ref="F167:F170" si="11">D167*(($F$113)+1)+(IF(E167&lt;101,E167,IF(E167&lt;201,E167/2,IF(E167&lt;=301,E167/3,E167/4))))</f>
        <v>1131.7915439999999</v>
      </c>
      <c r="G167" s="104" t="str">
        <f>A166</f>
        <v>8th, 15th, 22nd &amp; 29th Floor</v>
      </c>
      <c r="H167" s="105"/>
      <c r="I167" s="36"/>
    </row>
    <row r="168" spans="1:12" s="37" customFormat="1" ht="15.75" customHeight="1" x14ac:dyDescent="0.3">
      <c r="A168" s="82">
        <f t="shared" ref="A168:A172" si="12">A167+1</f>
        <v>2</v>
      </c>
      <c r="B168" s="83"/>
      <c r="C168" s="53">
        <v>3</v>
      </c>
      <c r="D168" s="42">
        <f>(81.24+3.05*1.225+3.25*1.23)*10.764</f>
        <v>957.71344499999987</v>
      </c>
      <c r="E168" s="42">
        <v>0</v>
      </c>
      <c r="F168" s="42">
        <f t="shared" si="11"/>
        <v>1532.341512</v>
      </c>
      <c r="G168" s="106"/>
      <c r="H168" s="107"/>
      <c r="I168" s="36"/>
    </row>
    <row r="169" spans="1:12" s="37" customFormat="1" ht="15.75" customHeight="1" x14ac:dyDescent="0.3">
      <c r="A169" s="82">
        <f t="shared" si="12"/>
        <v>3</v>
      </c>
      <c r="B169" s="83"/>
      <c r="C169" s="53">
        <v>3</v>
      </c>
      <c r="D169" s="42">
        <f>(81.24+3.05*1.225+3.25*1.23)*10.764</f>
        <v>957.71344499999987</v>
      </c>
      <c r="E169" s="42">
        <v>0</v>
      </c>
      <c r="F169" s="42">
        <f t="shared" si="11"/>
        <v>1532.341512</v>
      </c>
      <c r="G169" s="106"/>
      <c r="H169" s="107"/>
      <c r="I169" s="36"/>
    </row>
    <row r="170" spans="1:12" s="37" customFormat="1" ht="15.75" customHeight="1" x14ac:dyDescent="0.3">
      <c r="A170" s="82">
        <f t="shared" si="12"/>
        <v>4</v>
      </c>
      <c r="B170" s="83"/>
      <c r="C170" s="53">
        <v>2</v>
      </c>
      <c r="D170" s="42">
        <f>(62.13+3.05*1.225)*10.764</f>
        <v>708.98431500000004</v>
      </c>
      <c r="E170" s="42">
        <v>0</v>
      </c>
      <c r="F170" s="42">
        <f t="shared" si="11"/>
        <v>1134.374904</v>
      </c>
      <c r="G170" s="106"/>
      <c r="H170" s="107"/>
      <c r="I170" s="36"/>
    </row>
    <row r="171" spans="1:12" s="37" customFormat="1" ht="15.75" customHeight="1" x14ac:dyDescent="0.3">
      <c r="A171" s="82">
        <f t="shared" si="12"/>
        <v>5</v>
      </c>
      <c r="B171" s="83"/>
      <c r="C171" s="76" t="s">
        <v>217</v>
      </c>
      <c r="D171" s="77"/>
      <c r="E171" s="77"/>
      <c r="F171" s="78"/>
      <c r="G171" s="106"/>
      <c r="H171" s="107"/>
      <c r="I171" s="36"/>
    </row>
    <row r="172" spans="1:12" s="37" customFormat="1" ht="15.75" customHeight="1" x14ac:dyDescent="0.3">
      <c r="A172" s="82">
        <f t="shared" si="12"/>
        <v>6</v>
      </c>
      <c r="B172" s="83"/>
      <c r="C172" s="79"/>
      <c r="D172" s="80"/>
      <c r="E172" s="80"/>
      <c r="F172" s="81"/>
      <c r="G172" s="108"/>
      <c r="H172" s="109"/>
      <c r="I172" s="36"/>
    </row>
    <row r="173" spans="1:12" s="37" customFormat="1" x14ac:dyDescent="0.3">
      <c r="A173" s="91" t="s">
        <v>218</v>
      </c>
      <c r="B173" s="92"/>
      <c r="C173" s="92"/>
      <c r="D173" s="92"/>
      <c r="E173" s="92"/>
      <c r="F173" s="92"/>
      <c r="G173" s="92"/>
      <c r="H173" s="93"/>
      <c r="I173" s="36"/>
    </row>
    <row r="174" spans="1:12" s="37" customFormat="1" ht="15.6" customHeight="1" x14ac:dyDescent="0.3">
      <c r="A174" s="82">
        <v>1</v>
      </c>
      <c r="B174" s="83"/>
      <c r="C174" s="53">
        <v>2</v>
      </c>
      <c r="D174" s="42">
        <f>(61.98+3.05*1.225)*10.764</f>
        <v>707.36971499999993</v>
      </c>
      <c r="E174" s="42">
        <v>0</v>
      </c>
      <c r="F174" s="42">
        <f t="shared" ref="F174:F179" si="13">D174*(($F$113)+1)+(IF(E174&lt;101,E174,IF(E174&lt;201,E174/2,IF(E174&lt;=301,E174/3,E174/4))))</f>
        <v>1131.7915439999999</v>
      </c>
      <c r="G174" s="104" t="str">
        <f>A173</f>
        <v>30th to 35th Floor</v>
      </c>
      <c r="H174" s="105"/>
      <c r="I174" s="36">
        <f>(F174+F175)*26400</f>
        <v>70333112.678399995</v>
      </c>
      <c r="J174" s="36">
        <f>I174+(780000*2)</f>
        <v>71893112.678399995</v>
      </c>
      <c r="K174" s="36">
        <f>J174+3600000</f>
        <v>75493112.678399995</v>
      </c>
      <c r="L174" s="36">
        <f>3045000+K174</f>
        <v>78538112.678399995</v>
      </c>
    </row>
    <row r="175" spans="1:12" s="37" customFormat="1" ht="15.6" customHeight="1" x14ac:dyDescent="0.3">
      <c r="A175" s="82">
        <f>A174+1</f>
        <v>2</v>
      </c>
      <c r="B175" s="83"/>
      <c r="C175" s="53">
        <v>3</v>
      </c>
      <c r="D175" s="42">
        <f>(81.24+3.05*1.225+3.25*1.23)*10.764</f>
        <v>957.71344499999987</v>
      </c>
      <c r="E175" s="42">
        <v>0</v>
      </c>
      <c r="F175" s="42">
        <f t="shared" si="13"/>
        <v>1532.341512</v>
      </c>
      <c r="G175" s="106"/>
      <c r="H175" s="107"/>
      <c r="I175" s="36"/>
      <c r="J175" s="36"/>
    </row>
    <row r="176" spans="1:12" s="37" customFormat="1" ht="15.6" customHeight="1" x14ac:dyDescent="0.3">
      <c r="A176" s="82">
        <f t="shared" ref="A176:A178" si="14">A175+1</f>
        <v>3</v>
      </c>
      <c r="B176" s="83"/>
      <c r="C176" s="53">
        <v>3</v>
      </c>
      <c r="D176" s="42">
        <f>(81.24+3.05*1.225+3.25*1.23)*10.764</f>
        <v>957.71344499999987</v>
      </c>
      <c r="E176" s="42">
        <v>0</v>
      </c>
      <c r="F176" s="42">
        <f t="shared" si="13"/>
        <v>1532.341512</v>
      </c>
      <c r="G176" s="106"/>
      <c r="H176" s="107"/>
      <c r="I176" s="36"/>
    </row>
    <row r="177" spans="1:11" s="37" customFormat="1" ht="15.6" customHeight="1" x14ac:dyDescent="0.3">
      <c r="A177" s="82">
        <f t="shared" si="14"/>
        <v>4</v>
      </c>
      <c r="B177" s="83"/>
      <c r="C177" s="53">
        <v>2</v>
      </c>
      <c r="D177" s="42">
        <f>(62.13+3.05*1.225)*10.764</f>
        <v>708.98431500000004</v>
      </c>
      <c r="E177" s="42">
        <v>0</v>
      </c>
      <c r="F177" s="42">
        <f t="shared" si="13"/>
        <v>1134.374904</v>
      </c>
      <c r="G177" s="106"/>
      <c r="H177" s="107"/>
      <c r="I177" s="36"/>
    </row>
    <row r="178" spans="1:11" s="37" customFormat="1" ht="15.6" customHeight="1" x14ac:dyDescent="0.3">
      <c r="A178" s="82">
        <f t="shared" si="14"/>
        <v>5</v>
      </c>
      <c r="B178" s="83"/>
      <c r="C178" s="53">
        <v>2</v>
      </c>
      <c r="D178" s="42">
        <f>(59.85+2.85*1.425)*10.764</f>
        <v>687.94069500000001</v>
      </c>
      <c r="E178" s="42">
        <v>0</v>
      </c>
      <c r="F178" s="42">
        <f t="shared" si="13"/>
        <v>1100.7051120000001</v>
      </c>
      <c r="G178" s="106"/>
      <c r="H178" s="107"/>
      <c r="I178" s="36"/>
    </row>
    <row r="179" spans="1:11" s="37" customFormat="1" ht="15.6" customHeight="1" x14ac:dyDescent="0.3">
      <c r="A179" s="82">
        <f t="shared" ref="A179" si="15">A178+1</f>
        <v>6</v>
      </c>
      <c r="B179" s="83"/>
      <c r="C179" s="53">
        <v>2</v>
      </c>
      <c r="D179" s="42">
        <f>(59.85+2.85*1.425)*10.764</f>
        <v>687.94069500000001</v>
      </c>
      <c r="E179" s="42">
        <v>0</v>
      </c>
      <c r="F179" s="42">
        <f t="shared" si="13"/>
        <v>1100.7051120000001</v>
      </c>
      <c r="G179" s="108"/>
      <c r="H179" s="109"/>
      <c r="I179" s="36"/>
      <c r="K179" s="37">
        <f>85-79</f>
        <v>6</v>
      </c>
    </row>
    <row r="180" spans="1:11" s="37" customFormat="1" hidden="1" x14ac:dyDescent="0.3">
      <c r="A180" s="91" t="s">
        <v>143</v>
      </c>
      <c r="B180" s="92"/>
      <c r="C180" s="92"/>
      <c r="D180" s="92"/>
      <c r="E180" s="92"/>
      <c r="F180" s="92"/>
      <c r="G180" s="92"/>
      <c r="H180" s="93"/>
      <c r="I180" s="36"/>
    </row>
    <row r="181" spans="1:11" s="37" customFormat="1" hidden="1" x14ac:dyDescent="0.3">
      <c r="A181" s="82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10^ROW(INDIRECT("1:"&amp;LEN((LEFT(A180,SUM(LEN(A180)-LEN(SUBSTITUTE(A180,{"0","1","2"},""))))))))/10))*100+1&amp;""&amp;"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",LEN(A180))),LEN(A180)))))))/10))*100+1</f>
        <v>201 to 501</v>
      </c>
      <c r="B181" s="83"/>
      <c r="C181" s="53"/>
      <c r="D181" s="42"/>
      <c r="E181" s="42">
        <v>0</v>
      </c>
      <c r="F181" s="42">
        <f>D181*(($F$113)+1)+(IF(E181&lt;101,E181,IF(E181&lt;201,E181/2,IF(E181&lt;=301,E181/3,E181/4))))</f>
        <v>0</v>
      </c>
      <c r="G181" s="82" t="str">
        <f>A180</f>
        <v>2nd to 5th Floor</v>
      </c>
      <c r="H181" s="83"/>
      <c r="I181" s="36"/>
    </row>
    <row r="182" spans="1:11" s="37" customFormat="1" hidden="1" x14ac:dyDescent="0.3">
      <c r="A182" s="82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202 to 502</v>
      </c>
      <c r="B182" s="83"/>
      <c r="C182" s="53"/>
      <c r="D182" s="42"/>
      <c r="E182" s="42">
        <v>0</v>
      </c>
      <c r="F182" s="42">
        <f>D182*(($F$113)+1)+(IF(E182&lt;101,E182,IF(E182&lt;201,E182/2,IF(E182&lt;=301,E182/3,E182/4))))</f>
        <v>0</v>
      </c>
      <c r="G182" s="82" t="str">
        <f>G181</f>
        <v>2nd to 5th Floor</v>
      </c>
      <c r="H182" s="83"/>
      <c r="I182" s="36"/>
    </row>
    <row r="183" spans="1:11" s="37" customFormat="1" hidden="1" x14ac:dyDescent="0.3">
      <c r="A183" s="82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203 to 503</v>
      </c>
      <c r="B183" s="83"/>
      <c r="C183" s="53"/>
      <c r="D183" s="42"/>
      <c r="E183" s="42">
        <v>0</v>
      </c>
      <c r="F183" s="42">
        <f>D183*(($F$113)+1)+(IF(E183&lt;101,E183,IF(E183&lt;201,E183/2,IF(E183&lt;=301,E183/3,E183/4))))</f>
        <v>0</v>
      </c>
      <c r="G183" s="82" t="str">
        <f>G182</f>
        <v>2nd to 5th Floor</v>
      </c>
      <c r="H183" s="83"/>
      <c r="I183" s="36"/>
    </row>
    <row r="184" spans="1:11" s="37" customFormat="1" hidden="1" x14ac:dyDescent="0.3">
      <c r="A184" s="82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204 to 504</v>
      </c>
      <c r="B184" s="83"/>
      <c r="C184" s="53"/>
      <c r="D184" s="42"/>
      <c r="E184" s="42">
        <v>0</v>
      </c>
      <c r="F184" s="42">
        <f>D184*(($F$113)+1)+(IF(E184&lt;101,E184,IF(E184&lt;201,E184/2,IF(E184&lt;=301,E184/3,E184/4))))</f>
        <v>0</v>
      </c>
      <c r="G184" s="82" t="str">
        <f>G183</f>
        <v>2nd to 5th Floor</v>
      </c>
      <c r="H184" s="83"/>
      <c r="I184" s="36"/>
    </row>
    <row r="185" spans="1:11" s="37" customFormat="1" hidden="1" x14ac:dyDescent="0.3">
      <c r="A185" s="82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to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205 to 505</v>
      </c>
      <c r="B185" s="83"/>
      <c r="C185" s="53"/>
      <c r="D185" s="42"/>
      <c r="E185" s="42">
        <v>0</v>
      </c>
      <c r="F185" s="42">
        <f>D185*(($F$113)+1)+(IF(E185&lt;101,E185,IF(E185&lt;201,E185/2,IF(E185&lt;=301,E185/3,E185/4))))</f>
        <v>0</v>
      </c>
      <c r="G185" s="82" t="str">
        <f>G184</f>
        <v>2nd to 5th Floor</v>
      </c>
      <c r="H185" s="83"/>
      <c r="I185" s="36"/>
    </row>
    <row r="186" spans="1:11" s="35" customFormat="1" x14ac:dyDescent="0.3">
      <c r="A186" s="175" t="s">
        <v>69</v>
      </c>
      <c r="B186" s="175"/>
      <c r="C186" s="175"/>
      <c r="D186" s="175"/>
      <c r="E186" s="175"/>
      <c r="F186" s="175"/>
      <c r="G186" s="175"/>
      <c r="H186" s="175"/>
    </row>
    <row r="187" spans="1:11" s="35" customFormat="1" x14ac:dyDescent="0.3">
      <c r="A187" s="46" t="s">
        <v>150</v>
      </c>
      <c r="B187" s="61" t="s">
        <v>190</v>
      </c>
      <c r="C187" s="62"/>
      <c r="D187" s="62"/>
      <c r="E187" s="62"/>
      <c r="F187" s="62"/>
      <c r="G187" s="62"/>
      <c r="H187" s="63"/>
    </row>
    <row r="188" spans="1:11" s="35" customFormat="1" x14ac:dyDescent="0.3">
      <c r="A188" s="46" t="s">
        <v>150</v>
      </c>
      <c r="B188" s="61" t="str">
        <f>(IF(F112="Saleable area Loading :","We have considered Saleable area of Flats as per our Calculation.","We considered Saleable area of Flat as per Builder area Sheet."))</f>
        <v>We have considered Saleable area of Flats as per our Calculation.</v>
      </c>
      <c r="C188" s="62"/>
      <c r="D188" s="62"/>
      <c r="E188" s="62"/>
      <c r="F188" s="62"/>
      <c r="G188" s="62"/>
      <c r="H188" s="63"/>
    </row>
    <row r="189" spans="1:11" s="35" customFormat="1" x14ac:dyDescent="0.3">
      <c r="A189" s="46" t="s">
        <v>150</v>
      </c>
      <c r="B189" s="68" t="s">
        <v>121</v>
      </c>
      <c r="C189" s="69"/>
      <c r="D189" s="69"/>
      <c r="E189" s="69"/>
      <c r="F189" s="69"/>
      <c r="G189" s="69"/>
      <c r="H189" s="70"/>
    </row>
    <row r="190" spans="1:11" s="35" customFormat="1" x14ac:dyDescent="0.3">
      <c r="A190" s="46" t="s">
        <v>150</v>
      </c>
      <c r="B190" s="68" t="s">
        <v>219</v>
      </c>
      <c r="C190" s="69"/>
      <c r="D190" s="69"/>
      <c r="E190" s="69"/>
      <c r="F190" s="69"/>
      <c r="G190" s="69"/>
      <c r="H190" s="70"/>
    </row>
    <row r="191" spans="1:11" s="35" customFormat="1" x14ac:dyDescent="0.3">
      <c r="A191" s="46" t="s">
        <v>150</v>
      </c>
      <c r="B191" s="68" t="s">
        <v>149</v>
      </c>
      <c r="C191" s="69"/>
      <c r="D191" s="69"/>
      <c r="E191" s="69"/>
      <c r="F191" s="69"/>
      <c r="G191" s="69"/>
      <c r="H191" s="70"/>
    </row>
    <row r="192" spans="1:11" s="35" customFormat="1" x14ac:dyDescent="0.3">
      <c r="A192" s="46" t="s">
        <v>150</v>
      </c>
      <c r="B192" s="68" t="s">
        <v>122</v>
      </c>
      <c r="C192" s="69"/>
      <c r="D192" s="69"/>
      <c r="E192" s="69"/>
      <c r="F192" s="69"/>
      <c r="G192" s="69"/>
      <c r="H192" s="70"/>
    </row>
    <row r="193" spans="1:8" s="35" customFormat="1" ht="34.5" customHeight="1" x14ac:dyDescent="0.3">
      <c r="A193" s="46" t="s">
        <v>150</v>
      </c>
      <c r="B193" s="68" t="s">
        <v>151</v>
      </c>
      <c r="C193" s="69"/>
      <c r="D193" s="69"/>
      <c r="E193" s="69"/>
      <c r="F193" s="69"/>
      <c r="G193" s="69"/>
      <c r="H193" s="70"/>
    </row>
    <row r="194" spans="1:8" s="35" customFormat="1" x14ac:dyDescent="0.3">
      <c r="A194" s="46" t="s">
        <v>150</v>
      </c>
      <c r="B194" s="68" t="s">
        <v>123</v>
      </c>
      <c r="C194" s="69"/>
      <c r="D194" s="69"/>
      <c r="E194" s="69"/>
      <c r="F194" s="69"/>
      <c r="G194" s="69"/>
      <c r="H194" s="70"/>
    </row>
    <row r="195" spans="1:8" s="35" customFormat="1" x14ac:dyDescent="0.3">
      <c r="A195" s="46" t="s">
        <v>150</v>
      </c>
      <c r="B195" s="61" t="s">
        <v>221</v>
      </c>
      <c r="C195" s="62"/>
      <c r="D195" s="62"/>
      <c r="E195" s="62"/>
      <c r="F195" s="62"/>
      <c r="G195" s="62"/>
      <c r="H195" s="63"/>
    </row>
    <row r="196" spans="1:8" s="35" customFormat="1" ht="30.6" customHeight="1" x14ac:dyDescent="0.3">
      <c r="A196" s="46" t="s">
        <v>150</v>
      </c>
      <c r="B196" s="61" t="s">
        <v>225</v>
      </c>
      <c r="C196" s="62"/>
      <c r="D196" s="62"/>
      <c r="E196" s="62"/>
      <c r="F196" s="62"/>
      <c r="G196" s="62"/>
      <c r="H196" s="63"/>
    </row>
    <row r="197" spans="1:8" s="35" customFormat="1" x14ac:dyDescent="0.3">
      <c r="A197" s="46" t="s">
        <v>150</v>
      </c>
      <c r="B197" s="61" t="s">
        <v>227</v>
      </c>
      <c r="C197" s="62"/>
      <c r="D197" s="62"/>
      <c r="E197" s="62"/>
      <c r="F197" s="62"/>
      <c r="G197" s="62"/>
      <c r="H197" s="63"/>
    </row>
    <row r="198" spans="1:8" x14ac:dyDescent="0.3">
      <c r="A198" s="167" t="s">
        <v>62</v>
      </c>
      <c r="B198" s="167"/>
      <c r="C198" s="167"/>
      <c r="D198" s="167"/>
      <c r="E198" s="167"/>
      <c r="F198" s="167"/>
      <c r="G198" s="167"/>
      <c r="H198" s="167"/>
    </row>
    <row r="199" spans="1:8" x14ac:dyDescent="0.3">
      <c r="A199" s="85" t="s">
        <v>63</v>
      </c>
      <c r="B199" s="85"/>
      <c r="C199" s="85"/>
      <c r="D199" s="85"/>
      <c r="E199" s="85"/>
      <c r="F199" s="85"/>
      <c r="G199" s="85"/>
      <c r="H199" s="85"/>
    </row>
    <row r="200" spans="1:8" ht="15.75" customHeight="1" x14ac:dyDescent="0.3">
      <c r="A200" s="170" t="s">
        <v>64</v>
      </c>
      <c r="B200" s="170"/>
      <c r="C200" s="170"/>
      <c r="D200" s="170"/>
      <c r="E200" s="170"/>
      <c r="F200" s="170"/>
      <c r="G200" s="170"/>
      <c r="H200" s="170"/>
    </row>
    <row r="201" spans="1:8" x14ac:dyDescent="0.3">
      <c r="A201" s="85" t="s">
        <v>65</v>
      </c>
      <c r="B201" s="85"/>
      <c r="C201" s="85"/>
      <c r="D201" s="85"/>
      <c r="E201" s="85"/>
      <c r="F201" s="85"/>
      <c r="G201" s="85"/>
      <c r="H201" s="85"/>
    </row>
    <row r="202" spans="1:8" x14ac:dyDescent="0.3">
      <c r="A202" s="85" t="s">
        <v>66</v>
      </c>
      <c r="B202" s="85"/>
      <c r="C202" s="85"/>
      <c r="D202" s="85"/>
      <c r="E202" s="85"/>
      <c r="F202" s="85"/>
      <c r="G202" s="85"/>
      <c r="H202" s="85"/>
    </row>
    <row r="203" spans="1:8" x14ac:dyDescent="0.3">
      <c r="A203" s="85" t="s">
        <v>124</v>
      </c>
      <c r="B203" s="85"/>
      <c r="C203" s="85"/>
      <c r="D203" s="85"/>
      <c r="E203" s="85"/>
      <c r="F203" s="85"/>
      <c r="G203" s="85"/>
      <c r="H203" s="85"/>
    </row>
    <row r="204" spans="1:8" ht="35.25" customHeight="1" x14ac:dyDescent="0.3">
      <c r="A204" s="124" t="s">
        <v>125</v>
      </c>
      <c r="B204" s="124"/>
      <c r="C204" s="124"/>
      <c r="D204" s="124"/>
      <c r="E204" s="124"/>
      <c r="F204" s="124"/>
      <c r="G204" s="124"/>
      <c r="H204" s="124"/>
    </row>
    <row r="205" spans="1:8" ht="15.6" customHeight="1" x14ac:dyDescent="0.3">
      <c r="A205" s="160" t="s">
        <v>77</v>
      </c>
      <c r="B205" s="160"/>
      <c r="C205" s="160" t="s">
        <v>220</v>
      </c>
      <c r="D205" s="160"/>
      <c r="E205" s="160" t="s">
        <v>103</v>
      </c>
      <c r="F205" s="160"/>
      <c r="G205" s="161" t="s">
        <v>229</v>
      </c>
      <c r="H205" s="162"/>
    </row>
    <row r="206" spans="1:8" x14ac:dyDescent="0.3">
      <c r="A206" s="159" t="s">
        <v>79</v>
      </c>
      <c r="B206" s="159"/>
      <c r="C206" s="159"/>
      <c r="D206" s="159"/>
      <c r="E206" s="159"/>
      <c r="F206" s="159"/>
      <c r="G206" s="159"/>
      <c r="H206" s="159"/>
    </row>
    <row r="207" spans="1:8" x14ac:dyDescent="0.3">
      <c r="A207" s="159"/>
      <c r="B207" s="159"/>
      <c r="C207" s="159"/>
      <c r="D207" s="159"/>
      <c r="E207" s="159"/>
      <c r="F207" s="159"/>
      <c r="G207" s="159"/>
      <c r="H207" s="159"/>
    </row>
    <row r="208" spans="1:8" x14ac:dyDescent="0.3">
      <c r="A208" s="159"/>
      <c r="B208" s="159"/>
      <c r="C208" s="159"/>
      <c r="D208" s="159"/>
      <c r="E208" s="159"/>
      <c r="F208" s="159"/>
      <c r="G208" s="159"/>
      <c r="H208" s="159"/>
    </row>
    <row r="209" spans="1:8" x14ac:dyDescent="0.3">
      <c r="A209" s="159"/>
      <c r="B209" s="159"/>
      <c r="C209" s="159"/>
      <c r="D209" s="159"/>
      <c r="E209" s="159"/>
      <c r="F209" s="159"/>
      <c r="G209" s="159"/>
      <c r="H209" s="159"/>
    </row>
    <row r="210" spans="1:8" x14ac:dyDescent="0.3">
      <c r="A210" s="38" t="s">
        <v>67</v>
      </c>
      <c r="B210" s="39"/>
      <c r="C210" s="39"/>
      <c r="D210" s="38" t="str">
        <f>E8</f>
        <v>Transcon Triumph Tower 4</v>
      </c>
      <c r="F210" s="39"/>
      <c r="G210" s="39"/>
      <c r="H210" s="39"/>
    </row>
    <row r="211" spans="1:8" x14ac:dyDescent="0.3">
      <c r="A211" s="39"/>
      <c r="B211" s="39"/>
      <c r="C211" s="39"/>
      <c r="D211" s="39"/>
      <c r="E211" s="39"/>
      <c r="F211" s="39"/>
      <c r="G211" s="39"/>
      <c r="H211" s="39"/>
    </row>
    <row r="212" spans="1:8" x14ac:dyDescent="0.3">
      <c r="A212" s="39"/>
      <c r="B212" s="39"/>
      <c r="C212" s="39"/>
      <c r="D212" s="39"/>
      <c r="E212" s="39"/>
      <c r="F212" s="39"/>
      <c r="G212" s="39"/>
      <c r="H212" s="39"/>
    </row>
    <row r="213" spans="1:8" ht="15" customHeight="1" x14ac:dyDescent="0.3"/>
    <row r="251" spans="1:1" x14ac:dyDescent="0.3">
      <c r="A251" s="41" t="s">
        <v>68</v>
      </c>
    </row>
  </sheetData>
  <mergeCells count="372">
    <mergeCell ref="L150:M150"/>
    <mergeCell ref="A151:B151"/>
    <mergeCell ref="L139:M139"/>
    <mergeCell ref="L140:M140"/>
    <mergeCell ref="L141:M141"/>
    <mergeCell ref="L142:M142"/>
    <mergeCell ref="A157:B157"/>
    <mergeCell ref="L157:M157"/>
    <mergeCell ref="L158:M158"/>
    <mergeCell ref="G153:H158"/>
    <mergeCell ref="A143:B143"/>
    <mergeCell ref="C143:F144"/>
    <mergeCell ref="L143:M143"/>
    <mergeCell ref="A144:B144"/>
    <mergeCell ref="L144:M144"/>
    <mergeCell ref="G139:H144"/>
    <mergeCell ref="A145:H145"/>
    <mergeCell ref="A146:B146"/>
    <mergeCell ref="G146:H151"/>
    <mergeCell ref="L146:M146"/>
    <mergeCell ref="A147:B147"/>
    <mergeCell ref="L147:M147"/>
    <mergeCell ref="A148:B148"/>
    <mergeCell ref="L148:M148"/>
    <mergeCell ref="C47:E47"/>
    <mergeCell ref="C50:H50"/>
    <mergeCell ref="D59:H59"/>
    <mergeCell ref="E68:F68"/>
    <mergeCell ref="A149:B149"/>
    <mergeCell ref="L149:M149"/>
    <mergeCell ref="L133:M133"/>
    <mergeCell ref="A134:B134"/>
    <mergeCell ref="L134:M134"/>
    <mergeCell ref="A135:B135"/>
    <mergeCell ref="L135:M135"/>
    <mergeCell ref="A136:B136"/>
    <mergeCell ref="C136:F137"/>
    <mergeCell ref="L136:M136"/>
    <mergeCell ref="A137:B137"/>
    <mergeCell ref="L137:M137"/>
    <mergeCell ref="G93:H93"/>
    <mergeCell ref="A94:E94"/>
    <mergeCell ref="A95:E95"/>
    <mergeCell ref="F94:H94"/>
    <mergeCell ref="A97:E97"/>
    <mergeCell ref="A100:E100"/>
    <mergeCell ref="F97:H97"/>
    <mergeCell ref="C93:D93"/>
    <mergeCell ref="C36:H36"/>
    <mergeCell ref="A155:B155"/>
    <mergeCell ref="A153:B153"/>
    <mergeCell ref="A125:B125"/>
    <mergeCell ref="A140:B140"/>
    <mergeCell ref="A141:B141"/>
    <mergeCell ref="A48:B48"/>
    <mergeCell ref="A53:H53"/>
    <mergeCell ref="A54:C54"/>
    <mergeCell ref="A55:C55"/>
    <mergeCell ref="D55:H55"/>
    <mergeCell ref="G51:H51"/>
    <mergeCell ref="A51:B52"/>
    <mergeCell ref="C52:H52"/>
    <mergeCell ref="E40:H40"/>
    <mergeCell ref="A40:D40"/>
    <mergeCell ref="A47:B47"/>
    <mergeCell ref="A90:B90"/>
    <mergeCell ref="A91:B91"/>
    <mergeCell ref="A92:B92"/>
    <mergeCell ref="A99:E99"/>
    <mergeCell ref="A85:B85"/>
    <mergeCell ref="A86:B86"/>
    <mergeCell ref="A93:B93"/>
    <mergeCell ref="E93:F93"/>
    <mergeCell ref="A200:H200"/>
    <mergeCell ref="G184:H184"/>
    <mergeCell ref="A158:B158"/>
    <mergeCell ref="A108:B108"/>
    <mergeCell ref="D112:D113"/>
    <mergeCell ref="E112:E113"/>
    <mergeCell ref="G112:H113"/>
    <mergeCell ref="A183:B183"/>
    <mergeCell ref="G181:H181"/>
    <mergeCell ref="A170:B170"/>
    <mergeCell ref="A171:B171"/>
    <mergeCell ref="G132:H137"/>
    <mergeCell ref="A133:B133"/>
    <mergeCell ref="A150:B150"/>
    <mergeCell ref="C150:F151"/>
    <mergeCell ref="A122:B122"/>
    <mergeCell ref="B188:H188"/>
    <mergeCell ref="B189:H189"/>
    <mergeCell ref="B190:H190"/>
    <mergeCell ref="G185:H185"/>
    <mergeCell ref="A186:H186"/>
    <mergeCell ref="A176:B176"/>
    <mergeCell ref="G109:H109"/>
    <mergeCell ref="A206:H209"/>
    <mergeCell ref="A205:B205"/>
    <mergeCell ref="E205:F205"/>
    <mergeCell ref="C205:D205"/>
    <mergeCell ref="G205:H205"/>
    <mergeCell ref="A105:E105"/>
    <mergeCell ref="F105:H105"/>
    <mergeCell ref="A106:E106"/>
    <mergeCell ref="F106:H106"/>
    <mergeCell ref="A109:B109"/>
    <mergeCell ref="A162:B162"/>
    <mergeCell ref="A201:H201"/>
    <mergeCell ref="A107:H107"/>
    <mergeCell ref="A204:H204"/>
    <mergeCell ref="A202:H202"/>
    <mergeCell ref="C109:D109"/>
    <mergeCell ref="E109:F109"/>
    <mergeCell ref="A198:H198"/>
    <mergeCell ref="A199:H199"/>
    <mergeCell ref="E108:F108"/>
    <mergeCell ref="B194:H194"/>
    <mergeCell ref="B192:H192"/>
    <mergeCell ref="B197:H197"/>
    <mergeCell ref="A142:B142"/>
    <mergeCell ref="A203:H203"/>
    <mergeCell ref="A15:B15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4:B34"/>
    <mergeCell ref="C34:E3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F31:H31"/>
    <mergeCell ref="F32:H32"/>
    <mergeCell ref="D64:H64"/>
    <mergeCell ref="A62:C62"/>
    <mergeCell ref="A38:H38"/>
    <mergeCell ref="A58:C58"/>
    <mergeCell ref="F34:H34"/>
    <mergeCell ref="A36:B36"/>
    <mergeCell ref="A43:D43"/>
    <mergeCell ref="A44:D44"/>
    <mergeCell ref="A45:H45"/>
    <mergeCell ref="D56:H56"/>
    <mergeCell ref="A56:C56"/>
    <mergeCell ref="G48:H48"/>
    <mergeCell ref="A49:B50"/>
    <mergeCell ref="G47:H47"/>
    <mergeCell ref="G49:H49"/>
    <mergeCell ref="D54:H54"/>
    <mergeCell ref="C49:E49"/>
    <mergeCell ref="A57:C57"/>
    <mergeCell ref="D57:H57"/>
    <mergeCell ref="C48:E48"/>
    <mergeCell ref="C51:E51"/>
    <mergeCell ref="A41:D41"/>
    <mergeCell ref="E41:H41"/>
    <mergeCell ref="E42:H42"/>
    <mergeCell ref="A35:H35"/>
    <mergeCell ref="D62:H62"/>
    <mergeCell ref="A63:C63"/>
    <mergeCell ref="D63:H63"/>
    <mergeCell ref="G68:H68"/>
    <mergeCell ref="G69:H78"/>
    <mergeCell ref="A77:B77"/>
    <mergeCell ref="A78:B78"/>
    <mergeCell ref="A69:B69"/>
    <mergeCell ref="A74:B74"/>
    <mergeCell ref="A39:D39"/>
    <mergeCell ref="E39:H39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A114:H114"/>
    <mergeCell ref="A116:H116"/>
    <mergeCell ref="A117:H117"/>
    <mergeCell ref="A124:H124"/>
    <mergeCell ref="A111:H111"/>
    <mergeCell ref="E43:H43"/>
    <mergeCell ref="E44:H44"/>
    <mergeCell ref="A42:D42"/>
    <mergeCell ref="A76:B76"/>
    <mergeCell ref="F99:H99"/>
    <mergeCell ref="E82:F82"/>
    <mergeCell ref="G82:H82"/>
    <mergeCell ref="A83:B83"/>
    <mergeCell ref="E83:F92"/>
    <mergeCell ref="G83:H92"/>
    <mergeCell ref="A84:B84"/>
    <mergeCell ref="F95:H95"/>
    <mergeCell ref="A89:B89"/>
    <mergeCell ref="A59:C59"/>
    <mergeCell ref="D58:H58"/>
    <mergeCell ref="E69:F78"/>
    <mergeCell ref="A61:C61"/>
    <mergeCell ref="D61:H61"/>
    <mergeCell ref="A64:C64"/>
    <mergeCell ref="L121:M121"/>
    <mergeCell ref="L118:M118"/>
    <mergeCell ref="A119:B119"/>
    <mergeCell ref="L119:M119"/>
    <mergeCell ref="A120:B120"/>
    <mergeCell ref="L120:M120"/>
    <mergeCell ref="A118:B118"/>
    <mergeCell ref="L127:M127"/>
    <mergeCell ref="L125:M125"/>
    <mergeCell ref="A126:B126"/>
    <mergeCell ref="L126:M126"/>
    <mergeCell ref="G182:H182"/>
    <mergeCell ref="A161:B161"/>
    <mergeCell ref="A181:B181"/>
    <mergeCell ref="A182:B182"/>
    <mergeCell ref="G167:H172"/>
    <mergeCell ref="G160:H165"/>
    <mergeCell ref="A154:B154"/>
    <mergeCell ref="L154:M154"/>
    <mergeCell ref="A172:B172"/>
    <mergeCell ref="A165:B165"/>
    <mergeCell ref="A166:H166"/>
    <mergeCell ref="A167:B167"/>
    <mergeCell ref="A168:B168"/>
    <mergeCell ref="A169:B169"/>
    <mergeCell ref="L155:M155"/>
    <mergeCell ref="A156:B156"/>
    <mergeCell ref="L156:M156"/>
    <mergeCell ref="A180:H180"/>
    <mergeCell ref="A159:H159"/>
    <mergeCell ref="A173:H173"/>
    <mergeCell ref="G174:H179"/>
    <mergeCell ref="A104:E104"/>
    <mergeCell ref="C108:D108"/>
    <mergeCell ref="G108:H108"/>
    <mergeCell ref="L153:M153"/>
    <mergeCell ref="A129:B129"/>
    <mergeCell ref="C129:F130"/>
    <mergeCell ref="L129:M129"/>
    <mergeCell ref="A130:B130"/>
    <mergeCell ref="L130:M130"/>
    <mergeCell ref="A131:H131"/>
    <mergeCell ref="A132:B132"/>
    <mergeCell ref="L151:M151"/>
    <mergeCell ref="L132:M132"/>
    <mergeCell ref="L122:M122"/>
    <mergeCell ref="A123:B123"/>
    <mergeCell ref="L123:M123"/>
    <mergeCell ref="C122:F123"/>
    <mergeCell ref="G118:H123"/>
    <mergeCell ref="G125:H130"/>
    <mergeCell ref="A128:B128"/>
    <mergeCell ref="L128:M128"/>
    <mergeCell ref="A112:A113"/>
    <mergeCell ref="B112:B113"/>
    <mergeCell ref="A127:B127"/>
    <mergeCell ref="B195:H195"/>
    <mergeCell ref="B196:H196"/>
    <mergeCell ref="A37:B37"/>
    <mergeCell ref="C37:H37"/>
    <mergeCell ref="F104:H104"/>
    <mergeCell ref="A164:B164"/>
    <mergeCell ref="A103:E103"/>
    <mergeCell ref="C112:C113"/>
    <mergeCell ref="A115:H115"/>
    <mergeCell ref="A138:H138"/>
    <mergeCell ref="A139:B139"/>
    <mergeCell ref="A152:H152"/>
    <mergeCell ref="A110:H110"/>
    <mergeCell ref="A87:B87"/>
    <mergeCell ref="A88:B88"/>
    <mergeCell ref="A79:B79"/>
    <mergeCell ref="C79:H79"/>
    <mergeCell ref="A81:B81"/>
    <mergeCell ref="A174:B174"/>
    <mergeCell ref="A175:B175"/>
    <mergeCell ref="A178:B178"/>
    <mergeCell ref="A177:B177"/>
    <mergeCell ref="B187:H187"/>
    <mergeCell ref="F102:H102"/>
    <mergeCell ref="C81:H81"/>
    <mergeCell ref="A82:B82"/>
    <mergeCell ref="B193:H193"/>
    <mergeCell ref="A46:B46"/>
    <mergeCell ref="C46:H46"/>
    <mergeCell ref="B191:H191"/>
    <mergeCell ref="C171:F172"/>
    <mergeCell ref="A179:B179"/>
    <mergeCell ref="F100:H100"/>
    <mergeCell ref="A101:E101"/>
    <mergeCell ref="A102:E102"/>
    <mergeCell ref="F101:H101"/>
    <mergeCell ref="F96:H96"/>
    <mergeCell ref="A96:E96"/>
    <mergeCell ref="A98:E98"/>
    <mergeCell ref="F98:H98"/>
    <mergeCell ref="F103:H103"/>
    <mergeCell ref="A121:B121"/>
    <mergeCell ref="A184:B184"/>
    <mergeCell ref="A185:B185"/>
    <mergeCell ref="A163:B163"/>
    <mergeCell ref="A160:B160"/>
    <mergeCell ref="G183:H183"/>
  </mergeCells>
  <hyperlinks>
    <hyperlink ref="C37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4" max="16383" man="1"/>
    <brk id="209" max="16383" man="1"/>
    <brk id="25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88671875" defaultRowHeight="14.4" x14ac:dyDescent="0.3"/>
  <cols>
    <col min="1" max="1" width="8.8867187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886718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0" t="s">
        <v>104</v>
      </c>
      <c r="C3" s="190"/>
      <c r="D3" s="190"/>
      <c r="E3" s="190"/>
      <c r="F3" s="190"/>
      <c r="G3" s="190"/>
      <c r="H3" s="190"/>
    </row>
    <row r="4" spans="1:9" x14ac:dyDescent="0.3">
      <c r="A4" s="2"/>
      <c r="B4" s="3" t="s">
        <v>105</v>
      </c>
      <c r="C4" s="3" t="s">
        <v>106</v>
      </c>
      <c r="D4" s="3" t="s">
        <v>70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2025-07-15T12:53:45Z</cp:lastPrinted>
  <dcterms:created xsi:type="dcterms:W3CDTF">2019-07-16T09:29:46Z</dcterms:created>
  <dcterms:modified xsi:type="dcterms:W3CDTF">2025-07-15T12:54:11Z</dcterms:modified>
</cp:coreProperties>
</file>