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C99E4C5C-D169-426E-8473-40C5BF72ABCD}"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amp; OV Report" sheetId="4" r:id="rId3"/>
  </sheets>
  <definedNames>
    <definedName name="_xlnm.Print_Area" localSheetId="0">Report!$A$1:$H$431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1" l="1"/>
  <c r="D54" i="1"/>
  <c r="E277" i="1" l="1"/>
  <c r="D277" i="1"/>
  <c r="E276" i="1"/>
  <c r="D276" i="1"/>
  <c r="E275" i="1"/>
  <c r="D275" i="1"/>
  <c r="E274" i="1"/>
  <c r="D274" i="1"/>
  <c r="E256" i="1"/>
  <c r="D256" i="1"/>
  <c r="E255" i="1"/>
  <c r="D255" i="1"/>
  <c r="E254" i="1"/>
  <c r="D254" i="1"/>
  <c r="E253" i="1"/>
  <c r="D253" i="1"/>
  <c r="E252" i="1"/>
  <c r="D252" i="1"/>
  <c r="E251" i="1"/>
  <c r="D251" i="1"/>
  <c r="E250" i="1"/>
  <c r="D250" i="1"/>
  <c r="E248" i="1"/>
  <c r="D248" i="1"/>
  <c r="E247" i="1"/>
  <c r="D247" i="1"/>
  <c r="E246" i="1"/>
  <c r="D246" i="1"/>
  <c r="E245" i="1"/>
  <c r="D245" i="1"/>
  <c r="E244" i="1"/>
  <c r="D244" i="1"/>
  <c r="E243" i="1"/>
  <c r="D243" i="1"/>
  <c r="E242" i="1"/>
  <c r="D242" i="1"/>
  <c r="E241" i="1"/>
  <c r="D241" i="1"/>
  <c r="G238" i="1"/>
  <c r="G237" i="1"/>
  <c r="G236" i="1"/>
  <c r="G235" i="1"/>
  <c r="G234" i="1"/>
  <c r="E238" i="1"/>
  <c r="D238" i="1"/>
  <c r="E237" i="1"/>
  <c r="D237" i="1"/>
  <c r="E236" i="1"/>
  <c r="D236" i="1"/>
  <c r="E235" i="1"/>
  <c r="D235" i="1"/>
  <c r="E234" i="1"/>
  <c r="D234" i="1"/>
  <c r="E219" i="1"/>
  <c r="D219" i="1"/>
  <c r="E218" i="1"/>
  <c r="D218" i="1"/>
  <c r="E217" i="1"/>
  <c r="D217" i="1"/>
  <c r="E216" i="1"/>
  <c r="D216" i="1"/>
  <c r="E215" i="1"/>
  <c r="D215" i="1"/>
  <c r="E214" i="1"/>
  <c r="D214" i="1"/>
  <c r="E212" i="1"/>
  <c r="D212" i="1"/>
  <c r="G199" i="1"/>
  <c r="G198" i="1"/>
  <c r="G197" i="1"/>
  <c r="G196" i="1"/>
  <c r="E210" i="1"/>
  <c r="D210" i="1"/>
  <c r="E209" i="1"/>
  <c r="D209" i="1"/>
  <c r="E208" i="1"/>
  <c r="D208" i="1"/>
  <c r="E207" i="1"/>
  <c r="D207" i="1"/>
  <c r="E206" i="1"/>
  <c r="D206" i="1"/>
  <c r="E205" i="1"/>
  <c r="D205" i="1"/>
  <c r="E204" i="1"/>
  <c r="D204" i="1"/>
  <c r="E203" i="1"/>
  <c r="D203" i="1"/>
  <c r="E199" i="1"/>
  <c r="D199" i="1"/>
  <c r="E198" i="1"/>
  <c r="D198" i="1"/>
  <c r="E197" i="1"/>
  <c r="D197" i="1"/>
  <c r="E196" i="1"/>
  <c r="D196" i="1"/>
  <c r="E190" i="1"/>
  <c r="D190" i="1"/>
  <c r="E189" i="1"/>
  <c r="D189" i="1"/>
  <c r="E188" i="1"/>
  <c r="D188" i="1"/>
  <c r="E187" i="1"/>
  <c r="D187" i="1"/>
  <c r="E186" i="1"/>
  <c r="D186" i="1"/>
  <c r="E185" i="1"/>
  <c r="D185" i="1"/>
  <c r="E184" i="1"/>
  <c r="D184" i="1"/>
  <c r="E181" i="1"/>
  <c r="D181" i="1"/>
  <c r="E180" i="1"/>
  <c r="D180" i="1"/>
  <c r="E179" i="1"/>
  <c r="D179" i="1"/>
  <c r="E178" i="1"/>
  <c r="D178" i="1"/>
  <c r="E177" i="1"/>
  <c r="D177" i="1"/>
  <c r="E176" i="1"/>
  <c r="D176" i="1"/>
  <c r="E175" i="1"/>
  <c r="D175" i="1"/>
  <c r="E174" i="1"/>
  <c r="D174" i="1"/>
  <c r="E172" i="1"/>
  <c r="D172" i="1"/>
  <c r="E171" i="1"/>
  <c r="D171" i="1"/>
  <c r="E170" i="1"/>
  <c r="D170" i="1"/>
  <c r="E169" i="1"/>
  <c r="D169" i="1"/>
  <c r="D158" i="1"/>
  <c r="F158" i="1" s="1"/>
  <c r="H158" i="1" s="1"/>
  <c r="D157" i="1"/>
  <c r="F157" i="1" s="1"/>
  <c r="H157" i="1" s="1"/>
  <c r="D156" i="1"/>
  <c r="D155" i="1"/>
  <c r="D154" i="1"/>
  <c r="D153" i="1"/>
  <c r="D148" i="1"/>
  <c r="D147" i="1"/>
  <c r="D146" i="1"/>
  <c r="D145" i="1"/>
  <c r="D144" i="1"/>
  <c r="D143" i="1"/>
  <c r="D142" i="1"/>
  <c r="D141" i="1"/>
  <c r="D140" i="1"/>
  <c r="D136" i="1"/>
  <c r="D135" i="1"/>
  <c r="D134" i="1"/>
  <c r="D133" i="1"/>
  <c r="D132" i="1"/>
  <c r="D131" i="1"/>
  <c r="D130" i="1"/>
  <c r="D129" i="1"/>
  <c r="D128" i="1"/>
  <c r="I243" i="1"/>
  <c r="I245" i="1"/>
  <c r="I146" i="1"/>
  <c r="B284" i="1"/>
  <c r="B283" i="1"/>
  <c r="A166" i="1"/>
  <c r="A167" i="1" s="1"/>
  <c r="A168" i="1" s="1"/>
  <c r="I135" i="1"/>
  <c r="I136" i="1"/>
  <c r="I137" i="1"/>
  <c r="I138" i="1"/>
  <c r="I139" i="1"/>
  <c r="F235" i="1" l="1"/>
  <c r="H235" i="1" s="1"/>
  <c r="F275" i="1"/>
  <c r="H275" i="1" s="1"/>
  <c r="F251" i="1"/>
  <c r="H251" i="1" s="1"/>
  <c r="F253" i="1"/>
  <c r="H253" i="1" s="1"/>
  <c r="F255" i="1"/>
  <c r="H255" i="1" s="1"/>
  <c r="F276" i="1"/>
  <c r="H276" i="1" s="1"/>
  <c r="F274" i="1"/>
  <c r="F277" i="1"/>
  <c r="H277" i="1" s="1"/>
  <c r="F250" i="1"/>
  <c r="H250" i="1" s="1"/>
  <c r="F252" i="1"/>
  <c r="H252" i="1" s="1"/>
  <c r="F254" i="1"/>
  <c r="H254" i="1" s="1"/>
  <c r="F256" i="1"/>
  <c r="H256" i="1" s="1"/>
  <c r="F245" i="1"/>
  <c r="H245" i="1" s="1"/>
  <c r="F244" i="1"/>
  <c r="H244" i="1" s="1"/>
  <c r="F243" i="1"/>
  <c r="H243" i="1" s="1"/>
  <c r="F246" i="1"/>
  <c r="H246" i="1" s="1"/>
  <c r="F218" i="1"/>
  <c r="H218" i="1" s="1"/>
  <c r="F248" i="1"/>
  <c r="H248" i="1" s="1"/>
  <c r="F247" i="1"/>
  <c r="H247" i="1" s="1"/>
  <c r="F241" i="1"/>
  <c r="H241" i="1" s="1"/>
  <c r="F242" i="1"/>
  <c r="H242" i="1" s="1"/>
  <c r="F196" i="1"/>
  <c r="H196" i="1" s="1"/>
  <c r="F204" i="1"/>
  <c r="H204" i="1" s="1"/>
  <c r="F238" i="1"/>
  <c r="H238" i="1" s="1"/>
  <c r="F206" i="1"/>
  <c r="H206" i="1" s="1"/>
  <c r="F236" i="1"/>
  <c r="H236" i="1" s="1"/>
  <c r="F237" i="1"/>
  <c r="H237" i="1" s="1"/>
  <c r="F234" i="1"/>
  <c r="F216" i="1"/>
  <c r="H216" i="1" s="1"/>
  <c r="F215" i="1"/>
  <c r="H215" i="1" s="1"/>
  <c r="F209" i="1"/>
  <c r="H209" i="1" s="1"/>
  <c r="F207" i="1"/>
  <c r="H207" i="1" s="1"/>
  <c r="F210" i="1"/>
  <c r="H210" i="1" s="1"/>
  <c r="F214" i="1"/>
  <c r="H214" i="1" s="1"/>
  <c r="F208" i="1"/>
  <c r="H208" i="1" s="1"/>
  <c r="F212" i="1"/>
  <c r="H212" i="1" s="1"/>
  <c r="F217" i="1"/>
  <c r="H217" i="1" s="1"/>
  <c r="F219" i="1"/>
  <c r="H219" i="1" s="1"/>
  <c r="F199" i="1"/>
  <c r="H199" i="1" s="1"/>
  <c r="F203" i="1"/>
  <c r="H203" i="1" s="1"/>
  <c r="F205" i="1"/>
  <c r="H205" i="1" s="1"/>
  <c r="F197" i="1"/>
  <c r="H197" i="1" s="1"/>
  <c r="F176" i="1"/>
  <c r="H176" i="1" s="1"/>
  <c r="F186" i="1"/>
  <c r="H186" i="1" s="1"/>
  <c r="F198" i="1"/>
  <c r="H198" i="1" s="1"/>
  <c r="F174" i="1"/>
  <c r="H174" i="1" s="1"/>
  <c r="F180" i="1"/>
  <c r="H180" i="1" s="1"/>
  <c r="F184" i="1"/>
  <c r="H184" i="1" s="1"/>
  <c r="F188" i="1"/>
  <c r="H188" i="1" s="1"/>
  <c r="F175" i="1"/>
  <c r="H175" i="1" s="1"/>
  <c r="F179" i="1"/>
  <c r="H179" i="1" s="1"/>
  <c r="F185" i="1"/>
  <c r="H185" i="1" s="1"/>
  <c r="F187" i="1"/>
  <c r="H187" i="1" s="1"/>
  <c r="F189" i="1"/>
  <c r="H189" i="1" s="1"/>
  <c r="F190" i="1"/>
  <c r="H190" i="1" s="1"/>
  <c r="F177" i="1"/>
  <c r="H177" i="1" s="1"/>
  <c r="F181" i="1"/>
  <c r="H181" i="1" s="1"/>
  <c r="F178" i="1"/>
  <c r="H178" i="1" s="1"/>
  <c r="I162" i="1"/>
  <c r="I165" i="1"/>
  <c r="H274" i="1" l="1"/>
  <c r="G118" i="1" s="1"/>
  <c r="C118" i="1"/>
  <c r="E118" i="1"/>
  <c r="G116" i="1"/>
  <c r="E116" i="1"/>
  <c r="C116" i="1"/>
  <c r="H234" i="1"/>
  <c r="G117" i="1" s="1"/>
  <c r="E117" i="1"/>
  <c r="C117" i="1"/>
  <c r="F172" i="1"/>
  <c r="H172" i="1" s="1"/>
  <c r="F171" i="1"/>
  <c r="H171" i="1" s="1"/>
  <c r="F170" i="1"/>
  <c r="H170" i="1" s="1"/>
  <c r="A170" i="1"/>
  <c r="A171" i="1" s="1"/>
  <c r="A172" i="1" s="1"/>
  <c r="F169" i="1"/>
  <c r="F136" i="1"/>
  <c r="H136" i="1" s="1"/>
  <c r="F135" i="1"/>
  <c r="H135" i="1" s="1"/>
  <c r="F134" i="1"/>
  <c r="H134" i="1" s="1"/>
  <c r="F133" i="1"/>
  <c r="H133" i="1" s="1"/>
  <c r="F132" i="1"/>
  <c r="H132" i="1" s="1"/>
  <c r="F131" i="1"/>
  <c r="H131" i="1" s="1"/>
  <c r="F130" i="1"/>
  <c r="H130" i="1" s="1"/>
  <c r="F129" i="1"/>
  <c r="H129" i="1" s="1"/>
  <c r="F128" i="1"/>
  <c r="F148" i="1"/>
  <c r="H148" i="1" s="1"/>
  <c r="F147" i="1"/>
  <c r="H147" i="1" s="1"/>
  <c r="F146" i="1"/>
  <c r="H146" i="1" s="1"/>
  <c r="F145" i="1"/>
  <c r="H145" i="1" s="1"/>
  <c r="F144" i="1"/>
  <c r="H144" i="1" s="1"/>
  <c r="F143" i="1"/>
  <c r="H143" i="1" s="1"/>
  <c r="F142" i="1"/>
  <c r="H142" i="1" s="1"/>
  <c r="F141" i="1"/>
  <c r="H141" i="1" s="1"/>
  <c r="A141" i="1"/>
  <c r="A142" i="1" s="1"/>
  <c r="A143" i="1" s="1"/>
  <c r="A144" i="1" s="1"/>
  <c r="A145" i="1" s="1"/>
  <c r="A146" i="1" s="1"/>
  <c r="A147" i="1" s="1"/>
  <c r="A148" i="1" s="1"/>
  <c r="F140" i="1"/>
  <c r="F156" i="1"/>
  <c r="H156" i="1" s="1"/>
  <c r="F155" i="1"/>
  <c r="H155" i="1" s="1"/>
  <c r="F154" i="1"/>
  <c r="H154" i="1" s="1"/>
  <c r="A154" i="1"/>
  <c r="A155" i="1" s="1"/>
  <c r="A156" i="1" s="1"/>
  <c r="A157" i="1" s="1"/>
  <c r="A158" i="1" s="1"/>
  <c r="F153" i="1"/>
  <c r="A129" i="1"/>
  <c r="A130" i="1" s="1"/>
  <c r="A131" i="1" s="1"/>
  <c r="A133" i="1"/>
  <c r="A134" i="1" s="1"/>
  <c r="A135" i="1" s="1"/>
  <c r="E109" i="1" l="1"/>
  <c r="E112" i="1" s="1"/>
  <c r="C109" i="1"/>
  <c r="C112" i="1" s="1"/>
  <c r="C111" i="1"/>
  <c r="H169" i="1"/>
  <c r="G115" i="1" s="1"/>
  <c r="G119" i="1" s="1"/>
  <c r="C115" i="1"/>
  <c r="C119" i="1" s="1"/>
  <c r="E115" i="1"/>
  <c r="E119" i="1" s="1"/>
  <c r="C110" i="1"/>
  <c r="H140" i="1"/>
  <c r="G110" i="1" s="1"/>
  <c r="E110" i="1"/>
  <c r="H128" i="1"/>
  <c r="G109" i="1" s="1"/>
  <c r="G112" i="1" s="1"/>
  <c r="H153" i="1"/>
  <c r="G111" i="1" s="1"/>
  <c r="E111" i="1"/>
  <c r="E120" i="1" l="1"/>
  <c r="C120" i="1"/>
  <c r="G120" i="1"/>
  <c r="J163" i="1" l="1"/>
  <c r="I134" i="1" l="1"/>
  <c r="I122" i="1"/>
  <c r="I133" i="1"/>
  <c r="I132" i="1"/>
  <c r="I131" i="1"/>
  <c r="I129" i="1"/>
  <c r="I128" i="1"/>
  <c r="I127" i="1"/>
  <c r="I126" i="1"/>
  <c r="I125" i="1"/>
  <c r="I124" i="1"/>
  <c r="I123" i="1"/>
  <c r="I121" i="1"/>
  <c r="C66" i="1" l="1"/>
  <c r="C80" i="1"/>
  <c r="J92" i="1"/>
  <c r="J91" i="1"/>
  <c r="J90" i="1"/>
  <c r="J89" i="1"/>
  <c r="E40" i="1"/>
  <c r="E41" i="1" s="1"/>
  <c r="E42" i="1" s="1"/>
  <c r="E3" i="1" l="1"/>
  <c r="C14" i="1" l="1"/>
  <c r="F11" i="5" l="1"/>
  <c r="G11" i="5" s="1"/>
  <c r="F10" i="5"/>
  <c r="G10" i="5" s="1"/>
  <c r="F9" i="5"/>
  <c r="G9" i="5" s="1"/>
  <c r="F8" i="5"/>
  <c r="G8" i="5" s="1"/>
  <c r="F7" i="5"/>
  <c r="G7" i="5" s="1"/>
  <c r="F6" i="5"/>
  <c r="G6" i="5" s="1"/>
  <c r="F5" i="5"/>
  <c r="G5" i="5" s="1"/>
  <c r="G12" i="5" s="1"/>
  <c r="D305" i="1"/>
  <c r="A283" i="1"/>
  <c r="F106" i="1"/>
  <c r="J77" i="1"/>
  <c r="J76" i="1"/>
  <c r="J75" i="1"/>
  <c r="G47" i="1"/>
  <c r="G48" i="1" s="1"/>
  <c r="C47" i="1"/>
  <c r="C48" i="1" s="1"/>
  <c r="E25" i="1"/>
  <c r="E23" i="1"/>
  <c r="E7" i="1"/>
  <c r="O154" i="1"/>
  <c r="P154" i="1"/>
  <c r="H67" i="1"/>
  <c r="C72" i="1" l="1"/>
  <c r="D72" i="1" s="1"/>
  <c r="A284" i="1"/>
  <c r="A285" i="1" s="1"/>
  <c r="A286" i="1" s="1"/>
  <c r="A287" i="1" s="1"/>
  <c r="A288" i="1" s="1"/>
  <c r="J70" i="1"/>
  <c r="D79" i="1"/>
  <c r="D77" i="1"/>
  <c r="D75" i="1"/>
  <c r="D73" i="1"/>
  <c r="J71" i="1"/>
  <c r="C70" i="1" s="1"/>
  <c r="D70" i="1" s="1"/>
  <c r="J69" i="1"/>
  <c r="J72" i="1"/>
  <c r="J73" i="1" s="1"/>
  <c r="J78" i="1" s="1"/>
  <c r="D78" i="1"/>
  <c r="D74" i="1"/>
  <c r="D76" i="1"/>
  <c r="P155" i="1"/>
  <c r="N154" i="1"/>
  <c r="A289" i="1" l="1"/>
  <c r="A290" i="1" s="1"/>
  <c r="A291" i="1" s="1"/>
  <c r="J74" i="1"/>
  <c r="J79" i="1" s="1"/>
  <c r="C71" i="1" s="1"/>
  <c r="D93" i="1"/>
  <c r="D91" i="1"/>
  <c r="D89" i="1"/>
  <c r="D87" i="1"/>
  <c r="D85" i="1"/>
  <c r="J86" i="1"/>
  <c r="J87" i="1" s="1"/>
  <c r="J88" i="1" s="1"/>
  <c r="D92" i="1"/>
  <c r="D90" i="1"/>
  <c r="D88" i="1"/>
  <c r="J85" i="1"/>
  <c r="J84" i="1"/>
  <c r="D86" i="1"/>
  <c r="J83" i="1"/>
  <c r="E84" i="1"/>
  <c r="O155" i="1"/>
  <c r="G84" i="1" l="1"/>
  <c r="D71" i="1"/>
  <c r="E70" i="1"/>
  <c r="I66" i="1" s="1"/>
  <c r="C68" i="1" s="1"/>
  <c r="G70" i="1"/>
  <c r="D64" i="1" s="1"/>
  <c r="F65" i="1" s="1"/>
  <c r="D84" i="1"/>
  <c r="I80" i="1" s="1"/>
  <c r="C82" i="1" s="1"/>
  <c r="J93" i="1"/>
  <c r="N155" i="1"/>
  <c r="D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H161" authorId="0" shapeId="0" xr:uid="{00000000-0006-0000-0000-000001000000}">
      <text>
        <r>
          <rPr>
            <b/>
            <sz val="9"/>
            <color indexed="81"/>
            <rFont val="Tahoma"/>
            <family val="2"/>
          </rPr>
          <t>SACHIN:</t>
        </r>
        <r>
          <rPr>
            <sz val="9"/>
            <color indexed="81"/>
            <rFont val="Tahoma"/>
            <family val="2"/>
          </rPr>
          <t xml:space="preserve">
Give loading of 50% for A Category</t>
        </r>
      </text>
    </comment>
  </commentList>
</comments>
</file>

<file path=xl/sharedStrings.xml><?xml version="1.0" encoding="utf-8"?>
<sst xmlns="http://schemas.openxmlformats.org/spreadsheetml/2006/main" count="445" uniqueCount="258">
  <si>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</si>
  <si>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</si>
  <si>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</si>
  <si>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</si>
  <si>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</si>
  <si>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</si>
  <si>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</si>
  <si>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</si>
  <si>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</si>
  <si>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</si>
  <si>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</si>
  <si>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</si>
  <si>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</si>
  <si>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</si>
  <si>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</si>
  <si>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</si>
  <si>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</si>
  <si>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</si>
  <si>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</si>
  <si>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</si>
  <si>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</si>
  <si>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</si>
  <si>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</si>
  <si>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</si>
  <si>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</si>
  <si>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</si>
  <si>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</si>
  <si>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</si>
  <si>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</si>
  <si>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</si>
  <si>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</si>
  <si>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</si>
  <si>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</si>
  <si>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</si>
  <si>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</si>
  <si>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</si>
  <si>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</si>
  <si>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</si>
  <si>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</si>
  <si>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</si>
  <si>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</si>
  <si>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</si>
  <si>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</si>
  <si>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</si>
  <si>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</si>
  <si>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</si>
  <si>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</si>
  <si>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</si>
  <si>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</si>
  <si>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</si>
  <si>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</si>
  <si>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</si>
  <si>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</si>
  <si>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</si>
  <si>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</si>
  <si>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</si>
  <si>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</si>
  <si>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</si>
  <si>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</si>
  <si>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</si>
  <si>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</si>
  <si>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</si>
  <si>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</si>
  <si>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</si>
  <si>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</si>
  <si>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</si>
  <si>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</si>
  <si>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</si>
  <si>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</si>
  <si>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</si>
  <si>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</si>
  <si>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</si>
  <si>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</si>
  <si>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</si>
  <si>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</si>
  <si>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</si>
  <si>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</si>
  <si>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</si>
  <si>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</si>
  <si>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</si>
  <si>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</si>
  <si>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</si>
  <si>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</si>
  <si>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</si>
  <si>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</si>
  <si>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</si>
  <si>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</si>
  <si>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</si>
  <si>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</si>
  <si>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</si>
  <si>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</si>
  <si>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</si>
  <si>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</si>
  <si>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</si>
  <si>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</si>
  <si>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</si>
  <si>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</si>
  <si>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Floor Rise Rate Per Sq.ft</t>
  </si>
  <si>
    <t>Development Charges</t>
  </si>
  <si>
    <t>Club Charges</t>
  </si>
  <si>
    <t>Legal Services Charges</t>
  </si>
  <si>
    <t>Water, Electricity, Drainages, Sewerage Connection</t>
  </si>
  <si>
    <t>Society Formation Charges</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</si>
  <si>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</si>
  <si>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</si>
  <si>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</si>
  <si>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</si>
  <si>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</si>
  <si>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</si>
  <si>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</si>
  <si>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</si>
  <si>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</si>
  <si>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</si>
  <si>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</si>
  <si>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</si>
  <si>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</si>
  <si>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</si>
  <si>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</si>
  <si>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</si>
  <si>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</si>
  <si>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</si>
  <si>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</si>
  <si>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</si>
  <si>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</si>
  <si>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</si>
  <si>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</si>
  <si>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</si>
  <si>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</si>
  <si>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</si>
  <si>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</si>
  <si>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</si>
  <si>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</si>
  <si>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</si>
  <si>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</si>
  <si>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</si>
  <si>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</si>
  <si>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</si>
  <si>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</si>
  <si>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</si>
  <si>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</si>
  <si>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</si>
  <si>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</si>
  <si>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</si>
  <si>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</si>
  <si>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</si>
  <si>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</si>
  <si>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</si>
  <si>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</si>
  <si>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</si>
  <si>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</si>
  <si>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</si>
  <si>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</si>
  <si>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</si>
  <si>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M/s.Vihang Infrastructure Pvt Ltd</t>
  </si>
  <si>
    <t>Vihang Valley</t>
  </si>
  <si>
    <t>Mr. Singh 8299950836</t>
  </si>
  <si>
    <t>Thane</t>
  </si>
  <si>
    <t>Thane (W)</t>
  </si>
  <si>
    <t>Internal Road</t>
  </si>
  <si>
    <t>Sonal Laxmi Apartments</t>
  </si>
  <si>
    <t>Open Plot</t>
  </si>
  <si>
    <t>Survey No</t>
  </si>
  <si>
    <t xml:space="preserve">As per RERA - 30/12/2026
</t>
  </si>
  <si>
    <t xml:space="preserve">Residential </t>
  </si>
  <si>
    <t>5,00,000/-</t>
  </si>
  <si>
    <t>Other Charges</t>
  </si>
  <si>
    <t>3,00,000/-</t>
  </si>
  <si>
    <t>60 Years After Completion</t>
  </si>
  <si>
    <t>Shop</t>
  </si>
  <si>
    <t>2BHK</t>
  </si>
  <si>
    <t>1BHK</t>
  </si>
  <si>
    <t>Refuge Area</t>
  </si>
  <si>
    <t>Total</t>
  </si>
  <si>
    <t>Approved Floor plan, CC</t>
  </si>
  <si>
    <t>Latitude, Longitude</t>
  </si>
  <si>
    <t>Location Link</t>
  </si>
  <si>
    <t>Office No. 1031, Wing J, Akshar Business Park, Plot No. 03 Sector 25, Near APMC Market, 
Vashi, Navi Mumbai, Maharashtra 400703 TEL: 022-46090378/79/8
E mail : vsjcapf@gmail.com. Web site : www.vsjadon.com</t>
  </si>
  <si>
    <t>Type D2 - Construction work was stopped. Work is same as last visit(27/10/2022).</t>
  </si>
  <si>
    <t>P51700007077</t>
  </si>
  <si>
    <t>Site Person - Contact Details (Name &amp; Contact No.)</t>
  </si>
  <si>
    <t>69/1, 69/3A, 69/4, 69/5, 69/6, 72/4A, 72/4B, 74/1/3, 74/1/1, 74/1/2, 74/2A, 74/2B, 74/3, 74/4, 74/5, 75/1, 75/2, 77/1, 77/2, 77/3, 78/1, 78/3A, 78/3B, 78/4 &amp; 76</t>
  </si>
  <si>
    <t>Owale</t>
  </si>
  <si>
    <t>As per Layout</t>
  </si>
  <si>
    <t>Layout :</t>
  </si>
  <si>
    <t>19.267083,72.961417</t>
  </si>
  <si>
    <t>https://maps.app.goo.gl/kDFF11vGdVDeBRvX9</t>
  </si>
  <si>
    <t>9.9 Km from Thane Railway Station</t>
  </si>
  <si>
    <t>Vihang Valley, Phase 3 (Wing H1 to H4)</t>
  </si>
  <si>
    <t>30.0 M Wide Road</t>
  </si>
  <si>
    <t>Building No.8 (Type H1 to H4)</t>
  </si>
  <si>
    <t>Other Plot</t>
  </si>
  <si>
    <t>V.PS06/0315/18(2008/37)/TMC/TDD/4478/23</t>
  </si>
  <si>
    <t>Commencement Certificate No.
Valid Up to:</t>
  </si>
  <si>
    <t>https://housing.com/in/buy/projects/page/313134-vihang-capital-of-thane-by-vihang-group-in-kasarvadavali-thane-west</t>
  </si>
  <si>
    <t>Children's Play Area, Yoga/Meditation Area, 24X7 Water Supply, Rain Water Harvesting, Indoor Games, Fire Fighting System, Restaurant, Car Parking, CCTV, Closed Car Parking, Cafeteria, Badminton Court, Basketball Court, Library, Gymnasium, Swimming Pool, Squash Court, Cricket Pitch, 24x7 Security, Club House, Lifts etc.</t>
  </si>
  <si>
    <t>Ajay Songare</t>
  </si>
  <si>
    <t>Phase 4 - Building No.7 (Type D1) = Gr/St + P1(Pt) + 1st to 21st Floor</t>
  </si>
  <si>
    <t>Phase 4 - Building No.7 (Type D3) = 2B + Gr/St+ P1 &amp; P2(Pt) + 1st to 41st Floor</t>
  </si>
  <si>
    <t>Phase 4 - Building No.7 (Type D4) = 2B +  Gr/St + P1 &amp; P2(Pt) Floor</t>
  </si>
  <si>
    <t>Phase 4 (Building No.7)</t>
  </si>
  <si>
    <t>Type D1</t>
  </si>
  <si>
    <t>Ground Floor For Commercial, Entrance Lobby, Meter Room, Society Office, Driver Room, Store &amp; Parking</t>
  </si>
  <si>
    <t>Type D2</t>
  </si>
  <si>
    <t>1st Basement Floor For Pump Room, Fire Tank -1, Domestic Tank, Flushing Tank &amp; Parking</t>
  </si>
  <si>
    <t>Ground Floor For Commercial, Entrance Lobby, Society Office, Meter Room, Letter Box Room, Driver's Room &amp; Parking</t>
  </si>
  <si>
    <t>1.5BHK</t>
  </si>
  <si>
    <t>1st Podium Floor For Residential (Part Entrance Lobby &amp; Parking Area)</t>
  </si>
  <si>
    <t>Entrance Lobby &amp; Parking Area</t>
  </si>
  <si>
    <t>1st to 6th, 8th to 10th, 12th to 15th &amp; 17th to 20th Floor</t>
  </si>
  <si>
    <t>7th, 11th &amp; 16th &amp; 21st Floor (Part Refuge Area)</t>
  </si>
  <si>
    <t>1st Podium Floor For Parking</t>
  </si>
  <si>
    <t xml:space="preserve">Details of Residential &amp; Commercials in Building   </t>
  </si>
  <si>
    <t>Shop No. (Sale Plan)</t>
  </si>
  <si>
    <t>Carpet area</t>
  </si>
  <si>
    <t>Attached Loft area</t>
  </si>
  <si>
    <t>Flat No. (Sale Plan)</t>
  </si>
  <si>
    <t>Parking Area</t>
  </si>
  <si>
    <t>1st to 5th, 7th to 10th, 12th to 15th, 17th to 20th, 22nd to 25th, 27th to 30th, 32nd to 35th, 37th to 40th Floor</t>
  </si>
  <si>
    <t>6th, 11th, 16th, 21st, 26th, 31st &amp; 36th Floor (Part Refuge Area)</t>
  </si>
  <si>
    <t>41st Recreational Floor (Part Refuge Area)</t>
  </si>
  <si>
    <t>Recreational Area</t>
  </si>
  <si>
    <t>2nd Basement Floor For Parking</t>
  </si>
  <si>
    <t>1st Basement Floor For Entrance Lobby, Pump Room, Fire Tank -1, Domestic Tank, Flushing Tank &amp; Parking</t>
  </si>
  <si>
    <t>shop d2</t>
  </si>
  <si>
    <t>shop d1</t>
  </si>
  <si>
    <t>Type D3</t>
  </si>
  <si>
    <t>Ground Floor For Commercial, Entrance Lobby, Society Office &amp; Parking</t>
  </si>
  <si>
    <t>2nd Podium Floor For Residential (Part Entrance Lobby &amp; Parking Area)</t>
  </si>
  <si>
    <t>Type D4</t>
  </si>
  <si>
    <t>2nd &amp; 1st Basement Floor For Parking</t>
  </si>
  <si>
    <t>Ground Floor For Entrance Lobby, Society Office, Meter Room, Driver's Room &amp; Parking</t>
  </si>
  <si>
    <t>We considered Gross carpet area = Net carpet + Dry Balcony Area + Chajja Area</t>
  </si>
  <si>
    <t>Chajja + Dry Balcony Area</t>
  </si>
  <si>
    <t>Grand Total</t>
  </si>
  <si>
    <t>floor plan check</t>
  </si>
  <si>
    <t xml:space="preserve">Environmental Clearance Certificate (EC) No
Valid Up for: </t>
  </si>
  <si>
    <t xml:space="preserve">O. Certificate No.: </t>
  </si>
  <si>
    <t>NA
Approved upto : NA</t>
  </si>
  <si>
    <t>Hitakshi -call -  vistor</t>
  </si>
  <si>
    <t>Axis Thane</t>
  </si>
  <si>
    <t>We are unable to draft a Type D building due to a non-legible floor plan.</t>
  </si>
  <si>
    <t>We are unable to draft a Type D3 building due to a non-legible floor plan.
Please provide approved legible Floor plan of TypeD3.</t>
  </si>
  <si>
    <t>We have taken approved EC from State Environment Impact Assessment Authority Maharashtra Site on 05/03/2024.</t>
  </si>
  <si>
    <t>Vihang Valley, Phase 1&amp;2</t>
  </si>
  <si>
    <t>Building No.3&amp; Building No.6</t>
  </si>
  <si>
    <t>We have updated revised approved plan &amp; CC for type D1 &amp; Addition of type D4. On 05/03/2024.</t>
  </si>
  <si>
    <t>Currently, Type D2 is registered separately on the RERA site as Evana D2, and a fresh APF was requested. So as per the request, a fresh report for Type D2 is drafted.</t>
  </si>
  <si>
    <t>Phase 4 (Building No. 7 - Type D1 &amp; D4)</t>
  </si>
  <si>
    <t>02 Buildings</t>
  </si>
  <si>
    <t xml:space="preserve">Building No.7 (Wing D1) = Gr/St(Pt) + P1(Pt) + 1st to 21st Floor
(Wing D4) = 2B Lvl. + Gr/St + 2P Lvl (Pt) Floor
</t>
  </si>
  <si>
    <t>SIA/MH/INFRA2/418305/2023
S. No. 69/1 (1/1,1/2),69/3A (3A/1, 3A/2),69/4, 5 (5/1,5/2),6,72(4B),
72(4C),72(4D),72(4E),74/1/3A,74/1/3B,74/1/1B,74/1/2B,74/1/2A,74/3 (3/1, 3/2),74/5,2B,74/2A,(2A/1,2A/2),74/4,74/5,75/1A,75/1B,75/2B,75/2C,77/1 (1/2,
1/3),77/2,77/3,78/1B,78/1D,78/1E,78/3A
(3A/1, 3A/2),78/4A,78/4B,78/3B(3B/1,
3B/2, 3B/3),76 
Proposed Builtup Area = 177491.61 Sq.M
Proposed No. of Floors = 
Type D1 = Gr/St(Pt) + 1P(Pt) + 1st to 21st Upper Floor
Type D4 = 2B + Gr/St (Pt) + 2P   + 1st to 42nd (Pt) Floor</t>
  </si>
  <si>
    <t>Phase 4 - Building No.7 (Type D1) = Gr/St + P1(Pt) + 1st to 21st Floor
Phase 4 - Building No.7 (Type D4) = 2B +  Gr/St + P1 &amp; P2(Pt) Floor</t>
  </si>
  <si>
    <t>Flats - 172, Shops - 9</t>
  </si>
  <si>
    <t>Vihang Valley (D1 &amp; D4)</t>
  </si>
  <si>
    <t>Approved Builtup Area of Building No.7 (Type D1 &amp; D4) (Sq.Mt)</t>
  </si>
  <si>
    <t>Security</t>
  </si>
  <si>
    <t>Kunal Kadam</t>
  </si>
  <si>
    <t>Type D1 = Construction work is in process at the time of Visit. (Internal Visit Not Allowed).
Type D4  = Construction work is same as last visit (dtd 07/02/2025) but work is in process at the time of visit. (Very Slow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</si>
</sst>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
      <b/>
      <sz val="12"/>
      <color rgb="FFFF0000"/>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0" fontId="24" fillId="0" borderId="0" applyNumberFormat="0" applyFill="0" applyBorder="0" applyAlignment="0" applyProtection="0"/>
  </cellStyleXfs>
  <cellXfs count="208">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0" fontId="7" fillId="0" borderId="8" xfId="1" applyFont="1" applyBorder="1" applyProtection="1">
      <protection hidden="1"/>
    </xf>
    <xf numFmtId="0" fontId="7" fillId="0" borderId="9" xfId="1" applyFont="1" applyBorder="1" applyProtection="1">
      <protection hidden="1"/>
    </xf>
    <xf numFmtId="0" fontId="7" fillId="0" borderId="9" xfId="1" applyFont="1" applyBorder="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1" fontId="7" fillId="0" borderId="0" xfId="1" applyNumberFormat="1" applyFont="1" applyAlignment="1">
      <alignment horizontal="center" vertical="center"/>
    </xf>
    <xf numFmtId="0" fontId="17" fillId="0" borderId="0" xfId="0" applyFont="1" applyProtection="1">
      <protection hidden="1"/>
    </xf>
    <xf numFmtId="1" fontId="7" fillId="0" borderId="0" xfId="1" applyNumberFormat="1" applyFont="1"/>
    <xf numFmtId="0" fontId="17" fillId="0" borderId="9" xfId="0" applyFont="1" applyBorder="1" applyProtection="1">
      <protection hidden="1"/>
    </xf>
    <xf numFmtId="0" fontId="7" fillId="0" borderId="7" xfId="1" applyFont="1" applyBorder="1" applyProtection="1">
      <protection hidden="1"/>
    </xf>
    <xf numFmtId="0" fontId="17" fillId="0" borderId="10"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23" fillId="0" borderId="0" xfId="1" applyFont="1"/>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1" fontId="13"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10" fillId="0" borderId="0" xfId="1" applyFont="1" applyAlignment="1">
      <alignment horizontal="center" vertical="center"/>
    </xf>
    <xf numFmtId="0" fontId="10" fillId="0" borderId="0" xfId="0"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24" fillId="0" borderId="0" xfId="9"/>
    <xf numFmtId="2" fontId="7" fillId="0" borderId="0" xfId="1" applyNumberFormat="1" applyFont="1" applyAlignment="1">
      <alignment horizontal="center" vertical="center"/>
    </xf>
    <xf numFmtId="1" fontId="12" fillId="0" borderId="0" xfId="1" applyNumberFormat="1" applyFont="1" applyAlignment="1">
      <alignment horizontal="center" vertical="center"/>
    </xf>
    <xf numFmtId="2" fontId="12" fillId="0" borderId="0" xfId="1" applyNumberFormat="1" applyFont="1" applyAlignment="1">
      <alignment horizontal="center" vertical="center"/>
    </xf>
    <xf numFmtId="164" fontId="7" fillId="0" borderId="0" xfId="1" applyNumberFormat="1" applyFont="1"/>
    <xf numFmtId="9" fontId="13" fillId="0" borderId="15" xfId="8" applyFont="1" applyFill="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0" fontId="8" fillId="0" borderId="1" xfId="1" applyFont="1" applyBorder="1" applyAlignment="1" applyProtection="1">
      <alignment vertical="top"/>
      <protection locked="0"/>
    </xf>
    <xf numFmtId="0" fontId="12" fillId="0" borderId="2" xfId="1" applyFont="1" applyBorder="1" applyAlignment="1" applyProtection="1">
      <alignment horizontal="center" wrapText="1"/>
      <protection locked="0"/>
    </xf>
    <xf numFmtId="9" fontId="12" fillId="2" borderId="2" xfId="1" applyNumberFormat="1" applyFont="1" applyFill="1" applyBorder="1" applyAlignment="1" applyProtection="1">
      <alignment horizontal="center" vertical="center" wrapText="1"/>
      <protection hidden="1"/>
    </xf>
    <xf numFmtId="1" fontId="13" fillId="0" borderId="5"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protection locked="0"/>
    </xf>
    <xf numFmtId="1" fontId="13" fillId="0" borderId="6" xfId="0" applyNumberFormat="1" applyFont="1" applyBorder="1" applyAlignment="1" applyProtection="1">
      <alignment vertical="top"/>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vertical="top"/>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protection locked="0"/>
    </xf>
    <xf numFmtId="0" fontId="8" fillId="0" borderId="15"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2" xfId="1" applyNumberFormat="1" applyFont="1" applyFill="1" applyBorder="1" applyAlignment="1" applyProtection="1">
      <alignment horizontal="center" vertical="center" wrapText="1"/>
      <protection hidden="1"/>
    </xf>
    <xf numFmtId="9" fontId="12" fillId="2" borderId="4" xfId="1" applyNumberFormat="1" applyFont="1" applyFill="1" applyBorder="1" applyAlignment="1" applyProtection="1">
      <alignment horizontal="center" vertical="center" wrapText="1"/>
      <protection hidden="1"/>
    </xf>
    <xf numFmtId="9" fontId="12" fillId="2" borderId="29" xfId="1" applyNumberFormat="1" applyFont="1" applyFill="1" applyBorder="1" applyAlignment="1" applyProtection="1">
      <alignment horizontal="center" vertical="center" wrapText="1"/>
      <protection hidden="1"/>
    </xf>
    <xf numFmtId="0" fontId="12" fillId="0" borderId="28" xfId="1" applyFont="1" applyBorder="1" applyAlignment="1" applyProtection="1">
      <alignment horizontal="center" vertical="top" wrapText="1"/>
      <protection locked="0"/>
    </xf>
    <xf numFmtId="0" fontId="12" fillId="0" borderId="2" xfId="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center" wrapText="1"/>
      <protection locked="0"/>
    </xf>
    <xf numFmtId="0" fontId="8" fillId="0" borderId="5"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wrapText="1"/>
      <protection locked="0"/>
    </xf>
    <xf numFmtId="1" fontId="13" fillId="0" borderId="5" xfId="0" applyNumberFormat="1" applyFont="1" applyBorder="1" applyAlignment="1" applyProtection="1">
      <alignment vertical="center" wrapText="1"/>
      <protection locked="0"/>
    </xf>
    <xf numFmtId="1" fontId="13" fillId="0" borderId="20" xfId="0" applyNumberFormat="1" applyFont="1" applyBorder="1" applyAlignment="1" applyProtection="1">
      <alignment vertical="center" wrapText="1"/>
      <protection locked="0"/>
    </xf>
    <xf numFmtId="1" fontId="13" fillId="0" borderId="6" xfId="0" applyNumberFormat="1" applyFont="1" applyBorder="1" applyAlignment="1" applyProtection="1">
      <alignment vertical="center" wrapText="1"/>
      <protection locked="0"/>
    </xf>
    <xf numFmtId="1" fontId="13" fillId="0" borderId="20"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1" fontId="10" fillId="0" borderId="5"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protection locked="0"/>
    </xf>
    <xf numFmtId="1" fontId="10" fillId="0" borderId="6" xfId="0" applyNumberFormat="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5"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0" fontId="6" fillId="0" borderId="2"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20" xfId="1" applyFont="1" applyBorder="1" applyAlignment="1" applyProtection="1">
      <alignment horizontal="left" vertical="top"/>
      <protection locked="0"/>
    </xf>
    <xf numFmtId="0" fontId="6" fillId="0" borderId="6" xfId="1" applyFont="1" applyBorder="1" applyAlignment="1" applyProtection="1">
      <alignment horizontal="left" vertical="top"/>
      <protection locked="0"/>
    </xf>
    <xf numFmtId="0" fontId="12" fillId="2" borderId="5" xfId="1" applyFont="1" applyFill="1" applyBorder="1" applyAlignment="1" applyProtection="1">
      <alignment horizontal="left" vertical="top" wrapText="1"/>
      <protection locked="0"/>
    </xf>
    <xf numFmtId="0" fontId="12" fillId="2" borderId="20" xfId="1" applyFont="1" applyFill="1" applyBorder="1" applyAlignment="1" applyProtection="1">
      <alignment horizontal="left" vertical="top" wrapText="1"/>
      <protection locked="0"/>
    </xf>
    <xf numFmtId="0" fontId="12" fillId="2" borderId="6" xfId="1" applyFont="1" applyFill="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67"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2" fillId="0" borderId="5"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6" xfId="1" applyFont="1" applyBorder="1" applyAlignment="1" applyProtection="1">
      <alignment horizontal="center" vertical="top"/>
      <protection locked="0"/>
    </xf>
    <xf numFmtId="0" fontId="12" fillId="0" borderId="5"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horizontal="center" vertical="center" wrapText="1"/>
      <protection locked="0"/>
    </xf>
    <xf numFmtId="0" fontId="10" fillId="0" borderId="1" xfId="1" applyFont="1" applyBorder="1" applyAlignment="1" applyProtection="1">
      <alignment horizontal="left"/>
      <protection locked="0"/>
    </xf>
    <xf numFmtId="0" fontId="24" fillId="0" borderId="1" xfId="9" applyBorder="1" applyAlignment="1" applyProtection="1">
      <alignment horizontal="left"/>
      <protection locked="0"/>
    </xf>
    <xf numFmtId="0" fontId="7" fillId="0" borderId="1" xfId="1" applyFont="1" applyBorder="1" applyAlignment="1" applyProtection="1">
      <alignment horizontal="left"/>
      <protection locked="0"/>
    </xf>
    <xf numFmtId="9" fontId="13" fillId="0" borderId="1" xfId="1" applyNumberFormat="1" applyFont="1" applyBorder="1" applyAlignment="1" applyProtection="1">
      <alignment horizontal="left" vertical="top" wrapText="1"/>
      <protection locked="0"/>
    </xf>
    <xf numFmtId="14" fontId="6" fillId="0" borderId="5" xfId="1" applyNumberFormat="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1" fontId="8" fillId="0" borderId="5"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13" fillId="0" borderId="5" xfId="1" applyNumberFormat="1" applyFont="1" applyBorder="1" applyAlignment="1" applyProtection="1">
      <alignment horizontal="center" vertical="center" wrapText="1"/>
      <protection locked="0"/>
    </xf>
    <xf numFmtId="1" fontId="13" fillId="0" borderId="20" xfId="1" applyNumberFormat="1" applyFont="1" applyBorder="1" applyAlignment="1" applyProtection="1">
      <alignment horizontal="center" vertical="center" wrapText="1"/>
      <protection locked="0"/>
    </xf>
    <xf numFmtId="1" fontId="13" fillId="0" borderId="6"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8" fillId="0" borderId="23" xfId="1" applyFont="1" applyBorder="1" applyAlignment="1" applyProtection="1">
      <alignment horizontal="center" vertical="top"/>
      <protection locked="0"/>
    </xf>
    <xf numFmtId="0" fontId="8" fillId="0" borderId="17" xfId="1" applyFont="1" applyBorder="1" applyAlignment="1" applyProtection="1">
      <alignment horizontal="center" vertical="top"/>
      <protection locked="0"/>
    </xf>
    <xf numFmtId="1" fontId="25" fillId="0" borderId="1" xfId="1" applyNumberFormat="1"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wrapText="1"/>
      <protection locked="0"/>
    </xf>
    <xf numFmtId="1" fontId="6" fillId="0" borderId="27" xfId="0" applyNumberFormat="1" applyFont="1" applyBorder="1" applyAlignment="1" applyProtection="1">
      <alignment horizontal="center" vertical="center" wrapText="1"/>
      <protection locked="0"/>
    </xf>
    <xf numFmtId="1" fontId="6" fillId="0" borderId="15" xfId="0"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126310</xdr:colOff>
      <xdr:row>11</xdr:row>
      <xdr:rowOff>112103</xdr:rowOff>
    </xdr:from>
    <xdr:to>
      <xdr:col>18</xdr:col>
      <xdr:colOff>232421</xdr:colOff>
      <xdr:row>14</xdr:row>
      <xdr:rowOff>241721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50935" y="2702903"/>
          <a:ext cx="5449636" cy="1339293"/>
        </a:xfrm>
        <a:prstGeom prst="rect">
          <a:avLst/>
        </a:prstGeom>
      </xdr:spPr>
    </xdr:pic>
    <xdr:clientData/>
  </xdr:twoCellAnchor>
  <xdr:twoCellAnchor editAs="oneCell">
    <xdr:from>
      <xdr:col>1</xdr:col>
      <xdr:colOff>515028</xdr:colOff>
      <xdr:row>347</xdr:row>
      <xdr:rowOff>40823</xdr:rowOff>
    </xdr:from>
    <xdr:to>
      <xdr:col>6</xdr:col>
      <xdr:colOff>175582</xdr:colOff>
      <xdr:row>363</xdr:row>
      <xdr:rowOff>27597</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stretch>
          <a:fillRect/>
        </a:stretch>
      </xdr:blipFill>
      <xdr:spPr>
        <a:xfrm>
          <a:off x="1277028" y="83975123"/>
          <a:ext cx="3813454" cy="3187174"/>
        </a:xfrm>
        <a:prstGeom prst="rect">
          <a:avLst/>
        </a:prstGeom>
        <a:ln w="9525">
          <a:solidFill>
            <a:schemeClr val="tx1"/>
          </a:solidFill>
        </a:ln>
      </xdr:spPr>
    </xdr:pic>
    <xdr:clientData/>
  </xdr:twoCellAnchor>
  <xdr:twoCellAnchor>
    <xdr:from>
      <xdr:col>0</xdr:col>
      <xdr:colOff>282607</xdr:colOff>
      <xdr:row>363</xdr:row>
      <xdr:rowOff>192655</xdr:rowOff>
    </xdr:from>
    <xdr:to>
      <xdr:col>7</xdr:col>
      <xdr:colOff>527536</xdr:colOff>
      <xdr:row>387</xdr:row>
      <xdr:rowOff>39888</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282607" y="59537215"/>
          <a:ext cx="6127569" cy="4602113"/>
          <a:chOff x="299358" y="86416568"/>
          <a:chExt cx="5946791" cy="4579845"/>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t="1169"/>
          <a:stretch/>
        </xdr:blipFill>
        <xdr:spPr>
          <a:xfrm>
            <a:off x="299358" y="86416568"/>
            <a:ext cx="5946791" cy="4579845"/>
          </a:xfrm>
          <a:prstGeom prst="rect">
            <a:avLst/>
          </a:prstGeom>
          <a:ln w="9525">
            <a:solidFill>
              <a:schemeClr val="tx1"/>
            </a:solidFill>
          </a:ln>
        </xdr:spPr>
      </xdr:pic>
      <xdr:sp macro="" textlink="">
        <xdr:nvSpPr>
          <xdr:cNvPr id="21" name="Rectangle 20">
            <a:extLst>
              <a:ext uri="{FF2B5EF4-FFF2-40B4-BE49-F238E27FC236}">
                <a16:creationId xmlns:a16="http://schemas.microsoft.com/office/drawing/2014/main" id="{00000000-0008-0000-0000-000015000000}"/>
              </a:ext>
            </a:extLst>
          </xdr:cNvPr>
          <xdr:cNvSpPr/>
        </xdr:nvSpPr>
        <xdr:spPr>
          <a:xfrm>
            <a:off x="4245946" y="87918427"/>
            <a:ext cx="336550" cy="572108"/>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Rectangle 21">
            <a:extLst>
              <a:ext uri="{FF2B5EF4-FFF2-40B4-BE49-F238E27FC236}">
                <a16:creationId xmlns:a16="http://schemas.microsoft.com/office/drawing/2014/main" id="{00000000-0008-0000-0000-000016000000}"/>
              </a:ext>
            </a:extLst>
          </xdr:cNvPr>
          <xdr:cNvSpPr/>
        </xdr:nvSpPr>
        <xdr:spPr>
          <a:xfrm>
            <a:off x="4245947" y="88498153"/>
            <a:ext cx="336550" cy="500256"/>
          </a:xfrm>
          <a:prstGeom prst="rect">
            <a:avLst/>
          </a:prstGeom>
          <a:noFill/>
          <a:ln>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Freeform 22">
            <a:extLst>
              <a:ext uri="{FF2B5EF4-FFF2-40B4-BE49-F238E27FC236}">
                <a16:creationId xmlns:a16="http://schemas.microsoft.com/office/drawing/2014/main" id="{00000000-0008-0000-0000-000017000000}"/>
              </a:ext>
            </a:extLst>
          </xdr:cNvPr>
          <xdr:cNvSpPr/>
        </xdr:nvSpPr>
        <xdr:spPr>
          <a:xfrm>
            <a:off x="4082705" y="88987337"/>
            <a:ext cx="493941" cy="591394"/>
          </a:xfrm>
          <a:custGeom>
            <a:avLst/>
            <a:gdLst>
              <a:gd name="connsiteX0" fmla="*/ 147638 w 485775"/>
              <a:gd name="connsiteY0" fmla="*/ 0 h 652463"/>
              <a:gd name="connsiteX1" fmla="*/ 152400 w 485775"/>
              <a:gd name="connsiteY1" fmla="*/ 247650 h 652463"/>
              <a:gd name="connsiteX2" fmla="*/ 0 w 485775"/>
              <a:gd name="connsiteY2" fmla="*/ 357188 h 652463"/>
              <a:gd name="connsiteX3" fmla="*/ 209550 w 485775"/>
              <a:gd name="connsiteY3" fmla="*/ 652463 h 652463"/>
              <a:gd name="connsiteX4" fmla="*/ 471488 w 485775"/>
              <a:gd name="connsiteY4" fmla="*/ 423863 h 652463"/>
              <a:gd name="connsiteX5" fmla="*/ 485775 w 485775"/>
              <a:gd name="connsiteY5" fmla="*/ 14288 h 652463"/>
              <a:gd name="connsiteX6" fmla="*/ 147638 w 485775"/>
              <a:gd name="connsiteY6" fmla="*/ 0 h 6524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5775" h="652463">
                <a:moveTo>
                  <a:pt x="147638" y="0"/>
                </a:moveTo>
                <a:cubicBezTo>
                  <a:pt x="149225" y="82550"/>
                  <a:pt x="150813" y="165100"/>
                  <a:pt x="152400" y="247650"/>
                </a:cubicBezTo>
                <a:lnTo>
                  <a:pt x="0" y="357188"/>
                </a:lnTo>
                <a:lnTo>
                  <a:pt x="209550" y="652463"/>
                </a:lnTo>
                <a:lnTo>
                  <a:pt x="471488" y="423863"/>
                </a:lnTo>
                <a:lnTo>
                  <a:pt x="485775" y="14288"/>
                </a:lnTo>
                <a:lnTo>
                  <a:pt x="147638" y="0"/>
                </a:lnTo>
                <a:close/>
              </a:path>
            </a:pathLst>
          </a:cu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rot="3036555">
            <a:off x="3799689" y="89353912"/>
            <a:ext cx="336044" cy="545243"/>
          </a:xfrm>
          <a:prstGeom prst="rect">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5" name="TextBox 5">
            <a:extLst>
              <a:ext uri="{FF2B5EF4-FFF2-40B4-BE49-F238E27FC236}">
                <a16:creationId xmlns:a16="http://schemas.microsoft.com/office/drawing/2014/main" id="{00000000-0008-0000-0000-000019000000}"/>
              </a:ext>
            </a:extLst>
          </xdr:cNvPr>
          <xdr:cNvSpPr txBox="1"/>
        </xdr:nvSpPr>
        <xdr:spPr>
          <a:xfrm>
            <a:off x="3843352" y="87576588"/>
            <a:ext cx="1668010" cy="27941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C00000"/>
                </a:solidFill>
              </a:rPr>
              <a:t>Building</a:t>
            </a:r>
            <a:r>
              <a:rPr lang="en-US" sz="1100" b="1" baseline="0">
                <a:solidFill>
                  <a:srgbClr val="C00000"/>
                </a:solidFill>
              </a:rPr>
              <a:t> No.7 / </a:t>
            </a:r>
            <a:r>
              <a:rPr lang="en-US" sz="1100" b="1">
                <a:solidFill>
                  <a:srgbClr val="C00000"/>
                </a:solidFill>
              </a:rPr>
              <a:t>Type D1</a:t>
            </a:r>
            <a:endParaRPr lang="en-IN" sz="1100" b="1">
              <a:solidFill>
                <a:srgbClr val="C00000"/>
              </a:solidFill>
            </a:endParaRPr>
          </a:p>
        </xdr:txBody>
      </xdr:sp>
      <xdr:sp macro="" textlink="">
        <xdr:nvSpPr>
          <xdr:cNvPr id="26" name="TextBox 18">
            <a:extLst>
              <a:ext uri="{FF2B5EF4-FFF2-40B4-BE49-F238E27FC236}">
                <a16:creationId xmlns:a16="http://schemas.microsoft.com/office/drawing/2014/main" id="{00000000-0008-0000-0000-00001A000000}"/>
              </a:ext>
            </a:extLst>
          </xdr:cNvPr>
          <xdr:cNvSpPr txBox="1"/>
        </xdr:nvSpPr>
        <xdr:spPr>
          <a:xfrm>
            <a:off x="4494010" y="88720395"/>
            <a:ext cx="1646829" cy="29426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800080"/>
                </a:solidFill>
              </a:rPr>
              <a:t>Building</a:t>
            </a:r>
            <a:r>
              <a:rPr lang="en-US" sz="1100" b="1" baseline="0">
                <a:solidFill>
                  <a:srgbClr val="800080"/>
                </a:solidFill>
              </a:rPr>
              <a:t> No.7 / </a:t>
            </a:r>
            <a:r>
              <a:rPr lang="en-US" sz="1100" b="1">
                <a:solidFill>
                  <a:srgbClr val="800080"/>
                </a:solidFill>
              </a:rPr>
              <a:t>Type D2</a:t>
            </a:r>
            <a:endParaRPr lang="en-IN" sz="1100" b="1">
              <a:solidFill>
                <a:srgbClr val="800080"/>
              </a:solidFill>
            </a:endParaRPr>
          </a:p>
        </xdr:txBody>
      </xdr:sp>
      <xdr:sp macro="" textlink="">
        <xdr:nvSpPr>
          <xdr:cNvPr id="27" name="TextBox 19">
            <a:extLst>
              <a:ext uri="{FF2B5EF4-FFF2-40B4-BE49-F238E27FC236}">
                <a16:creationId xmlns:a16="http://schemas.microsoft.com/office/drawing/2014/main" id="{00000000-0008-0000-0000-00001B000000}"/>
              </a:ext>
            </a:extLst>
          </xdr:cNvPr>
          <xdr:cNvSpPr txBox="1"/>
        </xdr:nvSpPr>
        <xdr:spPr>
          <a:xfrm rot="17899310">
            <a:off x="4102286" y="89270585"/>
            <a:ext cx="1173502" cy="43992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rgbClr val="002060"/>
                </a:solidFill>
              </a:rPr>
              <a:t>Building No.7 /    Type D3</a:t>
            </a:r>
            <a:endParaRPr lang="en-IN" sz="1100" b="1">
              <a:solidFill>
                <a:srgbClr val="002060"/>
              </a:solidFill>
            </a:endParaRPr>
          </a:p>
        </xdr:txBody>
      </xdr:sp>
      <xdr:sp macro="" textlink="">
        <xdr:nvSpPr>
          <xdr:cNvPr id="28" name="TextBox 20">
            <a:extLst>
              <a:ext uri="{FF2B5EF4-FFF2-40B4-BE49-F238E27FC236}">
                <a16:creationId xmlns:a16="http://schemas.microsoft.com/office/drawing/2014/main" id="{00000000-0008-0000-0000-00001C000000}"/>
              </a:ext>
            </a:extLst>
          </xdr:cNvPr>
          <xdr:cNvSpPr txBox="1"/>
        </xdr:nvSpPr>
        <xdr:spPr>
          <a:xfrm rot="19691531">
            <a:off x="3165753" y="89122452"/>
            <a:ext cx="1089780" cy="43164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rgbClr val="0066FF"/>
                </a:solidFill>
              </a:rPr>
              <a:t>Building  No.7/   Type D4</a:t>
            </a:r>
            <a:endParaRPr lang="en-IN" sz="1100" b="1">
              <a:solidFill>
                <a:srgbClr val="0066FF"/>
              </a:solidFill>
            </a:endParaRPr>
          </a:p>
        </xdr:txBody>
      </xdr:sp>
    </xdr:grpSp>
    <xdr:clientData/>
  </xdr:twoCellAnchor>
  <xdr:oneCellAnchor>
    <xdr:from>
      <xdr:col>1</xdr:col>
      <xdr:colOff>186214</xdr:colOff>
      <xdr:row>389</xdr:row>
      <xdr:rowOff>80282</xdr:rowOff>
    </xdr:from>
    <xdr:ext cx="4582601" cy="3547973"/>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
        <a:stretch>
          <a:fillRect/>
        </a:stretch>
      </xdr:blipFill>
      <xdr:spPr>
        <a:xfrm>
          <a:off x="948214" y="92615657"/>
          <a:ext cx="4582601" cy="3547973"/>
        </a:xfrm>
        <a:prstGeom prst="rect">
          <a:avLst/>
        </a:prstGeom>
        <a:ln w="9525">
          <a:solidFill>
            <a:schemeClr val="tx1"/>
          </a:solidFill>
        </a:ln>
      </xdr:spPr>
    </xdr:pic>
    <xdr:clientData/>
  </xdr:oneCellAnchor>
  <xdr:twoCellAnchor>
    <xdr:from>
      <xdr:col>0</xdr:col>
      <xdr:colOff>610961</xdr:colOff>
      <xdr:row>407</xdr:row>
      <xdr:rowOff>187045</xdr:rowOff>
    </xdr:from>
    <xdr:to>
      <xdr:col>7</xdr:col>
      <xdr:colOff>315011</xdr:colOff>
      <xdr:row>429</xdr:row>
      <xdr:rowOff>164794</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610961" y="68248885"/>
          <a:ext cx="5586690" cy="4336389"/>
          <a:chOff x="630011" y="96256195"/>
          <a:chExt cx="5400000" cy="4378299"/>
        </a:xfrm>
      </xdr:grpSpPr>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
          <a:stretch>
            <a:fillRect/>
          </a:stretch>
        </xdr:blipFill>
        <xdr:spPr>
          <a:xfrm>
            <a:off x="630011" y="96256195"/>
            <a:ext cx="5400000" cy="4378299"/>
          </a:xfrm>
          <a:prstGeom prst="rect">
            <a:avLst/>
          </a:prstGeom>
          <a:ln w="9525">
            <a:solidFill>
              <a:schemeClr val="tx1"/>
            </a:solidFill>
          </a:ln>
        </xdr:spPr>
      </xdr:pic>
      <xdr:sp macro="" textlink="">
        <xdr:nvSpPr>
          <xdr:cNvPr id="54" name="Freeform 53">
            <a:extLst>
              <a:ext uri="{FF2B5EF4-FFF2-40B4-BE49-F238E27FC236}">
                <a16:creationId xmlns:a16="http://schemas.microsoft.com/office/drawing/2014/main" id="{00000000-0008-0000-0000-000036000000}"/>
              </a:ext>
            </a:extLst>
          </xdr:cNvPr>
          <xdr:cNvSpPr/>
        </xdr:nvSpPr>
        <xdr:spPr>
          <a:xfrm rot="18159386">
            <a:off x="3047937" y="98031333"/>
            <a:ext cx="678103" cy="1083386"/>
          </a:xfrm>
          <a:custGeom>
            <a:avLst/>
            <a:gdLst>
              <a:gd name="connsiteX0" fmla="*/ 571500 w 927653"/>
              <a:gd name="connsiteY0" fmla="*/ 0 h 2062369"/>
              <a:gd name="connsiteX1" fmla="*/ 927653 w 927653"/>
              <a:gd name="connsiteY1" fmla="*/ 8282 h 2062369"/>
              <a:gd name="connsiteX2" fmla="*/ 894522 w 927653"/>
              <a:gd name="connsiteY2" fmla="*/ 1532282 h 2062369"/>
              <a:gd name="connsiteX3" fmla="*/ 190500 w 927653"/>
              <a:gd name="connsiteY3" fmla="*/ 2062369 h 2062369"/>
              <a:gd name="connsiteX4" fmla="*/ 0 w 927653"/>
              <a:gd name="connsiteY4" fmla="*/ 1755913 h 2062369"/>
              <a:gd name="connsiteX5" fmla="*/ 579783 w 927653"/>
              <a:gd name="connsiteY5" fmla="*/ 1374913 h 2062369"/>
              <a:gd name="connsiteX6" fmla="*/ 571500 w 927653"/>
              <a:gd name="connsiteY6" fmla="*/ 0 h 20623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27653" h="2062369">
                <a:moveTo>
                  <a:pt x="571500" y="0"/>
                </a:moveTo>
                <a:lnTo>
                  <a:pt x="927653" y="8282"/>
                </a:lnTo>
                <a:lnTo>
                  <a:pt x="894522" y="1532282"/>
                </a:lnTo>
                <a:lnTo>
                  <a:pt x="190500" y="2062369"/>
                </a:lnTo>
                <a:lnTo>
                  <a:pt x="0" y="1755913"/>
                </a:lnTo>
                <a:lnTo>
                  <a:pt x="579783" y="1374913"/>
                </a:lnTo>
                <a:lnTo>
                  <a:pt x="571500" y="0"/>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rot="1924937">
            <a:off x="2929992" y="98089496"/>
            <a:ext cx="1541625" cy="290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Vihang</a:t>
            </a:r>
            <a:r>
              <a:rPr lang="en-IN" sz="1100" b="1" baseline="0">
                <a:solidFill>
                  <a:srgbClr val="FFFF00"/>
                </a:solidFill>
              </a:rPr>
              <a:t> Valley Phase 4</a:t>
            </a:r>
            <a:endParaRPr lang="en-IN" sz="1100" b="1">
              <a:solidFill>
                <a:srgbClr val="FFFF00"/>
              </a:solidFill>
            </a:endParaRPr>
          </a:p>
        </xdr:txBody>
      </xdr:sp>
    </xdr:grpSp>
    <xdr:clientData/>
  </xdr:twoCellAnchor>
  <xdr:twoCellAnchor editAs="oneCell">
    <xdr:from>
      <xdr:col>8</xdr:col>
      <xdr:colOff>976432</xdr:colOff>
      <xdr:row>123</xdr:row>
      <xdr:rowOff>62350</xdr:rowOff>
    </xdr:from>
    <xdr:to>
      <xdr:col>12</xdr:col>
      <xdr:colOff>287480</xdr:colOff>
      <xdr:row>135</xdr:row>
      <xdr:rowOff>72645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7501057" y="37162225"/>
          <a:ext cx="2644798" cy="2629670"/>
        </a:xfrm>
        <a:prstGeom prst="rect">
          <a:avLst/>
        </a:prstGeom>
      </xdr:spPr>
    </xdr:pic>
    <xdr:clientData/>
  </xdr:twoCellAnchor>
  <xdr:twoCellAnchor editAs="oneCell">
    <xdr:from>
      <xdr:col>8</xdr:col>
      <xdr:colOff>213631</xdr:colOff>
      <xdr:row>135</xdr:row>
      <xdr:rowOff>128387</xdr:rowOff>
    </xdr:from>
    <xdr:to>
      <xdr:col>16</xdr:col>
      <xdr:colOff>456454</xdr:colOff>
      <xdr:row>170</xdr:row>
      <xdr:rowOff>174238</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7"/>
        <a:stretch>
          <a:fillRect/>
        </a:stretch>
      </xdr:blipFill>
      <xdr:spPr>
        <a:xfrm>
          <a:off x="6738256" y="39847637"/>
          <a:ext cx="4367148" cy="2884301"/>
        </a:xfrm>
        <a:prstGeom prst="rect">
          <a:avLst/>
        </a:prstGeom>
      </xdr:spPr>
    </xdr:pic>
    <xdr:clientData/>
  </xdr:twoCellAnchor>
  <xdr:twoCellAnchor editAs="oneCell">
    <xdr:from>
      <xdr:col>8</xdr:col>
      <xdr:colOff>416858</xdr:colOff>
      <xdr:row>163</xdr:row>
      <xdr:rowOff>114300</xdr:rowOff>
    </xdr:from>
    <xdr:to>
      <xdr:col>16</xdr:col>
      <xdr:colOff>550802</xdr:colOff>
      <xdr:row>187</xdr:row>
      <xdr:rowOff>147478</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8"/>
        <a:stretch>
          <a:fillRect/>
        </a:stretch>
      </xdr:blipFill>
      <xdr:spPr>
        <a:xfrm>
          <a:off x="6941483" y="43681650"/>
          <a:ext cx="4258269" cy="4833778"/>
        </a:xfrm>
        <a:prstGeom prst="rect">
          <a:avLst/>
        </a:prstGeom>
      </xdr:spPr>
    </xdr:pic>
    <xdr:clientData/>
  </xdr:twoCellAnchor>
  <xdr:twoCellAnchor editAs="oneCell">
    <xdr:from>
      <xdr:col>10</xdr:col>
      <xdr:colOff>689633</xdr:colOff>
      <xdr:row>270</xdr:row>
      <xdr:rowOff>114300</xdr:rowOff>
    </xdr:from>
    <xdr:to>
      <xdr:col>19</xdr:col>
      <xdr:colOff>450083</xdr:colOff>
      <xdr:row>288</xdr:row>
      <xdr:rowOff>305270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9"/>
        <a:stretch>
          <a:fillRect/>
        </a:stretch>
      </xdr:blipFill>
      <xdr:spPr>
        <a:xfrm>
          <a:off x="9406913" y="40264080"/>
          <a:ext cx="3913350" cy="4084790"/>
        </a:xfrm>
        <a:prstGeom prst="rect">
          <a:avLst/>
        </a:prstGeom>
      </xdr:spPr>
    </xdr:pic>
    <xdr:clientData/>
  </xdr:twoCellAnchor>
  <xdr:twoCellAnchor editAs="oneCell">
    <xdr:from>
      <xdr:col>8</xdr:col>
      <xdr:colOff>295995</xdr:colOff>
      <xdr:row>142</xdr:row>
      <xdr:rowOff>28575</xdr:rowOff>
    </xdr:from>
    <xdr:to>
      <xdr:col>17</xdr:col>
      <xdr:colOff>314026</xdr:colOff>
      <xdr:row>170</xdr:row>
      <xdr:rowOff>42558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0"/>
        <a:stretch>
          <a:fillRect/>
        </a:stretch>
      </xdr:blipFill>
      <xdr:spPr>
        <a:xfrm>
          <a:off x="6820620" y="41357550"/>
          <a:ext cx="4751956" cy="2680983"/>
        </a:xfrm>
        <a:prstGeom prst="rect">
          <a:avLst/>
        </a:prstGeom>
      </xdr:spPr>
    </xdr:pic>
    <xdr:clientData/>
  </xdr:twoCellAnchor>
  <xdr:twoCellAnchor editAs="oneCell">
    <xdr:from>
      <xdr:col>11</xdr:col>
      <xdr:colOff>537846</xdr:colOff>
      <xdr:row>272</xdr:row>
      <xdr:rowOff>7620</xdr:rowOff>
    </xdr:from>
    <xdr:to>
      <xdr:col>20</xdr:col>
      <xdr:colOff>340154</xdr:colOff>
      <xdr:row>292</xdr:row>
      <xdr:rowOff>130279</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1"/>
        <a:stretch>
          <a:fillRect/>
        </a:stretch>
      </xdr:blipFill>
      <xdr:spPr>
        <a:xfrm>
          <a:off x="9979026" y="40553640"/>
          <a:ext cx="3863768" cy="4854679"/>
        </a:xfrm>
        <a:prstGeom prst="rect">
          <a:avLst/>
        </a:prstGeom>
      </xdr:spPr>
    </xdr:pic>
    <xdr:clientData/>
  </xdr:twoCellAnchor>
  <xdr:twoCellAnchor editAs="oneCell">
    <xdr:from>
      <xdr:col>8</xdr:col>
      <xdr:colOff>414618</xdr:colOff>
      <xdr:row>267</xdr:row>
      <xdr:rowOff>30480</xdr:rowOff>
    </xdr:from>
    <xdr:to>
      <xdr:col>18</xdr:col>
      <xdr:colOff>175525</xdr:colOff>
      <xdr:row>281</xdr:row>
      <xdr:rowOff>396007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2"/>
        <a:stretch>
          <a:fillRect/>
        </a:stretch>
      </xdr:blipFill>
      <xdr:spPr>
        <a:xfrm>
          <a:off x="7150698" y="39585900"/>
          <a:ext cx="5262547" cy="3093487"/>
        </a:xfrm>
        <a:prstGeom prst="rect">
          <a:avLst/>
        </a:prstGeom>
      </xdr:spPr>
    </xdr:pic>
    <xdr:clientData/>
  </xdr:twoCellAnchor>
  <xdr:twoCellAnchor editAs="oneCell">
    <xdr:from>
      <xdr:col>9</xdr:col>
      <xdr:colOff>662268</xdr:colOff>
      <xdr:row>90</xdr:row>
      <xdr:rowOff>95250</xdr:rowOff>
    </xdr:from>
    <xdr:to>
      <xdr:col>17</xdr:col>
      <xdr:colOff>537805</xdr:colOff>
      <xdr:row>113</xdr:row>
      <xdr:rowOff>119742</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3"/>
        <a:stretch>
          <a:fillRect/>
        </a:stretch>
      </xdr:blipFill>
      <xdr:spPr>
        <a:xfrm>
          <a:off x="8348943" y="31984950"/>
          <a:ext cx="3447412" cy="2834367"/>
        </a:xfrm>
        <a:prstGeom prst="rect">
          <a:avLst/>
        </a:prstGeom>
      </xdr:spPr>
    </xdr:pic>
    <xdr:clientData/>
  </xdr:twoCellAnchor>
  <xdr:twoCellAnchor>
    <xdr:from>
      <xdr:col>12</xdr:col>
      <xdr:colOff>10263</xdr:colOff>
      <xdr:row>307</xdr:row>
      <xdr:rowOff>28575</xdr:rowOff>
    </xdr:from>
    <xdr:to>
      <xdr:col>16</xdr:col>
      <xdr:colOff>174565</xdr:colOff>
      <xdr:row>308</xdr:row>
      <xdr:rowOff>197882</xdr:rowOff>
    </xdr:to>
    <xdr:sp macro="" textlink="">
      <xdr:nvSpPr>
        <xdr:cNvPr id="36" name="TextBox 12">
          <a:extLst>
            <a:ext uri="{FF2B5EF4-FFF2-40B4-BE49-F238E27FC236}">
              <a16:creationId xmlns:a16="http://schemas.microsoft.com/office/drawing/2014/main" id="{00000000-0008-0000-0000-000024000000}"/>
            </a:ext>
          </a:extLst>
        </xdr:cNvPr>
        <xdr:cNvSpPr txBox="1"/>
      </xdr:nvSpPr>
      <xdr:spPr>
        <a:xfrm>
          <a:off x="9868638" y="49710975"/>
          <a:ext cx="954877"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Type D1</a:t>
          </a:r>
        </a:p>
      </xdr:txBody>
    </xdr:sp>
    <xdr:clientData/>
  </xdr:twoCellAnchor>
  <xdr:twoCellAnchor>
    <xdr:from>
      <xdr:col>11</xdr:col>
      <xdr:colOff>286488</xdr:colOff>
      <xdr:row>310</xdr:row>
      <xdr:rowOff>19050</xdr:rowOff>
    </xdr:from>
    <xdr:to>
      <xdr:col>12</xdr:col>
      <xdr:colOff>536515</xdr:colOff>
      <xdr:row>311</xdr:row>
      <xdr:rowOff>188357</xdr:rowOff>
    </xdr:to>
    <xdr:sp macro="" textlink="">
      <xdr:nvSpPr>
        <xdr:cNvPr id="51" name="TextBox 12">
          <a:extLst>
            <a:ext uri="{FF2B5EF4-FFF2-40B4-BE49-F238E27FC236}">
              <a16:creationId xmlns:a16="http://schemas.microsoft.com/office/drawing/2014/main" id="{00000000-0008-0000-0000-000033000000}"/>
            </a:ext>
          </a:extLst>
        </xdr:cNvPr>
        <xdr:cNvSpPr txBox="1"/>
      </xdr:nvSpPr>
      <xdr:spPr>
        <a:xfrm>
          <a:off x="9440013" y="50368200"/>
          <a:ext cx="954877"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Type D2</a:t>
          </a:r>
        </a:p>
      </xdr:txBody>
    </xdr:sp>
    <xdr:clientData/>
  </xdr:twoCellAnchor>
  <xdr:twoCellAnchor>
    <xdr:from>
      <xdr:col>8</xdr:col>
      <xdr:colOff>1126490</xdr:colOff>
      <xdr:row>304</xdr:row>
      <xdr:rowOff>138430</xdr:rowOff>
    </xdr:from>
    <xdr:to>
      <xdr:col>20</xdr:col>
      <xdr:colOff>423587</xdr:colOff>
      <xdr:row>331</xdr:row>
      <xdr:rowOff>25565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862570" y="47793910"/>
          <a:ext cx="6063657" cy="5236375"/>
          <a:chOff x="349250" y="47847250"/>
          <a:chExt cx="6156367" cy="5202085"/>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376379" y="50889335"/>
            <a:ext cx="1618313"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669173" y="47872650"/>
            <a:ext cx="3836444" cy="288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49250" y="47872650"/>
            <a:ext cx="2157751" cy="2880000"/>
          </a:xfrm>
          <a:prstGeom prst="rect">
            <a:avLst/>
          </a:prstGeom>
          <a:ln>
            <a:solidFill>
              <a:schemeClr val="tx1"/>
            </a:solidFill>
          </a:ln>
        </xdr:spPr>
      </xdr:pic>
      <xdr:sp macro="" textlink="">
        <xdr:nvSpPr>
          <xdr:cNvPr id="42" name="TextBox 12">
            <a:extLst>
              <a:ext uri="{FF2B5EF4-FFF2-40B4-BE49-F238E27FC236}">
                <a16:creationId xmlns:a16="http://schemas.microsoft.com/office/drawing/2014/main" id="{00000000-0008-0000-0000-000024000000}"/>
              </a:ext>
            </a:extLst>
          </xdr:cNvPr>
          <xdr:cNvSpPr txBox="1"/>
        </xdr:nvSpPr>
        <xdr:spPr>
          <a:xfrm>
            <a:off x="1397000" y="47847250"/>
            <a:ext cx="989802" cy="3661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Type D1</a:t>
            </a:r>
          </a:p>
        </xdr:txBody>
      </xdr:sp>
      <xdr:sp macro="" textlink="">
        <xdr:nvSpPr>
          <xdr:cNvPr id="43" name="TextBox 12">
            <a:extLst>
              <a:ext uri="{FF2B5EF4-FFF2-40B4-BE49-F238E27FC236}">
                <a16:creationId xmlns:a16="http://schemas.microsoft.com/office/drawing/2014/main" id="{00000000-0008-0000-0000-000024000000}"/>
              </a:ext>
            </a:extLst>
          </xdr:cNvPr>
          <xdr:cNvSpPr txBox="1"/>
        </xdr:nvSpPr>
        <xdr:spPr>
          <a:xfrm>
            <a:off x="3488323" y="49676050"/>
            <a:ext cx="989802" cy="3661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Type D4</a:t>
            </a:r>
          </a:p>
        </xdr:txBody>
      </xdr:sp>
    </xdr:grpSp>
    <xdr:clientData/>
  </xdr:twoCellAnchor>
  <xdr:twoCellAnchor>
    <xdr:from>
      <xdr:col>0</xdr:col>
      <xdr:colOff>541020</xdr:colOff>
      <xdr:row>306</xdr:row>
      <xdr:rowOff>53340</xdr:rowOff>
    </xdr:from>
    <xdr:to>
      <xdr:col>7</xdr:col>
      <xdr:colOff>480060</xdr:colOff>
      <xdr:row>332</xdr:row>
      <xdr:rowOff>53340</xdr:rowOff>
    </xdr:to>
    <xdr:grpSp>
      <xdr:nvGrpSpPr>
        <xdr:cNvPr id="6" name="Group 5">
          <a:extLst>
            <a:ext uri="{FF2B5EF4-FFF2-40B4-BE49-F238E27FC236}">
              <a16:creationId xmlns:a16="http://schemas.microsoft.com/office/drawing/2014/main" id="{B75242A8-55EF-8D74-2A4D-A03FE73E0B73}"/>
            </a:ext>
          </a:extLst>
        </xdr:cNvPr>
        <xdr:cNvGrpSpPr/>
      </xdr:nvGrpSpPr>
      <xdr:grpSpPr>
        <a:xfrm>
          <a:off x="541020" y="48105060"/>
          <a:ext cx="5821680" cy="5151120"/>
          <a:chOff x="347485" y="246773"/>
          <a:chExt cx="5383809" cy="4448827"/>
        </a:xfrm>
      </xdr:grpSpPr>
      <xdr:grpSp>
        <xdr:nvGrpSpPr>
          <xdr:cNvPr id="14" name="Group 13">
            <a:extLst>
              <a:ext uri="{FF2B5EF4-FFF2-40B4-BE49-F238E27FC236}">
                <a16:creationId xmlns:a16="http://schemas.microsoft.com/office/drawing/2014/main" id="{A75F9412-268A-787D-240D-E07483A11EC6}"/>
              </a:ext>
            </a:extLst>
          </xdr:cNvPr>
          <xdr:cNvGrpSpPr/>
        </xdr:nvGrpSpPr>
        <xdr:grpSpPr>
          <a:xfrm>
            <a:off x="347485" y="246773"/>
            <a:ext cx="5383809" cy="2520000"/>
            <a:chOff x="347485" y="246773"/>
            <a:chExt cx="5383809" cy="2520000"/>
          </a:xfrm>
        </xdr:grpSpPr>
        <xdr:pic>
          <xdr:nvPicPr>
            <xdr:cNvPr id="34" name="Picture 33">
              <a:extLst>
                <a:ext uri="{FF2B5EF4-FFF2-40B4-BE49-F238E27FC236}">
                  <a16:creationId xmlns:a16="http://schemas.microsoft.com/office/drawing/2014/main" id="{094155A9-B2A9-D4AA-DFCF-376A5DE293A1}"/>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347485" y="246773"/>
              <a:ext cx="1888031"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4E17F30C-DAD2-61F7-8DFF-CC7675B7BFC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tretch>
              <a:fillRect/>
            </a:stretch>
          </xdr:blipFill>
          <xdr:spPr>
            <a:xfrm>
              <a:off x="2374405" y="246773"/>
              <a:ext cx="3356889" cy="2520000"/>
            </a:xfrm>
            <a:prstGeom prst="rect">
              <a:avLst/>
            </a:prstGeom>
            <a:ln>
              <a:solidFill>
                <a:schemeClr val="tx1"/>
              </a:solidFill>
            </a:ln>
          </xdr:spPr>
        </xdr:pic>
      </xdr:grpSp>
      <xdr:grpSp>
        <xdr:nvGrpSpPr>
          <xdr:cNvPr id="15" name="Group 14">
            <a:extLst>
              <a:ext uri="{FF2B5EF4-FFF2-40B4-BE49-F238E27FC236}">
                <a16:creationId xmlns:a16="http://schemas.microsoft.com/office/drawing/2014/main" id="{CDBEEF06-8EF9-7D0B-23DD-DA0308833F53}"/>
              </a:ext>
            </a:extLst>
          </xdr:cNvPr>
          <xdr:cNvGrpSpPr/>
        </xdr:nvGrpSpPr>
        <xdr:grpSpPr>
          <a:xfrm>
            <a:off x="917402" y="2895600"/>
            <a:ext cx="4323560" cy="1800000"/>
            <a:chOff x="886922" y="2956560"/>
            <a:chExt cx="4323560" cy="1800000"/>
          </a:xfrm>
        </xdr:grpSpPr>
        <xdr:pic>
          <xdr:nvPicPr>
            <xdr:cNvPr id="31" name="Picture 30">
              <a:extLst>
                <a:ext uri="{FF2B5EF4-FFF2-40B4-BE49-F238E27FC236}">
                  <a16:creationId xmlns:a16="http://schemas.microsoft.com/office/drawing/2014/main" id="{F21F26B5-123E-F0C1-F013-64304F9A0FBD}"/>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3861888" y="2956560"/>
              <a:ext cx="1348594" cy="1800000"/>
            </a:xfrm>
            <a:prstGeom prst="rect">
              <a:avLst/>
            </a:prstGeom>
            <a:ln>
              <a:solidFill>
                <a:schemeClr val="tx1"/>
              </a:solidFill>
            </a:ln>
          </xdr:spPr>
        </xdr:pic>
        <xdr:pic>
          <xdr:nvPicPr>
            <xdr:cNvPr id="32" name="Picture 31">
              <a:extLst>
                <a:ext uri="{FF2B5EF4-FFF2-40B4-BE49-F238E27FC236}">
                  <a16:creationId xmlns:a16="http://schemas.microsoft.com/office/drawing/2014/main" id="{6DDC9EBC-BC0A-6016-8EA5-C4F46156A5D7}"/>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886922" y="2956560"/>
              <a:ext cx="1348594" cy="1800000"/>
            </a:xfrm>
            <a:prstGeom prst="rect">
              <a:avLst/>
            </a:prstGeom>
            <a:ln>
              <a:solidFill>
                <a:schemeClr val="tx1"/>
              </a:solidFill>
            </a:ln>
          </xdr:spPr>
        </xdr:pic>
        <xdr:pic>
          <xdr:nvPicPr>
            <xdr:cNvPr id="33" name="Picture 32">
              <a:extLst>
                <a:ext uri="{FF2B5EF4-FFF2-40B4-BE49-F238E27FC236}">
                  <a16:creationId xmlns:a16="http://schemas.microsoft.com/office/drawing/2014/main" id="{46668660-6B79-281C-9126-B7F4251C5262}"/>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2374405" y="2956560"/>
              <a:ext cx="1348594" cy="1800000"/>
            </a:xfrm>
            <a:prstGeom prst="rect">
              <a:avLst/>
            </a:prstGeom>
            <a:ln>
              <a:solidFill>
                <a:schemeClr val="tx1"/>
              </a:solidFill>
            </a:ln>
          </xdr:spPr>
        </xdr:pic>
      </xdr:grpSp>
      <xdr:sp macro="" textlink="">
        <xdr:nvSpPr>
          <xdr:cNvPr id="16" name="TextBox 15">
            <a:extLst>
              <a:ext uri="{FF2B5EF4-FFF2-40B4-BE49-F238E27FC236}">
                <a16:creationId xmlns:a16="http://schemas.microsoft.com/office/drawing/2014/main" id="{E1176D81-C8E5-8AEF-E377-1AA1D1EA03FE}"/>
              </a:ext>
            </a:extLst>
          </xdr:cNvPr>
          <xdr:cNvSpPr txBox="1"/>
        </xdr:nvSpPr>
        <xdr:spPr>
          <a:xfrm>
            <a:off x="695226" y="246773"/>
            <a:ext cx="44435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D1</a:t>
            </a:r>
          </a:p>
        </xdr:txBody>
      </xdr:sp>
      <xdr:sp macro="" textlink="">
        <xdr:nvSpPr>
          <xdr:cNvPr id="17" name="TextBox 24">
            <a:extLst>
              <a:ext uri="{FF2B5EF4-FFF2-40B4-BE49-F238E27FC236}">
                <a16:creationId xmlns:a16="http://schemas.microsoft.com/office/drawing/2014/main" id="{37053FA6-EC8A-E818-D1A0-926AF7765335}"/>
              </a:ext>
            </a:extLst>
          </xdr:cNvPr>
          <xdr:cNvSpPr txBox="1"/>
        </xdr:nvSpPr>
        <xdr:spPr>
          <a:xfrm>
            <a:off x="2990896" y="906180"/>
            <a:ext cx="444352" cy="3501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D4</a:t>
            </a:r>
          </a:p>
        </xdr:txBody>
      </xdr:sp>
      <xdr:cxnSp macro="">
        <xdr:nvCxnSpPr>
          <xdr:cNvPr id="18" name="Straight Arrow Connector 17">
            <a:extLst>
              <a:ext uri="{FF2B5EF4-FFF2-40B4-BE49-F238E27FC236}">
                <a16:creationId xmlns:a16="http://schemas.microsoft.com/office/drawing/2014/main" id="{490BC0AC-E8F4-72CD-1904-D9F8E21AD370}"/>
              </a:ext>
            </a:extLst>
          </xdr:cNvPr>
          <xdr:cNvCxnSpPr/>
        </xdr:nvCxnSpPr>
        <xdr:spPr>
          <a:xfrm>
            <a:off x="3210560" y="1239520"/>
            <a:ext cx="138892" cy="37612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9" name="TextBox 35">
            <a:extLst>
              <a:ext uri="{FF2B5EF4-FFF2-40B4-BE49-F238E27FC236}">
                <a16:creationId xmlns:a16="http://schemas.microsoft.com/office/drawing/2014/main" id="{C8FB84FC-577F-EBC4-FAEC-0457EDB2B672}"/>
              </a:ext>
            </a:extLst>
          </xdr:cNvPr>
          <xdr:cNvSpPr txBox="1"/>
        </xdr:nvSpPr>
        <xdr:spPr>
          <a:xfrm>
            <a:off x="2766208" y="1916905"/>
            <a:ext cx="44755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D3</a:t>
            </a:r>
          </a:p>
        </xdr:txBody>
      </xdr:sp>
      <xdr:cxnSp macro="">
        <xdr:nvCxnSpPr>
          <xdr:cNvPr id="30" name="Straight Arrow Connector 29">
            <a:extLst>
              <a:ext uri="{FF2B5EF4-FFF2-40B4-BE49-F238E27FC236}">
                <a16:creationId xmlns:a16="http://schemas.microsoft.com/office/drawing/2014/main" id="{A46BCC49-464B-933B-211E-F764FFAC4FF0}"/>
              </a:ext>
            </a:extLst>
          </xdr:cNvPr>
          <xdr:cNvCxnSpPr>
            <a:cxnSpLocks/>
          </xdr:cNvCxnSpPr>
        </xdr:nvCxnSpPr>
        <xdr:spPr>
          <a:xfrm>
            <a:off x="3119762" y="2289732"/>
            <a:ext cx="436238" cy="29590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313134-vihang-capital-of-thane-by-vihang-group-in-kasarvadavali-thane-west" TargetMode="External"/><Relationship Id="rId1" Type="http://schemas.openxmlformats.org/officeDocument/2006/relationships/hyperlink" Target="https://maps.app.goo.gl/kDFF11vGdVDeBRvX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93"/>
  <sheetViews>
    <sheetView tabSelected="1" showWhiteSpace="0" view="pageBreakPreview" zoomScaleNormal="100" zoomScaleSheetLayoutView="100" zoomScalePageLayoutView="85" workbookViewId="0">
      <selection activeCell="M68" sqref="M68"/>
    </sheetView>
  </sheetViews>
  <sheetFormatPr defaultColWidth="9.21875" defaultRowHeight="15.6" x14ac:dyDescent="0.3"/>
  <cols>
    <col min="1" max="1" width="11.44140625" style="11" customWidth="1"/>
    <col min="2" max="2" width="12" style="11" customWidth="1"/>
    <col min="3" max="3" width="12.77734375" style="11" customWidth="1"/>
    <col min="4" max="4" width="14.21875" style="11" customWidth="1"/>
    <col min="5" max="7" width="11.77734375" style="11" customWidth="1"/>
    <col min="8" max="8" width="12.44140625" style="11" customWidth="1"/>
    <col min="9" max="9" width="17.44140625" style="3" customWidth="1"/>
    <col min="10" max="10" width="11.44140625" style="3" customWidth="1"/>
    <col min="11" max="11" width="10.5546875" style="3" bestFit="1" customWidth="1"/>
    <col min="12" max="12" width="10.5546875" style="3" customWidth="1"/>
    <col min="13" max="13" width="11.77734375" style="3" customWidth="1"/>
    <col min="14" max="14" width="12.5546875" style="3" hidden="1" customWidth="1"/>
    <col min="15" max="15" width="9.77734375" style="3" hidden="1" customWidth="1"/>
    <col min="16" max="16" width="11.77734375" style="3" hidden="1" customWidth="1"/>
    <col min="17" max="247" width="9.21875" style="3"/>
    <col min="248" max="248" width="8.77734375" style="3" customWidth="1"/>
    <col min="249" max="249" width="9.77734375" style="3" customWidth="1"/>
    <col min="250" max="250" width="14.44140625" style="3" customWidth="1"/>
    <col min="251" max="251" width="7.21875" style="3" customWidth="1"/>
    <col min="252" max="252" width="5.5546875" style="3" customWidth="1"/>
    <col min="253" max="253" width="9" style="3" customWidth="1"/>
    <col min="254" max="255" width="9.77734375" style="3" customWidth="1"/>
    <col min="256" max="256" width="11.21875" style="3" customWidth="1"/>
    <col min="257" max="257" width="2.77734375" style="3" customWidth="1"/>
    <col min="258" max="258" width="3.5546875" style="3" customWidth="1"/>
    <col min="259" max="503" width="9.21875" style="3"/>
    <col min="504" max="504" width="8.77734375" style="3" customWidth="1"/>
    <col min="505" max="505" width="9.77734375" style="3" customWidth="1"/>
    <col min="506" max="506" width="14.44140625" style="3" customWidth="1"/>
    <col min="507" max="507" width="7.21875" style="3" customWidth="1"/>
    <col min="508" max="508" width="5.5546875" style="3" customWidth="1"/>
    <col min="509" max="509" width="9" style="3" customWidth="1"/>
    <col min="510" max="511" width="9.77734375" style="3" customWidth="1"/>
    <col min="512" max="512" width="11.21875" style="3" customWidth="1"/>
    <col min="513" max="513" width="2.77734375" style="3" customWidth="1"/>
    <col min="514" max="514" width="3.5546875" style="3" customWidth="1"/>
    <col min="515" max="759" width="9.21875" style="3"/>
    <col min="760" max="760" width="8.77734375" style="3" customWidth="1"/>
    <col min="761" max="761" width="9.77734375" style="3" customWidth="1"/>
    <col min="762" max="762" width="14.44140625" style="3" customWidth="1"/>
    <col min="763" max="763" width="7.21875" style="3" customWidth="1"/>
    <col min="764" max="764" width="5.5546875" style="3" customWidth="1"/>
    <col min="765" max="765" width="9" style="3" customWidth="1"/>
    <col min="766" max="767" width="9.77734375" style="3" customWidth="1"/>
    <col min="768" max="768" width="11.21875" style="3" customWidth="1"/>
    <col min="769" max="769" width="2.77734375" style="3" customWidth="1"/>
    <col min="770" max="770" width="3.5546875" style="3" customWidth="1"/>
    <col min="771" max="1015" width="9.21875" style="3"/>
    <col min="1016" max="1016" width="8.77734375" style="3" customWidth="1"/>
    <col min="1017" max="1017" width="9.77734375" style="3" customWidth="1"/>
    <col min="1018" max="1018" width="14.44140625" style="3" customWidth="1"/>
    <col min="1019" max="1019" width="7.21875" style="3" customWidth="1"/>
    <col min="1020" max="1020" width="5.5546875" style="3" customWidth="1"/>
    <col min="1021" max="1021" width="9" style="3" customWidth="1"/>
    <col min="1022" max="1023" width="9.77734375" style="3" customWidth="1"/>
    <col min="1024" max="1024" width="11.21875" style="3" customWidth="1"/>
    <col min="1025" max="1025" width="2.77734375" style="3" customWidth="1"/>
    <col min="1026" max="1026" width="3.5546875" style="3" customWidth="1"/>
    <col min="1027" max="1271" width="9.21875" style="3"/>
    <col min="1272" max="1272" width="8.77734375" style="3" customWidth="1"/>
    <col min="1273" max="1273" width="9.77734375" style="3" customWidth="1"/>
    <col min="1274" max="1274" width="14.44140625" style="3" customWidth="1"/>
    <col min="1275" max="1275" width="7.21875" style="3" customWidth="1"/>
    <col min="1276" max="1276" width="5.5546875" style="3" customWidth="1"/>
    <col min="1277" max="1277" width="9" style="3" customWidth="1"/>
    <col min="1278" max="1279" width="9.77734375" style="3" customWidth="1"/>
    <col min="1280" max="1280" width="11.21875" style="3" customWidth="1"/>
    <col min="1281" max="1281" width="2.77734375" style="3" customWidth="1"/>
    <col min="1282" max="1282" width="3.5546875" style="3" customWidth="1"/>
    <col min="1283" max="1527" width="9.21875" style="3"/>
    <col min="1528" max="1528" width="8.77734375" style="3" customWidth="1"/>
    <col min="1529" max="1529" width="9.77734375" style="3" customWidth="1"/>
    <col min="1530" max="1530" width="14.44140625" style="3" customWidth="1"/>
    <col min="1531" max="1531" width="7.21875" style="3" customWidth="1"/>
    <col min="1532" max="1532" width="5.5546875" style="3" customWidth="1"/>
    <col min="1533" max="1533" width="9" style="3" customWidth="1"/>
    <col min="1534" max="1535" width="9.77734375" style="3" customWidth="1"/>
    <col min="1536" max="1536" width="11.21875" style="3" customWidth="1"/>
    <col min="1537" max="1537" width="2.77734375" style="3" customWidth="1"/>
    <col min="1538" max="1538" width="3.5546875" style="3" customWidth="1"/>
    <col min="1539" max="1783" width="9.21875" style="3"/>
    <col min="1784" max="1784" width="8.77734375" style="3" customWidth="1"/>
    <col min="1785" max="1785" width="9.77734375" style="3" customWidth="1"/>
    <col min="1786" max="1786" width="14.44140625" style="3" customWidth="1"/>
    <col min="1787" max="1787" width="7.21875" style="3" customWidth="1"/>
    <col min="1788" max="1788" width="5.5546875" style="3" customWidth="1"/>
    <col min="1789" max="1789" width="9" style="3" customWidth="1"/>
    <col min="1790" max="1791" width="9.77734375" style="3" customWidth="1"/>
    <col min="1792" max="1792" width="11.21875" style="3" customWidth="1"/>
    <col min="1793" max="1793" width="2.77734375" style="3" customWidth="1"/>
    <col min="1794" max="1794" width="3.5546875" style="3" customWidth="1"/>
    <col min="1795" max="2039" width="9.21875" style="3"/>
    <col min="2040" max="2040" width="8.77734375" style="3" customWidth="1"/>
    <col min="2041" max="2041" width="9.77734375" style="3" customWidth="1"/>
    <col min="2042" max="2042" width="14.44140625" style="3" customWidth="1"/>
    <col min="2043" max="2043" width="7.21875" style="3" customWidth="1"/>
    <col min="2044" max="2044" width="5.5546875" style="3" customWidth="1"/>
    <col min="2045" max="2045" width="9" style="3" customWidth="1"/>
    <col min="2046" max="2047" width="9.77734375" style="3" customWidth="1"/>
    <col min="2048" max="2048" width="11.21875" style="3" customWidth="1"/>
    <col min="2049" max="2049" width="2.77734375" style="3" customWidth="1"/>
    <col min="2050" max="2050" width="3.5546875" style="3" customWidth="1"/>
    <col min="2051" max="2295" width="9.21875" style="3"/>
    <col min="2296" max="2296" width="8.77734375" style="3" customWidth="1"/>
    <col min="2297" max="2297" width="9.77734375" style="3" customWidth="1"/>
    <col min="2298" max="2298" width="14.44140625" style="3" customWidth="1"/>
    <col min="2299" max="2299" width="7.21875" style="3" customWidth="1"/>
    <col min="2300" max="2300" width="5.5546875" style="3" customWidth="1"/>
    <col min="2301" max="2301" width="9" style="3" customWidth="1"/>
    <col min="2302" max="2303" width="9.77734375" style="3" customWidth="1"/>
    <col min="2304" max="2304" width="11.21875" style="3" customWidth="1"/>
    <col min="2305" max="2305" width="2.77734375" style="3" customWidth="1"/>
    <col min="2306" max="2306" width="3.5546875" style="3" customWidth="1"/>
    <col min="2307" max="2551" width="9.21875" style="3"/>
    <col min="2552" max="2552" width="8.77734375" style="3" customWidth="1"/>
    <col min="2553" max="2553" width="9.77734375" style="3" customWidth="1"/>
    <col min="2554" max="2554" width="14.44140625" style="3" customWidth="1"/>
    <col min="2555" max="2555" width="7.21875" style="3" customWidth="1"/>
    <col min="2556" max="2556" width="5.5546875" style="3" customWidth="1"/>
    <col min="2557" max="2557" width="9" style="3" customWidth="1"/>
    <col min="2558" max="2559" width="9.77734375" style="3" customWidth="1"/>
    <col min="2560" max="2560" width="11.21875" style="3" customWidth="1"/>
    <col min="2561" max="2561" width="2.77734375" style="3" customWidth="1"/>
    <col min="2562" max="2562" width="3.5546875" style="3" customWidth="1"/>
    <col min="2563" max="2807" width="9.21875" style="3"/>
    <col min="2808" max="2808" width="8.77734375" style="3" customWidth="1"/>
    <col min="2809" max="2809" width="9.77734375" style="3" customWidth="1"/>
    <col min="2810" max="2810" width="14.44140625" style="3" customWidth="1"/>
    <col min="2811" max="2811" width="7.21875" style="3" customWidth="1"/>
    <col min="2812" max="2812" width="5.5546875" style="3" customWidth="1"/>
    <col min="2813" max="2813" width="9" style="3" customWidth="1"/>
    <col min="2814" max="2815" width="9.77734375" style="3" customWidth="1"/>
    <col min="2816" max="2816" width="11.21875" style="3" customWidth="1"/>
    <col min="2817" max="2817" width="2.77734375" style="3" customWidth="1"/>
    <col min="2818" max="2818" width="3.5546875" style="3" customWidth="1"/>
    <col min="2819" max="3063" width="9.21875" style="3"/>
    <col min="3064" max="3064" width="8.77734375" style="3" customWidth="1"/>
    <col min="3065" max="3065" width="9.77734375" style="3" customWidth="1"/>
    <col min="3066" max="3066" width="14.44140625" style="3" customWidth="1"/>
    <col min="3067" max="3067" width="7.21875" style="3" customWidth="1"/>
    <col min="3068" max="3068" width="5.5546875" style="3" customWidth="1"/>
    <col min="3069" max="3069" width="9" style="3" customWidth="1"/>
    <col min="3070" max="3071" width="9.77734375" style="3" customWidth="1"/>
    <col min="3072" max="3072" width="11.21875" style="3" customWidth="1"/>
    <col min="3073" max="3073" width="2.77734375" style="3" customWidth="1"/>
    <col min="3074" max="3074" width="3.5546875" style="3" customWidth="1"/>
    <col min="3075" max="3319" width="9.21875" style="3"/>
    <col min="3320" max="3320" width="8.77734375" style="3" customWidth="1"/>
    <col min="3321" max="3321" width="9.77734375" style="3" customWidth="1"/>
    <col min="3322" max="3322" width="14.44140625" style="3" customWidth="1"/>
    <col min="3323" max="3323" width="7.21875" style="3" customWidth="1"/>
    <col min="3324" max="3324" width="5.5546875" style="3" customWidth="1"/>
    <col min="3325" max="3325" width="9" style="3" customWidth="1"/>
    <col min="3326" max="3327" width="9.77734375" style="3" customWidth="1"/>
    <col min="3328" max="3328" width="11.21875" style="3" customWidth="1"/>
    <col min="3329" max="3329" width="2.77734375" style="3" customWidth="1"/>
    <col min="3330" max="3330" width="3.5546875" style="3" customWidth="1"/>
    <col min="3331" max="3575" width="9.21875" style="3"/>
    <col min="3576" max="3576" width="8.77734375" style="3" customWidth="1"/>
    <col min="3577" max="3577" width="9.77734375" style="3" customWidth="1"/>
    <col min="3578" max="3578" width="14.44140625" style="3" customWidth="1"/>
    <col min="3579" max="3579" width="7.21875" style="3" customWidth="1"/>
    <col min="3580" max="3580" width="5.5546875" style="3" customWidth="1"/>
    <col min="3581" max="3581" width="9" style="3" customWidth="1"/>
    <col min="3582" max="3583" width="9.77734375" style="3" customWidth="1"/>
    <col min="3584" max="3584" width="11.21875" style="3" customWidth="1"/>
    <col min="3585" max="3585" width="2.77734375" style="3" customWidth="1"/>
    <col min="3586" max="3586" width="3.5546875" style="3" customWidth="1"/>
    <col min="3587" max="3831" width="9.21875" style="3"/>
    <col min="3832" max="3832" width="8.77734375" style="3" customWidth="1"/>
    <col min="3833" max="3833" width="9.77734375" style="3" customWidth="1"/>
    <col min="3834" max="3834" width="14.44140625" style="3" customWidth="1"/>
    <col min="3835" max="3835" width="7.21875" style="3" customWidth="1"/>
    <col min="3836" max="3836" width="5.5546875" style="3" customWidth="1"/>
    <col min="3837" max="3837" width="9" style="3" customWidth="1"/>
    <col min="3838" max="3839" width="9.77734375" style="3" customWidth="1"/>
    <col min="3840" max="3840" width="11.21875" style="3" customWidth="1"/>
    <col min="3841" max="3841" width="2.77734375" style="3" customWidth="1"/>
    <col min="3842" max="3842" width="3.5546875" style="3" customWidth="1"/>
    <col min="3843" max="4087" width="9.21875" style="3"/>
    <col min="4088" max="4088" width="8.77734375" style="3" customWidth="1"/>
    <col min="4089" max="4089" width="9.77734375" style="3" customWidth="1"/>
    <col min="4090" max="4090" width="14.44140625" style="3" customWidth="1"/>
    <col min="4091" max="4091" width="7.21875" style="3" customWidth="1"/>
    <col min="4092" max="4092" width="5.5546875" style="3" customWidth="1"/>
    <col min="4093" max="4093" width="9" style="3" customWidth="1"/>
    <col min="4094" max="4095" width="9.77734375" style="3" customWidth="1"/>
    <col min="4096" max="4096" width="11.21875" style="3" customWidth="1"/>
    <col min="4097" max="4097" width="2.77734375" style="3" customWidth="1"/>
    <col min="4098" max="4098" width="3.5546875" style="3" customWidth="1"/>
    <col min="4099" max="4343" width="9.21875" style="3"/>
    <col min="4344" max="4344" width="8.77734375" style="3" customWidth="1"/>
    <col min="4345" max="4345" width="9.77734375" style="3" customWidth="1"/>
    <col min="4346" max="4346" width="14.44140625" style="3" customWidth="1"/>
    <col min="4347" max="4347" width="7.21875" style="3" customWidth="1"/>
    <col min="4348" max="4348" width="5.5546875" style="3" customWidth="1"/>
    <col min="4349" max="4349" width="9" style="3" customWidth="1"/>
    <col min="4350" max="4351" width="9.77734375" style="3" customWidth="1"/>
    <col min="4352" max="4352" width="11.21875" style="3" customWidth="1"/>
    <col min="4353" max="4353" width="2.77734375" style="3" customWidth="1"/>
    <col min="4354" max="4354" width="3.5546875" style="3" customWidth="1"/>
    <col min="4355" max="4599" width="9.21875" style="3"/>
    <col min="4600" max="4600" width="8.77734375" style="3" customWidth="1"/>
    <col min="4601" max="4601" width="9.77734375" style="3" customWidth="1"/>
    <col min="4602" max="4602" width="14.44140625" style="3" customWidth="1"/>
    <col min="4603" max="4603" width="7.21875" style="3" customWidth="1"/>
    <col min="4604" max="4604" width="5.5546875" style="3" customWidth="1"/>
    <col min="4605" max="4605" width="9" style="3" customWidth="1"/>
    <col min="4606" max="4607" width="9.77734375" style="3" customWidth="1"/>
    <col min="4608" max="4608" width="11.21875" style="3" customWidth="1"/>
    <col min="4609" max="4609" width="2.77734375" style="3" customWidth="1"/>
    <col min="4610" max="4610" width="3.5546875" style="3" customWidth="1"/>
    <col min="4611" max="4855" width="9.21875" style="3"/>
    <col min="4856" max="4856" width="8.77734375" style="3" customWidth="1"/>
    <col min="4857" max="4857" width="9.77734375" style="3" customWidth="1"/>
    <col min="4858" max="4858" width="14.44140625" style="3" customWidth="1"/>
    <col min="4859" max="4859" width="7.21875" style="3" customWidth="1"/>
    <col min="4860" max="4860" width="5.5546875" style="3" customWidth="1"/>
    <col min="4861" max="4861" width="9" style="3" customWidth="1"/>
    <col min="4862" max="4863" width="9.77734375" style="3" customWidth="1"/>
    <col min="4864" max="4864" width="11.21875" style="3" customWidth="1"/>
    <col min="4865" max="4865" width="2.77734375" style="3" customWidth="1"/>
    <col min="4866" max="4866" width="3.5546875" style="3" customWidth="1"/>
    <col min="4867" max="5111" width="9.21875" style="3"/>
    <col min="5112" max="5112" width="8.77734375" style="3" customWidth="1"/>
    <col min="5113" max="5113" width="9.77734375" style="3" customWidth="1"/>
    <col min="5114" max="5114" width="14.44140625" style="3" customWidth="1"/>
    <col min="5115" max="5115" width="7.21875" style="3" customWidth="1"/>
    <col min="5116" max="5116" width="5.5546875" style="3" customWidth="1"/>
    <col min="5117" max="5117" width="9" style="3" customWidth="1"/>
    <col min="5118" max="5119" width="9.77734375" style="3" customWidth="1"/>
    <col min="5120" max="5120" width="11.21875" style="3" customWidth="1"/>
    <col min="5121" max="5121" width="2.77734375" style="3" customWidth="1"/>
    <col min="5122" max="5122" width="3.5546875" style="3" customWidth="1"/>
    <col min="5123" max="5367" width="9.21875" style="3"/>
    <col min="5368" max="5368" width="8.77734375" style="3" customWidth="1"/>
    <col min="5369" max="5369" width="9.77734375" style="3" customWidth="1"/>
    <col min="5370" max="5370" width="14.44140625" style="3" customWidth="1"/>
    <col min="5371" max="5371" width="7.21875" style="3" customWidth="1"/>
    <col min="5372" max="5372" width="5.5546875" style="3" customWidth="1"/>
    <col min="5373" max="5373" width="9" style="3" customWidth="1"/>
    <col min="5374" max="5375" width="9.77734375" style="3" customWidth="1"/>
    <col min="5376" max="5376" width="11.21875" style="3" customWidth="1"/>
    <col min="5377" max="5377" width="2.77734375" style="3" customWidth="1"/>
    <col min="5378" max="5378" width="3.5546875" style="3" customWidth="1"/>
    <col min="5379" max="5623" width="9.21875" style="3"/>
    <col min="5624" max="5624" width="8.77734375" style="3" customWidth="1"/>
    <col min="5625" max="5625" width="9.77734375" style="3" customWidth="1"/>
    <col min="5626" max="5626" width="14.44140625" style="3" customWidth="1"/>
    <col min="5627" max="5627" width="7.21875" style="3" customWidth="1"/>
    <col min="5628" max="5628" width="5.5546875" style="3" customWidth="1"/>
    <col min="5629" max="5629" width="9" style="3" customWidth="1"/>
    <col min="5630" max="5631" width="9.77734375" style="3" customWidth="1"/>
    <col min="5632" max="5632" width="11.21875" style="3" customWidth="1"/>
    <col min="5633" max="5633" width="2.77734375" style="3" customWidth="1"/>
    <col min="5634" max="5634" width="3.5546875" style="3" customWidth="1"/>
    <col min="5635" max="5879" width="9.21875" style="3"/>
    <col min="5880" max="5880" width="8.77734375" style="3" customWidth="1"/>
    <col min="5881" max="5881" width="9.77734375" style="3" customWidth="1"/>
    <col min="5882" max="5882" width="14.44140625" style="3" customWidth="1"/>
    <col min="5883" max="5883" width="7.21875" style="3" customWidth="1"/>
    <col min="5884" max="5884" width="5.5546875" style="3" customWidth="1"/>
    <col min="5885" max="5885" width="9" style="3" customWidth="1"/>
    <col min="5886" max="5887" width="9.77734375" style="3" customWidth="1"/>
    <col min="5888" max="5888" width="11.21875" style="3" customWidth="1"/>
    <col min="5889" max="5889" width="2.77734375" style="3" customWidth="1"/>
    <col min="5890" max="5890" width="3.5546875" style="3" customWidth="1"/>
    <col min="5891" max="6135" width="9.21875" style="3"/>
    <col min="6136" max="6136" width="8.77734375" style="3" customWidth="1"/>
    <col min="6137" max="6137" width="9.77734375" style="3" customWidth="1"/>
    <col min="6138" max="6138" width="14.44140625" style="3" customWidth="1"/>
    <col min="6139" max="6139" width="7.21875" style="3" customWidth="1"/>
    <col min="6140" max="6140" width="5.5546875" style="3" customWidth="1"/>
    <col min="6141" max="6141" width="9" style="3" customWidth="1"/>
    <col min="6142" max="6143" width="9.77734375" style="3" customWidth="1"/>
    <col min="6144" max="6144" width="11.21875" style="3" customWidth="1"/>
    <col min="6145" max="6145" width="2.77734375" style="3" customWidth="1"/>
    <col min="6146" max="6146" width="3.5546875" style="3" customWidth="1"/>
    <col min="6147" max="6391" width="9.21875" style="3"/>
    <col min="6392" max="6392" width="8.77734375" style="3" customWidth="1"/>
    <col min="6393" max="6393" width="9.77734375" style="3" customWidth="1"/>
    <col min="6394" max="6394" width="14.44140625" style="3" customWidth="1"/>
    <col min="6395" max="6395" width="7.21875" style="3" customWidth="1"/>
    <col min="6396" max="6396" width="5.5546875" style="3" customWidth="1"/>
    <col min="6397" max="6397" width="9" style="3" customWidth="1"/>
    <col min="6398" max="6399" width="9.77734375" style="3" customWidth="1"/>
    <col min="6400" max="6400" width="11.21875" style="3" customWidth="1"/>
    <col min="6401" max="6401" width="2.77734375" style="3" customWidth="1"/>
    <col min="6402" max="6402" width="3.5546875" style="3" customWidth="1"/>
    <col min="6403" max="6647" width="9.21875" style="3"/>
    <col min="6648" max="6648" width="8.77734375" style="3" customWidth="1"/>
    <col min="6649" max="6649" width="9.77734375" style="3" customWidth="1"/>
    <col min="6650" max="6650" width="14.44140625" style="3" customWidth="1"/>
    <col min="6651" max="6651" width="7.21875" style="3" customWidth="1"/>
    <col min="6652" max="6652" width="5.5546875" style="3" customWidth="1"/>
    <col min="6653" max="6653" width="9" style="3" customWidth="1"/>
    <col min="6654" max="6655" width="9.77734375" style="3" customWidth="1"/>
    <col min="6656" max="6656" width="11.21875" style="3" customWidth="1"/>
    <col min="6657" max="6657" width="2.77734375" style="3" customWidth="1"/>
    <col min="6658" max="6658" width="3.5546875" style="3" customWidth="1"/>
    <col min="6659" max="6903" width="9.21875" style="3"/>
    <col min="6904" max="6904" width="8.77734375" style="3" customWidth="1"/>
    <col min="6905" max="6905" width="9.77734375" style="3" customWidth="1"/>
    <col min="6906" max="6906" width="14.44140625" style="3" customWidth="1"/>
    <col min="6907" max="6907" width="7.21875" style="3" customWidth="1"/>
    <col min="6908" max="6908" width="5.5546875" style="3" customWidth="1"/>
    <col min="6909" max="6909" width="9" style="3" customWidth="1"/>
    <col min="6910" max="6911" width="9.77734375" style="3" customWidth="1"/>
    <col min="6912" max="6912" width="11.21875" style="3" customWidth="1"/>
    <col min="6913" max="6913" width="2.77734375" style="3" customWidth="1"/>
    <col min="6914" max="6914" width="3.5546875" style="3" customWidth="1"/>
    <col min="6915" max="7159" width="9.21875" style="3"/>
    <col min="7160" max="7160" width="8.77734375" style="3" customWidth="1"/>
    <col min="7161" max="7161" width="9.77734375" style="3" customWidth="1"/>
    <col min="7162" max="7162" width="14.44140625" style="3" customWidth="1"/>
    <col min="7163" max="7163" width="7.21875" style="3" customWidth="1"/>
    <col min="7164" max="7164" width="5.5546875" style="3" customWidth="1"/>
    <col min="7165" max="7165" width="9" style="3" customWidth="1"/>
    <col min="7166" max="7167" width="9.77734375" style="3" customWidth="1"/>
    <col min="7168" max="7168" width="11.21875" style="3" customWidth="1"/>
    <col min="7169" max="7169" width="2.77734375" style="3" customWidth="1"/>
    <col min="7170" max="7170" width="3.5546875" style="3" customWidth="1"/>
    <col min="7171" max="7415" width="9.21875" style="3"/>
    <col min="7416" max="7416" width="8.77734375" style="3" customWidth="1"/>
    <col min="7417" max="7417" width="9.77734375" style="3" customWidth="1"/>
    <col min="7418" max="7418" width="14.44140625" style="3" customWidth="1"/>
    <col min="7419" max="7419" width="7.21875" style="3" customWidth="1"/>
    <col min="7420" max="7420" width="5.5546875" style="3" customWidth="1"/>
    <col min="7421" max="7421" width="9" style="3" customWidth="1"/>
    <col min="7422" max="7423" width="9.77734375" style="3" customWidth="1"/>
    <col min="7424" max="7424" width="11.21875" style="3" customWidth="1"/>
    <col min="7425" max="7425" width="2.77734375" style="3" customWidth="1"/>
    <col min="7426" max="7426" width="3.5546875" style="3" customWidth="1"/>
    <col min="7427" max="7671" width="9.21875" style="3"/>
    <col min="7672" max="7672" width="8.77734375" style="3" customWidth="1"/>
    <col min="7673" max="7673" width="9.77734375" style="3" customWidth="1"/>
    <col min="7674" max="7674" width="14.44140625" style="3" customWidth="1"/>
    <col min="7675" max="7675" width="7.21875" style="3" customWidth="1"/>
    <col min="7676" max="7676" width="5.5546875" style="3" customWidth="1"/>
    <col min="7677" max="7677" width="9" style="3" customWidth="1"/>
    <col min="7678" max="7679" width="9.77734375" style="3" customWidth="1"/>
    <col min="7680" max="7680" width="11.21875" style="3" customWidth="1"/>
    <col min="7681" max="7681" width="2.77734375" style="3" customWidth="1"/>
    <col min="7682" max="7682" width="3.5546875" style="3" customWidth="1"/>
    <col min="7683" max="7927" width="9.21875" style="3"/>
    <col min="7928" max="7928" width="8.77734375" style="3" customWidth="1"/>
    <col min="7929" max="7929" width="9.77734375" style="3" customWidth="1"/>
    <col min="7930" max="7930" width="14.44140625" style="3" customWidth="1"/>
    <col min="7931" max="7931" width="7.21875" style="3" customWidth="1"/>
    <col min="7932" max="7932" width="5.5546875" style="3" customWidth="1"/>
    <col min="7933" max="7933" width="9" style="3" customWidth="1"/>
    <col min="7934" max="7935" width="9.77734375" style="3" customWidth="1"/>
    <col min="7936" max="7936" width="11.21875" style="3" customWidth="1"/>
    <col min="7937" max="7937" width="2.77734375" style="3" customWidth="1"/>
    <col min="7938" max="7938" width="3.5546875" style="3" customWidth="1"/>
    <col min="7939" max="8183" width="9.21875" style="3"/>
    <col min="8184" max="8184" width="8.77734375" style="3" customWidth="1"/>
    <col min="8185" max="8185" width="9.77734375" style="3" customWidth="1"/>
    <col min="8186" max="8186" width="14.44140625" style="3" customWidth="1"/>
    <col min="8187" max="8187" width="7.21875" style="3" customWidth="1"/>
    <col min="8188" max="8188" width="5.5546875" style="3" customWidth="1"/>
    <col min="8189" max="8189" width="9" style="3" customWidth="1"/>
    <col min="8190" max="8191" width="9.77734375" style="3" customWidth="1"/>
    <col min="8192" max="8192" width="11.21875" style="3" customWidth="1"/>
    <col min="8193" max="8193" width="2.77734375" style="3" customWidth="1"/>
    <col min="8194" max="8194" width="3.5546875" style="3" customWidth="1"/>
    <col min="8195" max="8439" width="9.21875" style="3"/>
    <col min="8440" max="8440" width="8.77734375" style="3" customWidth="1"/>
    <col min="8441" max="8441" width="9.77734375" style="3" customWidth="1"/>
    <col min="8442" max="8442" width="14.44140625" style="3" customWidth="1"/>
    <col min="8443" max="8443" width="7.21875" style="3" customWidth="1"/>
    <col min="8444" max="8444" width="5.5546875" style="3" customWidth="1"/>
    <col min="8445" max="8445" width="9" style="3" customWidth="1"/>
    <col min="8446" max="8447" width="9.77734375" style="3" customWidth="1"/>
    <col min="8448" max="8448" width="11.21875" style="3" customWidth="1"/>
    <col min="8449" max="8449" width="2.77734375" style="3" customWidth="1"/>
    <col min="8450" max="8450" width="3.5546875" style="3" customWidth="1"/>
    <col min="8451" max="8695" width="9.21875" style="3"/>
    <col min="8696" max="8696" width="8.77734375" style="3" customWidth="1"/>
    <col min="8697" max="8697" width="9.77734375" style="3" customWidth="1"/>
    <col min="8698" max="8698" width="14.44140625" style="3" customWidth="1"/>
    <col min="8699" max="8699" width="7.21875" style="3" customWidth="1"/>
    <col min="8700" max="8700" width="5.5546875" style="3" customWidth="1"/>
    <col min="8701" max="8701" width="9" style="3" customWidth="1"/>
    <col min="8702" max="8703" width="9.77734375" style="3" customWidth="1"/>
    <col min="8704" max="8704" width="11.21875" style="3" customWidth="1"/>
    <col min="8705" max="8705" width="2.77734375" style="3" customWidth="1"/>
    <col min="8706" max="8706" width="3.5546875" style="3" customWidth="1"/>
    <col min="8707" max="8951" width="9.21875" style="3"/>
    <col min="8952" max="8952" width="8.77734375" style="3" customWidth="1"/>
    <col min="8953" max="8953" width="9.77734375" style="3" customWidth="1"/>
    <col min="8954" max="8954" width="14.44140625" style="3" customWidth="1"/>
    <col min="8955" max="8955" width="7.21875" style="3" customWidth="1"/>
    <col min="8956" max="8956" width="5.5546875" style="3" customWidth="1"/>
    <col min="8957" max="8957" width="9" style="3" customWidth="1"/>
    <col min="8958" max="8959" width="9.77734375" style="3" customWidth="1"/>
    <col min="8960" max="8960" width="11.21875" style="3" customWidth="1"/>
    <col min="8961" max="8961" width="2.77734375" style="3" customWidth="1"/>
    <col min="8962" max="8962" width="3.5546875" style="3" customWidth="1"/>
    <col min="8963" max="9207" width="9.21875" style="3"/>
    <col min="9208" max="9208" width="8.77734375" style="3" customWidth="1"/>
    <col min="9209" max="9209" width="9.77734375" style="3" customWidth="1"/>
    <col min="9210" max="9210" width="14.44140625" style="3" customWidth="1"/>
    <col min="9211" max="9211" width="7.21875" style="3" customWidth="1"/>
    <col min="9212" max="9212" width="5.5546875" style="3" customWidth="1"/>
    <col min="9213" max="9213" width="9" style="3" customWidth="1"/>
    <col min="9214" max="9215" width="9.77734375" style="3" customWidth="1"/>
    <col min="9216" max="9216" width="11.21875" style="3" customWidth="1"/>
    <col min="9217" max="9217" width="2.77734375" style="3" customWidth="1"/>
    <col min="9218" max="9218" width="3.5546875" style="3" customWidth="1"/>
    <col min="9219" max="9463" width="9.21875" style="3"/>
    <col min="9464" max="9464" width="8.77734375" style="3" customWidth="1"/>
    <col min="9465" max="9465" width="9.77734375" style="3" customWidth="1"/>
    <col min="9466" max="9466" width="14.44140625" style="3" customWidth="1"/>
    <col min="9467" max="9467" width="7.21875" style="3" customWidth="1"/>
    <col min="9468" max="9468" width="5.5546875" style="3" customWidth="1"/>
    <col min="9469" max="9469" width="9" style="3" customWidth="1"/>
    <col min="9470" max="9471" width="9.77734375" style="3" customWidth="1"/>
    <col min="9472" max="9472" width="11.21875" style="3" customWidth="1"/>
    <col min="9473" max="9473" width="2.77734375" style="3" customWidth="1"/>
    <col min="9474" max="9474" width="3.5546875" style="3" customWidth="1"/>
    <col min="9475" max="9719" width="9.21875" style="3"/>
    <col min="9720" max="9720" width="8.77734375" style="3" customWidth="1"/>
    <col min="9721" max="9721" width="9.77734375" style="3" customWidth="1"/>
    <col min="9722" max="9722" width="14.44140625" style="3" customWidth="1"/>
    <col min="9723" max="9723" width="7.21875" style="3" customWidth="1"/>
    <col min="9724" max="9724" width="5.5546875" style="3" customWidth="1"/>
    <col min="9725" max="9725" width="9" style="3" customWidth="1"/>
    <col min="9726" max="9727" width="9.77734375" style="3" customWidth="1"/>
    <col min="9728" max="9728" width="11.21875" style="3" customWidth="1"/>
    <col min="9729" max="9729" width="2.77734375" style="3" customWidth="1"/>
    <col min="9730" max="9730" width="3.5546875" style="3" customWidth="1"/>
    <col min="9731" max="9975" width="9.21875" style="3"/>
    <col min="9976" max="9976" width="8.77734375" style="3" customWidth="1"/>
    <col min="9977" max="9977" width="9.77734375" style="3" customWidth="1"/>
    <col min="9978" max="9978" width="14.44140625" style="3" customWidth="1"/>
    <col min="9979" max="9979" width="7.21875" style="3" customWidth="1"/>
    <col min="9980" max="9980" width="5.5546875" style="3" customWidth="1"/>
    <col min="9981" max="9981" width="9" style="3" customWidth="1"/>
    <col min="9982" max="9983" width="9.77734375" style="3" customWidth="1"/>
    <col min="9984" max="9984" width="11.21875" style="3" customWidth="1"/>
    <col min="9985" max="9985" width="2.77734375" style="3" customWidth="1"/>
    <col min="9986" max="9986" width="3.5546875" style="3" customWidth="1"/>
    <col min="9987" max="10231" width="9.21875" style="3"/>
    <col min="10232" max="10232" width="8.77734375" style="3" customWidth="1"/>
    <col min="10233" max="10233" width="9.77734375" style="3" customWidth="1"/>
    <col min="10234" max="10234" width="14.44140625" style="3" customWidth="1"/>
    <col min="10235" max="10235" width="7.21875" style="3" customWidth="1"/>
    <col min="10236" max="10236" width="5.5546875" style="3" customWidth="1"/>
    <col min="10237" max="10237" width="9" style="3" customWidth="1"/>
    <col min="10238" max="10239" width="9.77734375" style="3" customWidth="1"/>
    <col min="10240" max="10240" width="11.21875" style="3" customWidth="1"/>
    <col min="10241" max="10241" width="2.77734375" style="3" customWidth="1"/>
    <col min="10242" max="10242" width="3.5546875" style="3" customWidth="1"/>
    <col min="10243" max="10487" width="9.21875" style="3"/>
    <col min="10488" max="10488" width="8.77734375" style="3" customWidth="1"/>
    <col min="10489" max="10489" width="9.77734375" style="3" customWidth="1"/>
    <col min="10490" max="10490" width="14.44140625" style="3" customWidth="1"/>
    <col min="10491" max="10491" width="7.21875" style="3" customWidth="1"/>
    <col min="10492" max="10492" width="5.5546875" style="3" customWidth="1"/>
    <col min="10493" max="10493" width="9" style="3" customWidth="1"/>
    <col min="10494" max="10495" width="9.77734375" style="3" customWidth="1"/>
    <col min="10496" max="10496" width="11.21875" style="3" customWidth="1"/>
    <col min="10497" max="10497" width="2.77734375" style="3" customWidth="1"/>
    <col min="10498" max="10498" width="3.5546875" style="3" customWidth="1"/>
    <col min="10499" max="10743" width="9.21875" style="3"/>
    <col min="10744" max="10744" width="8.77734375" style="3" customWidth="1"/>
    <col min="10745" max="10745" width="9.77734375" style="3" customWidth="1"/>
    <col min="10746" max="10746" width="14.44140625" style="3" customWidth="1"/>
    <col min="10747" max="10747" width="7.21875" style="3" customWidth="1"/>
    <col min="10748" max="10748" width="5.5546875" style="3" customWidth="1"/>
    <col min="10749" max="10749" width="9" style="3" customWidth="1"/>
    <col min="10750" max="10751" width="9.77734375" style="3" customWidth="1"/>
    <col min="10752" max="10752" width="11.21875" style="3" customWidth="1"/>
    <col min="10753" max="10753" width="2.77734375" style="3" customWidth="1"/>
    <col min="10754" max="10754" width="3.5546875" style="3" customWidth="1"/>
    <col min="10755" max="10999" width="9.21875" style="3"/>
    <col min="11000" max="11000" width="8.77734375" style="3" customWidth="1"/>
    <col min="11001" max="11001" width="9.77734375" style="3" customWidth="1"/>
    <col min="11002" max="11002" width="14.44140625" style="3" customWidth="1"/>
    <col min="11003" max="11003" width="7.21875" style="3" customWidth="1"/>
    <col min="11004" max="11004" width="5.5546875" style="3" customWidth="1"/>
    <col min="11005" max="11005" width="9" style="3" customWidth="1"/>
    <col min="11006" max="11007" width="9.77734375" style="3" customWidth="1"/>
    <col min="11008" max="11008" width="11.21875" style="3" customWidth="1"/>
    <col min="11009" max="11009" width="2.77734375" style="3" customWidth="1"/>
    <col min="11010" max="11010" width="3.5546875" style="3" customWidth="1"/>
    <col min="11011" max="11255" width="9.21875" style="3"/>
    <col min="11256" max="11256" width="8.77734375" style="3" customWidth="1"/>
    <col min="11257" max="11257" width="9.77734375" style="3" customWidth="1"/>
    <col min="11258" max="11258" width="14.44140625" style="3" customWidth="1"/>
    <col min="11259" max="11259" width="7.21875" style="3" customWidth="1"/>
    <col min="11260" max="11260" width="5.5546875" style="3" customWidth="1"/>
    <col min="11261" max="11261" width="9" style="3" customWidth="1"/>
    <col min="11262" max="11263" width="9.77734375" style="3" customWidth="1"/>
    <col min="11264" max="11264" width="11.21875" style="3" customWidth="1"/>
    <col min="11265" max="11265" width="2.77734375" style="3" customWidth="1"/>
    <col min="11266" max="11266" width="3.5546875" style="3" customWidth="1"/>
    <col min="11267" max="11511" width="9.21875" style="3"/>
    <col min="11512" max="11512" width="8.77734375" style="3" customWidth="1"/>
    <col min="11513" max="11513" width="9.77734375" style="3" customWidth="1"/>
    <col min="11514" max="11514" width="14.44140625" style="3" customWidth="1"/>
    <col min="11515" max="11515" width="7.21875" style="3" customWidth="1"/>
    <col min="11516" max="11516" width="5.5546875" style="3" customWidth="1"/>
    <col min="11517" max="11517" width="9" style="3" customWidth="1"/>
    <col min="11518" max="11519" width="9.77734375" style="3" customWidth="1"/>
    <col min="11520" max="11520" width="11.21875" style="3" customWidth="1"/>
    <col min="11521" max="11521" width="2.77734375" style="3" customWidth="1"/>
    <col min="11522" max="11522" width="3.5546875" style="3" customWidth="1"/>
    <col min="11523" max="11767" width="9.21875" style="3"/>
    <col min="11768" max="11768" width="8.77734375" style="3" customWidth="1"/>
    <col min="11769" max="11769" width="9.77734375" style="3" customWidth="1"/>
    <col min="11770" max="11770" width="14.44140625" style="3" customWidth="1"/>
    <col min="11771" max="11771" width="7.21875" style="3" customWidth="1"/>
    <col min="11772" max="11772" width="5.5546875" style="3" customWidth="1"/>
    <col min="11773" max="11773" width="9" style="3" customWidth="1"/>
    <col min="11774" max="11775" width="9.77734375" style="3" customWidth="1"/>
    <col min="11776" max="11776" width="11.21875" style="3" customWidth="1"/>
    <col min="11777" max="11777" width="2.77734375" style="3" customWidth="1"/>
    <col min="11778" max="11778" width="3.5546875" style="3" customWidth="1"/>
    <col min="11779" max="12023" width="9.21875" style="3"/>
    <col min="12024" max="12024" width="8.77734375" style="3" customWidth="1"/>
    <col min="12025" max="12025" width="9.77734375" style="3" customWidth="1"/>
    <col min="12026" max="12026" width="14.44140625" style="3" customWidth="1"/>
    <col min="12027" max="12027" width="7.21875" style="3" customWidth="1"/>
    <col min="12028" max="12028" width="5.5546875" style="3" customWidth="1"/>
    <col min="12029" max="12029" width="9" style="3" customWidth="1"/>
    <col min="12030" max="12031" width="9.77734375" style="3" customWidth="1"/>
    <col min="12032" max="12032" width="11.21875" style="3" customWidth="1"/>
    <col min="12033" max="12033" width="2.77734375" style="3" customWidth="1"/>
    <col min="12034" max="12034" width="3.5546875" style="3" customWidth="1"/>
    <col min="12035" max="12279" width="9.21875" style="3"/>
    <col min="12280" max="12280" width="8.77734375" style="3" customWidth="1"/>
    <col min="12281" max="12281" width="9.77734375" style="3" customWidth="1"/>
    <col min="12282" max="12282" width="14.44140625" style="3" customWidth="1"/>
    <col min="12283" max="12283" width="7.21875" style="3" customWidth="1"/>
    <col min="12284" max="12284" width="5.5546875" style="3" customWidth="1"/>
    <col min="12285" max="12285" width="9" style="3" customWidth="1"/>
    <col min="12286" max="12287" width="9.77734375" style="3" customWidth="1"/>
    <col min="12288" max="12288" width="11.21875" style="3" customWidth="1"/>
    <col min="12289" max="12289" width="2.77734375" style="3" customWidth="1"/>
    <col min="12290" max="12290" width="3.5546875" style="3" customWidth="1"/>
    <col min="12291" max="12535" width="9.21875" style="3"/>
    <col min="12536" max="12536" width="8.77734375" style="3" customWidth="1"/>
    <col min="12537" max="12537" width="9.77734375" style="3" customWidth="1"/>
    <col min="12538" max="12538" width="14.44140625" style="3" customWidth="1"/>
    <col min="12539" max="12539" width="7.21875" style="3" customWidth="1"/>
    <col min="12540" max="12540" width="5.5546875" style="3" customWidth="1"/>
    <col min="12541" max="12541" width="9" style="3" customWidth="1"/>
    <col min="12542" max="12543" width="9.77734375" style="3" customWidth="1"/>
    <col min="12544" max="12544" width="11.21875" style="3" customWidth="1"/>
    <col min="12545" max="12545" width="2.77734375" style="3" customWidth="1"/>
    <col min="12546" max="12546" width="3.5546875" style="3" customWidth="1"/>
    <col min="12547" max="12791" width="9.21875" style="3"/>
    <col min="12792" max="12792" width="8.77734375" style="3" customWidth="1"/>
    <col min="12793" max="12793" width="9.77734375" style="3" customWidth="1"/>
    <col min="12794" max="12794" width="14.44140625" style="3" customWidth="1"/>
    <col min="12795" max="12795" width="7.21875" style="3" customWidth="1"/>
    <col min="12796" max="12796" width="5.5546875" style="3" customWidth="1"/>
    <col min="12797" max="12797" width="9" style="3" customWidth="1"/>
    <col min="12798" max="12799" width="9.77734375" style="3" customWidth="1"/>
    <col min="12800" max="12800" width="11.21875" style="3" customWidth="1"/>
    <col min="12801" max="12801" width="2.77734375" style="3" customWidth="1"/>
    <col min="12802" max="12802" width="3.5546875" style="3" customWidth="1"/>
    <col min="12803" max="13047" width="9.21875" style="3"/>
    <col min="13048" max="13048" width="8.77734375" style="3" customWidth="1"/>
    <col min="13049" max="13049" width="9.77734375" style="3" customWidth="1"/>
    <col min="13050" max="13050" width="14.44140625" style="3" customWidth="1"/>
    <col min="13051" max="13051" width="7.21875" style="3" customWidth="1"/>
    <col min="13052" max="13052" width="5.5546875" style="3" customWidth="1"/>
    <col min="13053" max="13053" width="9" style="3" customWidth="1"/>
    <col min="13054" max="13055" width="9.77734375" style="3" customWidth="1"/>
    <col min="13056" max="13056" width="11.21875" style="3" customWidth="1"/>
    <col min="13057" max="13057" width="2.77734375" style="3" customWidth="1"/>
    <col min="13058" max="13058" width="3.5546875" style="3" customWidth="1"/>
    <col min="13059" max="13303" width="9.21875" style="3"/>
    <col min="13304" max="13304" width="8.77734375" style="3" customWidth="1"/>
    <col min="13305" max="13305" width="9.77734375" style="3" customWidth="1"/>
    <col min="13306" max="13306" width="14.44140625" style="3" customWidth="1"/>
    <col min="13307" max="13307" width="7.21875" style="3" customWidth="1"/>
    <col min="13308" max="13308" width="5.5546875" style="3" customWidth="1"/>
    <col min="13309" max="13309" width="9" style="3" customWidth="1"/>
    <col min="13310" max="13311" width="9.77734375" style="3" customWidth="1"/>
    <col min="13312" max="13312" width="11.21875" style="3" customWidth="1"/>
    <col min="13313" max="13313" width="2.77734375" style="3" customWidth="1"/>
    <col min="13314" max="13314" width="3.5546875" style="3" customWidth="1"/>
    <col min="13315" max="13559" width="9.21875" style="3"/>
    <col min="13560" max="13560" width="8.77734375" style="3" customWidth="1"/>
    <col min="13561" max="13561" width="9.77734375" style="3" customWidth="1"/>
    <col min="13562" max="13562" width="14.44140625" style="3" customWidth="1"/>
    <col min="13563" max="13563" width="7.21875" style="3" customWidth="1"/>
    <col min="13564" max="13564" width="5.5546875" style="3" customWidth="1"/>
    <col min="13565" max="13565" width="9" style="3" customWidth="1"/>
    <col min="13566" max="13567" width="9.77734375" style="3" customWidth="1"/>
    <col min="13568" max="13568" width="11.21875" style="3" customWidth="1"/>
    <col min="13569" max="13569" width="2.77734375" style="3" customWidth="1"/>
    <col min="13570" max="13570" width="3.5546875" style="3" customWidth="1"/>
    <col min="13571" max="13815" width="9.21875" style="3"/>
    <col min="13816" max="13816" width="8.77734375" style="3" customWidth="1"/>
    <col min="13817" max="13817" width="9.77734375" style="3" customWidth="1"/>
    <col min="13818" max="13818" width="14.44140625" style="3" customWidth="1"/>
    <col min="13819" max="13819" width="7.21875" style="3" customWidth="1"/>
    <col min="13820" max="13820" width="5.5546875" style="3" customWidth="1"/>
    <col min="13821" max="13821" width="9" style="3" customWidth="1"/>
    <col min="13822" max="13823" width="9.77734375" style="3" customWidth="1"/>
    <col min="13824" max="13824" width="11.21875" style="3" customWidth="1"/>
    <col min="13825" max="13825" width="2.77734375" style="3" customWidth="1"/>
    <col min="13826" max="13826" width="3.5546875" style="3" customWidth="1"/>
    <col min="13827" max="14071" width="9.21875" style="3"/>
    <col min="14072" max="14072" width="8.77734375" style="3" customWidth="1"/>
    <col min="14073" max="14073" width="9.77734375" style="3" customWidth="1"/>
    <col min="14074" max="14074" width="14.44140625" style="3" customWidth="1"/>
    <col min="14075" max="14075" width="7.21875" style="3" customWidth="1"/>
    <col min="14076" max="14076" width="5.5546875" style="3" customWidth="1"/>
    <col min="14077" max="14077" width="9" style="3" customWidth="1"/>
    <col min="14078" max="14079" width="9.77734375" style="3" customWidth="1"/>
    <col min="14080" max="14080" width="11.21875" style="3" customWidth="1"/>
    <col min="14081" max="14081" width="2.77734375" style="3" customWidth="1"/>
    <col min="14082" max="14082" width="3.5546875" style="3" customWidth="1"/>
    <col min="14083" max="14327" width="9.21875" style="3"/>
    <col min="14328" max="14328" width="8.77734375" style="3" customWidth="1"/>
    <col min="14329" max="14329" width="9.77734375" style="3" customWidth="1"/>
    <col min="14330" max="14330" width="14.44140625" style="3" customWidth="1"/>
    <col min="14331" max="14331" width="7.21875" style="3" customWidth="1"/>
    <col min="14332" max="14332" width="5.5546875" style="3" customWidth="1"/>
    <col min="14333" max="14333" width="9" style="3" customWidth="1"/>
    <col min="14334" max="14335" width="9.77734375" style="3" customWidth="1"/>
    <col min="14336" max="14336" width="11.21875" style="3" customWidth="1"/>
    <col min="14337" max="14337" width="2.77734375" style="3" customWidth="1"/>
    <col min="14338" max="14338" width="3.5546875" style="3" customWidth="1"/>
    <col min="14339" max="14583" width="9.21875" style="3"/>
    <col min="14584" max="14584" width="8.77734375" style="3" customWidth="1"/>
    <col min="14585" max="14585" width="9.77734375" style="3" customWidth="1"/>
    <col min="14586" max="14586" width="14.44140625" style="3" customWidth="1"/>
    <col min="14587" max="14587" width="7.21875" style="3" customWidth="1"/>
    <col min="14588" max="14588" width="5.5546875" style="3" customWidth="1"/>
    <col min="14589" max="14589" width="9" style="3" customWidth="1"/>
    <col min="14590" max="14591" width="9.77734375" style="3" customWidth="1"/>
    <col min="14592" max="14592" width="11.21875" style="3" customWidth="1"/>
    <col min="14593" max="14593" width="2.77734375" style="3" customWidth="1"/>
    <col min="14594" max="14594" width="3.5546875" style="3" customWidth="1"/>
    <col min="14595" max="14839" width="9.21875" style="3"/>
    <col min="14840" max="14840" width="8.77734375" style="3" customWidth="1"/>
    <col min="14841" max="14841" width="9.77734375" style="3" customWidth="1"/>
    <col min="14842" max="14842" width="14.44140625" style="3" customWidth="1"/>
    <col min="14843" max="14843" width="7.21875" style="3" customWidth="1"/>
    <col min="14844" max="14844" width="5.5546875" style="3" customWidth="1"/>
    <col min="14845" max="14845" width="9" style="3" customWidth="1"/>
    <col min="14846" max="14847" width="9.77734375" style="3" customWidth="1"/>
    <col min="14848" max="14848" width="11.21875" style="3" customWidth="1"/>
    <col min="14849" max="14849" width="2.77734375" style="3" customWidth="1"/>
    <col min="14850" max="14850" width="3.5546875" style="3" customWidth="1"/>
    <col min="14851" max="15095" width="9.21875" style="3"/>
    <col min="15096" max="15096" width="8.77734375" style="3" customWidth="1"/>
    <col min="15097" max="15097" width="9.77734375" style="3" customWidth="1"/>
    <col min="15098" max="15098" width="14.44140625" style="3" customWidth="1"/>
    <col min="15099" max="15099" width="7.21875" style="3" customWidth="1"/>
    <col min="15100" max="15100" width="5.5546875" style="3" customWidth="1"/>
    <col min="15101" max="15101" width="9" style="3" customWidth="1"/>
    <col min="15102" max="15103" width="9.77734375" style="3" customWidth="1"/>
    <col min="15104" max="15104" width="11.21875" style="3" customWidth="1"/>
    <col min="15105" max="15105" width="2.77734375" style="3" customWidth="1"/>
    <col min="15106" max="15106" width="3.5546875" style="3" customWidth="1"/>
    <col min="15107" max="15351" width="9.21875" style="3"/>
    <col min="15352" max="15352" width="8.77734375" style="3" customWidth="1"/>
    <col min="15353" max="15353" width="9.77734375" style="3" customWidth="1"/>
    <col min="15354" max="15354" width="14.44140625" style="3" customWidth="1"/>
    <col min="15355" max="15355" width="7.21875" style="3" customWidth="1"/>
    <col min="15356" max="15356" width="5.5546875" style="3" customWidth="1"/>
    <col min="15357" max="15357" width="9" style="3" customWidth="1"/>
    <col min="15358" max="15359" width="9.77734375" style="3" customWidth="1"/>
    <col min="15360" max="15360" width="11.21875" style="3" customWidth="1"/>
    <col min="15361" max="15361" width="2.77734375" style="3" customWidth="1"/>
    <col min="15362" max="15362" width="3.5546875" style="3" customWidth="1"/>
    <col min="15363" max="15607" width="9.21875" style="3"/>
    <col min="15608" max="15608" width="8.77734375" style="3" customWidth="1"/>
    <col min="15609" max="15609" width="9.77734375" style="3" customWidth="1"/>
    <col min="15610" max="15610" width="14.44140625" style="3" customWidth="1"/>
    <col min="15611" max="15611" width="7.21875" style="3" customWidth="1"/>
    <col min="15612" max="15612" width="5.5546875" style="3" customWidth="1"/>
    <col min="15613" max="15613" width="9" style="3" customWidth="1"/>
    <col min="15614" max="15615" width="9.77734375" style="3" customWidth="1"/>
    <col min="15616" max="15616" width="11.21875" style="3" customWidth="1"/>
    <col min="15617" max="15617" width="2.77734375" style="3" customWidth="1"/>
    <col min="15618" max="15618" width="3.5546875" style="3" customWidth="1"/>
    <col min="15619" max="15863" width="9.21875" style="3"/>
    <col min="15864" max="15864" width="8.77734375" style="3" customWidth="1"/>
    <col min="15865" max="15865" width="9.77734375" style="3" customWidth="1"/>
    <col min="15866" max="15866" width="14.44140625" style="3" customWidth="1"/>
    <col min="15867" max="15867" width="7.21875" style="3" customWidth="1"/>
    <col min="15868" max="15868" width="5.5546875" style="3" customWidth="1"/>
    <col min="15869" max="15869" width="9" style="3" customWidth="1"/>
    <col min="15870" max="15871" width="9.77734375" style="3" customWidth="1"/>
    <col min="15872" max="15872" width="11.21875" style="3" customWidth="1"/>
    <col min="15873" max="15873" width="2.77734375" style="3" customWidth="1"/>
    <col min="15874" max="15874" width="3.5546875" style="3" customWidth="1"/>
    <col min="15875" max="16119" width="9.21875" style="3"/>
    <col min="16120" max="16120" width="8.77734375" style="3" customWidth="1"/>
    <col min="16121" max="16121" width="9.77734375" style="3" customWidth="1"/>
    <col min="16122" max="16122" width="14.44140625" style="3" customWidth="1"/>
    <col min="16123" max="16123" width="7.21875" style="3" customWidth="1"/>
    <col min="16124" max="16124" width="5.5546875" style="3" customWidth="1"/>
    <col min="16125" max="16125" width="9" style="3" customWidth="1"/>
    <col min="16126" max="16127" width="9.77734375" style="3" customWidth="1"/>
    <col min="16128" max="16128" width="11.21875" style="3" customWidth="1"/>
    <col min="16129" max="16129" width="2.77734375" style="3" customWidth="1"/>
    <col min="16130" max="16130" width="3.5546875" style="3" customWidth="1"/>
    <col min="16131" max="16384" width="9.21875" style="3"/>
  </cols>
  <sheetData>
    <row r="1" spans="1:10" ht="46.5" customHeight="1" x14ac:dyDescent="0.3">
      <c r="A1" s="150" t="s">
        <v>176</v>
      </c>
      <c r="B1" s="150"/>
      <c r="C1" s="150"/>
      <c r="D1" s="150"/>
      <c r="E1" s="150"/>
      <c r="F1" s="150"/>
      <c r="G1" s="150"/>
      <c r="H1" s="150"/>
    </row>
    <row r="2" spans="1:10" ht="16.5" customHeight="1" x14ac:dyDescent="0.3">
      <c r="A2" s="113" t="s">
        <v>0</v>
      </c>
      <c r="B2" s="113"/>
      <c r="C2" s="113"/>
      <c r="D2" s="113"/>
      <c r="E2" s="113"/>
      <c r="F2" s="113"/>
      <c r="G2" s="113"/>
      <c r="H2" s="113"/>
    </row>
    <row r="3" spans="1:10" x14ac:dyDescent="0.3">
      <c r="A3" s="69" t="s">
        <v>1</v>
      </c>
      <c r="B3" s="69"/>
      <c r="C3" s="69"/>
      <c r="D3" s="69"/>
      <c r="E3" s="151" t="str">
        <f ca="1">TEXT(TODAY(),"DD/MM/YYYY")</f>
        <v>09/07/2025</v>
      </c>
      <c r="F3" s="151"/>
      <c r="G3" s="151"/>
      <c r="H3" s="151"/>
    </row>
    <row r="4" spans="1:10" ht="15" customHeight="1" x14ac:dyDescent="0.3">
      <c r="A4" s="69" t="s">
        <v>2</v>
      </c>
      <c r="B4" s="69"/>
      <c r="C4" s="69"/>
      <c r="D4" s="69"/>
      <c r="E4" s="152" t="s">
        <v>239</v>
      </c>
      <c r="F4" s="152"/>
      <c r="G4" s="152"/>
      <c r="H4" s="152"/>
    </row>
    <row r="5" spans="1:10" x14ac:dyDescent="0.3">
      <c r="A5" s="69" t="s">
        <v>3</v>
      </c>
      <c r="B5" s="69"/>
      <c r="C5" s="69"/>
      <c r="D5" s="69"/>
      <c r="E5" s="151">
        <v>45846</v>
      </c>
      <c r="F5" s="151"/>
      <c r="G5" s="151"/>
      <c r="H5" s="151"/>
    </row>
    <row r="6" spans="1:10" ht="16.5" customHeight="1" x14ac:dyDescent="0.3">
      <c r="A6" s="69" t="s">
        <v>4</v>
      </c>
      <c r="B6" s="69"/>
      <c r="C6" s="69"/>
      <c r="D6" s="69"/>
      <c r="E6" s="80" t="s">
        <v>153</v>
      </c>
      <c r="F6" s="80"/>
      <c r="G6" s="80"/>
      <c r="H6" s="80"/>
    </row>
    <row r="7" spans="1:10" ht="15" customHeight="1" x14ac:dyDescent="0.3">
      <c r="A7" s="69" t="s">
        <v>5</v>
      </c>
      <c r="B7" s="69"/>
      <c r="C7" s="69"/>
      <c r="D7" s="69"/>
      <c r="E7" s="80" t="str">
        <f>E6</f>
        <v>M/s.Vihang Infrastructure Pvt Ltd</v>
      </c>
      <c r="F7" s="80"/>
      <c r="G7" s="80"/>
      <c r="H7" s="80"/>
    </row>
    <row r="8" spans="1:10" x14ac:dyDescent="0.3">
      <c r="A8" s="69" t="s">
        <v>6</v>
      </c>
      <c r="B8" s="69"/>
      <c r="C8" s="69"/>
      <c r="D8" s="69"/>
      <c r="E8" s="86" t="s">
        <v>154</v>
      </c>
      <c r="F8" s="86"/>
      <c r="G8" s="86"/>
      <c r="H8" s="86"/>
      <c r="J8" s="3" t="s">
        <v>253</v>
      </c>
    </row>
    <row r="9" spans="1:10" x14ac:dyDescent="0.3">
      <c r="A9" s="69" t="s">
        <v>124</v>
      </c>
      <c r="B9" s="69"/>
      <c r="C9" s="69"/>
      <c r="D9" s="69"/>
      <c r="E9" s="69" t="s">
        <v>155</v>
      </c>
      <c r="F9" s="69"/>
      <c r="G9" s="69"/>
      <c r="H9" s="69"/>
    </row>
    <row r="10" spans="1:10" x14ac:dyDescent="0.3">
      <c r="A10" s="69" t="s">
        <v>179</v>
      </c>
      <c r="B10" s="69"/>
      <c r="C10" s="69"/>
      <c r="D10" s="69"/>
      <c r="E10" s="69" t="s">
        <v>255</v>
      </c>
      <c r="F10" s="69"/>
      <c r="G10" s="69"/>
      <c r="H10" s="69"/>
    </row>
    <row r="11" spans="1:10" x14ac:dyDescent="0.3">
      <c r="A11" s="69" t="s">
        <v>7</v>
      </c>
      <c r="B11" s="69"/>
      <c r="C11" s="69"/>
      <c r="D11" s="69"/>
      <c r="E11" s="153" t="s">
        <v>247</v>
      </c>
      <c r="F11" s="154"/>
      <c r="G11" s="154"/>
      <c r="H11" s="154"/>
    </row>
    <row r="12" spans="1:10" x14ac:dyDescent="0.3">
      <c r="A12" s="69" t="s">
        <v>8</v>
      </c>
      <c r="B12" s="69"/>
      <c r="C12" s="69"/>
      <c r="D12" s="69"/>
      <c r="E12" s="80" t="s">
        <v>173</v>
      </c>
      <c r="F12" s="80"/>
      <c r="G12" s="80"/>
      <c r="H12" s="80"/>
    </row>
    <row r="13" spans="1:10" x14ac:dyDescent="0.3">
      <c r="A13" s="69" t="s">
        <v>9</v>
      </c>
      <c r="B13" s="69"/>
      <c r="C13" s="69"/>
      <c r="D13" s="69"/>
      <c r="E13" s="80" t="s">
        <v>178</v>
      </c>
      <c r="F13" s="69"/>
      <c r="G13" s="69"/>
      <c r="H13" s="69"/>
    </row>
    <row r="14" spans="1:10" ht="63.75" customHeight="1" x14ac:dyDescent="0.3">
      <c r="A14" s="80" t="s">
        <v>10</v>
      </c>
      <c r="B14" s="80"/>
      <c r="C14" s="80" t="str">
        <f>CONCATENATE((IF(OR(E8="",E8="NA"),"",E8)),", ",(IF(OR(A15="",A15="NA"),"",A15)),".",(IF(OR(C15="",C15="NA"),"",C15)),", near ",(IF(OR(C19="",C19="NA"),"",C19)),", ",(IF(OR(C16="",C16="NA"),"",C16)),", ",(IF(OR(G16="",G16="NA"),"",G16)),", ",(IF(OR(C17="",C17="NA"),"",C17)),", ",(IF(OR(C18="",C18="NA"),"",C18)),", ",(IF(OR(G17="",G17="NA"),"",G17)),".")</f>
        <v>Vihang Valley, Survey No.69/1, 69/3A, 69/4, 69/5, 69/6, 72/4A, 72/4B, 74/1/3, 74/1/1, 74/1/2, 74/2A, 74/2B, 74/3, 74/4, 74/5, 75/1, 75/2, 77/1, 77/2, 77/3, 78/1, 78/3A, 78/3B, 78/4 &amp; 76, near Sonal Laxmi Apartments, Internal Road, Owale, Thane (W), Thane, Thane.</v>
      </c>
      <c r="D14" s="80"/>
      <c r="E14" s="80"/>
      <c r="F14" s="80"/>
      <c r="G14" s="80"/>
      <c r="H14" s="80"/>
    </row>
    <row r="15" spans="1:10" ht="30.75" customHeight="1" x14ac:dyDescent="0.3">
      <c r="A15" s="80" t="s">
        <v>161</v>
      </c>
      <c r="B15" s="80"/>
      <c r="C15" s="80" t="s">
        <v>180</v>
      </c>
      <c r="D15" s="80"/>
      <c r="E15" s="80"/>
      <c r="F15" s="80"/>
      <c r="G15" s="80"/>
      <c r="H15" s="80"/>
    </row>
    <row r="16" spans="1:10" ht="15.75" customHeight="1" x14ac:dyDescent="0.3">
      <c r="A16" s="80" t="s">
        <v>11</v>
      </c>
      <c r="B16" s="80"/>
      <c r="C16" s="69" t="s">
        <v>158</v>
      </c>
      <c r="D16" s="69"/>
      <c r="E16" s="80" t="s">
        <v>72</v>
      </c>
      <c r="F16" s="80"/>
      <c r="G16" s="80" t="s">
        <v>181</v>
      </c>
      <c r="H16" s="80"/>
    </row>
    <row r="17" spans="1:8" x14ac:dyDescent="0.3">
      <c r="A17" s="69" t="s">
        <v>13</v>
      </c>
      <c r="B17" s="69"/>
      <c r="C17" s="80" t="s">
        <v>157</v>
      </c>
      <c r="D17" s="80"/>
      <c r="E17" s="80" t="s">
        <v>12</v>
      </c>
      <c r="F17" s="80"/>
      <c r="G17" s="155" t="s">
        <v>156</v>
      </c>
      <c r="H17" s="155"/>
    </row>
    <row r="18" spans="1:8" x14ac:dyDescent="0.3">
      <c r="A18" s="69" t="s">
        <v>73</v>
      </c>
      <c r="B18" s="69"/>
      <c r="C18" s="80" t="s">
        <v>156</v>
      </c>
      <c r="D18" s="80"/>
      <c r="E18" s="80" t="s">
        <v>14</v>
      </c>
      <c r="F18" s="80"/>
      <c r="G18" s="80">
        <v>400615</v>
      </c>
      <c r="H18" s="80"/>
    </row>
    <row r="19" spans="1:8" ht="32.25" customHeight="1" x14ac:dyDescent="0.3">
      <c r="A19" s="69" t="s">
        <v>125</v>
      </c>
      <c r="B19" s="69"/>
      <c r="C19" s="106" t="s">
        <v>159</v>
      </c>
      <c r="D19" s="106"/>
      <c r="E19" s="80" t="s">
        <v>15</v>
      </c>
      <c r="F19" s="80"/>
      <c r="G19" s="80" t="s">
        <v>186</v>
      </c>
      <c r="H19" s="80"/>
    </row>
    <row r="20" spans="1:8" ht="15" customHeight="1" x14ac:dyDescent="0.3">
      <c r="A20" s="80" t="s">
        <v>77</v>
      </c>
      <c r="B20" s="80"/>
      <c r="C20" s="80"/>
      <c r="D20" s="80"/>
      <c r="E20" s="69" t="s">
        <v>16</v>
      </c>
      <c r="F20" s="69"/>
      <c r="G20" s="69"/>
      <c r="H20" s="69"/>
    </row>
    <row r="21" spans="1:8" ht="18.75" customHeight="1" x14ac:dyDescent="0.3">
      <c r="A21" s="80"/>
      <c r="B21" s="80"/>
      <c r="C21" s="80"/>
      <c r="D21" s="80"/>
      <c r="E21" s="69"/>
      <c r="F21" s="69"/>
      <c r="G21" s="69"/>
      <c r="H21" s="69"/>
    </row>
    <row r="22" spans="1:8" ht="15" customHeight="1" x14ac:dyDescent="0.3">
      <c r="A22" s="80" t="s">
        <v>17</v>
      </c>
      <c r="B22" s="80"/>
      <c r="C22" s="80"/>
      <c r="D22" s="80"/>
      <c r="E22" s="80" t="s">
        <v>18</v>
      </c>
      <c r="F22" s="80"/>
      <c r="G22" s="80"/>
      <c r="H22" s="80"/>
    </row>
    <row r="23" spans="1:8" ht="15" customHeight="1" x14ac:dyDescent="0.3">
      <c r="A23" s="69" t="s">
        <v>19</v>
      </c>
      <c r="B23" s="69"/>
      <c r="C23" s="69"/>
      <c r="D23" s="69"/>
      <c r="E23" s="80" t="str">
        <f>IF(AND(G17="Mumbai"),"Upper Class","Middle Class")</f>
        <v>Middle Class</v>
      </c>
      <c r="F23" s="80"/>
      <c r="G23" s="80"/>
      <c r="H23" s="80"/>
    </row>
    <row r="24" spans="1:8" x14ac:dyDescent="0.3">
      <c r="A24" s="69" t="s">
        <v>20</v>
      </c>
      <c r="B24" s="69"/>
      <c r="C24" s="69"/>
      <c r="D24" s="69"/>
      <c r="E24" s="80" t="s">
        <v>21</v>
      </c>
      <c r="F24" s="80"/>
      <c r="G24" s="80"/>
      <c r="H24" s="80"/>
    </row>
    <row r="25" spans="1:8" ht="15.75" customHeight="1" x14ac:dyDescent="0.3">
      <c r="A25" s="69" t="s">
        <v>22</v>
      </c>
      <c r="B25" s="69"/>
      <c r="C25" s="69"/>
      <c r="D25" s="69"/>
      <c r="E25" s="80" t="str">
        <f>IF(AND(G17="Mumbai"),"Developed","Developing")</f>
        <v>Developing</v>
      </c>
      <c r="F25" s="80"/>
      <c r="G25" s="80"/>
      <c r="H25" s="80"/>
    </row>
    <row r="26" spans="1:8" x14ac:dyDescent="0.3">
      <c r="A26" s="69" t="s">
        <v>23</v>
      </c>
      <c r="B26" s="69"/>
      <c r="C26" s="69"/>
      <c r="D26" s="69"/>
      <c r="E26" s="80" t="s">
        <v>24</v>
      </c>
      <c r="F26" s="80"/>
      <c r="G26" s="80"/>
      <c r="H26" s="80"/>
    </row>
    <row r="27" spans="1:8" x14ac:dyDescent="0.3">
      <c r="A27" s="69" t="s">
        <v>84</v>
      </c>
      <c r="B27" s="69"/>
      <c r="C27" s="69"/>
      <c r="D27" s="69"/>
      <c r="E27" s="80" t="s">
        <v>85</v>
      </c>
      <c r="F27" s="80"/>
      <c r="G27" s="80"/>
      <c r="H27" s="80"/>
    </row>
    <row r="28" spans="1:8" ht="15" customHeight="1" x14ac:dyDescent="0.3">
      <c r="A28" s="80" t="s">
        <v>32</v>
      </c>
      <c r="B28" s="80"/>
      <c r="C28" s="80"/>
      <c r="D28" s="80"/>
      <c r="E28" s="152" t="s">
        <v>163</v>
      </c>
      <c r="F28" s="152"/>
      <c r="G28" s="152"/>
      <c r="H28" s="152"/>
    </row>
    <row r="29" spans="1:8" x14ac:dyDescent="0.3">
      <c r="A29" s="123" t="s">
        <v>95</v>
      </c>
      <c r="B29" s="123"/>
      <c r="C29" s="123"/>
      <c r="D29" s="123"/>
      <c r="E29" s="123" t="s">
        <v>33</v>
      </c>
      <c r="F29" s="123"/>
      <c r="G29" s="123"/>
      <c r="H29" s="123"/>
    </row>
    <row r="30" spans="1:8" s="6" customFormat="1" x14ac:dyDescent="0.3">
      <c r="A30" s="165" t="s">
        <v>96</v>
      </c>
      <c r="B30" s="165"/>
      <c r="C30" s="121" t="s">
        <v>182</v>
      </c>
      <c r="D30" s="121"/>
      <c r="E30" s="121"/>
      <c r="F30" s="121" t="s">
        <v>30</v>
      </c>
      <c r="G30" s="121"/>
      <c r="H30" s="121"/>
    </row>
    <row r="31" spans="1:8" s="6" customFormat="1" x14ac:dyDescent="0.3">
      <c r="A31" s="156" t="s">
        <v>25</v>
      </c>
      <c r="B31" s="156" t="s">
        <v>29</v>
      </c>
      <c r="C31" s="157" t="s">
        <v>190</v>
      </c>
      <c r="D31" s="157"/>
      <c r="E31" s="157"/>
      <c r="F31" s="157" t="s">
        <v>160</v>
      </c>
      <c r="G31" s="157"/>
      <c r="H31" s="157"/>
    </row>
    <row r="32" spans="1:8" x14ac:dyDescent="0.3">
      <c r="A32" s="156" t="s">
        <v>26</v>
      </c>
      <c r="B32" s="156" t="s">
        <v>29</v>
      </c>
      <c r="C32" s="157" t="s">
        <v>189</v>
      </c>
      <c r="D32" s="157"/>
      <c r="E32" s="157"/>
      <c r="F32" s="159" t="s">
        <v>187</v>
      </c>
      <c r="G32" s="160"/>
      <c r="H32" s="161"/>
    </row>
    <row r="33" spans="1:8" s="6" customFormat="1" x14ac:dyDescent="0.3">
      <c r="A33" s="156" t="s">
        <v>28</v>
      </c>
      <c r="B33" s="156" t="s">
        <v>29</v>
      </c>
      <c r="C33" s="157" t="s">
        <v>188</v>
      </c>
      <c r="D33" s="157"/>
      <c r="E33" s="157"/>
      <c r="F33" s="157" t="s">
        <v>158</v>
      </c>
      <c r="G33" s="157"/>
      <c r="H33" s="157"/>
    </row>
    <row r="34" spans="1:8" x14ac:dyDescent="0.3">
      <c r="A34" s="166" t="s">
        <v>27</v>
      </c>
      <c r="B34" s="166" t="s">
        <v>29</v>
      </c>
      <c r="C34" s="167" t="s">
        <v>244</v>
      </c>
      <c r="D34" s="166"/>
      <c r="E34" s="166"/>
      <c r="F34" s="162" t="s">
        <v>243</v>
      </c>
      <c r="G34" s="163"/>
      <c r="H34" s="164"/>
    </row>
    <row r="35" spans="1:8" x14ac:dyDescent="0.3">
      <c r="A35" s="68" t="s">
        <v>31</v>
      </c>
      <c r="B35" s="68"/>
      <c r="C35" s="68"/>
      <c r="D35" s="68"/>
      <c r="E35" s="68"/>
      <c r="F35" s="68"/>
      <c r="G35" s="68"/>
      <c r="H35" s="68"/>
    </row>
    <row r="36" spans="1:8" ht="15.75" customHeight="1" x14ac:dyDescent="0.3">
      <c r="A36" s="113" t="s">
        <v>174</v>
      </c>
      <c r="B36" s="113"/>
      <c r="C36" s="168" t="s">
        <v>184</v>
      </c>
      <c r="D36" s="168"/>
      <c r="E36" s="168"/>
      <c r="F36" s="168"/>
      <c r="G36" s="168"/>
      <c r="H36" s="168"/>
    </row>
    <row r="37" spans="1:8" ht="15.75" customHeight="1" x14ac:dyDescent="0.3">
      <c r="A37" s="113" t="s">
        <v>175</v>
      </c>
      <c r="B37" s="113"/>
      <c r="C37" s="169" t="s">
        <v>185</v>
      </c>
      <c r="D37" s="170"/>
      <c r="E37" s="170"/>
      <c r="F37" s="170"/>
      <c r="G37" s="170"/>
      <c r="H37" s="170"/>
    </row>
    <row r="38" spans="1:8" x14ac:dyDescent="0.3">
      <c r="A38" s="127" t="s">
        <v>34</v>
      </c>
      <c r="B38" s="127"/>
      <c r="C38" s="127"/>
      <c r="D38" s="127"/>
      <c r="E38" s="127"/>
      <c r="F38" s="127"/>
      <c r="G38" s="127"/>
      <c r="H38" s="127"/>
    </row>
    <row r="39" spans="1:8" x14ac:dyDescent="0.3">
      <c r="A39" s="68" t="s">
        <v>35</v>
      </c>
      <c r="B39" s="68"/>
      <c r="C39" s="68"/>
      <c r="D39" s="68"/>
      <c r="E39" s="158">
        <v>33848.5</v>
      </c>
      <c r="F39" s="158"/>
      <c r="G39" s="158"/>
      <c r="H39" s="158"/>
    </row>
    <row r="40" spans="1:8" x14ac:dyDescent="0.3">
      <c r="A40" s="68" t="s">
        <v>36</v>
      </c>
      <c r="B40" s="68"/>
      <c r="C40" s="68"/>
      <c r="D40" s="68"/>
      <c r="E40" s="67">
        <f>36683.35/E39</f>
        <v>1.0837511263423785</v>
      </c>
      <c r="F40" s="67"/>
      <c r="G40" s="67"/>
      <c r="H40" s="67"/>
    </row>
    <row r="41" spans="1:8" x14ac:dyDescent="0.3">
      <c r="A41" s="68" t="s">
        <v>37</v>
      </c>
      <c r="B41" s="68"/>
      <c r="C41" s="68"/>
      <c r="D41" s="68"/>
      <c r="E41" s="67">
        <f>E43/E39-E40</f>
        <v>2.0026902226095693</v>
      </c>
      <c r="F41" s="67"/>
      <c r="G41" s="67"/>
      <c r="H41" s="67"/>
    </row>
    <row r="42" spans="1:8" x14ac:dyDescent="0.3">
      <c r="A42" s="68" t="s">
        <v>38</v>
      </c>
      <c r="B42" s="68"/>
      <c r="C42" s="68"/>
      <c r="D42" s="68"/>
      <c r="E42" s="67">
        <f>E40+E41</f>
        <v>3.086441348951948</v>
      </c>
      <c r="F42" s="67"/>
      <c r="G42" s="67"/>
      <c r="H42" s="67"/>
    </row>
    <row r="43" spans="1:8" x14ac:dyDescent="0.3">
      <c r="A43" s="69" t="s">
        <v>94</v>
      </c>
      <c r="B43" s="69"/>
      <c r="C43" s="69"/>
      <c r="D43" s="69"/>
      <c r="E43" s="177">
        <v>104471.41</v>
      </c>
      <c r="F43" s="177"/>
      <c r="G43" s="177"/>
      <c r="H43" s="177"/>
    </row>
    <row r="44" spans="1:8" x14ac:dyDescent="0.3">
      <c r="A44" s="69" t="s">
        <v>39</v>
      </c>
      <c r="B44" s="69"/>
      <c r="C44" s="69"/>
      <c r="D44" s="69"/>
      <c r="E44" s="69" t="s">
        <v>248</v>
      </c>
      <c r="F44" s="69"/>
      <c r="G44" s="69"/>
      <c r="H44" s="69"/>
    </row>
    <row r="45" spans="1:8" x14ac:dyDescent="0.3">
      <c r="A45" s="86" t="s">
        <v>40</v>
      </c>
      <c r="B45" s="86"/>
      <c r="C45" s="86"/>
      <c r="D45" s="86"/>
      <c r="E45" s="86"/>
      <c r="F45" s="86"/>
      <c r="G45" s="86"/>
      <c r="H45" s="86"/>
    </row>
    <row r="46" spans="1:8" ht="33.75" customHeight="1" x14ac:dyDescent="0.3">
      <c r="A46" s="80" t="s">
        <v>41</v>
      </c>
      <c r="B46" s="80"/>
      <c r="C46" s="106" t="s">
        <v>191</v>
      </c>
      <c r="D46" s="106"/>
      <c r="E46" s="106"/>
      <c r="F46" s="41" t="s">
        <v>42</v>
      </c>
      <c r="G46" s="141">
        <v>45219</v>
      </c>
      <c r="H46" s="141"/>
    </row>
    <row r="47" spans="1:8" ht="34.5" customHeight="1" x14ac:dyDescent="0.3">
      <c r="A47" s="69" t="s">
        <v>43</v>
      </c>
      <c r="B47" s="69"/>
      <c r="C47" s="106" t="str">
        <f>C46</f>
        <v>V.PS06/0315/18(2008/37)/TMC/TDD/4478/23</v>
      </c>
      <c r="D47" s="106"/>
      <c r="E47" s="106"/>
      <c r="F47" s="41" t="s">
        <v>42</v>
      </c>
      <c r="G47" s="141">
        <f>G46</f>
        <v>45219</v>
      </c>
      <c r="H47" s="141"/>
    </row>
    <row r="48" spans="1:8" s="5" customFormat="1" ht="33" customHeight="1" x14ac:dyDescent="0.3">
      <c r="A48" s="80" t="s">
        <v>192</v>
      </c>
      <c r="B48" s="80"/>
      <c r="C48" s="106" t="str">
        <f>C47</f>
        <v>V.PS06/0315/18(2008/37)/TMC/TDD/4478/23</v>
      </c>
      <c r="D48" s="106"/>
      <c r="E48" s="106"/>
      <c r="F48" s="8" t="s">
        <v>42</v>
      </c>
      <c r="G48" s="141">
        <f>G47</f>
        <v>45219</v>
      </c>
      <c r="H48" s="141"/>
    </row>
    <row r="49" spans="1:14" s="5" customFormat="1" ht="31.5" customHeight="1" x14ac:dyDescent="0.3">
      <c r="A49" s="80"/>
      <c r="B49" s="80"/>
      <c r="C49" s="147" t="s">
        <v>249</v>
      </c>
      <c r="D49" s="148"/>
      <c r="E49" s="148"/>
      <c r="F49" s="148"/>
      <c r="G49" s="148"/>
      <c r="H49" s="149"/>
    </row>
    <row r="50" spans="1:14" s="5" customFormat="1" ht="270" customHeight="1" x14ac:dyDescent="0.3">
      <c r="A50" s="142" t="s">
        <v>235</v>
      </c>
      <c r="B50" s="143"/>
      <c r="C50" s="144" t="s">
        <v>250</v>
      </c>
      <c r="D50" s="145"/>
      <c r="E50" s="146"/>
      <c r="F50" s="60" t="s">
        <v>42</v>
      </c>
      <c r="G50" s="172">
        <v>45083</v>
      </c>
      <c r="H50" s="173"/>
    </row>
    <row r="51" spans="1:14" x14ac:dyDescent="0.3">
      <c r="A51" s="174" t="s">
        <v>236</v>
      </c>
      <c r="B51" s="175"/>
      <c r="C51" s="174" t="s">
        <v>237</v>
      </c>
      <c r="D51" s="176"/>
      <c r="E51" s="175"/>
      <c r="F51" s="61" t="s">
        <v>42</v>
      </c>
      <c r="G51" s="101" t="s">
        <v>29</v>
      </c>
      <c r="H51" s="102"/>
    </row>
    <row r="52" spans="1:14" x14ac:dyDescent="0.3">
      <c r="A52" s="103"/>
      <c r="B52" s="104"/>
      <c r="C52" s="104"/>
      <c r="D52" s="104"/>
      <c r="E52" s="104"/>
      <c r="F52" s="104"/>
      <c r="G52" s="104"/>
      <c r="H52" s="105"/>
      <c r="I52" s="31"/>
    </row>
    <row r="53" spans="1:14" x14ac:dyDescent="0.3">
      <c r="A53" s="81" t="s">
        <v>45</v>
      </c>
      <c r="B53" s="81"/>
      <c r="C53" s="81"/>
      <c r="D53" s="81"/>
      <c r="E53" s="81"/>
      <c r="F53" s="81"/>
      <c r="G53" s="81"/>
      <c r="H53" s="81"/>
    </row>
    <row r="54" spans="1:14" ht="30" customHeight="1" x14ac:dyDescent="0.3">
      <c r="A54" s="80" t="s">
        <v>254</v>
      </c>
      <c r="B54" s="80"/>
      <c r="C54" s="80"/>
      <c r="D54" s="69">
        <f>(10532.72+21726.48+578.71)</f>
        <v>32837.909999999996</v>
      </c>
      <c r="E54" s="69"/>
      <c r="F54" s="69"/>
      <c r="G54" s="69"/>
      <c r="H54" s="69"/>
    </row>
    <row r="55" spans="1:14" x14ac:dyDescent="0.3">
      <c r="A55" s="80" t="s">
        <v>46</v>
      </c>
      <c r="B55" s="69"/>
      <c r="C55" s="69"/>
      <c r="D55" s="69" t="s">
        <v>252</v>
      </c>
      <c r="E55" s="69"/>
      <c r="F55" s="69"/>
      <c r="G55" s="69"/>
      <c r="H55" s="69"/>
    </row>
    <row r="56" spans="1:14" ht="30.75" customHeight="1" x14ac:dyDescent="0.3">
      <c r="A56" s="80" t="s">
        <v>47</v>
      </c>
      <c r="B56" s="80"/>
      <c r="C56" s="80"/>
      <c r="D56" s="80" t="s">
        <v>251</v>
      </c>
      <c r="E56" s="69"/>
      <c r="F56" s="69"/>
      <c r="G56" s="69"/>
      <c r="H56" s="69"/>
      <c r="I56" s="3" t="s">
        <v>197</v>
      </c>
    </row>
    <row r="57" spans="1:14" x14ac:dyDescent="0.3">
      <c r="A57" s="80" t="s">
        <v>92</v>
      </c>
      <c r="B57" s="80"/>
      <c r="C57" s="80"/>
      <c r="D57" s="80" t="s">
        <v>196</v>
      </c>
      <c r="E57" s="80"/>
      <c r="F57" s="80"/>
      <c r="G57" s="80"/>
      <c r="H57" s="80"/>
    </row>
    <row r="58" spans="1:14" x14ac:dyDescent="0.3">
      <c r="A58" s="80"/>
      <c r="B58" s="80"/>
      <c r="C58" s="80"/>
      <c r="D58" s="80" t="s">
        <v>198</v>
      </c>
      <c r="E58" s="80"/>
      <c r="F58" s="80"/>
      <c r="G58" s="80"/>
      <c r="H58" s="80"/>
      <c r="J58" s="13"/>
      <c r="K58" s="13"/>
    </row>
    <row r="59" spans="1:14" x14ac:dyDescent="0.3">
      <c r="A59" s="68" t="s">
        <v>44</v>
      </c>
      <c r="B59" s="68"/>
      <c r="C59" s="68"/>
      <c r="D59" s="123" t="s">
        <v>162</v>
      </c>
      <c r="E59" s="123"/>
      <c r="F59" s="123"/>
      <c r="G59" s="123"/>
      <c r="H59" s="123"/>
      <c r="I59" s="54" t="s">
        <v>193</v>
      </c>
    </row>
    <row r="60" spans="1:14" x14ac:dyDescent="0.3">
      <c r="A60" s="68" t="s">
        <v>90</v>
      </c>
      <c r="B60" s="68"/>
      <c r="C60" s="68"/>
      <c r="D60" s="124" t="s">
        <v>167</v>
      </c>
      <c r="E60" s="124"/>
      <c r="F60" s="124"/>
      <c r="G60" s="124"/>
      <c r="H60" s="124"/>
      <c r="I60" s="40"/>
      <c r="J60" s="40"/>
      <c r="K60" s="40"/>
      <c r="L60" s="40"/>
      <c r="M60" s="40"/>
      <c r="N60" s="40"/>
    </row>
    <row r="61" spans="1:14" ht="15.75" customHeight="1" x14ac:dyDescent="0.3">
      <c r="A61" s="68" t="s">
        <v>91</v>
      </c>
      <c r="B61" s="68"/>
      <c r="C61" s="68"/>
      <c r="D61" s="123" t="s">
        <v>24</v>
      </c>
      <c r="E61" s="123"/>
      <c r="F61" s="123"/>
      <c r="G61" s="123"/>
      <c r="H61" s="123"/>
      <c r="J61" s="13"/>
    </row>
    <row r="62" spans="1:14" ht="80.25" customHeight="1" x14ac:dyDescent="0.3">
      <c r="A62" s="68" t="s">
        <v>74</v>
      </c>
      <c r="B62" s="68"/>
      <c r="C62" s="68"/>
      <c r="D62" s="80" t="s">
        <v>194</v>
      </c>
      <c r="E62" s="123"/>
      <c r="F62" s="123"/>
      <c r="G62" s="123"/>
      <c r="H62" s="123"/>
    </row>
    <row r="63" spans="1:14" ht="15.75" customHeight="1" x14ac:dyDescent="0.3">
      <c r="A63" s="123" t="s">
        <v>151</v>
      </c>
      <c r="B63" s="123"/>
      <c r="C63" s="123"/>
      <c r="D63" s="123" t="s">
        <v>29</v>
      </c>
      <c r="E63" s="123"/>
      <c r="F63" s="123"/>
      <c r="G63" s="123"/>
      <c r="H63" s="123"/>
    </row>
    <row r="64" spans="1:14" x14ac:dyDescent="0.3">
      <c r="A64" s="82" t="s">
        <v>89</v>
      </c>
      <c r="B64" s="82"/>
      <c r="C64" s="82"/>
      <c r="D64" s="83" t="str">
        <f ca="1">(IF(G70&gt;95%,"Nothing",IF(G70&gt;0%,"Cement, Aggregate, Steel, etc",IF(G70=0%,"Work not yet Started"))))</f>
        <v>Cement, Aggregate, Steel, etc</v>
      </c>
      <c r="E64" s="83"/>
      <c r="F64" s="83"/>
      <c r="G64" s="83"/>
      <c r="H64" s="83"/>
    </row>
    <row r="65" spans="1:10" ht="35.25" customHeight="1" thickBot="1" x14ac:dyDescent="0.35">
      <c r="A65" s="140" t="s">
        <v>121</v>
      </c>
      <c r="B65" s="140"/>
      <c r="C65" s="140"/>
      <c r="D65" s="83" t="str">
        <f ca="1">(IF(D64="Nothing","Yes",IF(D64="Cement, Aggregate, Steel, etc","Under Construction",IF(D64="Work not yet Started","Work not yet Started"))))</f>
        <v>Under Construction</v>
      </c>
      <c r="E65" s="83"/>
      <c r="F65" s="83" t="str">
        <f ca="1">(IF(D64="Nothing","Yes",IF(D64="Cement, Aggregate, Steel, etc","Under Construction",IF(D64="Work not yet Started","Work not yet Started"))))</f>
        <v>Under Construction</v>
      </c>
      <c r="G65" s="83"/>
      <c r="H65" s="83"/>
    </row>
    <row r="66" spans="1:10" ht="15.75" customHeight="1" x14ac:dyDescent="0.3">
      <c r="A66" s="87" t="s">
        <v>143</v>
      </c>
      <c r="B66" s="88"/>
      <c r="C66" s="89" t="str">
        <f>D57</f>
        <v>Phase 4 - Building No.7 (Type D1) = Gr/St + P1(Pt) + 1st to 21st Floor</v>
      </c>
      <c r="D66" s="90"/>
      <c r="E66" s="90"/>
      <c r="F66" s="90"/>
      <c r="G66" s="90"/>
      <c r="H66" s="91"/>
      <c r="I66" s="33" t="str">
        <f ca="1">(IF(E70&gt;99%,"All work completed. Please provide OC.",IF(E70&gt;89.8%,"Plinth, RCC, Brick, Plaster, Flooring, Painting work Completed. Finishing work is in process.",IF(E70&lt;94%,(IF(C70=0,"Work not yet Started.",IF(D70=25%,"Piling work in process",IF(D70=50%,"Excavation work in process",IF(D70=100%,"Excavation work Completed. ","0")))&amp;(IF(C71=0%,"",IF(C71=J72,"Footing work is process",IF(C71=J73,"Footing work Completed",IF(C71=J74,"1st Basement Completed",IF(C71=J75,"1st &amp; 2nd Basement Completed",IF(C71=J76,"1st to 3rd Basement Completed",IF(C71=J77,"1st to 4th Basement Completed",IF(C71=J78,"Plinth work is process",IF(C71=J79,"Plinth work completed","0")))))))))))&amp;(IF(C72=(D67+F67+H67),", RCC Slab",IF(C72&gt;0,", RCC upto "&amp;C72&amp;" Slab",""))&amp;(IF(C73=H67,", Brickwork",IF(C73&gt;0,", Brickwork upto "&amp;C73&amp;" Floor",""))&amp;(IF(C74=H67,", Internal Plaster",IF(C74&gt;0,", Internal Plaster upto "&amp;C74&amp;" Floor",""))&amp;(IF(C75=H67,", External Plaster",IF(C75&gt;0,", External Plaster upto "&amp;C75&amp;" Floor",""))&amp;(IF(C76=H67,", Flooring",IF(C76&gt;0,", Flooring upto "&amp;C76&amp;" Floor",""))&amp;(IF(C77=H67,", Painting",IF(C77&gt;0,", Painting upto "&amp;C77&amp;" Floor",""))&amp;(IF(C78&gt;0,", Finishing upto "&amp;C78&amp;" Floor","")&amp;(IF(C72&gt;0.5," Completed",""))))))))))))))</f>
        <v>Excavation work Completed. Plinth work completed, RCC Slab, Brickwork, Internal Plaster, External Plaster, Flooring upto 16 Floor, Painting upto 15 Floor Completed</v>
      </c>
      <c r="J66" s="14"/>
    </row>
    <row r="67" spans="1:10" x14ac:dyDescent="0.3">
      <c r="A67" s="38" t="s">
        <v>145</v>
      </c>
      <c r="B67" s="42">
        <v>0</v>
      </c>
      <c r="C67" s="42" t="s">
        <v>71</v>
      </c>
      <c r="D67" s="42">
        <v>1</v>
      </c>
      <c r="E67" s="42" t="s">
        <v>70</v>
      </c>
      <c r="F67" s="42">
        <v>1</v>
      </c>
      <c r="G67" s="42" t="s">
        <v>83</v>
      </c>
      <c r="H67" s="39">
        <f ca="1">--TRIM(RIGHT(SUBSTITUTE(LEFT(C66,_xlfn.AGGREGATE(16,6,FIND({0,1,2,3,4,5,6,7,8,9},C66,ROW(INDIRECT("1:"&amp;LEN(C66)))),1))," ",REPT(" ",LEN(C66))),LEN(C66)))</f>
        <v>21</v>
      </c>
      <c r="I67" s="13"/>
      <c r="J67" s="15"/>
    </row>
    <row r="68" spans="1:10" ht="51" customHeight="1" x14ac:dyDescent="0.3">
      <c r="A68" s="85" t="s">
        <v>93</v>
      </c>
      <c r="B68" s="86"/>
      <c r="C68" s="92" t="str">
        <f ca="1">I66</f>
        <v>Excavation work Completed. Plinth work completed, RCC Slab, Brickwork, Internal Plaster, External Plaster, Flooring upto 16 Floor, Painting upto 15 Floor Completed</v>
      </c>
      <c r="D68" s="92"/>
      <c r="E68" s="92"/>
      <c r="F68" s="92"/>
      <c r="G68" s="92"/>
      <c r="H68" s="93"/>
      <c r="I68" s="13" t="s">
        <v>108</v>
      </c>
      <c r="J68" s="15"/>
    </row>
    <row r="69" spans="1:10" ht="15.75" customHeight="1" x14ac:dyDescent="0.3">
      <c r="A69" s="74" t="s">
        <v>48</v>
      </c>
      <c r="B69" s="75"/>
      <c r="C69" s="43" t="s">
        <v>142</v>
      </c>
      <c r="D69" s="43" t="s">
        <v>86</v>
      </c>
      <c r="E69" s="75" t="s">
        <v>88</v>
      </c>
      <c r="F69" s="75"/>
      <c r="G69" s="75" t="s">
        <v>87</v>
      </c>
      <c r="H69" s="84"/>
      <c r="I69" s="30" t="s">
        <v>144</v>
      </c>
      <c r="J69" s="16">
        <f ca="1">H67*25%</f>
        <v>5.25</v>
      </c>
    </row>
    <row r="70" spans="1:10" ht="15.75" customHeight="1" x14ac:dyDescent="0.3">
      <c r="A70" s="74" t="s">
        <v>131</v>
      </c>
      <c r="B70" s="75"/>
      <c r="C70" s="44">
        <f ca="1">J71</f>
        <v>21</v>
      </c>
      <c r="D70" s="45">
        <f ca="1">((100/H67)*C70)/100</f>
        <v>1</v>
      </c>
      <c r="E70" s="94">
        <f ca="1">(((C71/H67*10)+(40/(D67+F67+H67)*C72)+(7.5/(H67)*C73)+(7.5/(H67)*C74)+(10/H67*C75)+(10/H67*C76)+(5/H67*C77)+(5/H67*C78)+(5/H67*C79))/100)</f>
        <v>0.86190476190476195</v>
      </c>
      <c r="F70" s="94"/>
      <c r="G70" s="94">
        <f ca="1">((((C70/H67)*20)+((C71/H67)*25)+(30/(H67+F67+D67)*C72)+(5/H67*C73)+(5/H67*C74)+(5/H67*C75)+(5/H67*C76)+(0/H67*C77)+(0/H67*C78)+(5/H67*C79))/100)</f>
        <v>0.93809523809523809</v>
      </c>
      <c r="H70" s="96"/>
      <c r="I70" s="30" t="s">
        <v>103</v>
      </c>
      <c r="J70" s="32">
        <f ca="1">H67*50%</f>
        <v>10.5</v>
      </c>
    </row>
    <row r="71" spans="1:10" ht="15.75" customHeight="1" x14ac:dyDescent="0.3">
      <c r="A71" s="74" t="s">
        <v>49</v>
      </c>
      <c r="B71" s="75"/>
      <c r="C71" s="46">
        <f ca="1">J79</f>
        <v>21</v>
      </c>
      <c r="D71" s="45">
        <f ca="1">((100/H67)*C71)/100</f>
        <v>1</v>
      </c>
      <c r="E71" s="94"/>
      <c r="F71" s="94"/>
      <c r="G71" s="94"/>
      <c r="H71" s="96"/>
      <c r="I71" s="30" t="s">
        <v>104</v>
      </c>
      <c r="J71" s="32">
        <f ca="1">H67</f>
        <v>21</v>
      </c>
    </row>
    <row r="72" spans="1:10" ht="15" customHeight="1" x14ac:dyDescent="0.3">
      <c r="A72" s="74" t="s">
        <v>132</v>
      </c>
      <c r="B72" s="75"/>
      <c r="C72" s="46">
        <f ca="1">D67+F67+H67</f>
        <v>23</v>
      </c>
      <c r="D72" s="45">
        <f ca="1">((100/(D67+F67+H67))*C72)/100</f>
        <v>1</v>
      </c>
      <c r="E72" s="94"/>
      <c r="F72" s="94"/>
      <c r="G72" s="94"/>
      <c r="H72" s="96"/>
      <c r="I72" s="30" t="s">
        <v>105</v>
      </c>
      <c r="J72" s="35">
        <f ca="1">(IF(B67&gt;1,(H67/(B67+2)),H67/4))</f>
        <v>5.25</v>
      </c>
    </row>
    <row r="73" spans="1:10" ht="15.75" customHeight="1" x14ac:dyDescent="0.3">
      <c r="A73" s="74" t="s">
        <v>139</v>
      </c>
      <c r="B73" s="75" t="s">
        <v>133</v>
      </c>
      <c r="C73" s="44">
        <v>21</v>
      </c>
      <c r="D73" s="45">
        <f ca="1">((100/H67)*C73)/100</f>
        <v>1</v>
      </c>
      <c r="E73" s="94"/>
      <c r="F73" s="94"/>
      <c r="G73" s="94"/>
      <c r="H73" s="96"/>
      <c r="I73" s="30" t="s">
        <v>106</v>
      </c>
      <c r="J73" s="35">
        <f ca="1">(IF(B67&gt;1,(H67/(B67+2)+J72),H67/4+J72))</f>
        <v>10.5</v>
      </c>
    </row>
    <row r="74" spans="1:10" ht="15.75" customHeight="1" x14ac:dyDescent="0.3">
      <c r="A74" s="74" t="s">
        <v>140</v>
      </c>
      <c r="B74" s="75" t="s">
        <v>133</v>
      </c>
      <c r="C74" s="44">
        <v>21</v>
      </c>
      <c r="D74" s="45">
        <f ca="1">((100/H67)*C74)/100</f>
        <v>1</v>
      </c>
      <c r="E74" s="94"/>
      <c r="F74" s="94"/>
      <c r="G74" s="94"/>
      <c r="H74" s="96"/>
      <c r="I74" s="30" t="s">
        <v>149</v>
      </c>
      <c r="J74" s="35">
        <f>(IF(B67&gt;1,(H67/(B67+2)+J73),0))</f>
        <v>0</v>
      </c>
    </row>
    <row r="75" spans="1:10" ht="15.75" customHeight="1" x14ac:dyDescent="0.3">
      <c r="A75" s="74" t="s">
        <v>138</v>
      </c>
      <c r="B75" s="75" t="s">
        <v>135</v>
      </c>
      <c r="C75" s="44">
        <v>21</v>
      </c>
      <c r="D75" s="45">
        <f ca="1">((100/(H67))*C75)/100</f>
        <v>1</v>
      </c>
      <c r="E75" s="94"/>
      <c r="F75" s="94"/>
      <c r="G75" s="94"/>
      <c r="H75" s="96"/>
      <c r="I75" s="30" t="s">
        <v>146</v>
      </c>
      <c r="J75" s="35">
        <f>(IF(B67&gt;2,(H67/(B67+2)+J74),0))</f>
        <v>0</v>
      </c>
    </row>
    <row r="76" spans="1:10" x14ac:dyDescent="0.3">
      <c r="A76" s="74" t="s">
        <v>134</v>
      </c>
      <c r="B76" s="75" t="s">
        <v>134</v>
      </c>
      <c r="C76" s="44">
        <v>16</v>
      </c>
      <c r="D76" s="45">
        <f ca="1">((100/H67)*C76)/100</f>
        <v>0.76190476190476186</v>
      </c>
      <c r="E76" s="94"/>
      <c r="F76" s="94"/>
      <c r="G76" s="94"/>
      <c r="H76" s="96"/>
      <c r="I76" s="30" t="s">
        <v>147</v>
      </c>
      <c r="J76" s="36">
        <f>(IF(B67&gt;3,(H67/(B67+2)+J75),0))</f>
        <v>0</v>
      </c>
    </row>
    <row r="77" spans="1:10" x14ac:dyDescent="0.3">
      <c r="A77" s="74" t="s">
        <v>141</v>
      </c>
      <c r="B77" s="75"/>
      <c r="C77" s="44">
        <v>15</v>
      </c>
      <c r="D77" s="45">
        <f ca="1">((100/H67)*C77)/100</f>
        <v>0.7142857142857143</v>
      </c>
      <c r="E77" s="94"/>
      <c r="F77" s="94"/>
      <c r="G77" s="94"/>
      <c r="H77" s="96"/>
      <c r="I77" s="30" t="s">
        <v>148</v>
      </c>
      <c r="J77" s="35">
        <f>(IF(B67&gt;4,(H67/(B67+2)+J76),0))</f>
        <v>0</v>
      </c>
    </row>
    <row r="78" spans="1:10" x14ac:dyDescent="0.3">
      <c r="A78" s="74" t="s">
        <v>136</v>
      </c>
      <c r="B78" s="75" t="s">
        <v>136</v>
      </c>
      <c r="C78" s="44">
        <v>0</v>
      </c>
      <c r="D78" s="45">
        <f ca="1">((100/(H67))*C78)/100</f>
        <v>0</v>
      </c>
      <c r="E78" s="94"/>
      <c r="F78" s="94"/>
      <c r="G78" s="94"/>
      <c r="H78" s="96"/>
      <c r="I78" s="30" t="s">
        <v>150</v>
      </c>
      <c r="J78" s="35">
        <f ca="1">(IF(B67=1,(H67/(B67+3)+J73),IF(B67=0,(H67/4+J73),IF(B67&gt;1,0))))</f>
        <v>15.75</v>
      </c>
    </row>
    <row r="79" spans="1:10" ht="16.2" thickBot="1" x14ac:dyDescent="0.35">
      <c r="A79" s="98" t="s">
        <v>137</v>
      </c>
      <c r="B79" s="99"/>
      <c r="C79" s="62">
        <v>0</v>
      </c>
      <c r="D79" s="63">
        <f ca="1">((100/(H67))*C79)/100</f>
        <v>0</v>
      </c>
      <c r="E79" s="95"/>
      <c r="F79" s="95"/>
      <c r="G79" s="95"/>
      <c r="H79" s="97"/>
      <c r="I79" s="34" t="s">
        <v>107</v>
      </c>
      <c r="J79" s="37">
        <f ca="1">(IF(B67&gt;1.5,(H67/(B67+2)+J73+MAX(0,J74-J73)+MAX(0,J75-J74)+MAX(0,J76-J75)+MAX(0,J77-J76)+MAX(0,J78-J77)),IF(B67=1,(H67/(B67+3)+J78),IF(B67=0,H67/4+J78))))</f>
        <v>21</v>
      </c>
    </row>
    <row r="80" spans="1:10" x14ac:dyDescent="0.3">
      <c r="A80" s="92" t="s">
        <v>143</v>
      </c>
      <c r="B80" s="92"/>
      <c r="C80" s="171" t="str">
        <f>D58</f>
        <v>Phase 4 - Building No.7 (Type D4) = 2B +  Gr/St + P1 &amp; P2(Pt) Floor</v>
      </c>
      <c r="D80" s="92"/>
      <c r="E80" s="92"/>
      <c r="F80" s="92"/>
      <c r="G80" s="92"/>
      <c r="H80" s="92"/>
      <c r="I80" s="33" t="str">
        <f>(IF(E84&gt;99%,"All work completed. Please provide OC.",IF(E84&gt;89.8%,"Plinth, RCC, Brick, Plaster, Flooring, Painting work Completed. Finishing work is in process.",IF(E84&lt;94%,(IF(C84=0,"Work not yet Started.",IF(D84=25%,"Piling work in process",IF(D84=50%,"Excavation work in process",IF(D84=100%,"Excavation work Completed. ","0")))&amp;(IF(C85=0%,"",IF(C85=J86,"Footing work is process",IF(C85=J87,"Footing work Completed",IF(C85=J88,"1st Basement Completed",IF(C85=J89,"1st &amp; 2nd Basement Completed",IF(C85=J90,"1st to 3rd Basement Completed",IF(C85=J91,"1st to 4th Basement Completed",IF(C85=J92,"Plinth work is process",IF(C85=J93,"Plinth work completed","0")))))))))))&amp;(IF(C86=(D81+F81+H81),", RCC Slab",IF(C86&gt;0,", RCC upto "&amp;C86&amp;" Slab",""))&amp;(IF(C87=H81,", Brickwork",IF(C87&gt;0,", Brickwork upto "&amp;C87&amp;" Floor",""))&amp;(IF(C88=H81,", Internal Plaster",IF(C88&gt;0,", Internal Plaster upto "&amp;C88&amp;" Floor",""))&amp;(IF(C89=H81,", External Plaster",IF(C89&gt;0,", External Plaster upto "&amp;C89&amp;" Floor",""))&amp;(IF(C90=H81,", Flooring",IF(C90&gt;0,", Flooring upto "&amp;C90&amp;" Floor",""))&amp;(IF(C91=H81,", Painting",IF(C91&gt;0,", Painting upto "&amp;C91&amp;" Floor",""))&amp;(IF(C92&gt;0,", Finishing upto "&amp;C92&amp;" Floor","")&amp;(IF(C86&gt;0.5," Completed",""))))))))))))))</f>
        <v>Excavation work in process</v>
      </c>
      <c r="J80" s="14"/>
    </row>
    <row r="81" spans="1:10" x14ac:dyDescent="0.3">
      <c r="A81" s="42" t="s">
        <v>145</v>
      </c>
      <c r="B81" s="42">
        <v>2</v>
      </c>
      <c r="C81" s="42" t="s">
        <v>71</v>
      </c>
      <c r="D81" s="42">
        <v>1</v>
      </c>
      <c r="E81" s="42" t="s">
        <v>70</v>
      </c>
      <c r="F81" s="42">
        <v>0</v>
      </c>
      <c r="G81" s="42" t="s">
        <v>83</v>
      </c>
      <c r="H81" s="42">
        <v>2</v>
      </c>
      <c r="I81" s="13"/>
      <c r="J81" s="15"/>
    </row>
    <row r="82" spans="1:10" x14ac:dyDescent="0.3">
      <c r="A82" s="86" t="s">
        <v>93</v>
      </c>
      <c r="B82" s="86"/>
      <c r="C82" s="92" t="str">
        <f>I80</f>
        <v>Excavation work in process</v>
      </c>
      <c r="D82" s="92"/>
      <c r="E82" s="92"/>
      <c r="F82" s="92"/>
      <c r="G82" s="92"/>
      <c r="H82" s="92"/>
      <c r="I82" s="13" t="s">
        <v>108</v>
      </c>
      <c r="J82" s="15"/>
    </row>
    <row r="83" spans="1:10" ht="15.75" customHeight="1" x14ac:dyDescent="0.3">
      <c r="A83" s="75" t="s">
        <v>48</v>
      </c>
      <c r="B83" s="75"/>
      <c r="C83" s="43" t="s">
        <v>142</v>
      </c>
      <c r="D83" s="43" t="s">
        <v>86</v>
      </c>
      <c r="E83" s="75" t="s">
        <v>88</v>
      </c>
      <c r="F83" s="75"/>
      <c r="G83" s="75" t="s">
        <v>87</v>
      </c>
      <c r="H83" s="75"/>
      <c r="I83" s="30" t="s">
        <v>144</v>
      </c>
      <c r="J83" s="16">
        <f>H81*25%</f>
        <v>0.5</v>
      </c>
    </row>
    <row r="84" spans="1:10" ht="15.75" customHeight="1" x14ac:dyDescent="0.3">
      <c r="A84" s="75" t="s">
        <v>131</v>
      </c>
      <c r="B84" s="75"/>
      <c r="C84" s="44">
        <f>J84</f>
        <v>1</v>
      </c>
      <c r="D84" s="45">
        <f>((100/H81)*C84)/100</f>
        <v>0.5</v>
      </c>
      <c r="E84" s="94">
        <f>(((C85/H81*10)+(40/(D81+F81+H81)*C86)+(7.5/(H81)*C87)+(7.5/(H81)*C88)+(10/H81*C89)+(10/H81*C90)+(5/H81*C91)+(5/H81*C92)+(5/H81*C93))/100)</f>
        <v>0</v>
      </c>
      <c r="F84" s="94"/>
      <c r="G84" s="94">
        <f>((((C84/H81)*20)+((C85/H81)*25)+(30/(H81+F81+D81)*C86)+(5/H81*C87)+(5/H81*C88)+(5/H81*C89)+(5/H81*C90)+(0/H81*C91)+(0/H81*C92)+(5/H81*C93))/100)</f>
        <v>0.1</v>
      </c>
      <c r="H84" s="94"/>
      <c r="I84" s="30" t="s">
        <v>103</v>
      </c>
      <c r="J84" s="32">
        <f>H81*50%</f>
        <v>1</v>
      </c>
    </row>
    <row r="85" spans="1:10" ht="15.75" customHeight="1" x14ac:dyDescent="0.3">
      <c r="A85" s="75" t="s">
        <v>49</v>
      </c>
      <c r="B85" s="75"/>
      <c r="C85" s="46">
        <v>0</v>
      </c>
      <c r="D85" s="45">
        <f>((100/H81)*C85)/100</f>
        <v>0</v>
      </c>
      <c r="E85" s="94"/>
      <c r="F85" s="94"/>
      <c r="G85" s="94"/>
      <c r="H85" s="94"/>
      <c r="I85" s="30" t="s">
        <v>104</v>
      </c>
      <c r="J85" s="32">
        <f>H81</f>
        <v>2</v>
      </c>
    </row>
    <row r="86" spans="1:10" ht="15" customHeight="1" x14ac:dyDescent="0.3">
      <c r="A86" s="75" t="s">
        <v>132</v>
      </c>
      <c r="B86" s="75"/>
      <c r="C86" s="46">
        <v>0</v>
      </c>
      <c r="D86" s="45">
        <f>((100/(D81+F81+H81))*C86)/100</f>
        <v>0</v>
      </c>
      <c r="E86" s="94"/>
      <c r="F86" s="94"/>
      <c r="G86" s="94"/>
      <c r="H86" s="94"/>
      <c r="I86" s="30" t="s">
        <v>105</v>
      </c>
      <c r="J86" s="35">
        <f>(IF(B81&gt;1,(H81/(B81+2)),H81/4))</f>
        <v>0.5</v>
      </c>
    </row>
    <row r="87" spans="1:10" ht="15.75" customHeight="1" x14ac:dyDescent="0.3">
      <c r="A87" s="75" t="s">
        <v>139</v>
      </c>
      <c r="B87" s="75" t="s">
        <v>133</v>
      </c>
      <c r="C87" s="44">
        <v>0</v>
      </c>
      <c r="D87" s="45">
        <f>((100/H81)*C87)/100</f>
        <v>0</v>
      </c>
      <c r="E87" s="94"/>
      <c r="F87" s="94"/>
      <c r="G87" s="94"/>
      <c r="H87" s="94"/>
      <c r="I87" s="30" t="s">
        <v>106</v>
      </c>
      <c r="J87" s="35">
        <f>(IF(B81&gt;1,(H81/(B81+2)+J86),H81/4+J86))</f>
        <v>1</v>
      </c>
    </row>
    <row r="88" spans="1:10" ht="15.75" customHeight="1" x14ac:dyDescent="0.3">
      <c r="A88" s="75" t="s">
        <v>140</v>
      </c>
      <c r="B88" s="75" t="s">
        <v>133</v>
      </c>
      <c r="C88" s="44">
        <v>0</v>
      </c>
      <c r="D88" s="45">
        <f>((100/H81)*C88)/100</f>
        <v>0</v>
      </c>
      <c r="E88" s="94"/>
      <c r="F88" s="94"/>
      <c r="G88" s="94"/>
      <c r="H88" s="94"/>
      <c r="I88" s="30" t="s">
        <v>149</v>
      </c>
      <c r="J88" s="35">
        <f>(IF(B81&gt;1,(H81/(B81+2)+J87),0))</f>
        <v>1.5</v>
      </c>
    </row>
    <row r="89" spans="1:10" ht="15.75" customHeight="1" x14ac:dyDescent="0.3">
      <c r="A89" s="75" t="s">
        <v>138</v>
      </c>
      <c r="B89" s="75" t="s">
        <v>135</v>
      </c>
      <c r="C89" s="44">
        <v>0</v>
      </c>
      <c r="D89" s="45">
        <f>((100/(H81))*C89)/100</f>
        <v>0</v>
      </c>
      <c r="E89" s="94"/>
      <c r="F89" s="94"/>
      <c r="G89" s="94"/>
      <c r="H89" s="94"/>
      <c r="I89" s="30" t="s">
        <v>146</v>
      </c>
      <c r="J89" s="35">
        <f>(IF(B81&gt;2,(H81/(B81+2)+J88),0))</f>
        <v>0</v>
      </c>
    </row>
    <row r="90" spans="1:10" x14ac:dyDescent="0.3">
      <c r="A90" s="75" t="s">
        <v>134</v>
      </c>
      <c r="B90" s="75" t="s">
        <v>134</v>
      </c>
      <c r="C90" s="44">
        <v>0</v>
      </c>
      <c r="D90" s="45">
        <f>((100/H81)*C90)/100</f>
        <v>0</v>
      </c>
      <c r="E90" s="94"/>
      <c r="F90" s="94"/>
      <c r="G90" s="94"/>
      <c r="H90" s="94"/>
      <c r="I90" s="30" t="s">
        <v>147</v>
      </c>
      <c r="J90" s="36">
        <f>(IF(B81&gt;3,(H81/(B81+2)+J89),0))</f>
        <v>0</v>
      </c>
    </row>
    <row r="91" spans="1:10" x14ac:dyDescent="0.3">
      <c r="A91" s="75" t="s">
        <v>141</v>
      </c>
      <c r="B91" s="75"/>
      <c r="C91" s="44">
        <v>0</v>
      </c>
      <c r="D91" s="45">
        <f>((100/H81)*C91)/100</f>
        <v>0</v>
      </c>
      <c r="E91" s="94"/>
      <c r="F91" s="94"/>
      <c r="G91" s="94"/>
      <c r="H91" s="94"/>
      <c r="I91" s="30" t="s">
        <v>148</v>
      </c>
      <c r="J91" s="35">
        <f>(IF(B81&gt;4,(H81/(B81+2)+J90),0))</f>
        <v>0</v>
      </c>
    </row>
    <row r="92" spans="1:10" x14ac:dyDescent="0.3">
      <c r="A92" s="75" t="s">
        <v>136</v>
      </c>
      <c r="B92" s="75" t="s">
        <v>136</v>
      </c>
      <c r="C92" s="44">
        <v>0</v>
      </c>
      <c r="D92" s="45">
        <f>((100/(H81))*C92)/100</f>
        <v>0</v>
      </c>
      <c r="E92" s="94"/>
      <c r="F92" s="94"/>
      <c r="G92" s="94"/>
      <c r="H92" s="94"/>
      <c r="I92" s="30" t="s">
        <v>150</v>
      </c>
      <c r="J92" s="35">
        <f>(IF(B81=1,(H81/(B81+3)+J87),IF(B81=0,(H81/4+J87),IF(B81&gt;1,0))))</f>
        <v>0</v>
      </c>
    </row>
    <row r="93" spans="1:10" ht="16.2" thickBot="1" x14ac:dyDescent="0.35">
      <c r="A93" s="75" t="s">
        <v>137</v>
      </c>
      <c r="B93" s="75"/>
      <c r="C93" s="44">
        <v>0</v>
      </c>
      <c r="D93" s="45">
        <f>((100/(H81))*C93)/100</f>
        <v>0</v>
      </c>
      <c r="E93" s="94"/>
      <c r="F93" s="94"/>
      <c r="G93" s="94"/>
      <c r="H93" s="94"/>
      <c r="I93" s="34" t="s">
        <v>107</v>
      </c>
      <c r="J93" s="37">
        <f>(IF(B81&gt;1.5,(H81/(B81+2)+J87+MAX(0,J88-J87)+MAX(0,J89-J88)+MAX(0,J90-J89)+MAX(0,J91-J90)+MAX(0,J92-J91)),IF(B81=1,(H81/(B81+3)+J92),IF(B81=0,H81/4+J92))))</f>
        <v>2</v>
      </c>
    </row>
    <row r="94" spans="1:10" x14ac:dyDescent="0.3">
      <c r="A94" s="77" t="s">
        <v>50</v>
      </c>
      <c r="B94" s="77"/>
      <c r="C94" s="77"/>
      <c r="D94" s="77"/>
      <c r="E94" s="77"/>
      <c r="F94" s="77"/>
      <c r="G94" s="77"/>
      <c r="H94" s="77"/>
    </row>
    <row r="95" spans="1:10" s="7" customFormat="1" x14ac:dyDescent="0.25">
      <c r="A95" s="68" t="s">
        <v>75</v>
      </c>
      <c r="B95" s="68"/>
      <c r="C95" s="68"/>
      <c r="D95" s="68"/>
      <c r="E95" s="68"/>
      <c r="F95" s="76">
        <v>9000</v>
      </c>
      <c r="G95" s="76"/>
      <c r="H95" s="76"/>
    </row>
    <row r="96" spans="1:10" s="7" customFormat="1" x14ac:dyDescent="0.25">
      <c r="A96" s="68" t="s">
        <v>81</v>
      </c>
      <c r="B96" s="68"/>
      <c r="C96" s="68"/>
      <c r="D96" s="68"/>
      <c r="E96" s="68"/>
      <c r="F96" s="128">
        <v>21000</v>
      </c>
      <c r="G96" s="128"/>
      <c r="H96" s="128"/>
    </row>
    <row r="97" spans="1:8" s="7" customFormat="1" hidden="1" x14ac:dyDescent="0.25">
      <c r="A97" s="68" t="s">
        <v>82</v>
      </c>
      <c r="B97" s="68"/>
      <c r="C97" s="68"/>
      <c r="D97" s="68"/>
      <c r="E97" s="68"/>
      <c r="F97" s="128"/>
      <c r="G97" s="128"/>
      <c r="H97" s="128"/>
    </row>
    <row r="98" spans="1:8" s="7" customFormat="1" hidden="1" x14ac:dyDescent="0.25">
      <c r="A98" s="68" t="s">
        <v>97</v>
      </c>
      <c r="B98" s="68"/>
      <c r="C98" s="68"/>
      <c r="D98" s="68"/>
      <c r="E98" s="68"/>
      <c r="F98" s="128" t="s">
        <v>29</v>
      </c>
      <c r="G98" s="128"/>
      <c r="H98" s="128"/>
    </row>
    <row r="99" spans="1:8" s="7" customFormat="1" hidden="1" x14ac:dyDescent="0.25">
      <c r="A99" s="68" t="s">
        <v>98</v>
      </c>
      <c r="B99" s="68"/>
      <c r="C99" s="68"/>
      <c r="D99" s="68"/>
      <c r="E99" s="68"/>
      <c r="F99" s="128" t="s">
        <v>29</v>
      </c>
      <c r="G99" s="128"/>
      <c r="H99" s="128"/>
    </row>
    <row r="100" spans="1:8" s="7" customFormat="1" hidden="1" x14ac:dyDescent="0.25">
      <c r="A100" s="68" t="s">
        <v>99</v>
      </c>
      <c r="B100" s="68"/>
      <c r="C100" s="68"/>
      <c r="D100" s="68"/>
      <c r="E100" s="68"/>
      <c r="F100" s="128" t="s">
        <v>29</v>
      </c>
      <c r="G100" s="128"/>
      <c r="H100" s="128"/>
    </row>
    <row r="101" spans="1:8" s="7" customFormat="1" hidden="1" x14ac:dyDescent="0.25">
      <c r="A101" s="68" t="s">
        <v>100</v>
      </c>
      <c r="B101" s="68"/>
      <c r="C101" s="68"/>
      <c r="D101" s="68"/>
      <c r="E101" s="68"/>
      <c r="F101" s="128" t="s">
        <v>29</v>
      </c>
      <c r="G101" s="128"/>
      <c r="H101" s="128"/>
    </row>
    <row r="102" spans="1:8" hidden="1" x14ac:dyDescent="0.3">
      <c r="A102" s="68" t="s">
        <v>101</v>
      </c>
      <c r="B102" s="68"/>
      <c r="C102" s="68"/>
      <c r="D102" s="68"/>
      <c r="E102" s="68"/>
      <c r="F102" s="128" t="s">
        <v>29</v>
      </c>
      <c r="G102" s="128"/>
      <c r="H102" s="128"/>
    </row>
    <row r="103" spans="1:8" s="4" customFormat="1" hidden="1" x14ac:dyDescent="0.3">
      <c r="A103" s="68" t="s">
        <v>102</v>
      </c>
      <c r="B103" s="68"/>
      <c r="C103" s="68"/>
      <c r="D103" s="68"/>
      <c r="E103" s="68"/>
      <c r="F103" s="128" t="s">
        <v>29</v>
      </c>
      <c r="G103" s="128"/>
      <c r="H103" s="128"/>
    </row>
    <row r="104" spans="1:8" s="1" customFormat="1" ht="15.75" customHeight="1" x14ac:dyDescent="0.3">
      <c r="A104" s="68" t="s">
        <v>165</v>
      </c>
      <c r="B104" s="68"/>
      <c r="C104" s="68"/>
      <c r="D104" s="68"/>
      <c r="E104" s="68"/>
      <c r="F104" s="128" t="s">
        <v>166</v>
      </c>
      <c r="G104" s="128"/>
      <c r="H104" s="128"/>
    </row>
    <row r="105" spans="1:8" s="1" customFormat="1" ht="15.75" customHeight="1" x14ac:dyDescent="0.3">
      <c r="A105" s="68" t="s">
        <v>51</v>
      </c>
      <c r="B105" s="68"/>
      <c r="C105" s="68"/>
      <c r="D105" s="68"/>
      <c r="E105" s="68"/>
      <c r="F105" s="106" t="s">
        <v>164</v>
      </c>
      <c r="G105" s="106"/>
      <c r="H105" s="106"/>
    </row>
    <row r="106" spans="1:8" s="1" customFormat="1" x14ac:dyDescent="0.3">
      <c r="A106" s="127" t="s">
        <v>52</v>
      </c>
      <c r="B106" s="127"/>
      <c r="C106" s="127"/>
      <c r="D106" s="127"/>
      <c r="E106" s="127"/>
      <c r="F106" s="128">
        <f>F95*0.8</f>
        <v>7200</v>
      </c>
      <c r="G106" s="128"/>
      <c r="H106" s="128"/>
    </row>
    <row r="107" spans="1:8" s="1" customFormat="1" x14ac:dyDescent="0.3">
      <c r="A107" s="122" t="s">
        <v>76</v>
      </c>
      <c r="B107" s="122"/>
      <c r="C107" s="122"/>
      <c r="D107" s="122"/>
      <c r="E107" s="122"/>
      <c r="F107" s="122"/>
      <c r="G107" s="122"/>
      <c r="H107" s="122"/>
    </row>
    <row r="108" spans="1:8" s="50" customFormat="1" x14ac:dyDescent="0.3">
      <c r="A108" s="73" t="s">
        <v>53</v>
      </c>
      <c r="B108" s="73"/>
      <c r="C108" s="116" t="s">
        <v>79</v>
      </c>
      <c r="D108" s="116"/>
      <c r="E108" s="120" t="s">
        <v>54</v>
      </c>
      <c r="F108" s="120"/>
      <c r="G108" s="73" t="s">
        <v>55</v>
      </c>
      <c r="H108" s="73"/>
    </row>
    <row r="109" spans="1:8" s="1" customFormat="1" ht="15.75" customHeight="1" x14ac:dyDescent="0.3">
      <c r="A109" s="204" t="s">
        <v>199</v>
      </c>
      <c r="B109" s="52" t="s">
        <v>200</v>
      </c>
      <c r="C109" s="112">
        <f>COUNT(F128:F136)</f>
        <v>9</v>
      </c>
      <c r="D109" s="179"/>
      <c r="E109" s="78">
        <f>SUM(F128:F136)</f>
        <v>5847.0048000000006</v>
      </c>
      <c r="F109" s="79"/>
      <c r="G109" s="78">
        <f>SUM(H128:H136)</f>
        <v>9355.2076799999977</v>
      </c>
      <c r="H109" s="79"/>
    </row>
    <row r="110" spans="1:8" s="1" customFormat="1" hidden="1" x14ac:dyDescent="0.3">
      <c r="A110" s="205"/>
      <c r="B110" s="52" t="s">
        <v>202</v>
      </c>
      <c r="C110" s="112">
        <f>COUNT(F140:F148)</f>
        <v>9</v>
      </c>
      <c r="D110" s="179"/>
      <c r="E110" s="78">
        <f>SUM(F140:F148)</f>
        <v>3129.8482799999997</v>
      </c>
      <c r="F110" s="79"/>
      <c r="G110" s="78">
        <f>SUM(H140:H148)</f>
        <v>5007.7572479999999</v>
      </c>
      <c r="H110" s="79"/>
    </row>
    <row r="111" spans="1:8" s="1" customFormat="1" hidden="1" x14ac:dyDescent="0.3">
      <c r="A111" s="205"/>
      <c r="B111" s="52" t="s">
        <v>225</v>
      </c>
      <c r="C111" s="112">
        <f>COUNT(F153:F158)</f>
        <v>6</v>
      </c>
      <c r="D111" s="179"/>
      <c r="E111" s="78">
        <f>SUM(F153:F158)</f>
        <v>2388.1010399999996</v>
      </c>
      <c r="F111" s="79"/>
      <c r="G111" s="78">
        <f>SUM(H153:H158)</f>
        <v>3820.9616639999999</v>
      </c>
      <c r="H111" s="79"/>
    </row>
    <row r="112" spans="1:8" s="50" customFormat="1" ht="15.75" customHeight="1" x14ac:dyDescent="0.3">
      <c r="A112" s="122" t="s">
        <v>172</v>
      </c>
      <c r="B112" s="122"/>
      <c r="C112" s="115">
        <f>SUM(C109)</f>
        <v>9</v>
      </c>
      <c r="D112" s="116"/>
      <c r="E112" s="117">
        <f>SUM(E109)</f>
        <v>5847.0048000000006</v>
      </c>
      <c r="F112" s="117"/>
      <c r="G112" s="117">
        <f>SUM(G109)</f>
        <v>9355.2076799999977</v>
      </c>
      <c r="H112" s="117"/>
    </row>
    <row r="113" spans="1:14" s="4" customFormat="1" x14ac:dyDescent="0.3">
      <c r="A113" s="122" t="s">
        <v>69</v>
      </c>
      <c r="B113" s="122"/>
      <c r="C113" s="122"/>
      <c r="D113" s="122"/>
      <c r="E113" s="122"/>
      <c r="F113" s="122"/>
      <c r="G113" s="122"/>
      <c r="H113" s="122"/>
    </row>
    <row r="114" spans="1:14" x14ac:dyDescent="0.3">
      <c r="A114" s="73" t="s">
        <v>53</v>
      </c>
      <c r="B114" s="73"/>
      <c r="C114" s="116" t="s">
        <v>79</v>
      </c>
      <c r="D114" s="116"/>
      <c r="E114" s="120" t="s">
        <v>54</v>
      </c>
      <c r="F114" s="120"/>
      <c r="G114" s="73" t="s">
        <v>55</v>
      </c>
      <c r="H114" s="73"/>
    </row>
    <row r="115" spans="1:14" x14ac:dyDescent="0.3">
      <c r="A115" s="204" t="s">
        <v>199</v>
      </c>
      <c r="B115" s="52" t="s">
        <v>200</v>
      </c>
      <c r="C115" s="112">
        <f>COUNT(F169:F172)+COUNT(F174:F181)*17+COUNT(F184:F190)*4</f>
        <v>168</v>
      </c>
      <c r="D115" s="112"/>
      <c r="E115" s="78">
        <f>SUM(F169:F172)+SUM(F174:F181)*17+SUM(F184:F190)*4</f>
        <v>81080.018369999991</v>
      </c>
      <c r="F115" s="78"/>
      <c r="G115" s="78">
        <f>SUM(H169:H172)+SUM(H174:H181)*17+SUM(H184:H190)*4</f>
        <v>125674.02847349999</v>
      </c>
      <c r="H115" s="78"/>
    </row>
    <row r="116" spans="1:14" s="2" customFormat="1" hidden="1" x14ac:dyDescent="0.3">
      <c r="A116" s="205"/>
      <c r="B116" s="52" t="s">
        <v>202</v>
      </c>
      <c r="C116" s="112">
        <f>COUNT(F196:F199)+COUNT(F203:F210)*33+COUNT(F212,F214:F219)*7</f>
        <v>317</v>
      </c>
      <c r="D116" s="112"/>
      <c r="E116" s="78">
        <f>SUM(F196:F199)+SUM(F203:F210)*33+SUM(F212,F214:F219)*7</f>
        <v>166348.98189000002</v>
      </c>
      <c r="F116" s="78"/>
      <c r="G116" s="78">
        <f>SUM(H196:H199)+SUM(H203:H210)*33+SUM(H212,H214:H219)*7</f>
        <v>258142.60993949999</v>
      </c>
      <c r="H116" s="78"/>
    </row>
    <row r="117" spans="1:14" s="2" customFormat="1" hidden="1" x14ac:dyDescent="0.3">
      <c r="A117" s="205"/>
      <c r="B117" s="52" t="s">
        <v>225</v>
      </c>
      <c r="C117" s="112">
        <f>COUNT(F234:F238)+COUNT(F241:F248)*33+COUNT(F250:F256)*7</f>
        <v>318</v>
      </c>
      <c r="D117" s="112"/>
      <c r="E117" s="78">
        <f>SUM(F234:F238)+SUM(F241:F248)*33+SUM(F250:F256)*7</f>
        <v>190492.17641999997</v>
      </c>
      <c r="F117" s="78"/>
      <c r="G117" s="78">
        <f>SUM(H234:H238)+SUM(H241:H248)*33+SUM(H250:H256)*7</f>
        <v>295627.93451099994</v>
      </c>
      <c r="H117" s="78"/>
    </row>
    <row r="118" spans="1:14" s="2" customFormat="1" x14ac:dyDescent="0.3">
      <c r="A118" s="206"/>
      <c r="B118" s="52" t="s">
        <v>228</v>
      </c>
      <c r="C118" s="112">
        <f>COUNT(F274:F277)</f>
        <v>4</v>
      </c>
      <c r="D118" s="112"/>
      <c r="E118" s="78">
        <f>SUM(F274:F277)</f>
        <v>2318.08122</v>
      </c>
      <c r="F118" s="78"/>
      <c r="G118" s="78">
        <f>SUM(H274:H277)</f>
        <v>3593.0258910000002</v>
      </c>
      <c r="H118" s="78"/>
      <c r="I118" s="48">
        <v>10.763999999999999</v>
      </c>
    </row>
    <row r="119" spans="1:14" s="2" customFormat="1" x14ac:dyDescent="0.3">
      <c r="A119" s="122" t="s">
        <v>172</v>
      </c>
      <c r="B119" s="122"/>
      <c r="C119" s="115">
        <f>SUM(C115,C118)</f>
        <v>172</v>
      </c>
      <c r="D119" s="116"/>
      <c r="E119" s="117">
        <f>SUM(E115,E118)</f>
        <v>83398.099589999998</v>
      </c>
      <c r="F119" s="117"/>
      <c r="G119" s="117">
        <f>SUM(G115,G118)</f>
        <v>129267.05436449999</v>
      </c>
      <c r="H119" s="117"/>
    </row>
    <row r="120" spans="1:14" s="2" customFormat="1" x14ac:dyDescent="0.3">
      <c r="A120" s="122" t="s">
        <v>233</v>
      </c>
      <c r="B120" s="122"/>
      <c r="C120" s="115">
        <f>C112+C119</f>
        <v>181</v>
      </c>
      <c r="D120" s="116"/>
      <c r="E120" s="115">
        <f t="shared" ref="E120" si="0">E112+E119</f>
        <v>89245.104389999993</v>
      </c>
      <c r="F120" s="116"/>
      <c r="G120" s="115">
        <f t="shared" ref="G120" si="1">G112+G119</f>
        <v>138622.26204449998</v>
      </c>
      <c r="H120" s="116"/>
    </row>
    <row r="121" spans="1:14" s="2" customFormat="1" x14ac:dyDescent="0.3">
      <c r="A121" s="113" t="s">
        <v>56</v>
      </c>
      <c r="B121" s="113"/>
      <c r="C121" s="113"/>
      <c r="D121" s="113"/>
      <c r="E121" s="113"/>
      <c r="F121" s="113"/>
      <c r="G121" s="113"/>
      <c r="H121" s="113"/>
      <c r="I121" s="56">
        <f>(19.39*5.57+17.68*1.09+23.95*2.36+23.47*3.13+3.89)</f>
        <v>261.14659999999998</v>
      </c>
      <c r="J121" s="2" t="s">
        <v>224</v>
      </c>
    </row>
    <row r="122" spans="1:14" s="4" customFormat="1" x14ac:dyDescent="0.3">
      <c r="A122" s="121" t="s">
        <v>211</v>
      </c>
      <c r="B122" s="121"/>
      <c r="C122" s="121"/>
      <c r="D122" s="121"/>
      <c r="E122" s="121"/>
      <c r="F122" s="121"/>
      <c r="G122" s="121"/>
      <c r="H122" s="121"/>
      <c r="I122" s="57">
        <f>(3.58*3.45+4.89*2.98)</f>
        <v>26.923200000000001</v>
      </c>
    </row>
    <row r="123" spans="1:14" s="2" customFormat="1" ht="46.8" x14ac:dyDescent="0.3">
      <c r="A123" s="133" t="s">
        <v>122</v>
      </c>
      <c r="B123" s="133" t="s">
        <v>212</v>
      </c>
      <c r="C123" s="133" t="s">
        <v>57</v>
      </c>
      <c r="D123" s="133" t="s">
        <v>213</v>
      </c>
      <c r="E123" s="135" t="s">
        <v>214</v>
      </c>
      <c r="F123" s="133" t="s">
        <v>58</v>
      </c>
      <c r="G123" s="135" t="s">
        <v>59</v>
      </c>
      <c r="H123" s="53" t="s">
        <v>152</v>
      </c>
      <c r="I123" s="57">
        <f>3.05*6.43</f>
        <v>19.611499999999999</v>
      </c>
      <c r="J123" s="29"/>
    </row>
    <row r="124" spans="1:14" s="2" customFormat="1" ht="15.75" customHeight="1" x14ac:dyDescent="0.3">
      <c r="A124" s="134"/>
      <c r="B124" s="134"/>
      <c r="C124" s="134"/>
      <c r="D124" s="134"/>
      <c r="E124" s="136"/>
      <c r="F124" s="134"/>
      <c r="G124" s="136"/>
      <c r="H124" s="59">
        <v>0.6</v>
      </c>
      <c r="I124" s="57">
        <f>2.9*6.43</f>
        <v>18.646999999999998</v>
      </c>
      <c r="L124" s="178"/>
      <c r="M124" s="178"/>
      <c r="N124" s="29"/>
    </row>
    <row r="125" spans="1:14" s="2" customFormat="1" ht="15.75" customHeight="1" x14ac:dyDescent="0.3">
      <c r="A125" s="180" t="s">
        <v>199</v>
      </c>
      <c r="B125" s="181"/>
      <c r="C125" s="181"/>
      <c r="D125" s="181"/>
      <c r="E125" s="181"/>
      <c r="F125" s="181"/>
      <c r="G125" s="181"/>
      <c r="H125" s="182"/>
      <c r="I125" s="57">
        <f>5.03*5.58+3.35*2.63</f>
        <v>36.877900000000004</v>
      </c>
      <c r="L125" s="178"/>
      <c r="M125" s="178"/>
      <c r="N125" s="29"/>
    </row>
    <row r="126" spans="1:14" s="2" customFormat="1" ht="15.75" customHeight="1" x14ac:dyDescent="0.3">
      <c r="A126" s="113" t="s">
        <v>200</v>
      </c>
      <c r="B126" s="113"/>
      <c r="C126" s="113"/>
      <c r="D126" s="113"/>
      <c r="E126" s="113"/>
      <c r="F126" s="113"/>
      <c r="G126" s="113"/>
      <c r="H126" s="113"/>
      <c r="I126" s="57">
        <f>5.03*5.58+3.28*2.18</f>
        <v>35.217800000000004</v>
      </c>
      <c r="K126" s="178"/>
      <c r="L126" s="178"/>
      <c r="M126" s="29"/>
    </row>
    <row r="127" spans="1:14" s="2" customFormat="1" ht="33" customHeight="1" x14ac:dyDescent="0.3">
      <c r="A127" s="137" t="s">
        <v>201</v>
      </c>
      <c r="B127" s="138"/>
      <c r="C127" s="138"/>
      <c r="D127" s="138"/>
      <c r="E127" s="138"/>
      <c r="F127" s="138"/>
      <c r="G127" s="138"/>
      <c r="H127" s="139"/>
      <c r="I127" s="57">
        <f>2.9*7.76</f>
        <v>22.503999999999998</v>
      </c>
      <c r="L127" s="178"/>
      <c r="M127" s="178"/>
      <c r="N127" s="29"/>
    </row>
    <row r="128" spans="1:14" s="2" customFormat="1" ht="15.75" customHeight="1" x14ac:dyDescent="0.3">
      <c r="A128" s="71">
        <v>1</v>
      </c>
      <c r="B128" s="72"/>
      <c r="C128" s="51" t="s">
        <v>168</v>
      </c>
      <c r="D128" s="48">
        <f>(323.69)*10.764</f>
        <v>3484.1991599999997</v>
      </c>
      <c r="E128" s="51">
        <v>0</v>
      </c>
      <c r="F128" s="51">
        <f>D128+(IF(E128&lt;201,E128,IF(E128&lt;301,E128/2,E128/3)))</f>
        <v>3484.1991599999997</v>
      </c>
      <c r="G128" s="51">
        <v>0</v>
      </c>
      <c r="H128" s="51">
        <f t="shared" ref="H128:H136" si="2">(F128+(IF(G128&lt;101,G128,IF(G128&lt;201,G128/2,IF(G128&lt;=301,G128/3,G128/4)))))*(($H$124)+1)</f>
        <v>5574.718656</v>
      </c>
      <c r="I128" s="57">
        <f>2.9*7.76</f>
        <v>22.503999999999998</v>
      </c>
      <c r="L128" s="178"/>
      <c r="M128" s="178"/>
      <c r="N128" s="29"/>
    </row>
    <row r="129" spans="1:14" s="2" customFormat="1" ht="15.75" customHeight="1" x14ac:dyDescent="0.3">
      <c r="A129" s="71">
        <f>A128+1</f>
        <v>2</v>
      </c>
      <c r="B129" s="72"/>
      <c r="C129" s="51" t="s">
        <v>168</v>
      </c>
      <c r="D129" s="48">
        <f>(27.44)*10.764</f>
        <v>295.36415999999997</v>
      </c>
      <c r="E129" s="51">
        <v>0</v>
      </c>
      <c r="F129" s="51">
        <f t="shared" ref="F129:F131" si="3">D129+(IF(E129&lt;201,E129,IF(E129&lt;301,E129/2,E129/3)))</f>
        <v>295.36415999999997</v>
      </c>
      <c r="G129" s="51">
        <v>0</v>
      </c>
      <c r="H129" s="51">
        <f t="shared" si="2"/>
        <v>472.58265599999999</v>
      </c>
      <c r="I129" s="57">
        <f>5.23*6.43+2.89*1.24</f>
        <v>37.212499999999999</v>
      </c>
      <c r="L129" s="178"/>
      <c r="M129" s="178"/>
      <c r="N129" s="29"/>
    </row>
    <row r="130" spans="1:14" s="2" customFormat="1" ht="15.75" customHeight="1" x14ac:dyDescent="0.3">
      <c r="A130" s="71">
        <f>A129+1</f>
        <v>3</v>
      </c>
      <c r="B130" s="72"/>
      <c r="C130" s="51" t="s">
        <v>168</v>
      </c>
      <c r="D130" s="48">
        <f>(19.46)*10.764</f>
        <v>209.46744000000001</v>
      </c>
      <c r="E130" s="51">
        <v>0</v>
      </c>
      <c r="F130" s="51">
        <f t="shared" si="3"/>
        <v>209.46744000000001</v>
      </c>
      <c r="G130" s="51">
        <v>0</v>
      </c>
      <c r="H130" s="51">
        <f t="shared" si="2"/>
        <v>335.14790400000004</v>
      </c>
      <c r="L130" s="178"/>
      <c r="M130" s="178"/>
      <c r="N130" s="29"/>
    </row>
    <row r="131" spans="1:14" s="2" customFormat="1" ht="15.75" customHeight="1" x14ac:dyDescent="0.3">
      <c r="A131" s="71">
        <f>A130+1</f>
        <v>4</v>
      </c>
      <c r="B131" s="72"/>
      <c r="C131" s="51" t="s">
        <v>168</v>
      </c>
      <c r="D131" s="48">
        <f>(18.65)*10.764</f>
        <v>200.74859999999998</v>
      </c>
      <c r="E131" s="51">
        <v>0</v>
      </c>
      <c r="F131" s="51">
        <f t="shared" si="3"/>
        <v>200.74859999999998</v>
      </c>
      <c r="G131" s="51">
        <v>0</v>
      </c>
      <c r="H131" s="51">
        <f t="shared" si="2"/>
        <v>321.19776000000002</v>
      </c>
      <c r="I131" s="55">
        <f>3*8.78+4.07*2.2+2.38*1.11+2.99*1.25</f>
        <v>41.673299999999998</v>
      </c>
      <c r="J131" s="2" t="s">
        <v>223</v>
      </c>
      <c r="L131" s="178"/>
      <c r="M131" s="178"/>
      <c r="N131" s="29"/>
    </row>
    <row r="132" spans="1:14" s="2" customFormat="1" x14ac:dyDescent="0.3">
      <c r="A132" s="71">
        <v>5</v>
      </c>
      <c r="B132" s="72"/>
      <c r="C132" s="51" t="s">
        <v>168</v>
      </c>
      <c r="D132" s="48">
        <f>(36.32)*10.764</f>
        <v>390.94847999999996</v>
      </c>
      <c r="E132" s="51">
        <v>0</v>
      </c>
      <c r="F132" s="51">
        <f>D132+(IF(E132&lt;201,E132,IF(E132&lt;301,E132/2,E132/3)))</f>
        <v>390.94847999999996</v>
      </c>
      <c r="G132" s="51">
        <v>0</v>
      </c>
      <c r="H132" s="51">
        <f t="shared" si="2"/>
        <v>625.51756799999998</v>
      </c>
      <c r="I132" s="55">
        <f>2.05*6.43</f>
        <v>13.181499999999998</v>
      </c>
      <c r="L132" s="178"/>
      <c r="M132" s="178"/>
      <c r="N132" s="29"/>
    </row>
    <row r="133" spans="1:14" s="2" customFormat="1" ht="15.75" customHeight="1" x14ac:dyDescent="0.3">
      <c r="A133" s="71">
        <f>A132+1</f>
        <v>6</v>
      </c>
      <c r="B133" s="72"/>
      <c r="C133" s="51" t="s">
        <v>168</v>
      </c>
      <c r="D133" s="48">
        <f>(34.88)*10.764</f>
        <v>375.44832000000002</v>
      </c>
      <c r="E133" s="51">
        <v>0</v>
      </c>
      <c r="F133" s="51">
        <f t="shared" ref="F133:F135" si="4">D133+(IF(E133&lt;201,E133,IF(E133&lt;301,E133/2,E133/3)))</f>
        <v>375.44832000000002</v>
      </c>
      <c r="G133" s="51">
        <v>0</v>
      </c>
      <c r="H133" s="51">
        <f t="shared" si="2"/>
        <v>600.71731200000011</v>
      </c>
      <c r="I133" s="55">
        <f>2.85*6.43</f>
        <v>18.325499999999998</v>
      </c>
      <c r="N133" s="29"/>
    </row>
    <row r="134" spans="1:14" s="2" customFormat="1" ht="15.75" customHeight="1" x14ac:dyDescent="0.3">
      <c r="A134" s="71">
        <f>A133+1</f>
        <v>7</v>
      </c>
      <c r="B134" s="72"/>
      <c r="C134" s="51" t="s">
        <v>168</v>
      </c>
      <c r="D134" s="48">
        <f>(22.49)*10.764</f>
        <v>242.08235999999997</v>
      </c>
      <c r="E134" s="51">
        <v>0</v>
      </c>
      <c r="F134" s="51">
        <f t="shared" si="4"/>
        <v>242.08235999999997</v>
      </c>
      <c r="G134" s="51">
        <v>0</v>
      </c>
      <c r="H134" s="51">
        <f t="shared" si="2"/>
        <v>387.33177599999999</v>
      </c>
      <c r="I134" s="55">
        <f>2.85*6.43</f>
        <v>18.325499999999998</v>
      </c>
      <c r="N134" s="29"/>
    </row>
    <row r="135" spans="1:14" s="2" customFormat="1" ht="15.75" customHeight="1" x14ac:dyDescent="0.3">
      <c r="A135" s="71">
        <f>A134+1</f>
        <v>8</v>
      </c>
      <c r="B135" s="72"/>
      <c r="C135" s="51" t="s">
        <v>168</v>
      </c>
      <c r="D135" s="48">
        <f>(22.49)*10.764</f>
        <v>242.08235999999997</v>
      </c>
      <c r="E135" s="51">
        <v>0</v>
      </c>
      <c r="F135" s="51">
        <f t="shared" si="4"/>
        <v>242.08235999999997</v>
      </c>
      <c r="G135" s="51">
        <v>0</v>
      </c>
      <c r="H135" s="51">
        <f t="shared" si="2"/>
        <v>387.33177599999999</v>
      </c>
      <c r="I135" s="55">
        <f>5.37*6.43+4.11*3.15</f>
        <v>47.4756</v>
      </c>
      <c r="N135" s="29"/>
    </row>
    <row r="136" spans="1:14" s="2" customFormat="1" ht="15.75" customHeight="1" x14ac:dyDescent="0.3">
      <c r="A136" s="71">
        <v>9</v>
      </c>
      <c r="B136" s="72"/>
      <c r="C136" s="51" t="s">
        <v>168</v>
      </c>
      <c r="D136" s="48">
        <f>(37.78)*10.764</f>
        <v>406.66391999999996</v>
      </c>
      <c r="E136" s="51">
        <v>0</v>
      </c>
      <c r="F136" s="51">
        <f>D136+(IF(E136&lt;201,E136,IF(E136&lt;301,E136/2,E136/3)))</f>
        <v>406.66391999999996</v>
      </c>
      <c r="G136" s="51">
        <v>0</v>
      </c>
      <c r="H136" s="51">
        <f t="shared" si="2"/>
        <v>650.66227200000003</v>
      </c>
      <c r="I136" s="55">
        <f>6.69*6.39+5.95*3.19</f>
        <v>61.729599999999998</v>
      </c>
      <c r="N136" s="29"/>
    </row>
    <row r="137" spans="1:14" s="2" customFormat="1" ht="15.75" hidden="1" customHeight="1" x14ac:dyDescent="0.3">
      <c r="A137" s="113" t="s">
        <v>202</v>
      </c>
      <c r="B137" s="113"/>
      <c r="C137" s="113"/>
      <c r="D137" s="113"/>
      <c r="E137" s="113"/>
      <c r="F137" s="113"/>
      <c r="G137" s="113"/>
      <c r="H137" s="113"/>
      <c r="I137" s="55">
        <f>3.05*6.39</f>
        <v>19.4895</v>
      </c>
      <c r="N137" s="29"/>
    </row>
    <row r="138" spans="1:14" s="2" customFormat="1" ht="15.75" hidden="1" customHeight="1" x14ac:dyDescent="0.3">
      <c r="A138" s="137" t="s">
        <v>203</v>
      </c>
      <c r="B138" s="138"/>
      <c r="C138" s="138"/>
      <c r="D138" s="138"/>
      <c r="E138" s="138"/>
      <c r="F138" s="138"/>
      <c r="G138" s="138"/>
      <c r="H138" s="139"/>
      <c r="I138" s="55">
        <f>3*6.39+1.58*2.33</f>
        <v>22.851399999999998</v>
      </c>
      <c r="N138" s="29"/>
    </row>
    <row r="139" spans="1:14" s="2" customFormat="1" ht="32.25" hidden="1" customHeight="1" x14ac:dyDescent="0.3">
      <c r="A139" s="137" t="s">
        <v>204</v>
      </c>
      <c r="B139" s="138"/>
      <c r="C139" s="138"/>
      <c r="D139" s="138"/>
      <c r="E139" s="138"/>
      <c r="F139" s="138"/>
      <c r="G139" s="138"/>
      <c r="H139" s="139"/>
      <c r="I139" s="55">
        <f>5.36*6.87+5.36*1.85</f>
        <v>46.739199999999997</v>
      </c>
      <c r="N139" s="29"/>
    </row>
    <row r="140" spans="1:14" s="4" customFormat="1" hidden="1" x14ac:dyDescent="0.3">
      <c r="A140" s="71">
        <v>10</v>
      </c>
      <c r="B140" s="72"/>
      <c r="C140" s="51" t="s">
        <v>168</v>
      </c>
      <c r="D140" s="48">
        <f>(41.68)*10.764</f>
        <v>448.64351999999997</v>
      </c>
      <c r="E140" s="51">
        <v>0</v>
      </c>
      <c r="F140" s="51">
        <f t="shared" ref="F140:F142" si="5">D140+(IF(E140&lt;201,E140,IF(E140&lt;301,E140/2,E140/3)))</f>
        <v>448.64351999999997</v>
      </c>
      <c r="G140" s="51">
        <v>0</v>
      </c>
      <c r="H140" s="51">
        <f t="shared" ref="H140:H148" si="6">(F140+(IF(G140&lt;101,G140,IF(G140&lt;201,G140/2,IF(G140&lt;=301,G140/3,G140/4)))))*(($H$124)+1)</f>
        <v>717.82963199999995</v>
      </c>
      <c r="I140" s="29"/>
    </row>
    <row r="141" spans="1:14" s="2" customFormat="1" hidden="1" x14ac:dyDescent="0.3">
      <c r="A141" s="71">
        <f t="shared" ref="A141:A148" si="7">A140+1</f>
        <v>11</v>
      </c>
      <c r="B141" s="72"/>
      <c r="C141" s="51" t="s">
        <v>168</v>
      </c>
      <c r="D141" s="48">
        <f>(13.18)*10.764</f>
        <v>141.86951999999999</v>
      </c>
      <c r="E141" s="51">
        <v>0</v>
      </c>
      <c r="F141" s="51">
        <f t="shared" si="5"/>
        <v>141.86951999999999</v>
      </c>
      <c r="G141" s="51">
        <v>0</v>
      </c>
      <c r="H141" s="51">
        <f t="shared" si="6"/>
        <v>226.991232</v>
      </c>
      <c r="J141" s="29"/>
    </row>
    <row r="142" spans="1:14" s="2" customFormat="1" hidden="1" x14ac:dyDescent="0.3">
      <c r="A142" s="71">
        <f t="shared" si="7"/>
        <v>12</v>
      </c>
      <c r="B142" s="72"/>
      <c r="C142" s="51" t="s">
        <v>168</v>
      </c>
      <c r="D142" s="48">
        <f>(19.29)*10.764</f>
        <v>207.63755999999998</v>
      </c>
      <c r="E142" s="51">
        <v>0</v>
      </c>
      <c r="F142" s="51">
        <f t="shared" si="5"/>
        <v>207.63755999999998</v>
      </c>
      <c r="G142" s="51">
        <v>0</v>
      </c>
      <c r="H142" s="51">
        <f t="shared" si="6"/>
        <v>332.22009600000001</v>
      </c>
      <c r="J142" s="29"/>
    </row>
    <row r="143" spans="1:14" s="2" customFormat="1" ht="15.75" hidden="1" customHeight="1" x14ac:dyDescent="0.3">
      <c r="A143" s="71">
        <f t="shared" si="7"/>
        <v>13</v>
      </c>
      <c r="B143" s="72"/>
      <c r="C143" s="51" t="s">
        <v>168</v>
      </c>
      <c r="D143" s="48">
        <f>(18.33)*10.764</f>
        <v>197.30411999999998</v>
      </c>
      <c r="E143" s="51">
        <v>0</v>
      </c>
      <c r="F143" s="51">
        <f>D143+(IF(E143&lt;201,E143,IF(E143&lt;301,E143/2,E143/3)))</f>
        <v>197.30411999999998</v>
      </c>
      <c r="G143" s="51">
        <v>0</v>
      </c>
      <c r="H143" s="51">
        <f t="shared" si="6"/>
        <v>315.68659200000002</v>
      </c>
      <c r="L143" s="178"/>
      <c r="M143" s="178"/>
      <c r="N143" s="29"/>
    </row>
    <row r="144" spans="1:14" s="2" customFormat="1" hidden="1" x14ac:dyDescent="0.3">
      <c r="A144" s="71">
        <f t="shared" si="7"/>
        <v>14</v>
      </c>
      <c r="B144" s="72"/>
      <c r="C144" s="51" t="s">
        <v>168</v>
      </c>
      <c r="D144" s="48">
        <f>(47.48)*10.764</f>
        <v>511.07471999999996</v>
      </c>
      <c r="E144" s="51">
        <v>0</v>
      </c>
      <c r="F144" s="51">
        <f t="shared" ref="F144:F146" si="8">D144+(IF(E144&lt;201,E144,IF(E144&lt;301,E144/2,E144/3)))</f>
        <v>511.07471999999996</v>
      </c>
      <c r="G144" s="51">
        <v>0</v>
      </c>
      <c r="H144" s="51">
        <f t="shared" si="6"/>
        <v>817.71955200000002</v>
      </c>
      <c r="L144" s="178"/>
      <c r="M144" s="178"/>
      <c r="N144" s="29"/>
    </row>
    <row r="145" spans="1:16" s="2" customFormat="1" hidden="1" x14ac:dyDescent="0.3">
      <c r="A145" s="71">
        <f t="shared" si="7"/>
        <v>15</v>
      </c>
      <c r="B145" s="72"/>
      <c r="C145" s="51" t="s">
        <v>168</v>
      </c>
      <c r="D145" s="48">
        <f>(61.74)*10.764</f>
        <v>664.56935999999996</v>
      </c>
      <c r="E145" s="51">
        <v>0</v>
      </c>
      <c r="F145" s="51">
        <f t="shared" si="8"/>
        <v>664.56935999999996</v>
      </c>
      <c r="G145" s="51">
        <v>0</v>
      </c>
      <c r="H145" s="51">
        <f t="shared" si="6"/>
        <v>1063.310976</v>
      </c>
      <c r="N145" s="29"/>
    </row>
    <row r="146" spans="1:16" s="2" customFormat="1" ht="15.75" hidden="1" customHeight="1" x14ac:dyDescent="0.3">
      <c r="A146" s="71">
        <f t="shared" si="7"/>
        <v>16</v>
      </c>
      <c r="B146" s="72"/>
      <c r="C146" s="51" t="s">
        <v>168</v>
      </c>
      <c r="D146" s="48">
        <f>(19.49)*10.764</f>
        <v>209.79035999999996</v>
      </c>
      <c r="E146" s="51">
        <v>0</v>
      </c>
      <c r="F146" s="51">
        <f t="shared" si="8"/>
        <v>209.79035999999996</v>
      </c>
      <c r="G146" s="51">
        <v>0</v>
      </c>
      <c r="H146" s="51">
        <f t="shared" si="6"/>
        <v>335.66457599999995</v>
      </c>
      <c r="I146" s="2">
        <f>6.71*6.39+5.29*2.23+3.3*3.42</f>
        <v>65.959599999999995</v>
      </c>
      <c r="K146" s="178"/>
      <c r="L146" s="178"/>
      <c r="M146" s="29"/>
    </row>
    <row r="147" spans="1:16" s="2" customFormat="1" ht="15.75" hidden="1" customHeight="1" x14ac:dyDescent="0.3">
      <c r="A147" s="71">
        <f t="shared" si="7"/>
        <v>17</v>
      </c>
      <c r="B147" s="72"/>
      <c r="C147" s="51" t="s">
        <v>168</v>
      </c>
      <c r="D147" s="48">
        <f>(22.84)*10.764</f>
        <v>245.84975999999997</v>
      </c>
      <c r="E147" s="51">
        <v>0</v>
      </c>
      <c r="F147" s="51">
        <f t="shared" ref="F147:F148" si="9">D147+(IF(E147&lt;201,E147,IF(E147&lt;301,E147/2,E147/3)))</f>
        <v>245.84975999999997</v>
      </c>
      <c r="G147" s="51">
        <v>0</v>
      </c>
      <c r="H147" s="51">
        <f t="shared" si="6"/>
        <v>393.35961599999996</v>
      </c>
      <c r="L147" s="178"/>
      <c r="M147" s="178"/>
      <c r="N147" s="29"/>
    </row>
    <row r="148" spans="1:16" s="2" customFormat="1" ht="15.75" hidden="1" customHeight="1" x14ac:dyDescent="0.3">
      <c r="A148" s="71">
        <f t="shared" si="7"/>
        <v>18</v>
      </c>
      <c r="B148" s="72"/>
      <c r="C148" s="51" t="s">
        <v>168</v>
      </c>
      <c r="D148" s="48">
        <f>(46.74)*10.764</f>
        <v>503.10935999999998</v>
      </c>
      <c r="E148" s="51">
        <v>0</v>
      </c>
      <c r="F148" s="51">
        <f t="shared" si="9"/>
        <v>503.10935999999998</v>
      </c>
      <c r="G148" s="51">
        <v>0</v>
      </c>
      <c r="H148" s="51">
        <f t="shared" si="6"/>
        <v>804.97497599999997</v>
      </c>
      <c r="K148" s="178"/>
      <c r="L148" s="178"/>
      <c r="M148" s="29"/>
    </row>
    <row r="149" spans="1:16" s="2" customFormat="1" hidden="1" x14ac:dyDescent="0.3">
      <c r="A149" s="113" t="s">
        <v>225</v>
      </c>
      <c r="B149" s="113"/>
      <c r="C149" s="113"/>
      <c r="D149" s="113"/>
      <c r="E149" s="113"/>
      <c r="F149" s="113"/>
      <c r="G149" s="113"/>
      <c r="H149" s="113"/>
      <c r="L149" s="178"/>
      <c r="M149" s="178"/>
      <c r="N149" s="29"/>
    </row>
    <row r="150" spans="1:16" s="2" customFormat="1" hidden="1" x14ac:dyDescent="0.3">
      <c r="A150" s="137" t="s">
        <v>221</v>
      </c>
      <c r="B150" s="138"/>
      <c r="C150" s="138"/>
      <c r="D150" s="138"/>
      <c r="E150" s="138"/>
      <c r="F150" s="138"/>
      <c r="G150" s="138"/>
      <c r="H150" s="139"/>
      <c r="L150" s="178"/>
      <c r="M150" s="178"/>
      <c r="N150" s="29"/>
    </row>
    <row r="151" spans="1:16" s="2" customFormat="1" ht="15.75" hidden="1" customHeight="1" x14ac:dyDescent="0.3">
      <c r="A151" s="137" t="s">
        <v>222</v>
      </c>
      <c r="B151" s="138"/>
      <c r="C151" s="138"/>
      <c r="D151" s="138"/>
      <c r="E151" s="138"/>
      <c r="F151" s="138"/>
      <c r="G151" s="138"/>
      <c r="H151" s="139"/>
      <c r="L151" s="178"/>
      <c r="M151" s="178"/>
      <c r="N151" s="29"/>
    </row>
    <row r="152" spans="1:16" s="2" customFormat="1" ht="15.75" hidden="1" customHeight="1" x14ac:dyDescent="0.3">
      <c r="A152" s="137" t="s">
        <v>226</v>
      </c>
      <c r="B152" s="138"/>
      <c r="C152" s="138"/>
      <c r="D152" s="138"/>
      <c r="E152" s="138"/>
      <c r="F152" s="138"/>
      <c r="G152" s="138"/>
      <c r="H152" s="139"/>
      <c r="L152" s="178"/>
      <c r="M152" s="178"/>
      <c r="N152" s="29"/>
    </row>
    <row r="153" spans="1:16" s="2" customFormat="1" hidden="1" x14ac:dyDescent="0.3">
      <c r="A153" s="71">
        <v>19</v>
      </c>
      <c r="B153" s="72"/>
      <c r="C153" s="51" t="s">
        <v>168</v>
      </c>
      <c r="D153" s="48">
        <f>(66.48)*10.764</f>
        <v>715.59072000000003</v>
      </c>
      <c r="E153" s="51">
        <v>0</v>
      </c>
      <c r="F153" s="51">
        <f>D153+(IF(E153&lt;201,E153,IF(E153&lt;301,E153/2,E153/3)))</f>
        <v>715.59072000000003</v>
      </c>
      <c r="G153" s="51">
        <v>0</v>
      </c>
      <c r="H153" s="51">
        <f t="shared" ref="H153:H158" si="10">(F153+(IF(G153&lt;101,G153,IF(G153&lt;201,G153/2,IF(G153&lt;=301,G153/3,G153/4)))))*(($H$124)+1)</f>
        <v>1144.945152</v>
      </c>
      <c r="I153" s="29"/>
    </row>
    <row r="154" spans="1:16" s="2" customFormat="1" hidden="1" x14ac:dyDescent="0.3">
      <c r="A154" s="71">
        <f>A153+1</f>
        <v>20</v>
      </c>
      <c r="B154" s="72"/>
      <c r="C154" s="51" t="s">
        <v>168</v>
      </c>
      <c r="D154" s="48">
        <f>(20.45)*10.764</f>
        <v>220.12379999999999</v>
      </c>
      <c r="E154" s="51">
        <v>0</v>
      </c>
      <c r="F154" s="51">
        <f t="shared" ref="F154:F156" si="11">D154+(IF(E154&lt;201,E154,IF(E154&lt;301,E154/2,E154/3)))</f>
        <v>220.12379999999999</v>
      </c>
      <c r="G154" s="51">
        <v>0</v>
      </c>
      <c r="H154" s="51">
        <f t="shared" si="10"/>
        <v>352.19808</v>
      </c>
      <c r="I154" s="29"/>
      <c r="N154" s="2" t="e">
        <f t="shared" ref="N154:N155" ca="1" si="12">O154&amp;""&amp;" &amp; "&amp;""&amp;P154</f>
        <v>#REF!</v>
      </c>
      <c r="O154" s="2" t="e">
        <f ca="1">(SUMPRODUCT(MID(0&amp;(LEFT(#REF!,SUM(LEN(#REF!)-LEN(SUBSTITUTE(#REF!,{"0","1","2"},""))))), LARGE(INDEX(ISNUMBER(--MID((LEFT(#REF!,SUM(LEN(#REF!)-LEN(SUBSTITUTE(#REF!,{"0","1","2"},""))))), ROW(INDIRECT("1:"&amp;LEN((LEFT(#REF!,SUM(LEN(#REF!)-LEN(SUBSTITUTE(#REF!,{"0","1","2"},"")))))))), 1)) * ROW(INDIRECT("1:"&amp;LEN((LEFT(#REF!,SUM(LEN(#REF!)-LEN(SUBSTITUTE(#REF!,{"0","1","2"},"")))))))), 0), ROW(INDIRECT("1:"&amp;LEN((LEFT(#REF!,SUM(LEN(#REF!)-LEN(SUBSTITUTE(#REF!,{"0","1","2"},"")))))))))+1, 1) * 10^ROW(INDIRECT("1:"&amp;LEN((LEFT(#REF!,SUM(LEN(#REF!)-LEN(SUBSTITUTE(#REF!,{"0","1","2"},""))))))))/10))*100+1</f>
        <v>#REF!</v>
      </c>
      <c r="P154" s="2" t="e">
        <f ca="1">(SUMPRODUCT(MID(0&amp;(--TRIM(RIGHT(SUBSTITUTE(LEFT(#REF!,_xlfn.AGGREGATE(16,6,FIND({0,1,2,3,4,5,6,7,8,9},#REF!,ROW(INDIRECT("1:"&amp;LEN(#REF!)))),1))," ",REPT(" ",LEN(#REF!))),LEN(#REF!)))), LARGE(INDEX(ISNUMBER(--MID((--TRIM(RIGHT(SUBSTITUTE(LEFT(#REF!,_xlfn.AGGREGATE(16,6,FIND({0,1,2,3,4,5,6,7,8,9},#REF!,ROW(INDIRECT("1:"&amp;LEN(#REF!)))),1))," ",REPT(" ",LEN(#REF!))),LEN(#REF!)))), ROW(INDIRECT("1:"&amp;LEN((--TRIM(RIGHT(SUBSTITUTE(LEFT(#REF!,_xlfn.AGGREGATE(16,6,FIND({0,1,2,3,4,5,6,7,8,9},#REF!,ROW(INDIRECT("1:"&amp;LEN(#REF!)))),1))," ",REPT(" ",LEN(#REF!))),LEN(#REF!))))))), 1)) * ROW(INDIRECT("1:"&amp;LEN((--TRIM(RIGHT(SUBSTITUTE(LEFT(#REF!,_xlfn.AGGREGATE(16,6,FIND({0,1,2,3,4,5,6,7,8,9},#REF!,ROW(INDIRECT("1:"&amp;LEN(#REF!)))),1))," ",REPT(" ",LEN(#REF!))),LEN(#REF!))))))), 0), ROW(INDIRECT("1:"&amp;LEN((--TRIM(RIGHT(SUBSTITUTE(LEFT(#REF!,_xlfn.AGGREGATE(16,6,FIND({0,1,2,3,4,5,6,7,8,9},#REF!,ROW(INDIRECT("1:"&amp;LEN(#REF!)))),1))," ",REPT(" ",LEN(#REF!))),LEN(#REF!))))))))+1, 1) * 10^ROW(INDIRECT("1:"&amp;LEN((--TRIM(RIGHT(SUBSTITUTE(LEFT(#REF!,_xlfn.AGGREGATE(16,6,FIND({0,1,2,3,4,5,6,7,8,9},#REF!,ROW(INDIRECT("1:"&amp;LEN(#REF!)))),1))," ",REPT(" ",LEN(#REF!))),LEN(#REF!)))))))/10))*100+1</f>
        <v>#REF!</v>
      </c>
    </row>
    <row r="155" spans="1:16" s="2" customFormat="1" hidden="1" x14ac:dyDescent="0.3">
      <c r="A155" s="71">
        <f>A154+1</f>
        <v>21</v>
      </c>
      <c r="B155" s="72"/>
      <c r="C155" s="51" t="s">
        <v>168</v>
      </c>
      <c r="D155" s="48">
        <f>(50.14)*10.764</f>
        <v>539.70695999999998</v>
      </c>
      <c r="E155" s="51">
        <v>0</v>
      </c>
      <c r="F155" s="51">
        <f t="shared" si="11"/>
        <v>539.70695999999998</v>
      </c>
      <c r="G155" s="51">
        <v>0</v>
      </c>
      <c r="H155" s="51">
        <f t="shared" si="10"/>
        <v>863.53113600000006</v>
      </c>
      <c r="I155" s="29"/>
      <c r="N155" s="2" t="e">
        <f t="shared" si="12"/>
        <v>#REF!</v>
      </c>
      <c r="O155" s="2" t="e">
        <f>#REF!+1</f>
        <v>#REF!</v>
      </c>
      <c r="P155" s="2" t="e">
        <f>#REF!+1</f>
        <v>#REF!</v>
      </c>
    </row>
    <row r="156" spans="1:16" s="2" customFormat="1" ht="15.75" hidden="1" customHeight="1" x14ac:dyDescent="0.3">
      <c r="A156" s="71">
        <f>A155+1</f>
        <v>22</v>
      </c>
      <c r="B156" s="72"/>
      <c r="C156" s="51" t="s">
        <v>168</v>
      </c>
      <c r="D156" s="48">
        <f>(24.35)*10.764</f>
        <v>262.10340000000002</v>
      </c>
      <c r="E156" s="51">
        <v>0</v>
      </c>
      <c r="F156" s="51">
        <f t="shared" si="11"/>
        <v>262.10340000000002</v>
      </c>
      <c r="G156" s="51">
        <v>0</v>
      </c>
      <c r="H156" s="51">
        <f t="shared" si="10"/>
        <v>419.36544000000004</v>
      </c>
      <c r="I156" s="29"/>
      <c r="L156" s="48">
        <v>10.763999999999999</v>
      </c>
      <c r="N156" s="29"/>
    </row>
    <row r="157" spans="1:16" s="2" customFormat="1" ht="15.75" hidden="1" customHeight="1" x14ac:dyDescent="0.3">
      <c r="A157" s="71">
        <f>A156+1</f>
        <v>23</v>
      </c>
      <c r="B157" s="72"/>
      <c r="C157" s="51" t="s">
        <v>168</v>
      </c>
      <c r="D157" s="48">
        <f>(18.65)*10.764</f>
        <v>200.74859999999998</v>
      </c>
      <c r="E157" s="51">
        <v>0</v>
      </c>
      <c r="F157" s="51">
        <f t="shared" ref="F157:F158" si="13">D157+(IF(E157&lt;201,E157,IF(E157&lt;301,E157/2,E157/3)))</f>
        <v>200.74859999999998</v>
      </c>
      <c r="G157" s="51">
        <v>0</v>
      </c>
      <c r="H157" s="51">
        <f t="shared" si="10"/>
        <v>321.19776000000002</v>
      </c>
      <c r="I157" s="29"/>
      <c r="J157" s="49"/>
      <c r="N157" s="29"/>
    </row>
    <row r="158" spans="1:16" s="2" customFormat="1" hidden="1" x14ac:dyDescent="0.3">
      <c r="A158" s="71">
        <f>A157+1</f>
        <v>24</v>
      </c>
      <c r="B158" s="72"/>
      <c r="C158" s="51" t="s">
        <v>168</v>
      </c>
      <c r="D158" s="48">
        <f>(41.79)*10.764</f>
        <v>449.82755999999995</v>
      </c>
      <c r="E158" s="51">
        <v>0</v>
      </c>
      <c r="F158" s="51">
        <f t="shared" si="13"/>
        <v>449.82755999999995</v>
      </c>
      <c r="G158" s="51">
        <v>0</v>
      </c>
      <c r="H158" s="51">
        <f t="shared" si="10"/>
        <v>719.72409599999992</v>
      </c>
      <c r="I158" s="29"/>
      <c r="N158" s="29"/>
    </row>
    <row r="159" spans="1:16" s="2" customFormat="1" x14ac:dyDescent="0.3">
      <c r="A159" s="200"/>
      <c r="B159" s="201"/>
      <c r="C159" s="201"/>
      <c r="D159" s="201"/>
      <c r="E159" s="201"/>
      <c r="F159" s="201"/>
      <c r="G159" s="201"/>
      <c r="H159" s="202"/>
      <c r="I159" s="29"/>
    </row>
    <row r="160" spans="1:16" s="2" customFormat="1" ht="34.5" customHeight="1" x14ac:dyDescent="0.3">
      <c r="A160" s="197" t="s">
        <v>123</v>
      </c>
      <c r="B160" s="133" t="s">
        <v>215</v>
      </c>
      <c r="C160" s="133" t="s">
        <v>57</v>
      </c>
      <c r="D160" s="133" t="s">
        <v>213</v>
      </c>
      <c r="E160" s="133" t="s">
        <v>232</v>
      </c>
      <c r="F160" s="133" t="s">
        <v>58</v>
      </c>
      <c r="G160" s="135" t="s">
        <v>59</v>
      </c>
      <c r="H160" s="53" t="s">
        <v>152</v>
      </c>
      <c r="I160" s="29"/>
      <c r="L160" s="29"/>
    </row>
    <row r="161" spans="1:12" s="2" customFormat="1" x14ac:dyDescent="0.3">
      <c r="A161" s="198"/>
      <c r="B161" s="134"/>
      <c r="C161" s="134"/>
      <c r="D161" s="134"/>
      <c r="E161" s="134"/>
      <c r="F161" s="134"/>
      <c r="G161" s="136"/>
      <c r="H161" s="59">
        <v>0.55000000000000004</v>
      </c>
      <c r="I161" s="29"/>
      <c r="J161" s="49"/>
      <c r="L161" s="29"/>
    </row>
    <row r="162" spans="1:12" s="2" customFormat="1" ht="15.75" customHeight="1" x14ac:dyDescent="0.3">
      <c r="A162" s="199" t="s">
        <v>199</v>
      </c>
      <c r="B162" s="199"/>
      <c r="C162" s="199"/>
      <c r="D162" s="199"/>
      <c r="E162" s="199"/>
      <c r="F162" s="199"/>
      <c r="G162" s="199"/>
      <c r="H162" s="199"/>
      <c r="I162" s="29">
        <f>2.9*4.45+2.02*2.7+2.9*3.05+1.47*0.6+2.1*1.25+1.2*2.17+0.82*1+1.43*1</f>
        <v>35.565000000000005</v>
      </c>
      <c r="J162" s="2">
        <v>2</v>
      </c>
      <c r="L162" s="29"/>
    </row>
    <row r="163" spans="1:12" s="2" customFormat="1" ht="15.75" customHeight="1" x14ac:dyDescent="0.3">
      <c r="A163" s="113" t="s">
        <v>200</v>
      </c>
      <c r="B163" s="113"/>
      <c r="C163" s="113"/>
      <c r="D163" s="113"/>
      <c r="E163" s="113"/>
      <c r="F163" s="113"/>
      <c r="G163" s="113"/>
      <c r="H163" s="113"/>
      <c r="I163" s="29"/>
      <c r="J163" s="2">
        <f>2.45</f>
        <v>2.4500000000000002</v>
      </c>
      <c r="L163" s="29"/>
    </row>
    <row r="164" spans="1:12" s="2" customFormat="1" ht="15.75" customHeight="1" x14ac:dyDescent="0.3">
      <c r="A164" s="114" t="s">
        <v>206</v>
      </c>
      <c r="B164" s="114"/>
      <c r="C164" s="114"/>
      <c r="D164" s="114"/>
      <c r="E164" s="114"/>
      <c r="F164" s="114"/>
      <c r="G164" s="114"/>
      <c r="H164" s="114"/>
      <c r="I164" s="29"/>
      <c r="L164" s="29"/>
    </row>
    <row r="165" spans="1:12" s="2" customFormat="1" ht="15.75" customHeight="1" x14ac:dyDescent="0.3">
      <c r="A165" s="183">
        <v>1</v>
      </c>
      <c r="B165" s="183"/>
      <c r="C165" s="183" t="s">
        <v>207</v>
      </c>
      <c r="D165" s="183"/>
      <c r="E165" s="183"/>
      <c r="F165" s="183"/>
      <c r="G165" s="183"/>
      <c r="H165" s="183"/>
      <c r="I165" s="29">
        <f>3.05*4.92+2.13*2.6+2.45*2.55+3.05*3.15+2.1*0.6+0.92*0.6+2.28*1.22+1.22*2.15+4</f>
        <v>47.615599999999986</v>
      </c>
      <c r="L165" s="29"/>
    </row>
    <row r="166" spans="1:12" s="2" customFormat="1" ht="15.75" customHeight="1" x14ac:dyDescent="0.3">
      <c r="A166" s="183">
        <f>A165+1</f>
        <v>2</v>
      </c>
      <c r="B166" s="183"/>
      <c r="C166" s="183"/>
      <c r="D166" s="183"/>
      <c r="E166" s="183"/>
      <c r="F166" s="183"/>
      <c r="G166" s="183"/>
      <c r="H166" s="183"/>
      <c r="I166" s="29"/>
      <c r="L166" s="29"/>
    </row>
    <row r="167" spans="1:12" s="2" customFormat="1" x14ac:dyDescent="0.3">
      <c r="A167" s="183">
        <f>A166+1</f>
        <v>3</v>
      </c>
      <c r="B167" s="183"/>
      <c r="C167" s="183"/>
      <c r="D167" s="183"/>
      <c r="E167" s="183"/>
      <c r="F167" s="183"/>
      <c r="G167" s="183"/>
      <c r="H167" s="183"/>
      <c r="I167" s="29"/>
    </row>
    <row r="168" spans="1:12" s="2" customFormat="1" ht="15.75" customHeight="1" x14ac:dyDescent="0.3">
      <c r="A168" s="183">
        <f>A167+1</f>
        <v>4</v>
      </c>
      <c r="B168" s="183"/>
      <c r="C168" s="183"/>
      <c r="D168" s="183"/>
      <c r="E168" s="183"/>
      <c r="F168" s="183"/>
      <c r="G168" s="183"/>
      <c r="H168" s="183"/>
      <c r="I168" s="29"/>
      <c r="L168" s="29"/>
    </row>
    <row r="169" spans="1:12" s="2" customFormat="1" ht="15.75" customHeight="1" x14ac:dyDescent="0.3">
      <c r="A169" s="71">
        <v>5</v>
      </c>
      <c r="B169" s="72"/>
      <c r="C169" s="51" t="s">
        <v>205</v>
      </c>
      <c r="D169" s="48">
        <f>(50.89)*10.764</f>
        <v>547.77995999999996</v>
      </c>
      <c r="E169" s="48">
        <f>(0.75*(3.05+2.12+1.5+2))*10.764</f>
        <v>69.992909999999995</v>
      </c>
      <c r="F169" s="51">
        <f>D169+E169</f>
        <v>617.77287000000001</v>
      </c>
      <c r="G169" s="51">
        <v>0</v>
      </c>
      <c r="H169" s="51">
        <f>F169*(($H$161)+1)+(IF(G169&lt;101,G169,IF(G169&lt;201,G169/2,IF(G169&lt;=301,G169/3,G169/4))))</f>
        <v>957.54794850000008</v>
      </c>
      <c r="I169" s="29"/>
      <c r="L169" s="29"/>
    </row>
    <row r="170" spans="1:12" s="2" customFormat="1" ht="15.75" customHeight="1" x14ac:dyDescent="0.3">
      <c r="A170" s="71">
        <f>A169+1</f>
        <v>6</v>
      </c>
      <c r="B170" s="72"/>
      <c r="C170" s="51" t="s">
        <v>170</v>
      </c>
      <c r="D170" s="48">
        <f>(33.11)*10.764</f>
        <v>356.39603999999997</v>
      </c>
      <c r="E170" s="48">
        <f>(0.75*(2.9+2.05+2.64))*10.764</f>
        <v>61.274069999999995</v>
      </c>
      <c r="F170" s="51">
        <f>D170+E170</f>
        <v>417.67010999999997</v>
      </c>
      <c r="G170" s="51">
        <v>0</v>
      </c>
      <c r="H170" s="51">
        <f>F170*(($H$161)+1)+(IF(G170&lt;101,G170,IF(G170&lt;201,G170/2,IF(G170&lt;=301,G170/3,G170/4))))</f>
        <v>647.38867049999999</v>
      </c>
      <c r="I170" s="29"/>
      <c r="J170" s="49"/>
      <c r="L170" s="29"/>
    </row>
    <row r="171" spans="1:12" s="2" customFormat="1" ht="15.75" customHeight="1" x14ac:dyDescent="0.3">
      <c r="A171" s="71">
        <f>A170+1</f>
        <v>7</v>
      </c>
      <c r="B171" s="72"/>
      <c r="C171" s="51" t="s">
        <v>170</v>
      </c>
      <c r="D171" s="48">
        <f>(33.11)*10.764</f>
        <v>356.39603999999997</v>
      </c>
      <c r="E171" s="48">
        <f>(0.75*(2.9+2.05+2.64))*10.764</f>
        <v>61.274069999999995</v>
      </c>
      <c r="F171" s="51">
        <f>D171+E171</f>
        <v>417.67010999999997</v>
      </c>
      <c r="G171" s="51">
        <v>0</v>
      </c>
      <c r="H171" s="51">
        <f>F171*(($H$161)+1)+(IF(G171&lt;101,G171,IF(G171&lt;201,G171/2,IF(G171&lt;=301,G171/3,G171/4))))</f>
        <v>647.38867049999999</v>
      </c>
      <c r="I171" s="29"/>
      <c r="L171" s="29"/>
    </row>
    <row r="172" spans="1:12" s="2" customFormat="1" ht="15.75" customHeight="1" x14ac:dyDescent="0.3">
      <c r="A172" s="71">
        <f>A171+1</f>
        <v>8</v>
      </c>
      <c r="B172" s="72"/>
      <c r="C172" s="51" t="s">
        <v>170</v>
      </c>
      <c r="D172" s="48">
        <f>(38.25)*10.764</f>
        <v>411.72299999999996</v>
      </c>
      <c r="E172" s="48">
        <f>(0.75*(2.9+1.95+2.83))*10.764</f>
        <v>62.000639999999997</v>
      </c>
      <c r="F172" s="51">
        <f>D172+E172</f>
        <v>473.72363999999993</v>
      </c>
      <c r="G172" s="51">
        <v>0</v>
      </c>
      <c r="H172" s="51">
        <f>F172*(($H$161)+1)+(IF(G172&lt;101,G172,IF(G172&lt;201,G172/2,IF(G172&lt;=301,G172/3,G172/4))))</f>
        <v>734.27164199999993</v>
      </c>
      <c r="I172" s="29"/>
      <c r="L172" s="29"/>
    </row>
    <row r="173" spans="1:12" s="2" customFormat="1" ht="15.75" customHeight="1" x14ac:dyDescent="0.3">
      <c r="A173" s="137" t="s">
        <v>208</v>
      </c>
      <c r="B173" s="138"/>
      <c r="C173" s="138"/>
      <c r="D173" s="138"/>
      <c r="E173" s="138"/>
      <c r="F173" s="138"/>
      <c r="G173" s="138"/>
      <c r="H173" s="139"/>
      <c r="I173" s="29"/>
      <c r="L173" s="29"/>
    </row>
    <row r="174" spans="1:12" s="2" customFormat="1" ht="15.75" customHeight="1" x14ac:dyDescent="0.3">
      <c r="A174" s="71">
        <v>1</v>
      </c>
      <c r="B174" s="72"/>
      <c r="C174" s="51" t="s">
        <v>170</v>
      </c>
      <c r="D174" s="48">
        <f>(38.25)*10.764</f>
        <v>411.72299999999996</v>
      </c>
      <c r="E174" s="48">
        <f>(0.75*(2.9*2+2.02))*10.764</f>
        <v>63.130859999999998</v>
      </c>
      <c r="F174" s="51">
        <f t="shared" ref="F174:F181" si="14">D174+E174</f>
        <v>474.85385999999994</v>
      </c>
      <c r="G174" s="51">
        <v>0</v>
      </c>
      <c r="H174" s="51">
        <f t="shared" ref="H174:H181" si="15">F174*(($H$161)+1)+(IF(G174&lt;101,G174,IF(G174&lt;201,G174/2,IF(G174&lt;=301,G174/3,G174/4))))</f>
        <v>736.02348299999994</v>
      </c>
      <c r="I174" s="29"/>
      <c r="L174" s="29"/>
    </row>
    <row r="175" spans="1:12" s="2" customFormat="1" ht="15.75" customHeight="1" x14ac:dyDescent="0.3">
      <c r="A175" s="71">
        <v>2</v>
      </c>
      <c r="B175" s="72"/>
      <c r="C175" s="51" t="s">
        <v>170</v>
      </c>
      <c r="D175" s="48">
        <f>(33.11)*10.764</f>
        <v>356.39603999999997</v>
      </c>
      <c r="E175" s="48">
        <f>(0.75*(2.9+2.05+2.75))*10.764</f>
        <v>62.162099999999988</v>
      </c>
      <c r="F175" s="51">
        <f t="shared" si="14"/>
        <v>418.55813999999998</v>
      </c>
      <c r="G175" s="51">
        <v>0</v>
      </c>
      <c r="H175" s="51">
        <f t="shared" si="15"/>
        <v>648.76511700000003</v>
      </c>
      <c r="I175" s="29"/>
      <c r="L175" s="29"/>
    </row>
    <row r="176" spans="1:12" s="1" customFormat="1" x14ac:dyDescent="0.3">
      <c r="A176" s="71">
        <v>3</v>
      </c>
      <c r="B176" s="72"/>
      <c r="C176" s="51" t="s">
        <v>170</v>
      </c>
      <c r="D176" s="48">
        <f>(33.11)*10.764</f>
        <v>356.39603999999997</v>
      </c>
      <c r="E176" s="48">
        <f>(0.75*(2.9+2.05+2.75))*10.764</f>
        <v>62.162099999999988</v>
      </c>
      <c r="F176" s="51">
        <f t="shared" si="14"/>
        <v>418.55813999999998</v>
      </c>
      <c r="G176" s="51">
        <v>0</v>
      </c>
      <c r="H176" s="51">
        <f t="shared" si="15"/>
        <v>648.76511700000003</v>
      </c>
    </row>
    <row r="177" spans="1:12" s="1" customFormat="1" x14ac:dyDescent="0.3">
      <c r="A177" s="71">
        <v>4</v>
      </c>
      <c r="B177" s="72"/>
      <c r="C177" s="51" t="s">
        <v>205</v>
      </c>
      <c r="D177" s="48">
        <f>(50.89)*10.764</f>
        <v>547.77995999999996</v>
      </c>
      <c r="E177" s="48">
        <f>(0.75*(3.05+2.13+1.5+2))*10.764</f>
        <v>70.073639999999997</v>
      </c>
      <c r="F177" s="51">
        <f t="shared" si="14"/>
        <v>617.85359999999991</v>
      </c>
      <c r="G177" s="51">
        <v>0</v>
      </c>
      <c r="H177" s="51">
        <f t="shared" si="15"/>
        <v>957.67307999999991</v>
      </c>
    </row>
    <row r="178" spans="1:12" s="1" customFormat="1" x14ac:dyDescent="0.3">
      <c r="A178" s="71">
        <v>5</v>
      </c>
      <c r="B178" s="72"/>
      <c r="C178" s="51" t="s">
        <v>205</v>
      </c>
      <c r="D178" s="48">
        <f>(50.89)*10.764</f>
        <v>547.77995999999996</v>
      </c>
      <c r="E178" s="48">
        <f>(0.75*(3.05+2.13+1.5+2))*10.764</f>
        <v>70.073639999999997</v>
      </c>
      <c r="F178" s="51">
        <f t="shared" si="14"/>
        <v>617.85359999999991</v>
      </c>
      <c r="G178" s="51">
        <v>0</v>
      </c>
      <c r="H178" s="51">
        <f t="shared" si="15"/>
        <v>957.67307999999991</v>
      </c>
    </row>
    <row r="179" spans="1:12" s="1" customFormat="1" x14ac:dyDescent="0.3">
      <c r="A179" s="71">
        <v>6</v>
      </c>
      <c r="B179" s="72"/>
      <c r="C179" s="51" t="s">
        <v>170</v>
      </c>
      <c r="D179" s="48">
        <f>(33.11)*10.764</f>
        <v>356.39603999999997</v>
      </c>
      <c r="E179" s="48">
        <f>(0.75*(2.9+2.05+2.75))*10.764</f>
        <v>62.162099999999988</v>
      </c>
      <c r="F179" s="51">
        <f t="shared" si="14"/>
        <v>418.55813999999998</v>
      </c>
      <c r="G179" s="51">
        <v>0</v>
      </c>
      <c r="H179" s="51">
        <f t="shared" si="15"/>
        <v>648.76511700000003</v>
      </c>
      <c r="L179" s="1" t="s">
        <v>177</v>
      </c>
    </row>
    <row r="180" spans="1:12" s="1" customFormat="1" x14ac:dyDescent="0.3">
      <c r="A180" s="71">
        <v>7</v>
      </c>
      <c r="B180" s="72"/>
      <c r="C180" s="51" t="s">
        <v>170</v>
      </c>
      <c r="D180" s="48">
        <f>(33.11)*10.764</f>
        <v>356.39603999999997</v>
      </c>
      <c r="E180" s="48">
        <f>(0.75*(2.9+2.05+2.75))*10.764</f>
        <v>62.162099999999988</v>
      </c>
      <c r="F180" s="51">
        <f t="shared" si="14"/>
        <v>418.55813999999998</v>
      </c>
      <c r="G180" s="51">
        <v>0</v>
      </c>
      <c r="H180" s="51">
        <f t="shared" si="15"/>
        <v>648.76511700000003</v>
      </c>
    </row>
    <row r="181" spans="1:12" s="1" customFormat="1" x14ac:dyDescent="0.3">
      <c r="A181" s="71">
        <v>8</v>
      </c>
      <c r="B181" s="72"/>
      <c r="C181" s="51" t="s">
        <v>170</v>
      </c>
      <c r="D181" s="48">
        <f>(38.25)*10.764</f>
        <v>411.72299999999996</v>
      </c>
      <c r="E181" s="48">
        <f>(0.75*(2.9*2+2.02))*10.764</f>
        <v>63.130859999999998</v>
      </c>
      <c r="F181" s="51">
        <f t="shared" si="14"/>
        <v>474.85385999999994</v>
      </c>
      <c r="G181" s="51">
        <v>0</v>
      </c>
      <c r="H181" s="51">
        <f t="shared" si="15"/>
        <v>736.02348299999994</v>
      </c>
    </row>
    <row r="182" spans="1:12" s="1" customFormat="1" x14ac:dyDescent="0.3">
      <c r="A182" s="194" t="s">
        <v>209</v>
      </c>
      <c r="B182" s="195"/>
      <c r="C182" s="195"/>
      <c r="D182" s="195"/>
      <c r="E182" s="195"/>
      <c r="F182" s="195"/>
      <c r="G182" s="195"/>
      <c r="H182" s="196"/>
    </row>
    <row r="183" spans="1:12" s="1" customFormat="1" ht="15.75" customHeight="1" x14ac:dyDescent="0.3">
      <c r="A183" s="71">
        <v>1</v>
      </c>
      <c r="B183" s="72"/>
      <c r="C183" s="71" t="s">
        <v>171</v>
      </c>
      <c r="D183" s="184"/>
      <c r="E183" s="184"/>
      <c r="F183" s="184"/>
      <c r="G183" s="184"/>
      <c r="H183" s="72"/>
    </row>
    <row r="184" spans="1:12" s="1" customFormat="1" x14ac:dyDescent="0.3">
      <c r="A184" s="71">
        <v>2</v>
      </c>
      <c r="B184" s="72"/>
      <c r="C184" s="51" t="s">
        <v>170</v>
      </c>
      <c r="D184" s="48">
        <f>(33.11)*10.764</f>
        <v>356.39603999999997</v>
      </c>
      <c r="E184" s="48">
        <f>(0.75*(2.9+2.05+2.75))*10.764</f>
        <v>62.162099999999988</v>
      </c>
      <c r="F184" s="51">
        <f t="shared" ref="F184:F190" si="16">D184+E184</f>
        <v>418.55813999999998</v>
      </c>
      <c r="G184" s="51">
        <v>0</v>
      </c>
      <c r="H184" s="51">
        <f t="shared" ref="H184:H190" si="17">F184*(($H$161)+1)+(IF(G184&lt;101,G184,IF(G184&lt;201,G184/2,IF(G184&lt;=301,G184/3,G184/4))))</f>
        <v>648.76511700000003</v>
      </c>
    </row>
    <row r="185" spans="1:12" x14ac:dyDescent="0.3">
      <c r="A185" s="71">
        <v>3</v>
      </c>
      <c r="B185" s="72"/>
      <c r="C185" s="51" t="s">
        <v>170</v>
      </c>
      <c r="D185" s="48">
        <f>(33.11)*10.764</f>
        <v>356.39603999999997</v>
      </c>
      <c r="E185" s="48">
        <f>(0.75*(2.9+2.05+2.75))*10.764</f>
        <v>62.162099999999988</v>
      </c>
      <c r="F185" s="51">
        <f t="shared" si="16"/>
        <v>418.55813999999998</v>
      </c>
      <c r="G185" s="51">
        <v>0</v>
      </c>
      <c r="H185" s="51">
        <f t="shared" si="17"/>
        <v>648.76511700000003</v>
      </c>
    </row>
    <row r="186" spans="1:12" x14ac:dyDescent="0.3">
      <c r="A186" s="71">
        <v>4</v>
      </c>
      <c r="B186" s="72"/>
      <c r="C186" s="51" t="s">
        <v>205</v>
      </c>
      <c r="D186" s="48">
        <f>(50.89)*10.764</f>
        <v>547.77995999999996</v>
      </c>
      <c r="E186" s="48">
        <f>(0.75*(3.05+2.13+1.5+2))*10.764</f>
        <v>70.073639999999997</v>
      </c>
      <c r="F186" s="51">
        <f t="shared" si="16"/>
        <v>617.85359999999991</v>
      </c>
      <c r="G186" s="51">
        <v>0</v>
      </c>
      <c r="H186" s="51">
        <f t="shared" si="17"/>
        <v>957.67307999999991</v>
      </c>
      <c r="I186" s="58"/>
    </row>
    <row r="187" spans="1:12" x14ac:dyDescent="0.3">
      <c r="A187" s="71">
        <v>5</v>
      </c>
      <c r="B187" s="72"/>
      <c r="C187" s="51" t="s">
        <v>205</v>
      </c>
      <c r="D187" s="48">
        <f>(50.89)*10.764</f>
        <v>547.77995999999996</v>
      </c>
      <c r="E187" s="48">
        <f>(0.75*(3.05+2.13+1.5+2))*10.764</f>
        <v>70.073639999999997</v>
      </c>
      <c r="F187" s="51">
        <f t="shared" si="16"/>
        <v>617.85359999999991</v>
      </c>
      <c r="G187" s="51">
        <v>0</v>
      </c>
      <c r="H187" s="51">
        <f t="shared" si="17"/>
        <v>957.67307999999991</v>
      </c>
    </row>
    <row r="188" spans="1:12" x14ac:dyDescent="0.3">
      <c r="A188" s="71">
        <v>6</v>
      </c>
      <c r="B188" s="72"/>
      <c r="C188" s="51" t="s">
        <v>170</v>
      </c>
      <c r="D188" s="48">
        <f>(33.11)*10.764</f>
        <v>356.39603999999997</v>
      </c>
      <c r="E188" s="48">
        <f>(0.75*(2.9+2.05+2.75))*10.764</f>
        <v>62.162099999999988</v>
      </c>
      <c r="F188" s="51">
        <f t="shared" si="16"/>
        <v>418.55813999999998</v>
      </c>
      <c r="G188" s="51">
        <v>0</v>
      </c>
      <c r="H188" s="51">
        <f t="shared" si="17"/>
        <v>648.76511700000003</v>
      </c>
    </row>
    <row r="189" spans="1:12" x14ac:dyDescent="0.3">
      <c r="A189" s="71">
        <v>7</v>
      </c>
      <c r="B189" s="72"/>
      <c r="C189" s="51" t="s">
        <v>170</v>
      </c>
      <c r="D189" s="48">
        <f>(33.11)*10.764</f>
        <v>356.39603999999997</v>
      </c>
      <c r="E189" s="48">
        <f>(0.75*(2.9+2.05+2.75))*10.764</f>
        <v>62.162099999999988</v>
      </c>
      <c r="F189" s="51">
        <f t="shared" si="16"/>
        <v>418.55813999999998</v>
      </c>
      <c r="G189" s="51">
        <v>0</v>
      </c>
      <c r="H189" s="51">
        <f t="shared" si="17"/>
        <v>648.76511700000003</v>
      </c>
    </row>
    <row r="190" spans="1:12" x14ac:dyDescent="0.3">
      <c r="A190" s="71">
        <v>8</v>
      </c>
      <c r="B190" s="72"/>
      <c r="C190" s="51" t="s">
        <v>170</v>
      </c>
      <c r="D190" s="48">
        <f>(38.25)*10.764</f>
        <v>411.72299999999996</v>
      </c>
      <c r="E190" s="48">
        <f>(0.75*(2.9*2+2.02))*10.764</f>
        <v>63.130859999999998</v>
      </c>
      <c r="F190" s="51">
        <f t="shared" si="16"/>
        <v>474.85385999999994</v>
      </c>
      <c r="G190" s="51">
        <v>0</v>
      </c>
      <c r="H190" s="51">
        <f t="shared" si="17"/>
        <v>736.02348299999994</v>
      </c>
    </row>
    <row r="191" spans="1:12" hidden="1" x14ac:dyDescent="0.3">
      <c r="A191" s="113" t="s">
        <v>202</v>
      </c>
      <c r="B191" s="113"/>
      <c r="C191" s="113"/>
      <c r="D191" s="113"/>
      <c r="E191" s="113"/>
      <c r="F191" s="113"/>
      <c r="G191" s="113"/>
      <c r="H191" s="113"/>
    </row>
    <row r="192" spans="1:12" ht="15.75" hidden="1" customHeight="1" x14ac:dyDescent="0.3">
      <c r="A192" s="100" t="s">
        <v>210</v>
      </c>
      <c r="B192" s="100"/>
      <c r="C192" s="100"/>
      <c r="D192" s="100"/>
      <c r="E192" s="100"/>
      <c r="F192" s="100"/>
      <c r="G192" s="100"/>
      <c r="H192" s="100"/>
    </row>
    <row r="193" spans="1:13" hidden="1" x14ac:dyDescent="0.3">
      <c r="A193" s="114" t="s">
        <v>227</v>
      </c>
      <c r="B193" s="114"/>
      <c r="C193" s="114"/>
      <c r="D193" s="114"/>
      <c r="E193" s="114"/>
      <c r="F193" s="114"/>
      <c r="G193" s="114"/>
      <c r="H193" s="114"/>
      <c r="M193"/>
    </row>
    <row r="194" spans="1:13" hidden="1" x14ac:dyDescent="0.3">
      <c r="A194" s="71">
        <v>1</v>
      </c>
      <c r="B194" s="72"/>
      <c r="C194" s="185" t="s">
        <v>207</v>
      </c>
      <c r="D194" s="186"/>
      <c r="E194" s="186"/>
      <c r="F194" s="186"/>
      <c r="G194" s="186"/>
      <c r="H194" s="187"/>
    </row>
    <row r="195" spans="1:13" hidden="1" x14ac:dyDescent="0.3">
      <c r="A195" s="71">
        <v>2</v>
      </c>
      <c r="B195" s="72"/>
      <c r="C195" s="191"/>
      <c r="D195" s="192"/>
      <c r="E195" s="192"/>
      <c r="F195" s="192"/>
      <c r="G195" s="192"/>
      <c r="H195" s="193"/>
    </row>
    <row r="196" spans="1:13" ht="14.25" hidden="1" customHeight="1" x14ac:dyDescent="0.3">
      <c r="A196" s="71">
        <v>3</v>
      </c>
      <c r="B196" s="72"/>
      <c r="C196" s="51" t="s">
        <v>170</v>
      </c>
      <c r="D196" s="48">
        <f>(38.56)*10.764</f>
        <v>415.05984000000001</v>
      </c>
      <c r="E196" s="48">
        <f>(1.44)*10.764</f>
        <v>15.500159999999999</v>
      </c>
      <c r="F196" s="51">
        <f>D196+E196</f>
        <v>430.56</v>
      </c>
      <c r="G196" s="48">
        <f>(2.9*2+0.75*2.92)*10.764</f>
        <v>86.004359999999991</v>
      </c>
      <c r="H196" s="51">
        <f>F196*(($H$161)+1)+(IF(G196&lt;101,G196,IF(G196&lt;201,G196/2,IF(G196&lt;=301,G196/3,G196/4))))</f>
        <v>753.37236000000007</v>
      </c>
    </row>
    <row r="197" spans="1:13" hidden="1" x14ac:dyDescent="0.3">
      <c r="A197" s="71">
        <v>4</v>
      </c>
      <c r="B197" s="72"/>
      <c r="C197" s="51" t="s">
        <v>170</v>
      </c>
      <c r="D197" s="48">
        <f>(38.15)*10.764</f>
        <v>410.64659999999998</v>
      </c>
      <c r="E197" s="48">
        <f>(1.44)*10.764</f>
        <v>15.500159999999999</v>
      </c>
      <c r="F197" s="51">
        <f>D197+E197</f>
        <v>426.14675999999997</v>
      </c>
      <c r="G197" s="48">
        <f>(2.9*2+0.75*2.97)*10.764</f>
        <v>86.40800999999999</v>
      </c>
      <c r="H197" s="51">
        <f>F197*(($H$161)+1)+(IF(G197&lt;101,G197,IF(G197&lt;201,G197/2,IF(G197&lt;=301,G197/3,G197/4))))</f>
        <v>746.93548799999996</v>
      </c>
    </row>
    <row r="198" spans="1:13" hidden="1" x14ac:dyDescent="0.3">
      <c r="A198" s="71">
        <v>5</v>
      </c>
      <c r="B198" s="72"/>
      <c r="C198" s="51" t="s">
        <v>205</v>
      </c>
      <c r="D198" s="48">
        <f>(56.38)*10.764</f>
        <v>606.87432000000001</v>
      </c>
      <c r="E198" s="48">
        <f>(1.55+0.75*3.05+1.5*0.6)*10.764</f>
        <v>50.994449999999986</v>
      </c>
      <c r="F198" s="51">
        <f>D198+E198</f>
        <v>657.86877000000004</v>
      </c>
      <c r="G198" s="48">
        <f>(1.8*2.7)*10.764</f>
        <v>52.313040000000001</v>
      </c>
      <c r="H198" s="51">
        <f>F198*(($H$161)+1)+(IF(G198&lt;101,G198,IF(G198&lt;201,G198/2,IF(G198&lt;=301,G198/3,G198/4))))</f>
        <v>1072.0096335000001</v>
      </c>
    </row>
    <row r="199" spans="1:13" hidden="1" x14ac:dyDescent="0.3">
      <c r="A199" s="71">
        <v>6</v>
      </c>
      <c r="B199" s="72"/>
      <c r="C199" s="51" t="s">
        <v>170</v>
      </c>
      <c r="D199" s="48">
        <f>(38.12)*10.764</f>
        <v>410.32367999999997</v>
      </c>
      <c r="E199" s="48">
        <f>(1.44)*10.764</f>
        <v>15.500159999999999</v>
      </c>
      <c r="F199" s="51">
        <f>D199+E199</f>
        <v>425.82383999999996</v>
      </c>
      <c r="G199" s="48">
        <f>(2.9*1.7+0.75*2.96)*10.764</f>
        <v>76.962599999999995</v>
      </c>
      <c r="H199" s="51">
        <f>F199*(($H$161)+1)+(IF(G199&lt;101,G199,IF(G199&lt;201,G199/2,IF(G199&lt;=301,G199/3,G199/4))))</f>
        <v>736.98955199999989</v>
      </c>
    </row>
    <row r="200" spans="1:13" hidden="1" x14ac:dyDescent="0.3">
      <c r="A200" s="71">
        <v>7</v>
      </c>
      <c r="B200" s="72"/>
      <c r="C200" s="185" t="s">
        <v>216</v>
      </c>
      <c r="D200" s="186"/>
      <c r="E200" s="186"/>
      <c r="F200" s="186"/>
      <c r="G200" s="186"/>
      <c r="H200" s="187"/>
    </row>
    <row r="201" spans="1:13" hidden="1" x14ac:dyDescent="0.3">
      <c r="A201" s="71">
        <v>8</v>
      </c>
      <c r="B201" s="72"/>
      <c r="C201" s="191"/>
      <c r="D201" s="192"/>
      <c r="E201" s="192"/>
      <c r="F201" s="192"/>
      <c r="G201" s="192"/>
      <c r="H201" s="193"/>
    </row>
    <row r="202" spans="1:13" ht="30" hidden="1" customHeight="1" x14ac:dyDescent="0.3">
      <c r="A202" s="114" t="s">
        <v>217</v>
      </c>
      <c r="B202" s="114"/>
      <c r="C202" s="114"/>
      <c r="D202" s="114"/>
      <c r="E202" s="114"/>
      <c r="F202" s="114"/>
      <c r="G202" s="114"/>
      <c r="H202" s="114"/>
    </row>
    <row r="203" spans="1:13" hidden="1" x14ac:dyDescent="0.3">
      <c r="A203" s="71">
        <v>1</v>
      </c>
      <c r="B203" s="72"/>
      <c r="C203" s="51" t="s">
        <v>170</v>
      </c>
      <c r="D203" s="48">
        <f>(38.15)*10.764</f>
        <v>410.64659999999998</v>
      </c>
      <c r="E203" s="48">
        <f>(1.44+0.75*(2.9+2.98))*10.764</f>
        <v>62.969399999999993</v>
      </c>
      <c r="F203" s="51">
        <f t="shared" ref="F203:F210" si="18">D203+E203</f>
        <v>473.61599999999999</v>
      </c>
      <c r="G203" s="51">
        <v>0</v>
      </c>
      <c r="H203" s="51">
        <f t="shared" ref="H203:H210" si="19">F203*(($H$161)+1)+(IF(G203&lt;101,G203,IF(G203&lt;201,G203/2,IF(G203&lt;=301,G203/3,G203/4))))</f>
        <v>734.10479999999995</v>
      </c>
    </row>
    <row r="204" spans="1:13" hidden="1" x14ac:dyDescent="0.3">
      <c r="A204" s="71">
        <v>2</v>
      </c>
      <c r="B204" s="72"/>
      <c r="C204" s="51" t="s">
        <v>170</v>
      </c>
      <c r="D204" s="48">
        <f>(38.59)*10.764</f>
        <v>415.38276000000002</v>
      </c>
      <c r="E204" s="48">
        <f>(1.41+0.75*(2.9+2.98))*10.764</f>
        <v>62.646479999999997</v>
      </c>
      <c r="F204" s="51">
        <f t="shared" si="18"/>
        <v>478.02924000000002</v>
      </c>
      <c r="G204" s="51">
        <v>0</v>
      </c>
      <c r="H204" s="51">
        <f t="shared" si="19"/>
        <v>740.94532200000003</v>
      </c>
    </row>
    <row r="205" spans="1:13" hidden="1" x14ac:dyDescent="0.3">
      <c r="A205" s="71">
        <v>3</v>
      </c>
      <c r="B205" s="72"/>
      <c r="C205" s="51" t="s">
        <v>170</v>
      </c>
      <c r="D205" s="48">
        <f>(38.56)*10.764</f>
        <v>415.05984000000001</v>
      </c>
      <c r="E205" s="48">
        <f>(1.44+0.75*(2.9+2.92))*10.764</f>
        <v>62.485019999999992</v>
      </c>
      <c r="F205" s="51">
        <f t="shared" si="18"/>
        <v>477.54485999999997</v>
      </c>
      <c r="G205" s="51">
        <v>0</v>
      </c>
      <c r="H205" s="51">
        <f t="shared" si="19"/>
        <v>740.19453299999998</v>
      </c>
    </row>
    <row r="206" spans="1:13" hidden="1" x14ac:dyDescent="0.3">
      <c r="A206" s="71">
        <v>4</v>
      </c>
      <c r="B206" s="72"/>
      <c r="C206" s="51" t="s">
        <v>170</v>
      </c>
      <c r="D206" s="48">
        <f>(38.15)*10.764</f>
        <v>410.64659999999998</v>
      </c>
      <c r="E206" s="48">
        <f>(1.44+0.75*(2.9+2.98))*10.764</f>
        <v>62.969399999999993</v>
      </c>
      <c r="F206" s="51">
        <f t="shared" si="18"/>
        <v>473.61599999999999</v>
      </c>
      <c r="G206" s="51">
        <v>0</v>
      </c>
      <c r="H206" s="51">
        <f t="shared" si="19"/>
        <v>734.10479999999995</v>
      </c>
    </row>
    <row r="207" spans="1:13" hidden="1" x14ac:dyDescent="0.3">
      <c r="A207" s="71">
        <v>5</v>
      </c>
      <c r="B207" s="72"/>
      <c r="C207" s="51" t="s">
        <v>205</v>
      </c>
      <c r="D207" s="48">
        <f>(56.38)*10.764</f>
        <v>606.87432000000001</v>
      </c>
      <c r="E207" s="48">
        <f>(1.55+0.75*(3.05+1.8)+1.5*0.6)*10.764</f>
        <v>65.525850000000005</v>
      </c>
      <c r="F207" s="51">
        <f t="shared" si="18"/>
        <v>672.40017</v>
      </c>
      <c r="G207" s="51">
        <v>0</v>
      </c>
      <c r="H207" s="51">
        <f t="shared" si="19"/>
        <v>1042.2202635000001</v>
      </c>
    </row>
    <row r="208" spans="1:13" hidden="1" x14ac:dyDescent="0.3">
      <c r="A208" s="71">
        <v>6</v>
      </c>
      <c r="B208" s="72"/>
      <c r="C208" s="51" t="s">
        <v>170</v>
      </c>
      <c r="D208" s="48">
        <f>(38.12)*10.764</f>
        <v>410.32367999999997</v>
      </c>
      <c r="E208" s="48">
        <f>(1.44+0.75*(2.9+2.96))*10.764</f>
        <v>62.807939999999988</v>
      </c>
      <c r="F208" s="51">
        <f t="shared" si="18"/>
        <v>473.13161999999994</v>
      </c>
      <c r="G208" s="51">
        <v>0</v>
      </c>
      <c r="H208" s="51">
        <f t="shared" si="19"/>
        <v>733.3540109999999</v>
      </c>
    </row>
    <row r="209" spans="1:8" hidden="1" x14ac:dyDescent="0.3">
      <c r="A209" s="71">
        <v>7</v>
      </c>
      <c r="B209" s="72"/>
      <c r="C209" s="51" t="s">
        <v>170</v>
      </c>
      <c r="D209" s="48">
        <f>(38.12)*10.764</f>
        <v>410.32367999999997</v>
      </c>
      <c r="E209" s="48">
        <f>(1.44+0.75*(2.9+2.96))*10.764</f>
        <v>62.807939999999988</v>
      </c>
      <c r="F209" s="51">
        <f t="shared" si="18"/>
        <v>473.13161999999994</v>
      </c>
      <c r="G209" s="51">
        <v>0</v>
      </c>
      <c r="H209" s="51">
        <f t="shared" si="19"/>
        <v>733.3540109999999</v>
      </c>
    </row>
    <row r="210" spans="1:8" hidden="1" x14ac:dyDescent="0.3">
      <c r="A210" s="71">
        <v>8</v>
      </c>
      <c r="B210" s="72"/>
      <c r="C210" s="51" t="s">
        <v>205</v>
      </c>
      <c r="D210" s="48">
        <f>(56.38)*10.764</f>
        <v>606.87432000000001</v>
      </c>
      <c r="E210" s="48">
        <f>(1.55+0.75*(3.05+1.8)+1.5*0.6)*10.764</f>
        <v>65.525850000000005</v>
      </c>
      <c r="F210" s="51">
        <f t="shared" si="18"/>
        <v>672.40017</v>
      </c>
      <c r="G210" s="51">
        <v>0</v>
      </c>
      <c r="H210" s="51">
        <f t="shared" si="19"/>
        <v>1042.2202635000001</v>
      </c>
    </row>
    <row r="211" spans="1:8" ht="15" hidden="1" customHeight="1" x14ac:dyDescent="0.3">
      <c r="A211" s="114" t="s">
        <v>218</v>
      </c>
      <c r="B211" s="114"/>
      <c r="C211" s="114"/>
      <c r="D211" s="114"/>
      <c r="E211" s="114"/>
      <c r="F211" s="114"/>
      <c r="G211" s="114"/>
      <c r="H211" s="114"/>
    </row>
    <row r="212" spans="1:8" hidden="1" x14ac:dyDescent="0.3">
      <c r="A212" s="71">
        <v>1</v>
      </c>
      <c r="B212" s="72"/>
      <c r="C212" s="51" t="s">
        <v>170</v>
      </c>
      <c r="D212" s="48">
        <f>(38.15)*10.764</f>
        <v>410.64659999999998</v>
      </c>
      <c r="E212" s="48">
        <f>(1.44+0.75*(2.9+2.98))*10.764</f>
        <v>62.969399999999993</v>
      </c>
      <c r="F212" s="51">
        <f>D212+E212</f>
        <v>473.61599999999999</v>
      </c>
      <c r="G212" s="51">
        <v>0</v>
      </c>
      <c r="H212" s="51">
        <f>F212*(($H$161)+1)+(IF(G212&lt;101,G212,IF(G212&lt;201,G212/2,IF(G212&lt;=301,G212/3,G212/4))))</f>
        <v>734.10479999999995</v>
      </c>
    </row>
    <row r="213" spans="1:8" hidden="1" x14ac:dyDescent="0.3">
      <c r="A213" s="71">
        <v>2</v>
      </c>
      <c r="B213" s="72"/>
      <c r="C213" s="71" t="s">
        <v>171</v>
      </c>
      <c r="D213" s="184"/>
      <c r="E213" s="184"/>
      <c r="F213" s="184"/>
      <c r="G213" s="184"/>
      <c r="H213" s="72"/>
    </row>
    <row r="214" spans="1:8" hidden="1" x14ac:dyDescent="0.3">
      <c r="A214" s="71">
        <v>3</v>
      </c>
      <c r="B214" s="72"/>
      <c r="C214" s="51" t="s">
        <v>170</v>
      </c>
      <c r="D214" s="48">
        <f>(38.56)*10.764</f>
        <v>415.05984000000001</v>
      </c>
      <c r="E214" s="48">
        <f>(1.44+0.75*(2.9+2.92))*10.764</f>
        <v>62.485019999999992</v>
      </c>
      <c r="F214" s="51">
        <f t="shared" ref="F214:F219" si="20">D214+E214</f>
        <v>477.54485999999997</v>
      </c>
      <c r="G214" s="51">
        <v>0</v>
      </c>
      <c r="H214" s="51">
        <f t="shared" ref="H214:H219" si="21">F214*(($H$161)+1)+(IF(G214&lt;101,G214,IF(G214&lt;201,G214/2,IF(G214&lt;=301,G214/3,G214/4))))</f>
        <v>740.19453299999998</v>
      </c>
    </row>
    <row r="215" spans="1:8" hidden="1" x14ac:dyDescent="0.3">
      <c r="A215" s="71">
        <v>4</v>
      </c>
      <c r="B215" s="72"/>
      <c r="C215" s="51" t="s">
        <v>170</v>
      </c>
      <c r="D215" s="48">
        <f>(38.15)*10.764</f>
        <v>410.64659999999998</v>
      </c>
      <c r="E215" s="48">
        <f>(1.44+0.75*(2.9+2.98))*10.764</f>
        <v>62.969399999999993</v>
      </c>
      <c r="F215" s="51">
        <f t="shared" si="20"/>
        <v>473.61599999999999</v>
      </c>
      <c r="G215" s="51">
        <v>0</v>
      </c>
      <c r="H215" s="51">
        <f t="shared" si="21"/>
        <v>734.10479999999995</v>
      </c>
    </row>
    <row r="216" spans="1:8" hidden="1" x14ac:dyDescent="0.3">
      <c r="A216" s="71">
        <v>5</v>
      </c>
      <c r="B216" s="72"/>
      <c r="C216" s="51" t="s">
        <v>205</v>
      </c>
      <c r="D216" s="48">
        <f>(56.38)*10.764</f>
        <v>606.87432000000001</v>
      </c>
      <c r="E216" s="48">
        <f>(1.55+0.75*(3.05+1.8)+1.5*0.6)*10.764</f>
        <v>65.525850000000005</v>
      </c>
      <c r="F216" s="51">
        <f t="shared" si="20"/>
        <v>672.40017</v>
      </c>
      <c r="G216" s="51">
        <v>0</v>
      </c>
      <c r="H216" s="51">
        <f t="shared" si="21"/>
        <v>1042.2202635000001</v>
      </c>
    </row>
    <row r="217" spans="1:8" hidden="1" x14ac:dyDescent="0.3">
      <c r="A217" s="71">
        <v>6</v>
      </c>
      <c r="B217" s="72"/>
      <c r="C217" s="51" t="s">
        <v>170</v>
      </c>
      <c r="D217" s="48">
        <f>(38.12)*10.764</f>
        <v>410.32367999999997</v>
      </c>
      <c r="E217" s="48">
        <f>(1.44+0.75*(2.9+2.96))*10.764</f>
        <v>62.807939999999988</v>
      </c>
      <c r="F217" s="51">
        <f t="shared" si="20"/>
        <v>473.13161999999994</v>
      </c>
      <c r="G217" s="51">
        <v>0</v>
      </c>
      <c r="H217" s="51">
        <f t="shared" si="21"/>
        <v>733.3540109999999</v>
      </c>
    </row>
    <row r="218" spans="1:8" hidden="1" x14ac:dyDescent="0.3">
      <c r="A218" s="71">
        <v>7</v>
      </c>
      <c r="B218" s="72"/>
      <c r="C218" s="51" t="s">
        <v>170</v>
      </c>
      <c r="D218" s="48">
        <f>(38.12)*10.764</f>
        <v>410.32367999999997</v>
      </c>
      <c r="E218" s="48">
        <f>(1.44+0.75*(2.9+2.96))*10.764</f>
        <v>62.807939999999988</v>
      </c>
      <c r="F218" s="51">
        <f t="shared" si="20"/>
        <v>473.13161999999994</v>
      </c>
      <c r="G218" s="51">
        <v>0</v>
      </c>
      <c r="H218" s="51">
        <f t="shared" si="21"/>
        <v>733.3540109999999</v>
      </c>
    </row>
    <row r="219" spans="1:8" hidden="1" x14ac:dyDescent="0.3">
      <c r="A219" s="71">
        <v>8</v>
      </c>
      <c r="B219" s="72"/>
      <c r="C219" s="51" t="s">
        <v>205</v>
      </c>
      <c r="D219" s="48">
        <f>(56.38)*10.764</f>
        <v>606.87432000000001</v>
      </c>
      <c r="E219" s="48">
        <f>(1.55+0.75*(3.05+1.8)+1.5*0.6)*10.764</f>
        <v>65.525850000000005</v>
      </c>
      <c r="F219" s="51">
        <f t="shared" si="20"/>
        <v>672.40017</v>
      </c>
      <c r="G219" s="51">
        <v>0</v>
      </c>
      <c r="H219" s="51">
        <f t="shared" si="21"/>
        <v>1042.2202635000001</v>
      </c>
    </row>
    <row r="220" spans="1:8" hidden="1" x14ac:dyDescent="0.3">
      <c r="A220" s="114" t="s">
        <v>219</v>
      </c>
      <c r="B220" s="114"/>
      <c r="C220" s="114"/>
      <c r="D220" s="114"/>
      <c r="E220" s="114"/>
      <c r="F220" s="114"/>
      <c r="G220" s="114"/>
      <c r="H220" s="114"/>
    </row>
    <row r="221" spans="1:8" hidden="1" x14ac:dyDescent="0.3">
      <c r="A221" s="71">
        <v>1</v>
      </c>
      <c r="B221" s="72"/>
      <c r="C221" s="71" t="s">
        <v>220</v>
      </c>
      <c r="D221" s="184"/>
      <c r="E221" s="184"/>
      <c r="F221" s="184"/>
      <c r="G221" s="184"/>
      <c r="H221" s="72"/>
    </row>
    <row r="222" spans="1:8" hidden="1" x14ac:dyDescent="0.3">
      <c r="A222" s="71">
        <v>2</v>
      </c>
      <c r="B222" s="72"/>
      <c r="C222" s="71" t="s">
        <v>171</v>
      </c>
      <c r="D222" s="184"/>
      <c r="E222" s="184"/>
      <c r="F222" s="184"/>
      <c r="G222" s="184"/>
      <c r="H222" s="72"/>
    </row>
    <row r="223" spans="1:8" hidden="1" x14ac:dyDescent="0.3">
      <c r="A223" s="71">
        <v>3</v>
      </c>
      <c r="B223" s="72"/>
      <c r="C223" s="185" t="s">
        <v>220</v>
      </c>
      <c r="D223" s="186"/>
      <c r="E223" s="186"/>
      <c r="F223" s="186"/>
      <c r="G223" s="186"/>
      <c r="H223" s="187"/>
    </row>
    <row r="224" spans="1:8" ht="15.75" hidden="1" customHeight="1" x14ac:dyDescent="0.3">
      <c r="A224" s="71">
        <v>4</v>
      </c>
      <c r="B224" s="72"/>
      <c r="C224" s="188"/>
      <c r="D224" s="189"/>
      <c r="E224" s="189"/>
      <c r="F224" s="189"/>
      <c r="G224" s="189"/>
      <c r="H224" s="190"/>
    </row>
    <row r="225" spans="1:9" hidden="1" x14ac:dyDescent="0.3">
      <c r="A225" s="71">
        <v>5</v>
      </c>
      <c r="B225" s="72"/>
      <c r="C225" s="188"/>
      <c r="D225" s="189"/>
      <c r="E225" s="189"/>
      <c r="F225" s="189"/>
      <c r="G225" s="189"/>
      <c r="H225" s="190"/>
    </row>
    <row r="226" spans="1:9" hidden="1" x14ac:dyDescent="0.3">
      <c r="A226" s="71">
        <v>6</v>
      </c>
      <c r="B226" s="72"/>
      <c r="C226" s="188"/>
      <c r="D226" s="189"/>
      <c r="E226" s="189"/>
      <c r="F226" s="189"/>
      <c r="G226" s="189"/>
      <c r="H226" s="190"/>
    </row>
    <row r="227" spans="1:9" hidden="1" x14ac:dyDescent="0.3">
      <c r="A227" s="71">
        <v>7</v>
      </c>
      <c r="B227" s="72"/>
      <c r="C227" s="188"/>
      <c r="D227" s="189"/>
      <c r="E227" s="189"/>
      <c r="F227" s="189"/>
      <c r="G227" s="189"/>
      <c r="H227" s="190"/>
    </row>
    <row r="228" spans="1:9" hidden="1" x14ac:dyDescent="0.3">
      <c r="A228" s="71">
        <v>8</v>
      </c>
      <c r="B228" s="72"/>
      <c r="C228" s="191"/>
      <c r="D228" s="192"/>
      <c r="E228" s="192"/>
      <c r="F228" s="192"/>
      <c r="G228" s="192"/>
      <c r="H228" s="193"/>
    </row>
    <row r="229" spans="1:9" hidden="1" x14ac:dyDescent="0.3">
      <c r="A229" s="113" t="s">
        <v>225</v>
      </c>
      <c r="B229" s="113"/>
      <c r="C229" s="113"/>
      <c r="D229" s="113"/>
      <c r="E229" s="113"/>
      <c r="F229" s="113"/>
      <c r="G229" s="113"/>
      <c r="H229" s="113"/>
    </row>
    <row r="230" spans="1:9" hidden="1" x14ac:dyDescent="0.3">
      <c r="A230" s="100" t="s">
        <v>210</v>
      </c>
      <c r="B230" s="100"/>
      <c r="C230" s="100"/>
      <c r="D230" s="100"/>
      <c r="E230" s="100"/>
      <c r="F230" s="100"/>
      <c r="G230" s="100"/>
      <c r="H230" s="100"/>
    </row>
    <row r="231" spans="1:9" hidden="1" x14ac:dyDescent="0.3">
      <c r="A231" s="137" t="s">
        <v>227</v>
      </c>
      <c r="B231" s="138"/>
      <c r="C231" s="138"/>
      <c r="D231" s="138"/>
      <c r="E231" s="138"/>
      <c r="F231" s="138"/>
      <c r="G231" s="138"/>
      <c r="H231" s="139"/>
    </row>
    <row r="232" spans="1:9" hidden="1" x14ac:dyDescent="0.3">
      <c r="A232" s="71">
        <v>1</v>
      </c>
      <c r="B232" s="72"/>
      <c r="C232" s="185" t="s">
        <v>207</v>
      </c>
      <c r="D232" s="186"/>
      <c r="E232" s="186"/>
      <c r="F232" s="186"/>
      <c r="G232" s="186"/>
      <c r="H232" s="187"/>
    </row>
    <row r="233" spans="1:9" hidden="1" x14ac:dyDescent="0.3">
      <c r="A233" s="71">
        <v>2</v>
      </c>
      <c r="B233" s="72"/>
      <c r="C233" s="191"/>
      <c r="D233" s="192"/>
      <c r="E233" s="192"/>
      <c r="F233" s="192"/>
      <c r="G233" s="192"/>
      <c r="H233" s="193"/>
    </row>
    <row r="234" spans="1:9" ht="15.75" hidden="1" customHeight="1" x14ac:dyDescent="0.3">
      <c r="A234" s="71">
        <v>3</v>
      </c>
      <c r="B234" s="72"/>
      <c r="C234" s="51" t="s">
        <v>205</v>
      </c>
      <c r="D234" s="48">
        <f>(56.44)*10.764</f>
        <v>607.52015999999992</v>
      </c>
      <c r="E234" s="48">
        <f>(1.51+1.5*0.6)*10.764</f>
        <v>25.941240000000001</v>
      </c>
      <c r="F234" s="51">
        <f>D234+E234</f>
        <v>633.46139999999991</v>
      </c>
      <c r="G234" s="48">
        <f>(3.05*0.75+1.8*2.7)*10.764</f>
        <v>76.935689999999994</v>
      </c>
      <c r="H234" s="51">
        <f>F234*(($H$161)+1)+(IF(G234&lt;101,G234,IF(G234&lt;201,G234/2,IF(G234&lt;=301,G234/3,G234/4))))</f>
        <v>1058.8008599999998</v>
      </c>
    </row>
    <row r="235" spans="1:9" hidden="1" x14ac:dyDescent="0.3">
      <c r="A235" s="71">
        <v>4</v>
      </c>
      <c r="B235" s="72"/>
      <c r="C235" s="51" t="s">
        <v>170</v>
      </c>
      <c r="D235" s="48">
        <f>(38.33)*10.764</f>
        <v>412.58411999999998</v>
      </c>
      <c r="E235" s="48">
        <f>(1.54)*10.764</f>
        <v>16.576560000000001</v>
      </c>
      <c r="F235" s="51">
        <f>D235+E235</f>
        <v>429.16067999999996</v>
      </c>
      <c r="G235" s="48">
        <f>(2.9*1.8+2.98*0.75)*10.764</f>
        <v>80.245620000000002</v>
      </c>
      <c r="H235" s="51">
        <f>F235*(($H$161)+1)+(IF(G235&lt;101,G235,IF(G235&lt;201,G235/2,IF(G235&lt;=301,G235/3,G235/4))))</f>
        <v>745.44467399999996</v>
      </c>
    </row>
    <row r="236" spans="1:9" hidden="1" x14ac:dyDescent="0.3">
      <c r="A236" s="71">
        <v>5</v>
      </c>
      <c r="B236" s="72"/>
      <c r="C236" s="51" t="s">
        <v>170</v>
      </c>
      <c r="D236" s="48">
        <f>(38.33)*10.764</f>
        <v>412.58411999999998</v>
      </c>
      <c r="E236" s="48">
        <f>(1.54)*10.764</f>
        <v>16.576560000000001</v>
      </c>
      <c r="F236" s="51">
        <f>D236+E236</f>
        <v>429.16067999999996</v>
      </c>
      <c r="G236" s="48">
        <f>(2.9*1.8+2.98*0.75)*10.764</f>
        <v>80.245620000000002</v>
      </c>
      <c r="H236" s="51">
        <f>F236*(($H$161)+1)+(IF(G236&lt;101,G236,IF(G236&lt;201,G236/2,IF(G236&lt;=301,G236/3,G236/4))))</f>
        <v>745.44467399999996</v>
      </c>
    </row>
    <row r="237" spans="1:9" hidden="1" x14ac:dyDescent="0.3">
      <c r="A237" s="71">
        <v>6</v>
      </c>
      <c r="B237" s="72"/>
      <c r="C237" s="51" t="s">
        <v>170</v>
      </c>
      <c r="D237" s="48">
        <f>(38.74)*10.764</f>
        <v>416.99736000000001</v>
      </c>
      <c r="E237" s="48">
        <f>(1.44)*10.764</f>
        <v>15.500159999999999</v>
      </c>
      <c r="F237" s="51">
        <f>D237+E237</f>
        <v>432.49752000000001</v>
      </c>
      <c r="G237" s="48">
        <f>(2.9*1.8+3.05*0.75)*10.764</f>
        <v>80.810729999999992</v>
      </c>
      <c r="H237" s="51">
        <f>F237*(($H$161)+1)+(IF(G237&lt;101,G237,IF(G237&lt;201,G237/2,IF(G237&lt;=301,G237/3,G237/4))))</f>
        <v>751.18188600000008</v>
      </c>
      <c r="I237" s="6" t="s">
        <v>234</v>
      </c>
    </row>
    <row r="238" spans="1:9" hidden="1" x14ac:dyDescent="0.3">
      <c r="A238" s="71">
        <v>7</v>
      </c>
      <c r="B238" s="72"/>
      <c r="C238" s="51" t="s">
        <v>169</v>
      </c>
      <c r="D238" s="48">
        <f>(65.28)*10.764</f>
        <v>702.67391999999995</v>
      </c>
      <c r="E238" s="48">
        <f>(1.55+0.75*(3.78+3.05))*10.764</f>
        <v>71.822789999999998</v>
      </c>
      <c r="F238" s="51">
        <f>D238+E238</f>
        <v>774.49670999999989</v>
      </c>
      <c r="G238" s="48">
        <f>(1.5*2.9)*10.764</f>
        <v>46.823399999999992</v>
      </c>
      <c r="H238" s="51">
        <f>F238*(($H$161)+1)+(IF(G238&lt;101,G238,IF(G238&lt;201,G238/2,IF(G238&lt;=301,G238/3,G238/4))))</f>
        <v>1247.2933004999998</v>
      </c>
    </row>
    <row r="239" spans="1:9" ht="14.25" hidden="1" customHeight="1" x14ac:dyDescent="0.3">
      <c r="A239" s="71">
        <v>8</v>
      </c>
      <c r="B239" s="72"/>
      <c r="C239" s="71" t="s">
        <v>216</v>
      </c>
      <c r="D239" s="184"/>
      <c r="E239" s="184"/>
      <c r="F239" s="184"/>
      <c r="G239" s="184"/>
      <c r="H239" s="72"/>
    </row>
    <row r="240" spans="1:9" ht="38.25" hidden="1" customHeight="1" x14ac:dyDescent="0.3">
      <c r="A240" s="203" t="s">
        <v>217</v>
      </c>
      <c r="B240" s="203"/>
      <c r="C240" s="203"/>
      <c r="D240" s="203"/>
      <c r="E240" s="203"/>
      <c r="F240" s="203"/>
      <c r="G240" s="203"/>
      <c r="H240" s="203"/>
    </row>
    <row r="241" spans="1:9" ht="14.25" hidden="1" customHeight="1" x14ac:dyDescent="0.3">
      <c r="A241" s="71">
        <v>1</v>
      </c>
      <c r="B241" s="72"/>
      <c r="C241" s="51" t="s">
        <v>170</v>
      </c>
      <c r="D241" s="48">
        <f>(38.53)*10.764</f>
        <v>414.73692</v>
      </c>
      <c r="E241" s="48">
        <f>(1.54+0.75*(2.9+2.98))*10.764</f>
        <v>64.0458</v>
      </c>
      <c r="F241" s="51">
        <f t="shared" ref="F241:F248" si="22">D241+E241</f>
        <v>478.78271999999998</v>
      </c>
      <c r="G241" s="51">
        <v>0</v>
      </c>
      <c r="H241" s="51">
        <f t="shared" ref="H241:H248" si="23">F241*(($H$161)+1)+(IF(G241&lt;101,G241,IF(G241&lt;201,G241/2,IF(G241&lt;=301,G241/3,G241/4))))</f>
        <v>742.11321599999997</v>
      </c>
    </row>
    <row r="242" spans="1:9" ht="14.25" hidden="1" customHeight="1" x14ac:dyDescent="0.3">
      <c r="A242" s="71">
        <v>2</v>
      </c>
      <c r="B242" s="72"/>
      <c r="C242" s="51" t="s">
        <v>205</v>
      </c>
      <c r="D242" s="48">
        <f>(56.44)*10.764</f>
        <v>607.52015999999992</v>
      </c>
      <c r="E242" s="48">
        <f>(1.51+0.75*(3.05+1.8)+1.5*0.6)*10.764</f>
        <v>65.095289999999991</v>
      </c>
      <c r="F242" s="51">
        <f t="shared" si="22"/>
        <v>672.6154499999999</v>
      </c>
      <c r="G242" s="51">
        <v>0</v>
      </c>
      <c r="H242" s="51">
        <f t="shared" si="23"/>
        <v>1042.5539474999998</v>
      </c>
    </row>
    <row r="243" spans="1:9" ht="14.25" hidden="1" customHeight="1" x14ac:dyDescent="0.3">
      <c r="A243" s="71">
        <v>3</v>
      </c>
      <c r="B243" s="72"/>
      <c r="C243" s="51" t="s">
        <v>205</v>
      </c>
      <c r="D243" s="48">
        <f>(56.44)*10.764</f>
        <v>607.52015999999992</v>
      </c>
      <c r="E243" s="48">
        <f>(1.51+0.75*(3.05+1.8)+1.5*0.6)*10.764</f>
        <v>65.095289999999991</v>
      </c>
      <c r="F243" s="51">
        <f t="shared" si="22"/>
        <v>672.6154499999999</v>
      </c>
      <c r="G243" s="51">
        <v>0</v>
      </c>
      <c r="H243" s="51">
        <f t="shared" si="23"/>
        <v>1042.5539474999998</v>
      </c>
      <c r="I243" s="31">
        <f>2.9*4.45+2.98*3.05+2.1*2.7+0.82*1+1.47*0.6+1.28*2.15+2.1*1.25+1.3*1</f>
        <v>36.042999999999999</v>
      </c>
    </row>
    <row r="244" spans="1:9" ht="14.25" hidden="1" customHeight="1" x14ac:dyDescent="0.3">
      <c r="A244" s="71">
        <v>4</v>
      </c>
      <c r="B244" s="72"/>
      <c r="C244" s="51" t="s">
        <v>170</v>
      </c>
      <c r="D244" s="48">
        <f>(38.33)*10.764</f>
        <v>412.58411999999998</v>
      </c>
      <c r="E244" s="48">
        <f>(1.54+0.75*(2.9+2.98))*10.764</f>
        <v>64.0458</v>
      </c>
      <c r="F244" s="51">
        <f t="shared" si="22"/>
        <v>476.62991999999997</v>
      </c>
      <c r="G244" s="51">
        <v>0</v>
      </c>
      <c r="H244" s="51">
        <f t="shared" si="23"/>
        <v>738.77637600000003</v>
      </c>
    </row>
    <row r="245" spans="1:9" ht="14.25" hidden="1" customHeight="1" x14ac:dyDescent="0.3">
      <c r="A245" s="71">
        <v>5</v>
      </c>
      <c r="B245" s="72"/>
      <c r="C245" s="51" t="s">
        <v>170</v>
      </c>
      <c r="D245" s="48">
        <f>(38.33)*10.764</f>
        <v>412.58411999999998</v>
      </c>
      <c r="E245" s="48">
        <f>(1.54+0.75*(2.9+2.98))*10.764</f>
        <v>64.0458</v>
      </c>
      <c r="F245" s="51">
        <f t="shared" si="22"/>
        <v>476.62991999999997</v>
      </c>
      <c r="G245" s="51">
        <v>0</v>
      </c>
      <c r="H245" s="51">
        <f t="shared" si="23"/>
        <v>738.77637600000003</v>
      </c>
      <c r="I245" s="31">
        <f>3.05*5.47+1.06*2.3+2.1*2.6+2.45*2.55+0.92*0.6+3.05*3.63+2.1*0.6+1.23*2.15*2+2.9</f>
        <v>51.901499999999992</v>
      </c>
    </row>
    <row r="246" spans="1:9" ht="14.25" hidden="1" customHeight="1" x14ac:dyDescent="0.3">
      <c r="A246" s="71">
        <v>6</v>
      </c>
      <c r="B246" s="72"/>
      <c r="C246" s="51" t="s">
        <v>170</v>
      </c>
      <c r="D246" s="48">
        <f>(38.74)*10.764</f>
        <v>416.99736000000001</v>
      </c>
      <c r="E246" s="48">
        <f>(1.44+0.75*(2.9+3.05))*10.764</f>
        <v>63.534509999999997</v>
      </c>
      <c r="F246" s="51">
        <f t="shared" si="22"/>
        <v>480.53187000000003</v>
      </c>
      <c r="G246" s="51">
        <v>0</v>
      </c>
      <c r="H246" s="51">
        <f t="shared" si="23"/>
        <v>744.82439850000003</v>
      </c>
    </row>
    <row r="247" spans="1:9" ht="14.25" hidden="1" customHeight="1" x14ac:dyDescent="0.3">
      <c r="A247" s="71">
        <v>7</v>
      </c>
      <c r="B247" s="72"/>
      <c r="C247" s="51" t="s">
        <v>169</v>
      </c>
      <c r="D247" s="48">
        <f>(65.28)*10.764</f>
        <v>702.67391999999995</v>
      </c>
      <c r="E247" s="48">
        <f>(1.55+0.75*(3.78+3.05+1.6))*10.764</f>
        <v>84.739589999999993</v>
      </c>
      <c r="F247" s="51">
        <f t="shared" si="22"/>
        <v>787.41350999999997</v>
      </c>
      <c r="G247" s="51">
        <v>0</v>
      </c>
      <c r="H247" s="51">
        <f t="shared" si="23"/>
        <v>1220.4909405000001</v>
      </c>
    </row>
    <row r="248" spans="1:9" hidden="1" x14ac:dyDescent="0.3">
      <c r="A248" s="71">
        <v>8</v>
      </c>
      <c r="B248" s="72"/>
      <c r="C248" s="51" t="s">
        <v>169</v>
      </c>
      <c r="D248" s="48">
        <f>(65.28)*10.764</f>
        <v>702.67391999999995</v>
      </c>
      <c r="E248" s="48">
        <f>(1.55+0.75*(3.78+3.05+1.6))*10.764</f>
        <v>84.739589999999993</v>
      </c>
      <c r="F248" s="51">
        <f t="shared" si="22"/>
        <v>787.41350999999997</v>
      </c>
      <c r="G248" s="51">
        <v>0</v>
      </c>
      <c r="H248" s="51">
        <f t="shared" si="23"/>
        <v>1220.4909405000001</v>
      </c>
    </row>
    <row r="249" spans="1:9" hidden="1" x14ac:dyDescent="0.3">
      <c r="A249" s="114" t="s">
        <v>218</v>
      </c>
      <c r="B249" s="114"/>
      <c r="C249" s="114"/>
      <c r="D249" s="114"/>
      <c r="E249" s="114"/>
      <c r="F249" s="114"/>
      <c r="G249" s="114"/>
      <c r="H249" s="114"/>
    </row>
    <row r="250" spans="1:9" hidden="1" x14ac:dyDescent="0.3">
      <c r="A250" s="71">
        <v>1</v>
      </c>
      <c r="B250" s="72"/>
      <c r="C250" s="51" t="s">
        <v>170</v>
      </c>
      <c r="D250" s="48">
        <f>(38.53)*10.764</f>
        <v>414.73692</v>
      </c>
      <c r="E250" s="48">
        <f>(1.54+0.75*(2.9+2.98))*10.764</f>
        <v>64.0458</v>
      </c>
      <c r="F250" s="51">
        <f t="shared" ref="F250:F256" si="24">D250+E250</f>
        <v>478.78271999999998</v>
      </c>
      <c r="G250" s="51">
        <v>0</v>
      </c>
      <c r="H250" s="51">
        <f t="shared" ref="H250:H256" si="25">F250*(($H$161)+1)+(IF(G250&lt;101,G250,IF(G250&lt;201,G250/2,IF(G250&lt;=301,G250/3,G250/4))))</f>
        <v>742.11321599999997</v>
      </c>
    </row>
    <row r="251" spans="1:9" ht="15.75" hidden="1" customHeight="1" x14ac:dyDescent="0.3">
      <c r="A251" s="71">
        <v>2</v>
      </c>
      <c r="B251" s="72"/>
      <c r="C251" s="51" t="s">
        <v>205</v>
      </c>
      <c r="D251" s="48">
        <f>(56.44)*10.764</f>
        <v>607.52015999999992</v>
      </c>
      <c r="E251" s="48">
        <f>(1.51+0.75*(3.05+1.8)+1.5*0.6)*10.764</f>
        <v>65.095289999999991</v>
      </c>
      <c r="F251" s="51">
        <f t="shared" si="24"/>
        <v>672.6154499999999</v>
      </c>
      <c r="G251" s="51">
        <v>0</v>
      </c>
      <c r="H251" s="51">
        <f t="shared" si="25"/>
        <v>1042.5539474999998</v>
      </c>
    </row>
    <row r="252" spans="1:9" hidden="1" x14ac:dyDescent="0.3">
      <c r="A252" s="71">
        <v>3</v>
      </c>
      <c r="B252" s="72"/>
      <c r="C252" s="51" t="s">
        <v>205</v>
      </c>
      <c r="D252" s="48">
        <f>(56.44)*10.764</f>
        <v>607.52015999999992</v>
      </c>
      <c r="E252" s="48">
        <f>(1.51+0.75*(3.05+1.8)+1.5*0.6)*10.764</f>
        <v>65.095289999999991</v>
      </c>
      <c r="F252" s="51">
        <f t="shared" si="24"/>
        <v>672.6154499999999</v>
      </c>
      <c r="G252" s="51">
        <v>0</v>
      </c>
      <c r="H252" s="51">
        <f t="shared" si="25"/>
        <v>1042.5539474999998</v>
      </c>
    </row>
    <row r="253" spans="1:9" hidden="1" x14ac:dyDescent="0.3">
      <c r="A253" s="71">
        <v>4</v>
      </c>
      <c r="B253" s="72"/>
      <c r="C253" s="51" t="s">
        <v>170</v>
      </c>
      <c r="D253" s="48">
        <f>(38.33)*10.764</f>
        <v>412.58411999999998</v>
      </c>
      <c r="E253" s="48">
        <f>(1.54+0.75*(2.9+2.98))*10.764</f>
        <v>64.0458</v>
      </c>
      <c r="F253" s="51">
        <f t="shared" si="24"/>
        <v>476.62991999999997</v>
      </c>
      <c r="G253" s="51">
        <v>0</v>
      </c>
      <c r="H253" s="51">
        <f t="shared" si="25"/>
        <v>738.77637600000003</v>
      </c>
    </row>
    <row r="254" spans="1:9" hidden="1" x14ac:dyDescent="0.3">
      <c r="A254" s="71">
        <v>5</v>
      </c>
      <c r="B254" s="72"/>
      <c r="C254" s="51" t="s">
        <v>170</v>
      </c>
      <c r="D254" s="48">
        <f>(38.33)*10.764</f>
        <v>412.58411999999998</v>
      </c>
      <c r="E254" s="48">
        <f>(1.54+0.75*(2.9+2.98))*10.764</f>
        <v>64.0458</v>
      </c>
      <c r="F254" s="51">
        <f t="shared" si="24"/>
        <v>476.62991999999997</v>
      </c>
      <c r="G254" s="51">
        <v>0</v>
      </c>
      <c r="H254" s="51">
        <f t="shared" si="25"/>
        <v>738.77637600000003</v>
      </c>
    </row>
    <row r="255" spans="1:9" hidden="1" x14ac:dyDescent="0.3">
      <c r="A255" s="71">
        <v>6</v>
      </c>
      <c r="B255" s="72"/>
      <c r="C255" s="51" t="s">
        <v>170</v>
      </c>
      <c r="D255" s="48">
        <f>(38.74)*10.764</f>
        <v>416.99736000000001</v>
      </c>
      <c r="E255" s="48">
        <f>(1.44+0.75*(2.9+3.05))*10.764</f>
        <v>63.534509999999997</v>
      </c>
      <c r="F255" s="51">
        <f t="shared" si="24"/>
        <v>480.53187000000003</v>
      </c>
      <c r="G255" s="51">
        <v>0</v>
      </c>
      <c r="H255" s="51">
        <f t="shared" si="25"/>
        <v>744.82439850000003</v>
      </c>
    </row>
    <row r="256" spans="1:9" hidden="1" x14ac:dyDescent="0.3">
      <c r="A256" s="71">
        <v>7</v>
      </c>
      <c r="B256" s="72"/>
      <c r="C256" s="51" t="s">
        <v>169</v>
      </c>
      <c r="D256" s="48">
        <f>(65.28)*10.764</f>
        <v>702.67391999999995</v>
      </c>
      <c r="E256" s="48">
        <f>(1.55+0.75*(3.78+3.05+1.6))*10.764</f>
        <v>84.739589999999993</v>
      </c>
      <c r="F256" s="51">
        <f t="shared" si="24"/>
        <v>787.41350999999997</v>
      </c>
      <c r="G256" s="51">
        <v>0</v>
      </c>
      <c r="H256" s="51">
        <f t="shared" si="25"/>
        <v>1220.4909405000001</v>
      </c>
    </row>
    <row r="257" spans="1:8" hidden="1" x14ac:dyDescent="0.3">
      <c r="A257" s="71">
        <v>8</v>
      </c>
      <c r="B257" s="72"/>
      <c r="C257" s="71" t="s">
        <v>171</v>
      </c>
      <c r="D257" s="184"/>
      <c r="E257" s="184"/>
      <c r="F257" s="184"/>
      <c r="G257" s="184"/>
      <c r="H257" s="72"/>
    </row>
    <row r="258" spans="1:8" hidden="1" x14ac:dyDescent="0.3">
      <c r="A258" s="203" t="s">
        <v>219</v>
      </c>
      <c r="B258" s="203"/>
      <c r="C258" s="203"/>
      <c r="D258" s="203"/>
      <c r="E258" s="203"/>
      <c r="F258" s="203"/>
      <c r="G258" s="203"/>
      <c r="H258" s="203"/>
    </row>
    <row r="259" spans="1:8" hidden="1" x14ac:dyDescent="0.3">
      <c r="A259" s="71">
        <v>1</v>
      </c>
      <c r="B259" s="72"/>
      <c r="C259" s="185" t="s">
        <v>220</v>
      </c>
      <c r="D259" s="186"/>
      <c r="E259" s="186"/>
      <c r="F259" s="186"/>
      <c r="G259" s="186"/>
      <c r="H259" s="187"/>
    </row>
    <row r="260" spans="1:8" hidden="1" x14ac:dyDescent="0.3">
      <c r="A260" s="71">
        <v>2</v>
      </c>
      <c r="B260" s="72"/>
      <c r="C260" s="188"/>
      <c r="D260" s="189"/>
      <c r="E260" s="189"/>
      <c r="F260" s="189"/>
      <c r="G260" s="189"/>
      <c r="H260" s="190"/>
    </row>
    <row r="261" spans="1:8" hidden="1" x14ac:dyDescent="0.3">
      <c r="A261" s="71">
        <v>3</v>
      </c>
      <c r="B261" s="72"/>
      <c r="C261" s="188"/>
      <c r="D261" s="189"/>
      <c r="E261" s="189"/>
      <c r="F261" s="189"/>
      <c r="G261" s="189"/>
      <c r="H261" s="190"/>
    </row>
    <row r="262" spans="1:8" hidden="1" x14ac:dyDescent="0.3">
      <c r="A262" s="71">
        <v>4</v>
      </c>
      <c r="B262" s="72"/>
      <c r="C262" s="188"/>
      <c r="D262" s="189"/>
      <c r="E262" s="189"/>
      <c r="F262" s="189"/>
      <c r="G262" s="189"/>
      <c r="H262" s="190"/>
    </row>
    <row r="263" spans="1:8" hidden="1" x14ac:dyDescent="0.3">
      <c r="A263" s="71">
        <v>5</v>
      </c>
      <c r="B263" s="72"/>
      <c r="C263" s="188"/>
      <c r="D263" s="189"/>
      <c r="E263" s="189"/>
      <c r="F263" s="189"/>
      <c r="G263" s="189"/>
      <c r="H263" s="190"/>
    </row>
    <row r="264" spans="1:8" hidden="1" x14ac:dyDescent="0.3">
      <c r="A264" s="71">
        <v>6</v>
      </c>
      <c r="B264" s="72"/>
      <c r="C264" s="188"/>
      <c r="D264" s="189"/>
      <c r="E264" s="189"/>
      <c r="F264" s="189"/>
      <c r="G264" s="189"/>
      <c r="H264" s="190"/>
    </row>
    <row r="265" spans="1:8" ht="15" hidden="1" customHeight="1" x14ac:dyDescent="0.3">
      <c r="A265" s="71">
        <v>7</v>
      </c>
      <c r="B265" s="72"/>
      <c r="C265" s="191"/>
      <c r="D265" s="192"/>
      <c r="E265" s="192"/>
      <c r="F265" s="192"/>
      <c r="G265" s="192"/>
      <c r="H265" s="193"/>
    </row>
    <row r="266" spans="1:8" hidden="1" x14ac:dyDescent="0.3">
      <c r="A266" s="71">
        <v>8</v>
      </c>
      <c r="B266" s="72"/>
      <c r="C266" s="71" t="s">
        <v>171</v>
      </c>
      <c r="D266" s="184"/>
      <c r="E266" s="184"/>
      <c r="F266" s="184"/>
      <c r="G266" s="184"/>
      <c r="H266" s="72"/>
    </row>
    <row r="267" spans="1:8" x14ac:dyDescent="0.3">
      <c r="A267" s="113" t="s">
        <v>228</v>
      </c>
      <c r="B267" s="113"/>
      <c r="C267" s="113"/>
      <c r="D267" s="113"/>
      <c r="E267" s="113"/>
      <c r="F267" s="113"/>
      <c r="G267" s="113"/>
      <c r="H267" s="113"/>
    </row>
    <row r="268" spans="1:8" x14ac:dyDescent="0.3">
      <c r="A268" s="100" t="s">
        <v>229</v>
      </c>
      <c r="B268" s="100"/>
      <c r="C268" s="100"/>
      <c r="D268" s="100"/>
      <c r="E268" s="100"/>
      <c r="F268" s="100"/>
      <c r="G268" s="100"/>
      <c r="H268" s="100"/>
    </row>
    <row r="269" spans="1:8" x14ac:dyDescent="0.3">
      <c r="A269" s="137" t="s">
        <v>230</v>
      </c>
      <c r="B269" s="138"/>
      <c r="C269" s="138"/>
      <c r="D269" s="138"/>
      <c r="E269" s="138"/>
      <c r="F269" s="138"/>
      <c r="G269" s="138"/>
      <c r="H269" s="139"/>
    </row>
    <row r="270" spans="1:8" x14ac:dyDescent="0.3">
      <c r="A270" s="137" t="s">
        <v>210</v>
      </c>
      <c r="B270" s="138"/>
      <c r="C270" s="138"/>
      <c r="D270" s="138"/>
      <c r="E270" s="138"/>
      <c r="F270" s="138"/>
      <c r="G270" s="138"/>
      <c r="H270" s="139"/>
    </row>
    <row r="271" spans="1:8" x14ac:dyDescent="0.3">
      <c r="A271" s="137" t="s">
        <v>227</v>
      </c>
      <c r="B271" s="138"/>
      <c r="C271" s="138"/>
      <c r="D271" s="138"/>
      <c r="E271" s="138"/>
      <c r="F271" s="138"/>
      <c r="G271" s="138"/>
      <c r="H271" s="139"/>
    </row>
    <row r="272" spans="1:8" x14ac:dyDescent="0.3">
      <c r="A272" s="71">
        <v>1</v>
      </c>
      <c r="B272" s="72"/>
      <c r="C272" s="185" t="s">
        <v>216</v>
      </c>
      <c r="D272" s="186"/>
      <c r="E272" s="186"/>
      <c r="F272" s="186"/>
      <c r="G272" s="186"/>
      <c r="H272" s="187"/>
    </row>
    <row r="273" spans="1:9" x14ac:dyDescent="0.3">
      <c r="A273" s="71">
        <v>2</v>
      </c>
      <c r="B273" s="72"/>
      <c r="C273" s="191"/>
      <c r="D273" s="192"/>
      <c r="E273" s="192"/>
      <c r="F273" s="192"/>
      <c r="G273" s="192"/>
      <c r="H273" s="193"/>
    </row>
    <row r="274" spans="1:9" x14ac:dyDescent="0.3">
      <c r="A274" s="71">
        <v>3</v>
      </c>
      <c r="B274" s="72"/>
      <c r="C274" s="51" t="s">
        <v>170</v>
      </c>
      <c r="D274" s="48">
        <f>(38.56)*10.764</f>
        <v>415.05984000000001</v>
      </c>
      <c r="E274" s="48">
        <f>(1.44+0.75*(2.9+2.98))*10.764</f>
        <v>62.969399999999993</v>
      </c>
      <c r="F274" s="51">
        <f>D274+E274</f>
        <v>478.02924000000002</v>
      </c>
      <c r="G274" s="51">
        <v>0</v>
      </c>
      <c r="H274" s="51">
        <f>F274*(($H$161)+1)+(IF(G274&lt;101,G274,IF(G274&lt;201,G274/2,IF(G274&lt;=301,G274/3,G274/4))))</f>
        <v>740.94532200000003</v>
      </c>
    </row>
    <row r="275" spans="1:9" x14ac:dyDescent="0.3">
      <c r="A275" s="71">
        <v>4</v>
      </c>
      <c r="B275" s="72"/>
      <c r="C275" s="51" t="s">
        <v>205</v>
      </c>
      <c r="D275" s="48">
        <f>(56.95)*10.764</f>
        <v>613.00980000000004</v>
      </c>
      <c r="E275" s="48">
        <f>(1.72+0.75*(3.05+1.9)+1.5*0.6)*10.764</f>
        <v>68.163029999999992</v>
      </c>
      <c r="F275" s="51">
        <f>D275+E275</f>
        <v>681.17282999999998</v>
      </c>
      <c r="G275" s="51">
        <v>0</v>
      </c>
      <c r="H275" s="51">
        <f>F275*(($H$161)+1)+(IF(G275&lt;101,G275,IF(G275&lt;201,G275/2,IF(G275&lt;=301,G275/3,G275/4))))</f>
        <v>1055.8178865</v>
      </c>
    </row>
    <row r="276" spans="1:9" x14ac:dyDescent="0.3">
      <c r="A276" s="71">
        <v>5</v>
      </c>
      <c r="B276" s="72"/>
      <c r="C276" s="51" t="s">
        <v>170</v>
      </c>
      <c r="D276" s="48">
        <f>(38.56)*10.764</f>
        <v>415.05984000000001</v>
      </c>
      <c r="E276" s="48">
        <f>(1.44+0.75*(2.9+2.98))*10.764</f>
        <v>62.969399999999993</v>
      </c>
      <c r="F276" s="51">
        <f>D276+E276</f>
        <v>478.02924000000002</v>
      </c>
      <c r="G276" s="51">
        <v>0</v>
      </c>
      <c r="H276" s="51">
        <f>F276*(($H$161)+1)+(IF(G276&lt;101,G276,IF(G276&lt;201,G276/2,IF(G276&lt;=301,G276/3,G276/4))))</f>
        <v>740.94532200000003</v>
      </c>
    </row>
    <row r="277" spans="1:9" x14ac:dyDescent="0.3">
      <c r="A277" s="71">
        <v>6</v>
      </c>
      <c r="B277" s="72"/>
      <c r="C277" s="51" t="s">
        <v>205</v>
      </c>
      <c r="D277" s="48">
        <f>(56.25)*10.764</f>
        <v>605.47499999999991</v>
      </c>
      <c r="E277" s="48">
        <f>(1.64+0.75*(2.9+3.05)+1.5*0.6)*10.764</f>
        <v>75.374909999999986</v>
      </c>
      <c r="F277" s="51">
        <f>D277+E277</f>
        <v>680.84990999999991</v>
      </c>
      <c r="G277" s="51">
        <v>0</v>
      </c>
      <c r="H277" s="51">
        <f>F277*(($H$161)+1)+(IF(G277&lt;101,G277,IF(G277&lt;201,G277/2,IF(G277&lt;=301,G277/3,G277/4))))</f>
        <v>1055.3173604999999</v>
      </c>
    </row>
    <row r="278" spans="1:9" x14ac:dyDescent="0.3">
      <c r="A278" s="71">
        <v>7</v>
      </c>
      <c r="B278" s="72"/>
      <c r="C278" s="185" t="s">
        <v>207</v>
      </c>
      <c r="D278" s="186"/>
      <c r="E278" s="186"/>
      <c r="F278" s="186"/>
      <c r="G278" s="186"/>
      <c r="H278" s="187"/>
    </row>
    <row r="279" spans="1:9" x14ac:dyDescent="0.3">
      <c r="A279" s="71">
        <v>8</v>
      </c>
      <c r="B279" s="72"/>
      <c r="C279" s="191"/>
      <c r="D279" s="192"/>
      <c r="E279" s="192"/>
      <c r="F279" s="192"/>
      <c r="G279" s="192"/>
      <c r="H279" s="193"/>
    </row>
    <row r="280" spans="1:9" ht="14.25" customHeight="1" x14ac:dyDescent="0.3">
      <c r="A280" s="114"/>
      <c r="B280" s="114"/>
      <c r="C280" s="114"/>
      <c r="D280" s="114"/>
      <c r="E280" s="114"/>
      <c r="F280" s="114"/>
      <c r="G280" s="114"/>
      <c r="H280" s="114"/>
    </row>
    <row r="281" spans="1:9" ht="14.25" customHeight="1" x14ac:dyDescent="0.3">
      <c r="A281" s="129" t="s">
        <v>67</v>
      </c>
      <c r="B281" s="129"/>
      <c r="C281" s="129"/>
      <c r="D281" s="129"/>
      <c r="E281" s="129"/>
      <c r="F281" s="129"/>
      <c r="G281" s="129"/>
      <c r="H281" s="129"/>
    </row>
    <row r="282" spans="1:9" ht="49.05" customHeight="1" x14ac:dyDescent="0.3">
      <c r="A282" s="47">
        <v>1</v>
      </c>
      <c r="B282" s="118" t="s">
        <v>257</v>
      </c>
      <c r="C282" s="118"/>
      <c r="D282" s="118"/>
      <c r="E282" s="118"/>
      <c r="F282" s="118"/>
      <c r="G282" s="118"/>
      <c r="H282" s="118"/>
      <c r="I282" s="3" t="s">
        <v>238</v>
      </c>
    </row>
    <row r="283" spans="1:9" x14ac:dyDescent="0.3">
      <c r="A283" s="47">
        <f t="shared" ref="A283:A291" si="26">A282+1</f>
        <v>2</v>
      </c>
      <c r="B283" s="119" t="str">
        <f>(IF(H160="Saleable area Loading :","We have considered Saleable area of Flats as per our Calculation.","We considered Saleable area of Flat as per Builder area Sheet."))</f>
        <v>We have considered Saleable area of Flats as per our Calculation.</v>
      </c>
      <c r="C283" s="119"/>
      <c r="D283" s="119"/>
      <c r="E283" s="119"/>
      <c r="F283" s="119"/>
      <c r="G283" s="119"/>
      <c r="H283" s="119"/>
    </row>
    <row r="284" spans="1:9" ht="14.25" customHeight="1" x14ac:dyDescent="0.3">
      <c r="A284" s="47">
        <f t="shared" si="26"/>
        <v>3</v>
      </c>
      <c r="B284" s="64" t="str">
        <f>(IF(H123="Saleable area Loading :","We have considered Saleable area of Commercial as per our Calculation.","We considered Saleable area of Commercial as per Builder area Sheet."))</f>
        <v>We have considered Saleable area of Commercial as per our Calculation.</v>
      </c>
      <c r="C284" s="110"/>
      <c r="D284" s="110"/>
      <c r="E284" s="110"/>
      <c r="F284" s="110"/>
      <c r="G284" s="110"/>
      <c r="H284" s="111"/>
    </row>
    <row r="285" spans="1:9" ht="14.25" customHeight="1" x14ac:dyDescent="0.3">
      <c r="A285" s="47">
        <f>A284+1</f>
        <v>4</v>
      </c>
      <c r="B285" s="64" t="s">
        <v>126</v>
      </c>
      <c r="C285" s="110"/>
      <c r="D285" s="110"/>
      <c r="E285" s="110"/>
      <c r="F285" s="110"/>
      <c r="G285" s="110"/>
      <c r="H285" s="111"/>
    </row>
    <row r="286" spans="1:9" x14ac:dyDescent="0.3">
      <c r="A286" s="47">
        <f t="shared" si="26"/>
        <v>5</v>
      </c>
      <c r="B286" s="64" t="s">
        <v>231</v>
      </c>
      <c r="C286" s="110"/>
      <c r="D286" s="110"/>
      <c r="E286" s="110"/>
      <c r="F286" s="110"/>
      <c r="G286" s="110"/>
      <c r="H286" s="111"/>
    </row>
    <row r="287" spans="1:9" x14ac:dyDescent="0.3">
      <c r="A287" s="47">
        <f t="shared" si="26"/>
        <v>6</v>
      </c>
      <c r="B287" s="107" t="s">
        <v>127</v>
      </c>
      <c r="C287" s="108"/>
      <c r="D287" s="108"/>
      <c r="E287" s="108"/>
      <c r="F287" s="108"/>
      <c r="G287" s="108"/>
      <c r="H287" s="109"/>
    </row>
    <row r="288" spans="1:9" x14ac:dyDescent="0.3">
      <c r="A288" s="47">
        <f t="shared" si="26"/>
        <v>7</v>
      </c>
      <c r="B288" s="107" t="s">
        <v>128</v>
      </c>
      <c r="C288" s="108"/>
      <c r="D288" s="108"/>
      <c r="E288" s="108"/>
      <c r="F288" s="108"/>
      <c r="G288" s="108"/>
      <c r="H288" s="109"/>
    </row>
    <row r="289" spans="1:9" ht="31.5" customHeight="1" x14ac:dyDescent="0.3">
      <c r="A289" s="47">
        <f t="shared" si="26"/>
        <v>8</v>
      </c>
      <c r="B289" s="107" t="s">
        <v>245</v>
      </c>
      <c r="C289" s="108"/>
      <c r="D289" s="108"/>
      <c r="E289" s="108"/>
      <c r="F289" s="108"/>
      <c r="G289" s="108"/>
      <c r="H289" s="109"/>
    </row>
    <row r="290" spans="1:9" ht="33" customHeight="1" x14ac:dyDescent="0.3">
      <c r="A290" s="47">
        <f t="shared" si="26"/>
        <v>9</v>
      </c>
      <c r="B290" s="64" t="s">
        <v>242</v>
      </c>
      <c r="C290" s="65"/>
      <c r="D290" s="65"/>
      <c r="E290" s="65"/>
      <c r="F290" s="65"/>
      <c r="G290" s="65"/>
      <c r="H290" s="66"/>
    </row>
    <row r="291" spans="1:9" ht="31.5" hidden="1" customHeight="1" x14ac:dyDescent="0.3">
      <c r="A291" s="47">
        <f t="shared" si="26"/>
        <v>10</v>
      </c>
      <c r="B291" s="130" t="s">
        <v>241</v>
      </c>
      <c r="C291" s="131"/>
      <c r="D291" s="131"/>
      <c r="E291" s="131"/>
      <c r="F291" s="131"/>
      <c r="G291" s="131"/>
      <c r="H291" s="132"/>
      <c r="I291" t="s">
        <v>240</v>
      </c>
    </row>
    <row r="292" spans="1:9" ht="33" customHeight="1" x14ac:dyDescent="0.3">
      <c r="A292" s="47">
        <v>10</v>
      </c>
      <c r="B292" s="64" t="s">
        <v>246</v>
      </c>
      <c r="C292" s="65"/>
      <c r="D292" s="65"/>
      <c r="E292" s="65"/>
      <c r="F292" s="65"/>
      <c r="G292" s="65"/>
      <c r="H292" s="66"/>
    </row>
    <row r="293" spans="1:9" x14ac:dyDescent="0.3">
      <c r="A293" s="81" t="s">
        <v>60</v>
      </c>
      <c r="B293" s="81"/>
      <c r="C293" s="81"/>
      <c r="D293" s="81"/>
      <c r="E293" s="81"/>
      <c r="F293" s="81"/>
      <c r="G293" s="81"/>
      <c r="H293" s="81"/>
    </row>
    <row r="294" spans="1:9" x14ac:dyDescent="0.3">
      <c r="A294" s="69" t="s">
        <v>61</v>
      </c>
      <c r="B294" s="69"/>
      <c r="C294" s="69"/>
      <c r="D294" s="69"/>
      <c r="E294" s="69"/>
      <c r="F294" s="69"/>
      <c r="G294" s="69"/>
      <c r="H294" s="69"/>
    </row>
    <row r="295" spans="1:9" x14ac:dyDescent="0.3">
      <c r="A295" s="70" t="s">
        <v>62</v>
      </c>
      <c r="B295" s="70"/>
      <c r="C295" s="70"/>
      <c r="D295" s="70"/>
      <c r="E295" s="70"/>
      <c r="F295" s="70"/>
      <c r="G295" s="70"/>
      <c r="H295" s="70"/>
    </row>
    <row r="296" spans="1:9" x14ac:dyDescent="0.3">
      <c r="A296" s="69" t="s">
        <v>63</v>
      </c>
      <c r="B296" s="69"/>
      <c r="C296" s="69"/>
      <c r="D296" s="69"/>
      <c r="E296" s="69"/>
      <c r="F296" s="69"/>
      <c r="G296" s="69"/>
      <c r="H296" s="69"/>
    </row>
    <row r="297" spans="1:9" x14ac:dyDescent="0.3">
      <c r="A297" s="69" t="s">
        <v>64</v>
      </c>
      <c r="B297" s="69"/>
      <c r="C297" s="69"/>
      <c r="D297" s="69"/>
      <c r="E297" s="69"/>
      <c r="F297" s="69"/>
      <c r="G297" s="69"/>
      <c r="H297" s="69"/>
    </row>
    <row r="298" spans="1:9" x14ac:dyDescent="0.3">
      <c r="A298" s="69" t="s">
        <v>129</v>
      </c>
      <c r="B298" s="69"/>
      <c r="C298" s="69"/>
      <c r="D298" s="69"/>
      <c r="E298" s="69"/>
      <c r="F298" s="69"/>
      <c r="G298" s="69"/>
      <c r="H298" s="69"/>
    </row>
    <row r="299" spans="1:9" x14ac:dyDescent="0.3">
      <c r="A299" s="80" t="s">
        <v>130</v>
      </c>
      <c r="B299" s="80"/>
      <c r="C299" s="80"/>
      <c r="D299" s="80"/>
      <c r="E299" s="80"/>
      <c r="F299" s="80"/>
      <c r="G299" s="80"/>
      <c r="H299" s="80"/>
    </row>
    <row r="300" spans="1:9" x14ac:dyDescent="0.3">
      <c r="A300" s="126" t="s">
        <v>78</v>
      </c>
      <c r="B300" s="126"/>
      <c r="C300" s="126" t="s">
        <v>195</v>
      </c>
      <c r="D300" s="126"/>
      <c r="E300" s="126" t="s">
        <v>109</v>
      </c>
      <c r="F300" s="126"/>
      <c r="G300" s="126" t="s">
        <v>256</v>
      </c>
      <c r="H300" s="126"/>
    </row>
    <row r="301" spans="1:9" x14ac:dyDescent="0.3">
      <c r="A301" s="125" t="s">
        <v>80</v>
      </c>
      <c r="B301" s="125"/>
      <c r="C301" s="125"/>
      <c r="D301" s="125"/>
      <c r="E301" s="125"/>
      <c r="F301" s="125"/>
      <c r="G301" s="125"/>
      <c r="H301" s="125"/>
    </row>
    <row r="302" spans="1:9" x14ac:dyDescent="0.3">
      <c r="A302" s="125"/>
      <c r="B302" s="125"/>
      <c r="C302" s="125"/>
      <c r="D302" s="125"/>
      <c r="E302" s="125"/>
      <c r="F302" s="125"/>
      <c r="G302" s="125"/>
      <c r="H302" s="125"/>
    </row>
    <row r="303" spans="1:9" x14ac:dyDescent="0.3">
      <c r="A303" s="125"/>
      <c r="B303" s="125"/>
      <c r="C303" s="125"/>
      <c r="D303" s="125"/>
      <c r="E303" s="125"/>
      <c r="F303" s="125"/>
      <c r="G303" s="125"/>
      <c r="H303" s="125"/>
    </row>
    <row r="304" spans="1:9" x14ac:dyDescent="0.3">
      <c r="A304" s="125"/>
      <c r="B304" s="125"/>
      <c r="C304" s="125"/>
      <c r="D304" s="125"/>
      <c r="E304" s="125"/>
      <c r="F304" s="125"/>
      <c r="G304" s="125"/>
      <c r="H304" s="125"/>
    </row>
    <row r="305" spans="1:8" x14ac:dyDescent="0.3">
      <c r="A305" s="9" t="s">
        <v>65</v>
      </c>
      <c r="B305" s="10"/>
      <c r="C305" s="10"/>
      <c r="D305" s="9" t="str">
        <f>E8</f>
        <v>Vihang Valley</v>
      </c>
      <c r="F305" s="10"/>
      <c r="G305" s="10"/>
      <c r="H305" s="10"/>
    </row>
    <row r="306" spans="1:8" x14ac:dyDescent="0.3">
      <c r="A306" s="10"/>
      <c r="B306" s="10"/>
      <c r="C306" s="10"/>
      <c r="D306" s="10"/>
      <c r="E306" s="10"/>
      <c r="F306" s="10"/>
      <c r="G306" s="10"/>
      <c r="H306" s="10"/>
    </row>
    <row r="307" spans="1:8" x14ac:dyDescent="0.3">
      <c r="A307" s="10"/>
      <c r="B307" s="10"/>
      <c r="C307" s="10"/>
      <c r="D307" s="10"/>
      <c r="E307" s="10"/>
      <c r="F307" s="10"/>
      <c r="G307" s="10"/>
      <c r="H307" s="10"/>
    </row>
    <row r="314" spans="1:8" x14ac:dyDescent="0.3">
      <c r="F314"/>
    </row>
    <row r="346" spans="1:8" x14ac:dyDescent="0.3">
      <c r="A346" s="9" t="s">
        <v>183</v>
      </c>
    </row>
    <row r="347" spans="1:8" x14ac:dyDescent="0.3">
      <c r="B347" s="10"/>
      <c r="C347" s="10"/>
      <c r="D347" s="9"/>
      <c r="F347" s="10"/>
      <c r="G347" s="10"/>
      <c r="H347" s="10"/>
    </row>
    <row r="348" spans="1:8" x14ac:dyDescent="0.3">
      <c r="A348" s="10"/>
      <c r="B348" s="10"/>
      <c r="C348" s="10"/>
      <c r="D348" s="10"/>
      <c r="E348" s="10"/>
      <c r="F348" s="10"/>
      <c r="G348" s="10"/>
      <c r="H348" s="10"/>
    </row>
    <row r="349" spans="1:8" x14ac:dyDescent="0.3">
      <c r="A349" s="10"/>
      <c r="B349" s="10"/>
      <c r="C349" s="10"/>
      <c r="D349" s="10"/>
      <c r="E349" s="10"/>
      <c r="F349" s="10"/>
      <c r="G349" s="10"/>
      <c r="H349" s="10"/>
    </row>
    <row r="389" spans="1:8" x14ac:dyDescent="0.3">
      <c r="A389" s="12" t="s">
        <v>66</v>
      </c>
    </row>
    <row r="391" spans="1:8" x14ac:dyDescent="0.3">
      <c r="B391" s="10"/>
      <c r="C391" s="10"/>
      <c r="D391" s="9"/>
      <c r="F391" s="10"/>
      <c r="G391" s="10"/>
      <c r="H391" s="10"/>
    </row>
    <row r="392" spans="1:8" x14ac:dyDescent="0.3">
      <c r="A392" s="10"/>
      <c r="B392" s="10"/>
      <c r="C392" s="10"/>
      <c r="D392" s="10"/>
      <c r="E392" s="10"/>
      <c r="F392" s="10"/>
      <c r="G392" s="10"/>
      <c r="H392" s="10"/>
    </row>
    <row r="393" spans="1:8" x14ac:dyDescent="0.3">
      <c r="A393" s="10"/>
      <c r="B393" s="10"/>
      <c r="C393" s="10"/>
      <c r="D393" s="10"/>
      <c r="E393" s="10"/>
      <c r="F393" s="10"/>
      <c r="G393" s="10"/>
      <c r="H393" s="10"/>
    </row>
  </sheetData>
  <mergeCells count="472">
    <mergeCell ref="A280:H280"/>
    <mergeCell ref="A109:A111"/>
    <mergeCell ref="A115:A118"/>
    <mergeCell ref="A265:B265"/>
    <mergeCell ref="A266:B266"/>
    <mergeCell ref="C266:H266"/>
    <mergeCell ref="C259:H265"/>
    <mergeCell ref="A267:H267"/>
    <mergeCell ref="A268:H268"/>
    <mergeCell ref="A272:B272"/>
    <mergeCell ref="C272:H273"/>
    <mergeCell ref="A273:B273"/>
    <mergeCell ref="A256:B256"/>
    <mergeCell ref="A257:B257"/>
    <mergeCell ref="C257:H257"/>
    <mergeCell ref="A258:H258"/>
    <mergeCell ref="A259:B259"/>
    <mergeCell ref="A260:B260"/>
    <mergeCell ref="A261:B261"/>
    <mergeCell ref="A262:B262"/>
    <mergeCell ref="A263:B263"/>
    <mergeCell ref="A248:B248"/>
    <mergeCell ref="A249:H249"/>
    <mergeCell ref="A250:B250"/>
    <mergeCell ref="B289:H289"/>
    <mergeCell ref="C111:D111"/>
    <mergeCell ref="E111:F111"/>
    <mergeCell ref="G111:H111"/>
    <mergeCell ref="C117:D117"/>
    <mergeCell ref="E117:F117"/>
    <mergeCell ref="G117:H117"/>
    <mergeCell ref="C118:D118"/>
    <mergeCell ref="E118:F118"/>
    <mergeCell ref="G118:H118"/>
    <mergeCell ref="A120:B120"/>
    <mergeCell ref="C120:D120"/>
    <mergeCell ref="E120:F120"/>
    <mergeCell ref="A274:B274"/>
    <mergeCell ref="A275:B275"/>
    <mergeCell ref="A276:B276"/>
    <mergeCell ref="A277:B277"/>
    <mergeCell ref="A278:B278"/>
    <mergeCell ref="A279:B279"/>
    <mergeCell ref="A269:H269"/>
    <mergeCell ref="A270:H270"/>
    <mergeCell ref="A271:H271"/>
    <mergeCell ref="C278:H279"/>
    <mergeCell ref="A264:B264"/>
    <mergeCell ref="C239:H239"/>
    <mergeCell ref="A251:B251"/>
    <mergeCell ref="A252:B252"/>
    <mergeCell ref="A253:B253"/>
    <mergeCell ref="A254:B254"/>
    <mergeCell ref="A255:B255"/>
    <mergeCell ref="A241:B241"/>
    <mergeCell ref="A242:B242"/>
    <mergeCell ref="A243:B243"/>
    <mergeCell ref="A244:B244"/>
    <mergeCell ref="A245:B245"/>
    <mergeCell ref="A246:B246"/>
    <mergeCell ref="A247:B247"/>
    <mergeCell ref="A240:H240"/>
    <mergeCell ref="A203:B203"/>
    <mergeCell ref="A204:B204"/>
    <mergeCell ref="A205:B205"/>
    <mergeCell ref="A206:B206"/>
    <mergeCell ref="A207:B207"/>
    <mergeCell ref="A231:H231"/>
    <mergeCell ref="A232:B232"/>
    <mergeCell ref="A229:H229"/>
    <mergeCell ref="A230:H230"/>
    <mergeCell ref="C213:H213"/>
    <mergeCell ref="A220:H220"/>
    <mergeCell ref="C222:H222"/>
    <mergeCell ref="A226:B226"/>
    <mergeCell ref="A227:B227"/>
    <mergeCell ref="A209:B209"/>
    <mergeCell ref="A210:B210"/>
    <mergeCell ref="A237:B237"/>
    <mergeCell ref="A238:B238"/>
    <mergeCell ref="A233:B233"/>
    <mergeCell ref="A234:B234"/>
    <mergeCell ref="A235:B235"/>
    <mergeCell ref="A236:B236"/>
    <mergeCell ref="A239:B239"/>
    <mergeCell ref="C232:H233"/>
    <mergeCell ref="A148:B148"/>
    <mergeCell ref="A153:B153"/>
    <mergeCell ref="A154:B154"/>
    <mergeCell ref="A155:B155"/>
    <mergeCell ref="A156:B156"/>
    <mergeCell ref="A177:B177"/>
    <mergeCell ref="A178:B178"/>
    <mergeCell ref="A179:B179"/>
    <mergeCell ref="A180:B180"/>
    <mergeCell ref="A173:H173"/>
    <mergeCell ref="A159:H159"/>
    <mergeCell ref="A170:B170"/>
    <mergeCell ref="A171:B171"/>
    <mergeCell ref="A172:B172"/>
    <mergeCell ref="A165:B165"/>
    <mergeCell ref="A166:B166"/>
    <mergeCell ref="C200:H201"/>
    <mergeCell ref="A194:B194"/>
    <mergeCell ref="A182:H182"/>
    <mergeCell ref="A189:B189"/>
    <mergeCell ref="A190:B190"/>
    <mergeCell ref="C183:H183"/>
    <mergeCell ref="C160:C161"/>
    <mergeCell ref="D160:D161"/>
    <mergeCell ref="E160:E161"/>
    <mergeCell ref="F160:F161"/>
    <mergeCell ref="G160:G161"/>
    <mergeCell ref="A169:B169"/>
    <mergeCell ref="A168:B168"/>
    <mergeCell ref="C165:H168"/>
    <mergeCell ref="A160:A161"/>
    <mergeCell ref="B160:B161"/>
    <mergeCell ref="A174:B174"/>
    <mergeCell ref="A184:B184"/>
    <mergeCell ref="A188:B188"/>
    <mergeCell ref="A163:H163"/>
    <mergeCell ref="A175:B175"/>
    <mergeCell ref="A176:B176"/>
    <mergeCell ref="A162:H162"/>
    <mergeCell ref="A181:B181"/>
    <mergeCell ref="G119:H119"/>
    <mergeCell ref="A195:B195"/>
    <mergeCell ref="A228:B228"/>
    <mergeCell ref="C221:H221"/>
    <mergeCell ref="C223:H228"/>
    <mergeCell ref="A214:B214"/>
    <mergeCell ref="A218:B218"/>
    <mergeCell ref="A219:B219"/>
    <mergeCell ref="A225:B225"/>
    <mergeCell ref="A199:B199"/>
    <mergeCell ref="A196:B196"/>
    <mergeCell ref="A197:B197"/>
    <mergeCell ref="A198:B198"/>
    <mergeCell ref="C194:H195"/>
    <mergeCell ref="A211:H211"/>
    <mergeCell ref="A217:B217"/>
    <mergeCell ref="A201:B201"/>
    <mergeCell ref="A223:B223"/>
    <mergeCell ref="A224:B224"/>
    <mergeCell ref="A216:B216"/>
    <mergeCell ref="A222:B222"/>
    <mergeCell ref="A208:B208"/>
    <mergeCell ref="A202:H202"/>
    <mergeCell ref="A200:B200"/>
    <mergeCell ref="A183:B183"/>
    <mergeCell ref="A149:H149"/>
    <mergeCell ref="A150:H150"/>
    <mergeCell ref="A157:B157"/>
    <mergeCell ref="A158:B158"/>
    <mergeCell ref="A152:H152"/>
    <mergeCell ref="F101:H101"/>
    <mergeCell ref="G120:H120"/>
    <mergeCell ref="A143:B143"/>
    <mergeCell ref="A144:B144"/>
    <mergeCell ref="A146:B146"/>
    <mergeCell ref="A145:B145"/>
    <mergeCell ref="F104:H104"/>
    <mergeCell ref="F102:H102"/>
    <mergeCell ref="G108:H108"/>
    <mergeCell ref="C109:D109"/>
    <mergeCell ref="A125:H125"/>
    <mergeCell ref="A126:H126"/>
    <mergeCell ref="A167:B167"/>
    <mergeCell ref="A119:B119"/>
    <mergeCell ref="C119:D119"/>
    <mergeCell ref="E119:F119"/>
    <mergeCell ref="A147:B147"/>
    <mergeCell ref="A123:A124"/>
    <mergeCell ref="F100:H100"/>
    <mergeCell ref="A101:E101"/>
    <mergeCell ref="A102:E102"/>
    <mergeCell ref="F97:H97"/>
    <mergeCell ref="A97:E97"/>
    <mergeCell ref="A99:E99"/>
    <mergeCell ref="F98:H98"/>
    <mergeCell ref="A98:E98"/>
    <mergeCell ref="G114:H114"/>
    <mergeCell ref="L131:M131"/>
    <mergeCell ref="L130:M130"/>
    <mergeCell ref="L128:M128"/>
    <mergeCell ref="L127:M127"/>
    <mergeCell ref="K126:L126"/>
    <mergeCell ref="L125:M125"/>
    <mergeCell ref="L124:M124"/>
    <mergeCell ref="L129:M129"/>
    <mergeCell ref="L132:M132"/>
    <mergeCell ref="L150:M150"/>
    <mergeCell ref="L151:M151"/>
    <mergeCell ref="L152:M152"/>
    <mergeCell ref="L143:M143"/>
    <mergeCell ref="L144:M144"/>
    <mergeCell ref="K146:L146"/>
    <mergeCell ref="L147:M147"/>
    <mergeCell ref="K148:L148"/>
    <mergeCell ref="L149:M149"/>
    <mergeCell ref="A41:D41"/>
    <mergeCell ref="E41:H41"/>
    <mergeCell ref="E109:F109"/>
    <mergeCell ref="A80:B80"/>
    <mergeCell ref="C80:H80"/>
    <mergeCell ref="A82:B82"/>
    <mergeCell ref="C82:H82"/>
    <mergeCell ref="A83:B83"/>
    <mergeCell ref="E83:F83"/>
    <mergeCell ref="G83:H83"/>
    <mergeCell ref="A84:B84"/>
    <mergeCell ref="E84:F93"/>
    <mergeCell ref="G84:H93"/>
    <mergeCell ref="A85:B85"/>
    <mergeCell ref="A86:B86"/>
    <mergeCell ref="G50:H50"/>
    <mergeCell ref="A51:B51"/>
    <mergeCell ref="C51:E51"/>
    <mergeCell ref="E42:H42"/>
    <mergeCell ref="E43:H43"/>
    <mergeCell ref="E44:H44"/>
    <mergeCell ref="A42:D42"/>
    <mergeCell ref="A43:D43"/>
    <mergeCell ref="A44:D44"/>
    <mergeCell ref="A39:D39"/>
    <mergeCell ref="E39:H39"/>
    <mergeCell ref="F31:H31"/>
    <mergeCell ref="F32:H32"/>
    <mergeCell ref="C30:E30"/>
    <mergeCell ref="F33:H33"/>
    <mergeCell ref="F34:H34"/>
    <mergeCell ref="F30:H30"/>
    <mergeCell ref="A31:B31"/>
    <mergeCell ref="A30:B30"/>
    <mergeCell ref="C31:E31"/>
    <mergeCell ref="A32:B32"/>
    <mergeCell ref="C32:E32"/>
    <mergeCell ref="A35:H35"/>
    <mergeCell ref="A34:B34"/>
    <mergeCell ref="A38:H38"/>
    <mergeCell ref="C34:E34"/>
    <mergeCell ref="A36:B36"/>
    <mergeCell ref="C36:H36"/>
    <mergeCell ref="A37:B37"/>
    <mergeCell ref="C37:H37"/>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1:H1"/>
    <mergeCell ref="A2:H2"/>
    <mergeCell ref="A3:D3"/>
    <mergeCell ref="E3:H3"/>
    <mergeCell ref="A4:D4"/>
    <mergeCell ref="A8:D8"/>
    <mergeCell ref="E8:H8"/>
    <mergeCell ref="A9:D9"/>
    <mergeCell ref="E9:H9"/>
    <mergeCell ref="E4:H4"/>
    <mergeCell ref="A45:H45"/>
    <mergeCell ref="D62:H62"/>
    <mergeCell ref="A65:C65"/>
    <mergeCell ref="D65:H65"/>
    <mergeCell ref="A63:C63"/>
    <mergeCell ref="D63:H63"/>
    <mergeCell ref="A59:C59"/>
    <mergeCell ref="A60:C60"/>
    <mergeCell ref="D59:H59"/>
    <mergeCell ref="C46:E46"/>
    <mergeCell ref="G46:H46"/>
    <mergeCell ref="C47:E47"/>
    <mergeCell ref="D56:H56"/>
    <mergeCell ref="A56:C56"/>
    <mergeCell ref="G47:H47"/>
    <mergeCell ref="A48:B49"/>
    <mergeCell ref="A50:B50"/>
    <mergeCell ref="C50:E50"/>
    <mergeCell ref="A62:C62"/>
    <mergeCell ref="C49:H49"/>
    <mergeCell ref="G48:H48"/>
    <mergeCell ref="D54:H54"/>
    <mergeCell ref="D58:H58"/>
    <mergeCell ref="A47:B47"/>
    <mergeCell ref="B285:H285"/>
    <mergeCell ref="B286:H286"/>
    <mergeCell ref="A212:B212"/>
    <mergeCell ref="A213:B213"/>
    <mergeCell ref="C123:C124"/>
    <mergeCell ref="D123:D124"/>
    <mergeCell ref="E123:E124"/>
    <mergeCell ref="F123:F124"/>
    <mergeCell ref="G123:G124"/>
    <mergeCell ref="A151:H151"/>
    <mergeCell ref="A133:B133"/>
    <mergeCell ref="A134:B134"/>
    <mergeCell ref="A135:B135"/>
    <mergeCell ref="A128:B128"/>
    <mergeCell ref="A129:B129"/>
    <mergeCell ref="A130:B130"/>
    <mergeCell ref="A131:B131"/>
    <mergeCell ref="A127:H127"/>
    <mergeCell ref="A137:H137"/>
    <mergeCell ref="A138:H138"/>
    <mergeCell ref="A139:H139"/>
    <mergeCell ref="A140:B140"/>
    <mergeCell ref="A141:B141"/>
    <mergeCell ref="A142:B142"/>
    <mergeCell ref="A301:H304"/>
    <mergeCell ref="A300:B300"/>
    <mergeCell ref="E300:F300"/>
    <mergeCell ref="C300:D300"/>
    <mergeCell ref="G300:H300"/>
    <mergeCell ref="A107:H107"/>
    <mergeCell ref="A105:E105"/>
    <mergeCell ref="F105:H105"/>
    <mergeCell ref="A106:E106"/>
    <mergeCell ref="F106:H106"/>
    <mergeCell ref="A164:H164"/>
    <mergeCell ref="A296:H296"/>
    <mergeCell ref="A113:H113"/>
    <mergeCell ref="A299:H299"/>
    <mergeCell ref="A297:H297"/>
    <mergeCell ref="A281:H281"/>
    <mergeCell ref="A186:B186"/>
    <mergeCell ref="B290:H290"/>
    <mergeCell ref="A132:B132"/>
    <mergeCell ref="E114:F114"/>
    <mergeCell ref="B288:H288"/>
    <mergeCell ref="B291:H291"/>
    <mergeCell ref="A294:H294"/>
    <mergeCell ref="B123:B124"/>
    <mergeCell ref="A53:H53"/>
    <mergeCell ref="A54:C54"/>
    <mergeCell ref="A55:C55"/>
    <mergeCell ref="D55:H55"/>
    <mergeCell ref="A57:C58"/>
    <mergeCell ref="D57:H57"/>
    <mergeCell ref="A61:C61"/>
    <mergeCell ref="D61:H61"/>
    <mergeCell ref="D60:H60"/>
    <mergeCell ref="A87:B87"/>
    <mergeCell ref="A88:B88"/>
    <mergeCell ref="A89:B89"/>
    <mergeCell ref="A90:B90"/>
    <mergeCell ref="A136:B136"/>
    <mergeCell ref="E108:F108"/>
    <mergeCell ref="A121:H121"/>
    <mergeCell ref="A108:B108"/>
    <mergeCell ref="C108:D108"/>
    <mergeCell ref="A122:H122"/>
    <mergeCell ref="G115:H115"/>
    <mergeCell ref="A112:B112"/>
    <mergeCell ref="A95:E95"/>
    <mergeCell ref="F96:H96"/>
    <mergeCell ref="A103:E103"/>
    <mergeCell ref="C110:D110"/>
    <mergeCell ref="E110:F110"/>
    <mergeCell ref="G110:H110"/>
    <mergeCell ref="C116:D116"/>
    <mergeCell ref="E116:F116"/>
    <mergeCell ref="G116:H116"/>
    <mergeCell ref="F99:H99"/>
    <mergeCell ref="F103:H103"/>
    <mergeCell ref="A100:E100"/>
    <mergeCell ref="A192:H192"/>
    <mergeCell ref="A96:E96"/>
    <mergeCell ref="A104:E104"/>
    <mergeCell ref="G51:H51"/>
    <mergeCell ref="A52:H52"/>
    <mergeCell ref="C48:E48"/>
    <mergeCell ref="B287:H287"/>
    <mergeCell ref="B284:H284"/>
    <mergeCell ref="A187:B187"/>
    <mergeCell ref="C115:D115"/>
    <mergeCell ref="E115:F115"/>
    <mergeCell ref="A91:B91"/>
    <mergeCell ref="A92:B92"/>
    <mergeCell ref="A93:B93"/>
    <mergeCell ref="A191:H191"/>
    <mergeCell ref="A193:H193"/>
    <mergeCell ref="A215:B215"/>
    <mergeCell ref="C112:D112"/>
    <mergeCell ref="E112:F112"/>
    <mergeCell ref="G112:H112"/>
    <mergeCell ref="A221:B221"/>
    <mergeCell ref="B282:H282"/>
    <mergeCell ref="B283:H283"/>
    <mergeCell ref="C114:D114"/>
    <mergeCell ref="E69:F69"/>
    <mergeCell ref="E70:F79"/>
    <mergeCell ref="G70:H79"/>
    <mergeCell ref="A78:B78"/>
    <mergeCell ref="A79:B79"/>
    <mergeCell ref="A76:B76"/>
    <mergeCell ref="A69:B69"/>
    <mergeCell ref="A72:B72"/>
    <mergeCell ref="A77:B77"/>
    <mergeCell ref="B292:H292"/>
    <mergeCell ref="E40:H40"/>
    <mergeCell ref="A40:D40"/>
    <mergeCell ref="A298:H298"/>
    <mergeCell ref="A295:H295"/>
    <mergeCell ref="A185:B185"/>
    <mergeCell ref="A114:B114"/>
    <mergeCell ref="A75:B75"/>
    <mergeCell ref="F95:H95"/>
    <mergeCell ref="A94:H94"/>
    <mergeCell ref="G109:H109"/>
    <mergeCell ref="A46:B46"/>
    <mergeCell ref="A293:H293"/>
    <mergeCell ref="A64:C64"/>
    <mergeCell ref="D64:H64"/>
    <mergeCell ref="A70:B70"/>
    <mergeCell ref="G69:H69"/>
    <mergeCell ref="A68:B68"/>
    <mergeCell ref="A66:B66"/>
    <mergeCell ref="C66:H66"/>
    <mergeCell ref="A74:B74"/>
    <mergeCell ref="C68:H68"/>
    <mergeCell ref="A71:B71"/>
    <mergeCell ref="A73:B73"/>
  </mergeCells>
  <dataValidations disablePrompts="1" count="5">
    <dataValidation type="list" allowBlank="1" showInputMessage="1" showErrorMessage="1" sqref="H124 H161" xr:uid="{00000000-0002-0000-0000-000000000000}">
      <formula1>".45,.50,.55,.60"</formula1>
    </dataValidation>
    <dataValidation type="list" allowBlank="1" showInputMessage="1" showErrorMessage="1" sqref="B123:B124" xr:uid="{00000000-0002-0000-0000-000001000000}">
      <formula1>"Shop No. (Sale Plan),Sale / Rehab,Sale / Mhada"</formula1>
    </dataValidation>
    <dataValidation type="list" allowBlank="1" showInputMessage="1" showErrorMessage="1" sqref="E123:E124" xr:uid="{00000000-0002-0000-0000-000002000000}">
      <formula1>"Attached Loft area,Attached Otla area,Attached Mezzanine area"</formula1>
    </dataValidation>
    <dataValidation type="list" allowBlank="1" showInputMessage="1" showErrorMessage="1" sqref="E160:E161" xr:uid="{00000000-0002-0000-0000-000003000000}">
      <formula1>"Fungible area,Balcony Area,Chajja + Dry Balcony Area,Cornice Area,AP Area,WS Area"</formula1>
    </dataValidation>
    <dataValidation type="list" allowBlank="1" showInputMessage="1" showErrorMessage="1" sqref="B160:B161" xr:uid="{00000000-0002-0000-0000-000004000000}">
      <formula1>"Flat No. (Sale Plan),Sale / Rehab,Sale / Mhada"</formula1>
    </dataValidation>
  </dataValidations>
  <hyperlinks>
    <hyperlink ref="C37" r:id="rId1" xr:uid="{00000000-0004-0000-0000-000000000000}"/>
    <hyperlink ref="I59" r:id="rId2" xr:uid="{00000000-0004-0000-0000-000001000000}"/>
  </hyperlinks>
  <printOptions horizontalCentered="1"/>
  <pageMargins left="0.39370078740157483" right="0.39370078740157483" top="0.78740157480314965" bottom="0.78740157480314965" header="0.19685039370078741" footer="0.19685039370078741"/>
  <pageSetup fitToHeight="0" orientation="portrait" r:id="rId3"/>
  <headerFooter>
    <oddHeader>&amp;C&amp;G</oddHeader>
    <oddFooter>&amp;L&amp;"Times New Roman,Bold"&amp;12Ref No: &amp;F&amp;C&amp;G&amp;R&amp;"Times New Roman,Bold"&amp;12&amp;P</oddFooter>
  </headerFooter>
  <rowBreaks count="3" manualBreakCount="3">
    <brk id="304" max="7" man="1"/>
    <brk id="345" max="7" man="1"/>
    <brk id="388" max="7" man="1"/>
  </rowBreaks>
  <ignoredErrors>
    <ignoredError sqref="F210:H210 F203:H203 F204:H204 F205:H205 F206:H206 F207:H207 F208:H208 F209:H209" unlockedFormula="1"/>
  </ignoredError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7734375" defaultRowHeight="14.4" x14ac:dyDescent="0.3"/>
  <cols>
    <col min="1" max="1" width="8.77734375" style="17"/>
    <col min="2" max="2" width="22.21875" style="17" customWidth="1"/>
    <col min="3" max="3" width="37" style="17" customWidth="1"/>
    <col min="4" max="5" width="11.44140625" style="17" customWidth="1"/>
    <col min="6" max="6" width="14" style="17" customWidth="1"/>
    <col min="7" max="7" width="20" style="17" customWidth="1"/>
    <col min="8" max="8" width="16.44140625" style="17" customWidth="1"/>
    <col min="9" max="16384" width="8.77734375" style="17"/>
  </cols>
  <sheetData>
    <row r="1" spans="1:9" ht="15" customHeight="1" x14ac:dyDescent="0.3"/>
    <row r="2" spans="1:9" ht="15" customHeight="1" x14ac:dyDescent="0.3">
      <c r="A2" s="18"/>
      <c r="B2" s="18"/>
      <c r="C2" s="18"/>
      <c r="D2" s="18"/>
      <c r="E2" s="18"/>
      <c r="F2" s="18"/>
      <c r="G2" s="18"/>
      <c r="H2" s="18"/>
    </row>
    <row r="3" spans="1:9" ht="15.75" customHeight="1" x14ac:dyDescent="0.3">
      <c r="A3" s="18"/>
      <c r="B3" s="207" t="s">
        <v>110</v>
      </c>
      <c r="C3" s="207"/>
      <c r="D3" s="207"/>
      <c r="E3" s="207"/>
      <c r="F3" s="207"/>
      <c r="G3" s="207"/>
      <c r="H3" s="207"/>
    </row>
    <row r="4" spans="1:9" x14ac:dyDescent="0.3">
      <c r="A4" s="18"/>
      <c r="B4" s="19" t="s">
        <v>111</v>
      </c>
      <c r="C4" s="19" t="s">
        <v>112</v>
      </c>
      <c r="D4" s="19" t="s">
        <v>68</v>
      </c>
      <c r="E4" s="19" t="s">
        <v>113</v>
      </c>
      <c r="F4" s="19" t="s">
        <v>119</v>
      </c>
      <c r="G4" s="19" t="s">
        <v>120</v>
      </c>
      <c r="H4" s="19" t="s">
        <v>114</v>
      </c>
    </row>
    <row r="5" spans="1:9" ht="15" customHeight="1" x14ac:dyDescent="0.3">
      <c r="A5" s="18"/>
      <c r="B5" s="21" t="s">
        <v>115</v>
      </c>
      <c r="C5" s="22"/>
      <c r="D5" s="21"/>
      <c r="E5" s="21"/>
      <c r="F5" s="23">
        <f>E5*1.6</f>
        <v>0</v>
      </c>
      <c r="G5" s="23" t="e">
        <f>H5/F5</f>
        <v>#DIV/0!</v>
      </c>
      <c r="H5" s="24"/>
    </row>
    <row r="6" spans="1:9" x14ac:dyDescent="0.3">
      <c r="A6" s="18"/>
      <c r="B6" s="21" t="s">
        <v>115</v>
      </c>
      <c r="C6" s="25"/>
      <c r="D6" s="21"/>
      <c r="E6" s="21"/>
      <c r="F6" s="23">
        <f t="shared" ref="F6:F11" si="0">E6*1.6</f>
        <v>0</v>
      </c>
      <c r="G6" s="23" t="e">
        <f t="shared" ref="G6:G11" si="1">H6/F6</f>
        <v>#DIV/0!</v>
      </c>
      <c r="H6" s="24"/>
    </row>
    <row r="7" spans="1:9" ht="15" customHeight="1" x14ac:dyDescent="0.3">
      <c r="A7" s="18"/>
      <c r="B7" s="21" t="s">
        <v>115</v>
      </c>
      <c r="C7" s="22"/>
      <c r="D7" s="21"/>
      <c r="E7" s="21"/>
      <c r="F7" s="23">
        <f t="shared" si="0"/>
        <v>0</v>
      </c>
      <c r="G7" s="23" t="e">
        <f t="shared" si="1"/>
        <v>#DIV/0!</v>
      </c>
      <c r="H7" s="24"/>
    </row>
    <row r="8" spans="1:9" x14ac:dyDescent="0.3">
      <c r="A8" s="18"/>
      <c r="B8" s="21" t="s">
        <v>115</v>
      </c>
      <c r="C8" s="25"/>
      <c r="D8" s="21"/>
      <c r="E8" s="21"/>
      <c r="F8" s="23">
        <f t="shared" si="0"/>
        <v>0</v>
      </c>
      <c r="G8" s="23" t="e">
        <f t="shared" si="1"/>
        <v>#DIV/0!</v>
      </c>
      <c r="H8" s="24"/>
    </row>
    <row r="9" spans="1:9" ht="15" customHeight="1" x14ac:dyDescent="0.3">
      <c r="A9" s="18"/>
      <c r="B9" s="21" t="s">
        <v>115</v>
      </c>
      <c r="C9" s="25"/>
      <c r="D9" s="21"/>
      <c r="E9" s="21"/>
      <c r="F9" s="23">
        <f t="shared" si="0"/>
        <v>0</v>
      </c>
      <c r="G9" s="23" t="e">
        <f t="shared" si="1"/>
        <v>#DIV/0!</v>
      </c>
      <c r="H9" s="24"/>
    </row>
    <row r="10" spans="1:9" ht="15" customHeight="1" x14ac:dyDescent="0.3">
      <c r="A10" s="18"/>
      <c r="B10" s="21" t="s">
        <v>116</v>
      </c>
      <c r="C10" s="22"/>
      <c r="D10" s="21"/>
      <c r="E10" s="21"/>
      <c r="F10" s="23">
        <f t="shared" si="0"/>
        <v>0</v>
      </c>
      <c r="G10" s="23" t="e">
        <f t="shared" si="1"/>
        <v>#DIV/0!</v>
      </c>
      <c r="H10" s="24"/>
    </row>
    <row r="11" spans="1:9" ht="15" customHeight="1" x14ac:dyDescent="0.3">
      <c r="A11" s="18"/>
      <c r="B11" s="21" t="s">
        <v>116</v>
      </c>
      <c r="C11" s="22"/>
      <c r="D11" s="21"/>
      <c r="E11" s="21"/>
      <c r="F11" s="23">
        <f t="shared" si="0"/>
        <v>0</v>
      </c>
      <c r="G11" s="23" t="e">
        <f t="shared" si="1"/>
        <v>#DIV/0!</v>
      </c>
      <c r="H11" s="24"/>
    </row>
    <row r="12" spans="1:9" ht="15" customHeight="1" x14ac:dyDescent="0.3">
      <c r="A12" s="18"/>
      <c r="B12" s="26" t="s">
        <v>117</v>
      </c>
      <c r="C12" s="21"/>
      <c r="D12" s="21"/>
      <c r="E12" s="21"/>
      <c r="F12" s="21"/>
      <c r="G12" s="27" t="e">
        <f>AVERAGE(G5:G11)</f>
        <v>#DIV/0!</v>
      </c>
      <c r="H12" s="21"/>
    </row>
    <row r="13" spans="1:9" ht="15" customHeight="1" x14ac:dyDescent="0.3">
      <c r="B13" s="26" t="s">
        <v>118</v>
      </c>
      <c r="C13" s="21"/>
      <c r="D13" s="21"/>
      <c r="E13" s="21"/>
      <c r="F13" s="28"/>
      <c r="G13" s="26"/>
      <c r="H13" s="26"/>
      <c r="I13" s="20"/>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topLeftCell="A10" zoomScale="70" zoomScaleNormal="70" workbookViewId="0">
      <selection activeCell="G24" sqref="G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2025-07-09T11:05:03Z</cp:lastPrinted>
  <dcterms:created xsi:type="dcterms:W3CDTF">2019-07-16T09:29:46Z</dcterms:created>
  <dcterms:modified xsi:type="dcterms:W3CDTF">2025-07-09T11:05:57Z</dcterms:modified>
</cp:coreProperties>
</file>