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July 25\Axis\Dump\"/>
    </mc:Choice>
  </mc:AlternateContent>
  <xr:revisionPtr revIDLastSave="0" documentId="13_ncr:1_{742E351F-2D4E-4ED6-AED6-5885484A2B27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C75" i="1"/>
  <c r="C103" i="1"/>
  <c r="C104" i="1" s="1"/>
  <c r="J108" i="1" l="1"/>
  <c r="J107" i="1"/>
  <c r="J106" i="1"/>
  <c r="J93" i="1" l="1"/>
  <c r="J92" i="1"/>
  <c r="C49" i="1"/>
  <c r="D189" i="1"/>
  <c r="D188" i="1"/>
  <c r="D194" i="1"/>
  <c r="D193" i="1"/>
  <c r="D192" i="1"/>
  <c r="D191" i="1"/>
  <c r="D190" i="1"/>
  <c r="D186" i="1"/>
  <c r="D185" i="1"/>
  <c r="D184" i="1"/>
  <c r="D183" i="1"/>
  <c r="D182" i="1"/>
  <c r="D181" i="1"/>
  <c r="D180" i="1"/>
  <c r="D140" i="1"/>
  <c r="E123" i="1" l="1"/>
  <c r="C123" i="1"/>
  <c r="D150" i="1"/>
  <c r="D149" i="1"/>
  <c r="D148" i="1"/>
  <c r="D147" i="1"/>
  <c r="D146" i="1"/>
  <c r="D144" i="1"/>
  <c r="D143" i="1"/>
  <c r="D141" i="1" l="1"/>
  <c r="F141" i="1" s="1"/>
  <c r="F140" i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50" i="1"/>
  <c r="F149" i="1"/>
  <c r="F148" i="1"/>
  <c r="F147" i="1"/>
  <c r="A147" i="1"/>
  <c r="A148" i="1" s="1"/>
  <c r="A149" i="1" s="1"/>
  <c r="A150" i="1" s="1"/>
  <c r="F146" i="1"/>
  <c r="F144" i="1"/>
  <c r="I143" i="1"/>
  <c r="G143" i="1"/>
  <c r="F143" i="1"/>
  <c r="I135" i="1"/>
  <c r="K134" i="1"/>
  <c r="J134" i="1"/>
  <c r="I134" i="1"/>
  <c r="G134" i="1"/>
  <c r="P134" i="1"/>
  <c r="O134" i="1"/>
  <c r="F134" i="1" l="1"/>
  <c r="E121" i="1"/>
  <c r="C121" i="1"/>
  <c r="N134" i="1"/>
  <c r="O135" i="1"/>
  <c r="P135" i="1"/>
  <c r="P136" i="1" s="1"/>
  <c r="P137" i="1" s="1"/>
  <c r="P138" i="1" s="1"/>
  <c r="F194" i="1"/>
  <c r="F193" i="1"/>
  <c r="F192" i="1"/>
  <c r="F191" i="1"/>
  <c r="F190" i="1"/>
  <c r="F189" i="1"/>
  <c r="F188" i="1"/>
  <c r="F186" i="1"/>
  <c r="F185" i="1"/>
  <c r="F184" i="1"/>
  <c r="F183" i="1"/>
  <c r="F182" i="1"/>
  <c r="F181" i="1"/>
  <c r="F180" i="1"/>
  <c r="I181" i="1"/>
  <c r="K180" i="1"/>
  <c r="I180" i="1"/>
  <c r="J180" i="1"/>
  <c r="I188" i="1"/>
  <c r="A191" i="1"/>
  <c r="A192" i="1" s="1"/>
  <c r="A193" i="1" s="1"/>
  <c r="A194" i="1" s="1"/>
  <c r="G188" i="1"/>
  <c r="G180" i="1"/>
  <c r="O180" i="1"/>
  <c r="P180" i="1"/>
  <c r="G121" i="1" l="1"/>
  <c r="M134" i="1"/>
  <c r="G123" i="1"/>
  <c r="P139" i="1"/>
  <c r="P141" i="1" s="1"/>
  <c r="P140" i="1"/>
  <c r="N135" i="1"/>
  <c r="O136" i="1"/>
  <c r="N180" i="1"/>
  <c r="O181" i="1"/>
  <c r="P181" i="1"/>
  <c r="P182" i="1" s="1"/>
  <c r="P183" i="1" s="1"/>
  <c r="P184" i="1" s="1"/>
  <c r="P185" i="1" s="1"/>
  <c r="P186" i="1" s="1"/>
  <c r="G41" i="1"/>
  <c r="G42" i="1" s="1"/>
  <c r="G166" i="1"/>
  <c r="G157" i="1"/>
  <c r="D173" i="1"/>
  <c r="F173" i="1" s="1"/>
  <c r="D172" i="1"/>
  <c r="F172" i="1" s="1"/>
  <c r="J172" i="1" s="1"/>
  <c r="D171" i="1"/>
  <c r="D170" i="1"/>
  <c r="D169" i="1"/>
  <c r="D167" i="1"/>
  <c r="D166" i="1"/>
  <c r="D164" i="1"/>
  <c r="F164" i="1" s="1"/>
  <c r="D163" i="1"/>
  <c r="F163" i="1" s="1"/>
  <c r="J163" i="1" s="1"/>
  <c r="D162" i="1"/>
  <c r="D161" i="1"/>
  <c r="D160" i="1"/>
  <c r="D159" i="1"/>
  <c r="D158" i="1"/>
  <c r="D157" i="1"/>
  <c r="E122" i="1" l="1"/>
  <c r="E124" i="1" s="1"/>
  <c r="C122" i="1"/>
  <c r="C124" i="1" s="1"/>
  <c r="N136" i="1"/>
  <c r="O137" i="1"/>
  <c r="N181" i="1"/>
  <c r="O182" i="1"/>
  <c r="C14" i="1"/>
  <c r="N137" i="1" l="1"/>
  <c r="O138" i="1"/>
  <c r="O140" i="1" s="1"/>
  <c r="N140" i="1" s="1"/>
  <c r="N182" i="1"/>
  <c r="O183" i="1"/>
  <c r="F162" i="1"/>
  <c r="J162" i="1" s="1"/>
  <c r="F161" i="1"/>
  <c r="F160" i="1"/>
  <c r="F159" i="1"/>
  <c r="J159" i="1" s="1"/>
  <c r="F158" i="1"/>
  <c r="J158" i="1" s="1"/>
  <c r="F157" i="1"/>
  <c r="F171" i="1"/>
  <c r="J171" i="1" s="1"/>
  <c r="F170" i="1"/>
  <c r="F169" i="1"/>
  <c r="F167" i="1"/>
  <c r="F166" i="1"/>
  <c r="P157" i="1"/>
  <c r="O157" i="1"/>
  <c r="G122" i="1" l="1"/>
  <c r="G124" i="1" s="1"/>
  <c r="O139" i="1"/>
  <c r="N138" i="1"/>
  <c r="O184" i="1"/>
  <c r="N183" i="1"/>
  <c r="B199" i="1"/>
  <c r="N139" i="1" l="1"/>
  <c r="O141" i="1"/>
  <c r="N141" i="1" s="1"/>
  <c r="N184" i="1"/>
  <c r="O185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1" i="1"/>
  <c r="A199" i="1"/>
  <c r="A168" i="1"/>
  <c r="A169" i="1" s="1"/>
  <c r="A170" i="1" s="1"/>
  <c r="A171" i="1" s="1"/>
  <c r="A172" i="1" s="1"/>
  <c r="A173" i="1" s="1"/>
  <c r="F118" i="1"/>
  <c r="J79" i="1"/>
  <c r="J78" i="1"/>
  <c r="C68" i="1"/>
  <c r="D62" i="1"/>
  <c r="D56" i="1"/>
  <c r="E41" i="1"/>
  <c r="E42" i="1" s="1"/>
  <c r="E25" i="1"/>
  <c r="E23" i="1"/>
  <c r="E7" i="1"/>
  <c r="E3" i="1"/>
  <c r="H69" i="1"/>
  <c r="N185" i="1" l="1"/>
  <c r="O186" i="1"/>
  <c r="D74" i="1"/>
  <c r="J72" i="1"/>
  <c r="D81" i="1"/>
  <c r="D79" i="1"/>
  <c r="D77" i="1"/>
  <c r="D75" i="1"/>
  <c r="J73" i="1"/>
  <c r="C72" i="1" s="1"/>
  <c r="J71" i="1"/>
  <c r="J74" i="1"/>
  <c r="J75" i="1" s="1"/>
  <c r="J80" i="1" s="1"/>
  <c r="D80" i="1"/>
  <c r="D76" i="1"/>
  <c r="D78" i="1"/>
  <c r="N157" i="1"/>
  <c r="O158" i="1"/>
  <c r="P158" i="1"/>
  <c r="P159" i="1" s="1"/>
  <c r="P160" i="1" s="1"/>
  <c r="P161" i="1" s="1"/>
  <c r="P162" i="1" s="1"/>
  <c r="P163" i="1" s="1"/>
  <c r="P164" i="1" s="1"/>
  <c r="H97" i="1"/>
  <c r="J102" i="1" l="1"/>
  <c r="J103" i="1" s="1"/>
  <c r="J104" i="1" s="1"/>
  <c r="J105" i="1" s="1"/>
  <c r="J109" i="1" s="1"/>
  <c r="C101" i="1" s="1"/>
  <c r="D108" i="1"/>
  <c r="D106" i="1"/>
  <c r="D104" i="1"/>
  <c r="D102" i="1"/>
  <c r="J100" i="1"/>
  <c r="J101" i="1"/>
  <c r="C100" i="1" s="1"/>
  <c r="D100" i="1" s="1"/>
  <c r="J99" i="1"/>
  <c r="D109" i="1"/>
  <c r="D107" i="1"/>
  <c r="D105" i="1"/>
  <c r="D103" i="1"/>
  <c r="J76" i="1"/>
  <c r="N186" i="1"/>
  <c r="D72" i="1"/>
  <c r="A201" i="1"/>
  <c r="A202" i="1" s="1"/>
  <c r="A203" i="1" s="1"/>
  <c r="N158" i="1"/>
  <c r="O159" i="1"/>
  <c r="H83" i="1"/>
  <c r="E100" i="1" l="1"/>
  <c r="I96" i="1" s="1"/>
  <c r="C98" i="1" s="1"/>
  <c r="D101" i="1"/>
  <c r="G100" i="1"/>
  <c r="J77" i="1"/>
  <c r="A204" i="1"/>
  <c r="A206" i="1" s="1"/>
  <c r="A205" i="1"/>
  <c r="J86" i="1"/>
  <c r="D94" i="1"/>
  <c r="D90" i="1"/>
  <c r="D92" i="1"/>
  <c r="D88" i="1"/>
  <c r="J85" i="1"/>
  <c r="J87" i="1"/>
  <c r="C86" i="1" s="1"/>
  <c r="D95" i="1"/>
  <c r="D91" i="1"/>
  <c r="D93" i="1"/>
  <c r="D89" i="1"/>
  <c r="J88" i="1"/>
  <c r="N159" i="1"/>
  <c r="O160" i="1"/>
  <c r="J81" i="1" l="1"/>
  <c r="C73" i="1" s="1"/>
  <c r="E72" i="1" s="1"/>
  <c r="I68" i="1" s="1"/>
  <c r="C70" i="1" s="1"/>
  <c r="J89" i="1"/>
  <c r="J90" i="1" s="1"/>
  <c r="D86" i="1"/>
  <c r="N160" i="1"/>
  <c r="O161" i="1"/>
  <c r="D73" i="1" l="1"/>
  <c r="G72" i="1"/>
  <c r="D66" i="1" s="1"/>
  <c r="D67" i="1" s="1"/>
  <c r="J91" i="1"/>
  <c r="J94" i="1"/>
  <c r="N161" i="1"/>
  <c r="O162" i="1"/>
  <c r="F67" i="1" l="1"/>
  <c r="J95" i="1"/>
  <c r="C87" i="1" s="1"/>
  <c r="D87" i="1" s="1"/>
  <c r="N162" i="1"/>
  <c r="O163" i="1"/>
  <c r="E86" i="1" l="1"/>
  <c r="I82" i="1" s="1"/>
  <c r="C84" i="1" s="1"/>
  <c r="G86" i="1"/>
  <c r="N163" i="1"/>
  <c r="O164" i="1"/>
  <c r="N164" i="1" s="1"/>
</calcChain>
</file>

<file path=xl/sharedStrings.xml><?xml version="1.0" encoding="utf-8"?>
<sst xmlns="http://schemas.openxmlformats.org/spreadsheetml/2006/main" count="386" uniqueCount="229">
  <si>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</si>
  <si>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</si>
  <si>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</si>
  <si>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</si>
  <si>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</si>
  <si>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</si>
  <si>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</si>
  <si>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</si>
  <si>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</si>
  <si>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</si>
  <si>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</si>
  <si>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</si>
  <si>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</si>
  <si>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</si>
  <si>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</si>
  <si>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</si>
  <si>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</si>
  <si>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</si>
  <si>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</si>
  <si>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</si>
  <si>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</si>
  <si>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</si>
  <si>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</si>
  <si>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</si>
  <si>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</si>
  <si>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</si>
  <si>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</si>
  <si>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</si>
  <si>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</si>
  <si>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</si>
  <si>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</si>
  <si>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</si>
  <si>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</si>
  <si>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</si>
  <si>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</si>
  <si>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</si>
  <si>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</si>
  <si>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</si>
  <si>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</si>
  <si>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</si>
  <si>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</si>
  <si>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</si>
  <si>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</si>
  <si>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</si>
  <si>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</si>
  <si>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</si>
  <si>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</si>
  <si>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</si>
  <si>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</si>
  <si>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</si>
  <si>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</si>
  <si>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</si>
  <si>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</si>
  <si>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</si>
  <si>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</si>
  <si>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</si>
  <si>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</si>
  <si>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</si>
  <si>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</si>
  <si>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</si>
  <si>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</si>
  <si>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</si>
  <si>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</si>
  <si>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</si>
  <si>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</si>
  <si>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</si>
  <si>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</si>
  <si>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</si>
  <si>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</si>
  <si>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</si>
  <si>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</si>
  <si>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</si>
  <si>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</si>
  <si>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</si>
  <si>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</si>
  <si>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</si>
  <si>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</si>
  <si>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</si>
  <si>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</si>
  <si>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</si>
  <si>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</si>
  <si>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</si>
  <si>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</si>
  <si>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</si>
  <si>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</si>
  <si>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</si>
  <si>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</si>
  <si>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</si>
  <si>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</si>
  <si>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</si>
  <si>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</si>
  <si>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</si>
  <si>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</si>
  <si>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</si>
  <si>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</si>
  <si>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</si>
  <si>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</si>
  <si>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</si>
  <si>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</si>
  <si>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</si>
  <si>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</si>
  <si>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</si>
  <si>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</si>
  <si>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</si>
  <si>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</si>
  <si>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</si>
  <si>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</si>
  <si>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</si>
  <si>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</si>
  <si>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</si>
  <si>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</si>
  <si>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</si>
  <si>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</si>
  <si>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</si>
  <si>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</si>
  <si>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</si>
  <si>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</si>
  <si>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</si>
  <si>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</si>
  <si>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</si>
  <si>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</si>
  <si>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</si>
  <si>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</si>
  <si>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</si>
  <si>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</si>
  <si>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</si>
  <si>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</si>
  <si>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</si>
  <si>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</si>
  <si>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</si>
  <si>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</si>
  <si>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</si>
  <si>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</si>
  <si>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</si>
  <si>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</si>
  <si>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</si>
  <si>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</si>
  <si>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</si>
  <si>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</si>
  <si>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</si>
  <si>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</si>
  <si>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</si>
  <si>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</si>
  <si>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</si>
  <si>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</si>
  <si>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</si>
  <si>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</si>
  <si>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</si>
  <si>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</si>
  <si>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</si>
  <si>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</si>
  <si>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3rd to 1st Basement Floor for Parking</t>
  </si>
  <si>
    <t>Ground Floor for Parking</t>
  </si>
  <si>
    <t>1st to 6th, 8th to 11th, 13th to 16th, 18th to 21st, 23rd to 25th, 27th to 30th, 32nd to 35th, 37th to 40th &amp; 42nd to 45th Floor for Residential</t>
  </si>
  <si>
    <t>2BHK</t>
  </si>
  <si>
    <t>1BHK</t>
  </si>
  <si>
    <t>3BHK</t>
  </si>
  <si>
    <t>7th, 12th, 17th, 22nd, 26th, 31st, 36th &amp; 41st Floor (Part Refuge Area)</t>
  </si>
  <si>
    <t>Refuge Area</t>
  </si>
  <si>
    <t>Recreational Floor</t>
  </si>
  <si>
    <t>Residential Area Details : Flat</t>
  </si>
  <si>
    <t>B Wing</t>
  </si>
  <si>
    <t>Axis Sanpada</t>
  </si>
  <si>
    <t>M/s. Kapstone Constructions Private Limited</t>
  </si>
  <si>
    <t>Rustomjee La Familia</t>
  </si>
  <si>
    <t>Approved Plans, CC, Sale Plans.</t>
  </si>
  <si>
    <t>Majiwade</t>
  </si>
  <si>
    <t>Thane west</t>
  </si>
  <si>
    <t>CTS No</t>
  </si>
  <si>
    <t>Village</t>
  </si>
  <si>
    <t>Thane</t>
  </si>
  <si>
    <t>RG road</t>
  </si>
  <si>
    <t>Lodha Quality Homes</t>
  </si>
  <si>
    <t xml:space="preserve">Residential </t>
  </si>
  <si>
    <t>Thane Global Impact Hub</t>
  </si>
  <si>
    <t>TMC majiwada UHC</t>
  </si>
  <si>
    <t>Saket road</t>
  </si>
  <si>
    <t>Pipe line road</t>
  </si>
  <si>
    <t>Area under CRZ - II</t>
  </si>
  <si>
    <t>Area under NON - CRZ</t>
  </si>
  <si>
    <t>Thane Municipal Corporation (TMC)</t>
  </si>
  <si>
    <t>As per RERA - 31/12/2026</t>
  </si>
  <si>
    <t>12, 13, 14Pt, 15, 16,..,423, 424 &amp; others</t>
  </si>
  <si>
    <t>S05/0022/10/TMC/TDD/3784/21</t>
  </si>
  <si>
    <t>6,00,000/-</t>
  </si>
  <si>
    <t>Recommended rate of the flat Per Sq. Ft. (on Saleable area)</t>
  </si>
  <si>
    <t>A Wing - P51700032262
B Wing - P51700032205
C Wing - P51700046128</t>
  </si>
  <si>
    <t>9820995007 - Santosh Shetty</t>
  </si>
  <si>
    <t>4.8Km from Thane Railway Station</t>
  </si>
  <si>
    <t>03 Wing</t>
  </si>
  <si>
    <t>S05/0022/10/TMC/TD-DP/TPS/4083/22</t>
  </si>
  <si>
    <t>C Wing</t>
  </si>
  <si>
    <t>1.5BHK</t>
  </si>
  <si>
    <t>A Wing</t>
  </si>
  <si>
    <t>Valid Up to: Wing A &amp; B = 3B + G/St + 1st to 22nd Floor + Service Floor + 23rd to 45th Floor + Recreational Floor.</t>
  </si>
  <si>
    <t>S05/0022/10/TMC/TDD/4083/21</t>
  </si>
  <si>
    <t>Valid Up to: Wing C = 3B + G/St + 1st to 22nd Floor + Service Floor + 23rd to 45th Floor + 46th Recreational Floor.</t>
  </si>
  <si>
    <t>Plot No. 8</t>
  </si>
  <si>
    <t>Plot No. 8
Wing A, B, C</t>
  </si>
  <si>
    <t>Service Floor (Between 22nd &amp; 23rd Floor)</t>
  </si>
  <si>
    <t>We considered Gross carpet area = Net carpet + Balcony/Deck + Utility Area + C.B Area.</t>
  </si>
  <si>
    <t>A, B, C Wing = 3B + G/St + 1st to 22nd Floor + Service Floor + 23rd to 45th Floor + Recreational Floor.</t>
  </si>
  <si>
    <t>Approved Floor plan No. 
Wing A &amp; C</t>
  </si>
  <si>
    <t>Approved Floor plan No.  
Wing B</t>
  </si>
  <si>
    <t>S05/0022/10/TMC/TD-DP/TPS/3784/21</t>
  </si>
  <si>
    <t>We have Updated layout Approved Plan &amp; CC of Wing A &amp; C (on dtd. 05/08/2022).</t>
  </si>
  <si>
    <t>Total</t>
  </si>
  <si>
    <t>Flats - 1019</t>
  </si>
  <si>
    <t>On Site, we meet Mr. Santosh (9820995007).</t>
  </si>
  <si>
    <t>Ajay Songare</t>
  </si>
  <si>
    <t xml:space="preserve">Site Person - Contact Details ( Name &amp; Contact No.)
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</si>
  <si>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</si>
  <si>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>Location Link</t>
  </si>
  <si>
    <t>Latitude &amp; Longitude</t>
  </si>
  <si>
    <t>19.2085571,72.9876289</t>
  </si>
  <si>
    <t>https://goo.gl/maps/NufLj5Gg4YPdWdDj9</t>
  </si>
  <si>
    <t>Construction work is in process at the time of Visit. Internal photographs was not allowed.</t>
  </si>
  <si>
    <t>A Wing = 3B + G/St + 1st to 22nd Floor + Service Floor + 23rd to 47th Floor + Recreational Floor.</t>
  </si>
  <si>
    <t>B &amp; C Wing = 3B + G/St + 1st to 22nd Floor + Service Floor + 23rd to 47th Floor + Recreational Floor.</t>
  </si>
  <si>
    <t>B Wing = 3B + G/St + 1st to 22nd Floor + Service Floor + 23rd to 47th Floor + Recreational Floor.</t>
  </si>
  <si>
    <t>C Wing = 3B + G/St + 1st to 22nd Floor + Service Floor + 23rd to 47th Floor + Recreational Floor.</t>
  </si>
  <si>
    <t>Mr. Prathamesh</t>
  </si>
  <si>
    <t>Infrastructure Charges</t>
  </si>
  <si>
    <t>Registration Charges</t>
  </si>
  <si>
    <t>Electric water connections &amp; piped gas connection charges</t>
  </si>
  <si>
    <t>24 Months Maintenance Charges</t>
  </si>
  <si>
    <t>Recommended Rates &amp; Other charges of the Property have been revised on 31/05/2025.</t>
  </si>
  <si>
    <t>Please provide revised approved plans &amp; CC.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</si>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</sst>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5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7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23" fillId="0" borderId="0" xfId="1" applyFont="1"/>
    <xf numFmtId="0" fontId="12" fillId="0" borderId="1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0" fillId="0" borderId="0" xfId="0" applyFont="1" applyAlignment="1">
      <alignment horizontal="center" vertical="center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5" fontId="6" fillId="0" borderId="1" xfId="1" applyNumberFormat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24" fillId="0" borderId="1" xfId="9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center" vertical="top" wrapText="1"/>
      <protection locked="0"/>
    </xf>
    <xf numFmtId="2" fontId="12" fillId="0" borderId="1" xfId="1" applyNumberFormat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266</xdr:row>
      <xdr:rowOff>33617</xdr:rowOff>
    </xdr:from>
    <xdr:to>
      <xdr:col>7</xdr:col>
      <xdr:colOff>961</xdr:colOff>
      <xdr:row>284</xdr:row>
      <xdr:rowOff>2910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0441" y="39164558"/>
          <a:ext cx="526711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22412</xdr:colOff>
      <xdr:row>285</xdr:row>
      <xdr:rowOff>31334</xdr:rowOff>
    </xdr:from>
    <xdr:to>
      <xdr:col>7</xdr:col>
      <xdr:colOff>961</xdr:colOff>
      <xdr:row>303</xdr:row>
      <xdr:rowOff>629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0441" y="42994687"/>
          <a:ext cx="526711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361842</xdr:colOff>
      <xdr:row>222</xdr:row>
      <xdr:rowOff>55470</xdr:rowOff>
    </xdr:from>
    <xdr:to>
      <xdr:col>16</xdr:col>
      <xdr:colOff>92032</xdr:colOff>
      <xdr:row>223</xdr:row>
      <xdr:rowOff>141288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48842" y="49652145"/>
          <a:ext cx="520765" cy="285843"/>
        </a:xfrm>
        <a:prstGeom prst="rect">
          <a:avLst/>
        </a:prstGeom>
      </xdr:spPr>
    </xdr:pic>
    <xdr:clientData/>
  </xdr:twoCellAnchor>
  <xdr:twoCellAnchor editAs="oneCell">
    <xdr:from>
      <xdr:col>16</xdr:col>
      <xdr:colOff>434494</xdr:colOff>
      <xdr:row>222</xdr:row>
      <xdr:rowOff>180789</xdr:rowOff>
    </xdr:from>
    <xdr:to>
      <xdr:col>17</xdr:col>
      <xdr:colOff>354506</xdr:colOff>
      <xdr:row>224</xdr:row>
      <xdr:rowOff>83578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12069" y="49777464"/>
          <a:ext cx="529612" cy="293314"/>
        </a:xfrm>
        <a:prstGeom prst="rect">
          <a:avLst/>
        </a:prstGeom>
      </xdr:spPr>
    </xdr:pic>
    <xdr:clientData/>
  </xdr:twoCellAnchor>
  <xdr:twoCellAnchor editAs="oneCell">
    <xdr:from>
      <xdr:col>18</xdr:col>
      <xdr:colOff>324303</xdr:colOff>
      <xdr:row>224</xdr:row>
      <xdr:rowOff>113553</xdr:rowOff>
    </xdr:from>
    <xdr:to>
      <xdr:col>19</xdr:col>
      <xdr:colOff>272955</xdr:colOff>
      <xdr:row>226</xdr:row>
      <xdr:rowOff>14288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21078" y="50100753"/>
          <a:ext cx="558252" cy="300785"/>
        </a:xfrm>
        <a:prstGeom prst="rect">
          <a:avLst/>
        </a:prstGeom>
      </xdr:spPr>
    </xdr:pic>
    <xdr:clientData/>
  </xdr:twoCellAnchor>
  <xdr:twoCellAnchor editAs="oneCell">
    <xdr:from>
      <xdr:col>17</xdr:col>
      <xdr:colOff>303647</xdr:colOff>
      <xdr:row>249</xdr:row>
      <xdr:rowOff>59452</xdr:rowOff>
    </xdr:from>
    <xdr:to>
      <xdr:col>20</xdr:col>
      <xdr:colOff>541564</xdr:colOff>
      <xdr:row>262</xdr:row>
      <xdr:rowOff>27381</xdr:rowOff>
    </xdr:to>
    <xdr:pic>
      <xdr:nvPicPr>
        <xdr:cNvPr id="21" name="Picture 20" descr="https://vsjcllp.vsjadon.com/upload/insp-202905-1525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b="5111"/>
        <a:stretch/>
      </xdr:blipFill>
      <xdr:spPr bwMode="auto">
        <a:xfrm>
          <a:off x="12343247" y="54498909"/>
          <a:ext cx="2099374" cy="251518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362996</xdr:colOff>
      <xdr:row>249</xdr:row>
      <xdr:rowOff>64215</xdr:rowOff>
    </xdr:from>
    <xdr:to>
      <xdr:col>17</xdr:col>
      <xdr:colOff>186823</xdr:colOff>
      <xdr:row>262</xdr:row>
      <xdr:rowOff>19739</xdr:rowOff>
    </xdr:to>
    <xdr:pic>
      <xdr:nvPicPr>
        <xdr:cNvPr id="23" name="Picture 22" descr="https://vsjcllp.vsjadon.com/upload/insp-202905-849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23225" y="54503672"/>
          <a:ext cx="3503198" cy="250278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762000</xdr:colOff>
      <xdr:row>221</xdr:row>
      <xdr:rowOff>171450</xdr:rowOff>
    </xdr:from>
    <xdr:ext cx="634084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026400" y="49237900"/>
          <a:ext cx="63408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</a:p>
      </xdr:txBody>
    </xdr:sp>
    <xdr:clientData/>
  </xdr:oneCellAnchor>
  <xdr:twoCellAnchor>
    <xdr:from>
      <xdr:col>8</xdr:col>
      <xdr:colOff>886460</xdr:colOff>
      <xdr:row>220</xdr:row>
      <xdr:rowOff>11430</xdr:rowOff>
    </xdr:from>
    <xdr:to>
      <xdr:col>20</xdr:col>
      <xdr:colOff>376608</xdr:colOff>
      <xdr:row>251</xdr:row>
      <xdr:rowOff>140656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8026400" y="50074830"/>
          <a:ext cx="6233848" cy="6263326"/>
          <a:chOff x="444500" y="49161700"/>
          <a:chExt cx="6332908" cy="6223956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58584" y="53225656"/>
            <a:ext cx="1680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64669" y="53225656"/>
            <a:ext cx="169593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500" y="49161700"/>
            <a:ext cx="309684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45749" y="53225656"/>
            <a:ext cx="16875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9845" y="49161700"/>
            <a:ext cx="3087563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590550" y="4957445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1301750" y="4955540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2794000" y="4921885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C</a:t>
            </a:r>
          </a:p>
        </xdr:txBody>
      </xdr:sp>
    </xdr:grpSp>
    <xdr:clientData/>
  </xdr:twoCellAnchor>
  <xdr:twoCellAnchor>
    <xdr:from>
      <xdr:col>0</xdr:col>
      <xdr:colOff>640080</xdr:colOff>
      <xdr:row>222</xdr:row>
      <xdr:rowOff>30480</xdr:rowOff>
    </xdr:from>
    <xdr:to>
      <xdr:col>7</xdr:col>
      <xdr:colOff>716653</xdr:colOff>
      <xdr:row>253</xdr:row>
      <xdr:rowOff>52928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B72C6C1-D1B2-C3B9-10C6-53075ED56464}"/>
            </a:ext>
          </a:extLst>
        </xdr:cNvPr>
        <xdr:cNvGrpSpPr/>
      </xdr:nvGrpSpPr>
      <xdr:grpSpPr>
        <a:xfrm>
          <a:off x="640080" y="50490120"/>
          <a:ext cx="5921113" cy="6156548"/>
          <a:chOff x="680028" y="266217"/>
          <a:chExt cx="5921113" cy="6156548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564CCBA4-38D5-1004-68DE-3616830A49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6300"/>
          <a:stretch/>
        </xdr:blipFill>
        <xdr:spPr>
          <a:xfrm>
            <a:off x="680028" y="266218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0244BF9-DA6D-46D0-4403-09784D1E9A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21141" y="266217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0376919-30B9-979D-B7DE-A257325BEB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91630" y="4262765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7490467B-28F3-99D0-0860-D81281A28E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4134"/>
          <a:stretch/>
        </xdr:blipFill>
        <xdr:spPr>
          <a:xfrm>
            <a:off x="1312205" y="4262765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0" name="TextBox 12">
            <a:extLst>
              <a:ext uri="{FF2B5EF4-FFF2-40B4-BE49-F238E27FC236}">
                <a16:creationId xmlns:a16="http://schemas.microsoft.com/office/drawing/2014/main" id="{A5C83D7B-F097-B10B-38F9-BF1D879B7D49}"/>
              </a:ext>
            </a:extLst>
          </xdr:cNvPr>
          <xdr:cNvSpPr txBox="1"/>
        </xdr:nvSpPr>
        <xdr:spPr>
          <a:xfrm>
            <a:off x="3005789" y="423005"/>
            <a:ext cx="3064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C</a:t>
            </a:r>
            <a:endParaRPr lang="en-IN" b="1"/>
          </a:p>
        </xdr:txBody>
      </xdr:sp>
      <xdr:sp macro="" textlink="">
        <xdr:nvSpPr>
          <xdr:cNvPr id="11" name="TextBox 13">
            <a:extLst>
              <a:ext uri="{FF2B5EF4-FFF2-40B4-BE49-F238E27FC236}">
                <a16:creationId xmlns:a16="http://schemas.microsoft.com/office/drawing/2014/main" id="{1D736449-E9BD-B741-C62C-04BB9BA21521}"/>
              </a:ext>
            </a:extLst>
          </xdr:cNvPr>
          <xdr:cNvSpPr txBox="1"/>
        </xdr:nvSpPr>
        <xdr:spPr>
          <a:xfrm>
            <a:off x="1653251" y="607671"/>
            <a:ext cx="31451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</a:t>
            </a:r>
            <a:endParaRPr lang="en-IN" b="1"/>
          </a:p>
        </xdr:txBody>
      </xdr:sp>
      <xdr:sp macro="" textlink="">
        <xdr:nvSpPr>
          <xdr:cNvPr id="12" name="TextBox 14">
            <a:extLst>
              <a:ext uri="{FF2B5EF4-FFF2-40B4-BE49-F238E27FC236}">
                <a16:creationId xmlns:a16="http://schemas.microsoft.com/office/drawing/2014/main" id="{FAF735C2-6ED3-45B5-95E4-5E4FA34208C6}"/>
              </a:ext>
            </a:extLst>
          </xdr:cNvPr>
          <xdr:cNvSpPr txBox="1"/>
        </xdr:nvSpPr>
        <xdr:spPr>
          <a:xfrm>
            <a:off x="856527" y="607671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</a:t>
            </a:r>
            <a:endParaRPr lang="en-IN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582705</xdr:colOff>
      <xdr:row>14</xdr:row>
      <xdr:rowOff>0</xdr:rowOff>
    </xdr:from>
    <xdr:to>
      <xdr:col>6</xdr:col>
      <xdr:colOff>1285190</xdr:colOff>
      <xdr:row>36</xdr:row>
      <xdr:rowOff>129000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5" y="2678206"/>
          <a:ext cx="768375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496792</xdr:colOff>
      <xdr:row>37</xdr:row>
      <xdr:rowOff>22823</xdr:rowOff>
    </xdr:from>
    <xdr:to>
      <xdr:col>6</xdr:col>
      <xdr:colOff>1199277</xdr:colOff>
      <xdr:row>59</xdr:row>
      <xdr:rowOff>151823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792" y="7082529"/>
          <a:ext cx="7683750" cy="43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ufLj5Gg4YPdWdDj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5"/>
  <sheetViews>
    <sheetView tabSelected="1" view="pageBreakPreview" zoomScaleNormal="100" zoomScaleSheetLayoutView="100" zoomScalePageLayoutView="55" workbookViewId="0">
      <selection activeCell="J6" sqref="J6:J7"/>
    </sheetView>
  </sheetViews>
  <sheetFormatPr defaultColWidth="9.109375" defaultRowHeight="15.6" x14ac:dyDescent="0.3"/>
  <cols>
    <col min="1" max="1" width="11.44140625" style="11" customWidth="1"/>
    <col min="2" max="2" width="12" style="11" customWidth="1"/>
    <col min="3" max="3" width="12.6640625" style="11" customWidth="1"/>
    <col min="4" max="4" width="14.109375" style="11" customWidth="1"/>
    <col min="5" max="7" width="11.6640625" style="11" customWidth="1"/>
    <col min="8" max="8" width="18.88671875" style="11" customWidth="1"/>
    <col min="9" max="9" width="17.44140625" style="3" customWidth="1"/>
    <col min="10" max="10" width="11.44140625" style="3" customWidth="1"/>
    <col min="11" max="11" width="10.5546875" style="3" bestFit="1" customWidth="1"/>
    <col min="12" max="12" width="10.5546875" style="3" customWidth="1"/>
    <col min="13" max="13" width="11.88671875" style="3" customWidth="1"/>
    <col min="14" max="14" width="12.5546875" style="3" hidden="1" customWidth="1"/>
    <col min="15" max="15" width="9.88671875" style="3" hidden="1" customWidth="1"/>
    <col min="16" max="16" width="11.6640625" style="3" hidden="1" customWidth="1"/>
    <col min="17" max="247" width="9.109375" style="3"/>
    <col min="248" max="248" width="8.6640625" style="3" customWidth="1"/>
    <col min="249" max="249" width="9.88671875" style="3" customWidth="1"/>
    <col min="250" max="250" width="14.44140625" style="3" customWidth="1"/>
    <col min="251" max="251" width="7.33203125" style="3" customWidth="1"/>
    <col min="252" max="252" width="5.5546875" style="3" customWidth="1"/>
    <col min="253" max="253" width="9" style="3" customWidth="1"/>
    <col min="254" max="255" width="9.88671875" style="3" customWidth="1"/>
    <col min="256" max="256" width="11.109375" style="3" customWidth="1"/>
    <col min="257" max="257" width="2.88671875" style="3" customWidth="1"/>
    <col min="258" max="258" width="3.5546875" style="3" customWidth="1"/>
    <col min="259" max="503" width="9.109375" style="3"/>
    <col min="504" max="504" width="8.6640625" style="3" customWidth="1"/>
    <col min="505" max="505" width="9.88671875" style="3" customWidth="1"/>
    <col min="506" max="506" width="14.44140625" style="3" customWidth="1"/>
    <col min="507" max="507" width="7.33203125" style="3" customWidth="1"/>
    <col min="508" max="508" width="5.5546875" style="3" customWidth="1"/>
    <col min="509" max="509" width="9" style="3" customWidth="1"/>
    <col min="510" max="511" width="9.88671875" style="3" customWidth="1"/>
    <col min="512" max="512" width="11.109375" style="3" customWidth="1"/>
    <col min="513" max="513" width="2.88671875" style="3" customWidth="1"/>
    <col min="514" max="514" width="3.5546875" style="3" customWidth="1"/>
    <col min="515" max="759" width="9.109375" style="3"/>
    <col min="760" max="760" width="8.6640625" style="3" customWidth="1"/>
    <col min="761" max="761" width="9.88671875" style="3" customWidth="1"/>
    <col min="762" max="762" width="14.44140625" style="3" customWidth="1"/>
    <col min="763" max="763" width="7.33203125" style="3" customWidth="1"/>
    <col min="764" max="764" width="5.5546875" style="3" customWidth="1"/>
    <col min="765" max="765" width="9" style="3" customWidth="1"/>
    <col min="766" max="767" width="9.88671875" style="3" customWidth="1"/>
    <col min="768" max="768" width="11.109375" style="3" customWidth="1"/>
    <col min="769" max="769" width="2.88671875" style="3" customWidth="1"/>
    <col min="770" max="770" width="3.5546875" style="3" customWidth="1"/>
    <col min="771" max="1015" width="9.109375" style="3"/>
    <col min="1016" max="1016" width="8.6640625" style="3" customWidth="1"/>
    <col min="1017" max="1017" width="9.88671875" style="3" customWidth="1"/>
    <col min="1018" max="1018" width="14.44140625" style="3" customWidth="1"/>
    <col min="1019" max="1019" width="7.33203125" style="3" customWidth="1"/>
    <col min="1020" max="1020" width="5.5546875" style="3" customWidth="1"/>
    <col min="1021" max="1021" width="9" style="3" customWidth="1"/>
    <col min="1022" max="1023" width="9.88671875" style="3" customWidth="1"/>
    <col min="1024" max="1024" width="11.109375" style="3" customWidth="1"/>
    <col min="1025" max="1025" width="2.88671875" style="3" customWidth="1"/>
    <col min="1026" max="1026" width="3.5546875" style="3" customWidth="1"/>
    <col min="1027" max="1271" width="9.109375" style="3"/>
    <col min="1272" max="1272" width="8.6640625" style="3" customWidth="1"/>
    <col min="1273" max="1273" width="9.88671875" style="3" customWidth="1"/>
    <col min="1274" max="1274" width="14.44140625" style="3" customWidth="1"/>
    <col min="1275" max="1275" width="7.33203125" style="3" customWidth="1"/>
    <col min="1276" max="1276" width="5.5546875" style="3" customWidth="1"/>
    <col min="1277" max="1277" width="9" style="3" customWidth="1"/>
    <col min="1278" max="1279" width="9.88671875" style="3" customWidth="1"/>
    <col min="1280" max="1280" width="11.109375" style="3" customWidth="1"/>
    <col min="1281" max="1281" width="2.88671875" style="3" customWidth="1"/>
    <col min="1282" max="1282" width="3.5546875" style="3" customWidth="1"/>
    <col min="1283" max="1527" width="9.109375" style="3"/>
    <col min="1528" max="1528" width="8.6640625" style="3" customWidth="1"/>
    <col min="1529" max="1529" width="9.88671875" style="3" customWidth="1"/>
    <col min="1530" max="1530" width="14.44140625" style="3" customWidth="1"/>
    <col min="1531" max="1531" width="7.33203125" style="3" customWidth="1"/>
    <col min="1532" max="1532" width="5.5546875" style="3" customWidth="1"/>
    <col min="1533" max="1533" width="9" style="3" customWidth="1"/>
    <col min="1534" max="1535" width="9.88671875" style="3" customWidth="1"/>
    <col min="1536" max="1536" width="11.109375" style="3" customWidth="1"/>
    <col min="1537" max="1537" width="2.88671875" style="3" customWidth="1"/>
    <col min="1538" max="1538" width="3.5546875" style="3" customWidth="1"/>
    <col min="1539" max="1783" width="9.109375" style="3"/>
    <col min="1784" max="1784" width="8.6640625" style="3" customWidth="1"/>
    <col min="1785" max="1785" width="9.88671875" style="3" customWidth="1"/>
    <col min="1786" max="1786" width="14.44140625" style="3" customWidth="1"/>
    <col min="1787" max="1787" width="7.33203125" style="3" customWidth="1"/>
    <col min="1788" max="1788" width="5.5546875" style="3" customWidth="1"/>
    <col min="1789" max="1789" width="9" style="3" customWidth="1"/>
    <col min="1790" max="1791" width="9.88671875" style="3" customWidth="1"/>
    <col min="1792" max="1792" width="11.109375" style="3" customWidth="1"/>
    <col min="1793" max="1793" width="2.88671875" style="3" customWidth="1"/>
    <col min="1794" max="1794" width="3.5546875" style="3" customWidth="1"/>
    <col min="1795" max="2039" width="9.109375" style="3"/>
    <col min="2040" max="2040" width="8.6640625" style="3" customWidth="1"/>
    <col min="2041" max="2041" width="9.88671875" style="3" customWidth="1"/>
    <col min="2042" max="2042" width="14.44140625" style="3" customWidth="1"/>
    <col min="2043" max="2043" width="7.33203125" style="3" customWidth="1"/>
    <col min="2044" max="2044" width="5.5546875" style="3" customWidth="1"/>
    <col min="2045" max="2045" width="9" style="3" customWidth="1"/>
    <col min="2046" max="2047" width="9.88671875" style="3" customWidth="1"/>
    <col min="2048" max="2048" width="11.109375" style="3" customWidth="1"/>
    <col min="2049" max="2049" width="2.88671875" style="3" customWidth="1"/>
    <col min="2050" max="2050" width="3.5546875" style="3" customWidth="1"/>
    <col min="2051" max="2295" width="9.109375" style="3"/>
    <col min="2296" max="2296" width="8.6640625" style="3" customWidth="1"/>
    <col min="2297" max="2297" width="9.88671875" style="3" customWidth="1"/>
    <col min="2298" max="2298" width="14.44140625" style="3" customWidth="1"/>
    <col min="2299" max="2299" width="7.33203125" style="3" customWidth="1"/>
    <col min="2300" max="2300" width="5.5546875" style="3" customWidth="1"/>
    <col min="2301" max="2301" width="9" style="3" customWidth="1"/>
    <col min="2302" max="2303" width="9.88671875" style="3" customWidth="1"/>
    <col min="2304" max="2304" width="11.109375" style="3" customWidth="1"/>
    <col min="2305" max="2305" width="2.88671875" style="3" customWidth="1"/>
    <col min="2306" max="2306" width="3.5546875" style="3" customWidth="1"/>
    <col min="2307" max="2551" width="9.109375" style="3"/>
    <col min="2552" max="2552" width="8.6640625" style="3" customWidth="1"/>
    <col min="2553" max="2553" width="9.88671875" style="3" customWidth="1"/>
    <col min="2554" max="2554" width="14.44140625" style="3" customWidth="1"/>
    <col min="2555" max="2555" width="7.33203125" style="3" customWidth="1"/>
    <col min="2556" max="2556" width="5.5546875" style="3" customWidth="1"/>
    <col min="2557" max="2557" width="9" style="3" customWidth="1"/>
    <col min="2558" max="2559" width="9.88671875" style="3" customWidth="1"/>
    <col min="2560" max="2560" width="11.109375" style="3" customWidth="1"/>
    <col min="2561" max="2561" width="2.88671875" style="3" customWidth="1"/>
    <col min="2562" max="2562" width="3.5546875" style="3" customWidth="1"/>
    <col min="2563" max="2807" width="9.109375" style="3"/>
    <col min="2808" max="2808" width="8.6640625" style="3" customWidth="1"/>
    <col min="2809" max="2809" width="9.88671875" style="3" customWidth="1"/>
    <col min="2810" max="2810" width="14.44140625" style="3" customWidth="1"/>
    <col min="2811" max="2811" width="7.33203125" style="3" customWidth="1"/>
    <col min="2812" max="2812" width="5.5546875" style="3" customWidth="1"/>
    <col min="2813" max="2813" width="9" style="3" customWidth="1"/>
    <col min="2814" max="2815" width="9.88671875" style="3" customWidth="1"/>
    <col min="2816" max="2816" width="11.109375" style="3" customWidth="1"/>
    <col min="2817" max="2817" width="2.88671875" style="3" customWidth="1"/>
    <col min="2818" max="2818" width="3.5546875" style="3" customWidth="1"/>
    <col min="2819" max="3063" width="9.109375" style="3"/>
    <col min="3064" max="3064" width="8.6640625" style="3" customWidth="1"/>
    <col min="3065" max="3065" width="9.88671875" style="3" customWidth="1"/>
    <col min="3066" max="3066" width="14.44140625" style="3" customWidth="1"/>
    <col min="3067" max="3067" width="7.33203125" style="3" customWidth="1"/>
    <col min="3068" max="3068" width="5.5546875" style="3" customWidth="1"/>
    <col min="3069" max="3069" width="9" style="3" customWidth="1"/>
    <col min="3070" max="3071" width="9.88671875" style="3" customWidth="1"/>
    <col min="3072" max="3072" width="11.109375" style="3" customWidth="1"/>
    <col min="3073" max="3073" width="2.88671875" style="3" customWidth="1"/>
    <col min="3074" max="3074" width="3.5546875" style="3" customWidth="1"/>
    <col min="3075" max="3319" width="9.109375" style="3"/>
    <col min="3320" max="3320" width="8.6640625" style="3" customWidth="1"/>
    <col min="3321" max="3321" width="9.88671875" style="3" customWidth="1"/>
    <col min="3322" max="3322" width="14.44140625" style="3" customWidth="1"/>
    <col min="3323" max="3323" width="7.33203125" style="3" customWidth="1"/>
    <col min="3324" max="3324" width="5.5546875" style="3" customWidth="1"/>
    <col min="3325" max="3325" width="9" style="3" customWidth="1"/>
    <col min="3326" max="3327" width="9.88671875" style="3" customWidth="1"/>
    <col min="3328" max="3328" width="11.109375" style="3" customWidth="1"/>
    <col min="3329" max="3329" width="2.88671875" style="3" customWidth="1"/>
    <col min="3330" max="3330" width="3.5546875" style="3" customWidth="1"/>
    <col min="3331" max="3575" width="9.109375" style="3"/>
    <col min="3576" max="3576" width="8.6640625" style="3" customWidth="1"/>
    <col min="3577" max="3577" width="9.88671875" style="3" customWidth="1"/>
    <col min="3578" max="3578" width="14.44140625" style="3" customWidth="1"/>
    <col min="3579" max="3579" width="7.33203125" style="3" customWidth="1"/>
    <col min="3580" max="3580" width="5.5546875" style="3" customWidth="1"/>
    <col min="3581" max="3581" width="9" style="3" customWidth="1"/>
    <col min="3582" max="3583" width="9.88671875" style="3" customWidth="1"/>
    <col min="3584" max="3584" width="11.109375" style="3" customWidth="1"/>
    <col min="3585" max="3585" width="2.88671875" style="3" customWidth="1"/>
    <col min="3586" max="3586" width="3.5546875" style="3" customWidth="1"/>
    <col min="3587" max="3831" width="9.109375" style="3"/>
    <col min="3832" max="3832" width="8.6640625" style="3" customWidth="1"/>
    <col min="3833" max="3833" width="9.88671875" style="3" customWidth="1"/>
    <col min="3834" max="3834" width="14.44140625" style="3" customWidth="1"/>
    <col min="3835" max="3835" width="7.33203125" style="3" customWidth="1"/>
    <col min="3836" max="3836" width="5.5546875" style="3" customWidth="1"/>
    <col min="3837" max="3837" width="9" style="3" customWidth="1"/>
    <col min="3838" max="3839" width="9.88671875" style="3" customWidth="1"/>
    <col min="3840" max="3840" width="11.109375" style="3" customWidth="1"/>
    <col min="3841" max="3841" width="2.88671875" style="3" customWidth="1"/>
    <col min="3842" max="3842" width="3.5546875" style="3" customWidth="1"/>
    <col min="3843" max="4087" width="9.109375" style="3"/>
    <col min="4088" max="4088" width="8.6640625" style="3" customWidth="1"/>
    <col min="4089" max="4089" width="9.88671875" style="3" customWidth="1"/>
    <col min="4090" max="4090" width="14.44140625" style="3" customWidth="1"/>
    <col min="4091" max="4091" width="7.33203125" style="3" customWidth="1"/>
    <col min="4092" max="4092" width="5.5546875" style="3" customWidth="1"/>
    <col min="4093" max="4093" width="9" style="3" customWidth="1"/>
    <col min="4094" max="4095" width="9.88671875" style="3" customWidth="1"/>
    <col min="4096" max="4096" width="11.109375" style="3" customWidth="1"/>
    <col min="4097" max="4097" width="2.88671875" style="3" customWidth="1"/>
    <col min="4098" max="4098" width="3.5546875" style="3" customWidth="1"/>
    <col min="4099" max="4343" width="9.109375" style="3"/>
    <col min="4344" max="4344" width="8.6640625" style="3" customWidth="1"/>
    <col min="4345" max="4345" width="9.88671875" style="3" customWidth="1"/>
    <col min="4346" max="4346" width="14.44140625" style="3" customWidth="1"/>
    <col min="4347" max="4347" width="7.33203125" style="3" customWidth="1"/>
    <col min="4348" max="4348" width="5.5546875" style="3" customWidth="1"/>
    <col min="4349" max="4349" width="9" style="3" customWidth="1"/>
    <col min="4350" max="4351" width="9.88671875" style="3" customWidth="1"/>
    <col min="4352" max="4352" width="11.109375" style="3" customWidth="1"/>
    <col min="4353" max="4353" width="2.88671875" style="3" customWidth="1"/>
    <col min="4354" max="4354" width="3.5546875" style="3" customWidth="1"/>
    <col min="4355" max="4599" width="9.109375" style="3"/>
    <col min="4600" max="4600" width="8.6640625" style="3" customWidth="1"/>
    <col min="4601" max="4601" width="9.88671875" style="3" customWidth="1"/>
    <col min="4602" max="4602" width="14.44140625" style="3" customWidth="1"/>
    <col min="4603" max="4603" width="7.33203125" style="3" customWidth="1"/>
    <col min="4604" max="4604" width="5.5546875" style="3" customWidth="1"/>
    <col min="4605" max="4605" width="9" style="3" customWidth="1"/>
    <col min="4606" max="4607" width="9.88671875" style="3" customWidth="1"/>
    <col min="4608" max="4608" width="11.109375" style="3" customWidth="1"/>
    <col min="4609" max="4609" width="2.88671875" style="3" customWidth="1"/>
    <col min="4610" max="4610" width="3.5546875" style="3" customWidth="1"/>
    <col min="4611" max="4855" width="9.109375" style="3"/>
    <col min="4856" max="4856" width="8.6640625" style="3" customWidth="1"/>
    <col min="4857" max="4857" width="9.88671875" style="3" customWidth="1"/>
    <col min="4858" max="4858" width="14.44140625" style="3" customWidth="1"/>
    <col min="4859" max="4859" width="7.33203125" style="3" customWidth="1"/>
    <col min="4860" max="4860" width="5.5546875" style="3" customWidth="1"/>
    <col min="4861" max="4861" width="9" style="3" customWidth="1"/>
    <col min="4862" max="4863" width="9.88671875" style="3" customWidth="1"/>
    <col min="4864" max="4864" width="11.109375" style="3" customWidth="1"/>
    <col min="4865" max="4865" width="2.88671875" style="3" customWidth="1"/>
    <col min="4866" max="4866" width="3.5546875" style="3" customWidth="1"/>
    <col min="4867" max="5111" width="9.109375" style="3"/>
    <col min="5112" max="5112" width="8.6640625" style="3" customWidth="1"/>
    <col min="5113" max="5113" width="9.88671875" style="3" customWidth="1"/>
    <col min="5114" max="5114" width="14.44140625" style="3" customWidth="1"/>
    <col min="5115" max="5115" width="7.33203125" style="3" customWidth="1"/>
    <col min="5116" max="5116" width="5.5546875" style="3" customWidth="1"/>
    <col min="5117" max="5117" width="9" style="3" customWidth="1"/>
    <col min="5118" max="5119" width="9.88671875" style="3" customWidth="1"/>
    <col min="5120" max="5120" width="11.109375" style="3" customWidth="1"/>
    <col min="5121" max="5121" width="2.88671875" style="3" customWidth="1"/>
    <col min="5122" max="5122" width="3.5546875" style="3" customWidth="1"/>
    <col min="5123" max="5367" width="9.109375" style="3"/>
    <col min="5368" max="5368" width="8.6640625" style="3" customWidth="1"/>
    <col min="5369" max="5369" width="9.88671875" style="3" customWidth="1"/>
    <col min="5370" max="5370" width="14.44140625" style="3" customWidth="1"/>
    <col min="5371" max="5371" width="7.33203125" style="3" customWidth="1"/>
    <col min="5372" max="5372" width="5.5546875" style="3" customWidth="1"/>
    <col min="5373" max="5373" width="9" style="3" customWidth="1"/>
    <col min="5374" max="5375" width="9.88671875" style="3" customWidth="1"/>
    <col min="5376" max="5376" width="11.109375" style="3" customWidth="1"/>
    <col min="5377" max="5377" width="2.88671875" style="3" customWidth="1"/>
    <col min="5378" max="5378" width="3.5546875" style="3" customWidth="1"/>
    <col min="5379" max="5623" width="9.109375" style="3"/>
    <col min="5624" max="5624" width="8.6640625" style="3" customWidth="1"/>
    <col min="5625" max="5625" width="9.88671875" style="3" customWidth="1"/>
    <col min="5626" max="5626" width="14.44140625" style="3" customWidth="1"/>
    <col min="5627" max="5627" width="7.33203125" style="3" customWidth="1"/>
    <col min="5628" max="5628" width="5.5546875" style="3" customWidth="1"/>
    <col min="5629" max="5629" width="9" style="3" customWidth="1"/>
    <col min="5630" max="5631" width="9.88671875" style="3" customWidth="1"/>
    <col min="5632" max="5632" width="11.109375" style="3" customWidth="1"/>
    <col min="5633" max="5633" width="2.88671875" style="3" customWidth="1"/>
    <col min="5634" max="5634" width="3.5546875" style="3" customWidth="1"/>
    <col min="5635" max="5879" width="9.109375" style="3"/>
    <col min="5880" max="5880" width="8.6640625" style="3" customWidth="1"/>
    <col min="5881" max="5881" width="9.88671875" style="3" customWidth="1"/>
    <col min="5882" max="5882" width="14.44140625" style="3" customWidth="1"/>
    <col min="5883" max="5883" width="7.33203125" style="3" customWidth="1"/>
    <col min="5884" max="5884" width="5.5546875" style="3" customWidth="1"/>
    <col min="5885" max="5885" width="9" style="3" customWidth="1"/>
    <col min="5886" max="5887" width="9.88671875" style="3" customWidth="1"/>
    <col min="5888" max="5888" width="11.109375" style="3" customWidth="1"/>
    <col min="5889" max="5889" width="2.88671875" style="3" customWidth="1"/>
    <col min="5890" max="5890" width="3.5546875" style="3" customWidth="1"/>
    <col min="5891" max="6135" width="9.109375" style="3"/>
    <col min="6136" max="6136" width="8.6640625" style="3" customWidth="1"/>
    <col min="6137" max="6137" width="9.88671875" style="3" customWidth="1"/>
    <col min="6138" max="6138" width="14.44140625" style="3" customWidth="1"/>
    <col min="6139" max="6139" width="7.33203125" style="3" customWidth="1"/>
    <col min="6140" max="6140" width="5.5546875" style="3" customWidth="1"/>
    <col min="6141" max="6141" width="9" style="3" customWidth="1"/>
    <col min="6142" max="6143" width="9.88671875" style="3" customWidth="1"/>
    <col min="6144" max="6144" width="11.109375" style="3" customWidth="1"/>
    <col min="6145" max="6145" width="2.88671875" style="3" customWidth="1"/>
    <col min="6146" max="6146" width="3.5546875" style="3" customWidth="1"/>
    <col min="6147" max="6391" width="9.109375" style="3"/>
    <col min="6392" max="6392" width="8.6640625" style="3" customWidth="1"/>
    <col min="6393" max="6393" width="9.88671875" style="3" customWidth="1"/>
    <col min="6394" max="6394" width="14.44140625" style="3" customWidth="1"/>
    <col min="6395" max="6395" width="7.33203125" style="3" customWidth="1"/>
    <col min="6396" max="6396" width="5.5546875" style="3" customWidth="1"/>
    <col min="6397" max="6397" width="9" style="3" customWidth="1"/>
    <col min="6398" max="6399" width="9.88671875" style="3" customWidth="1"/>
    <col min="6400" max="6400" width="11.109375" style="3" customWidth="1"/>
    <col min="6401" max="6401" width="2.88671875" style="3" customWidth="1"/>
    <col min="6402" max="6402" width="3.5546875" style="3" customWidth="1"/>
    <col min="6403" max="6647" width="9.109375" style="3"/>
    <col min="6648" max="6648" width="8.6640625" style="3" customWidth="1"/>
    <col min="6649" max="6649" width="9.88671875" style="3" customWidth="1"/>
    <col min="6650" max="6650" width="14.44140625" style="3" customWidth="1"/>
    <col min="6651" max="6651" width="7.33203125" style="3" customWidth="1"/>
    <col min="6652" max="6652" width="5.5546875" style="3" customWidth="1"/>
    <col min="6653" max="6653" width="9" style="3" customWidth="1"/>
    <col min="6654" max="6655" width="9.88671875" style="3" customWidth="1"/>
    <col min="6656" max="6656" width="11.109375" style="3" customWidth="1"/>
    <col min="6657" max="6657" width="2.88671875" style="3" customWidth="1"/>
    <col min="6658" max="6658" width="3.5546875" style="3" customWidth="1"/>
    <col min="6659" max="6903" width="9.109375" style="3"/>
    <col min="6904" max="6904" width="8.6640625" style="3" customWidth="1"/>
    <col min="6905" max="6905" width="9.88671875" style="3" customWidth="1"/>
    <col min="6906" max="6906" width="14.44140625" style="3" customWidth="1"/>
    <col min="6907" max="6907" width="7.33203125" style="3" customWidth="1"/>
    <col min="6908" max="6908" width="5.5546875" style="3" customWidth="1"/>
    <col min="6909" max="6909" width="9" style="3" customWidth="1"/>
    <col min="6910" max="6911" width="9.88671875" style="3" customWidth="1"/>
    <col min="6912" max="6912" width="11.109375" style="3" customWidth="1"/>
    <col min="6913" max="6913" width="2.88671875" style="3" customWidth="1"/>
    <col min="6914" max="6914" width="3.5546875" style="3" customWidth="1"/>
    <col min="6915" max="7159" width="9.109375" style="3"/>
    <col min="7160" max="7160" width="8.6640625" style="3" customWidth="1"/>
    <col min="7161" max="7161" width="9.88671875" style="3" customWidth="1"/>
    <col min="7162" max="7162" width="14.44140625" style="3" customWidth="1"/>
    <col min="7163" max="7163" width="7.33203125" style="3" customWidth="1"/>
    <col min="7164" max="7164" width="5.5546875" style="3" customWidth="1"/>
    <col min="7165" max="7165" width="9" style="3" customWidth="1"/>
    <col min="7166" max="7167" width="9.88671875" style="3" customWidth="1"/>
    <col min="7168" max="7168" width="11.109375" style="3" customWidth="1"/>
    <col min="7169" max="7169" width="2.88671875" style="3" customWidth="1"/>
    <col min="7170" max="7170" width="3.5546875" style="3" customWidth="1"/>
    <col min="7171" max="7415" width="9.109375" style="3"/>
    <col min="7416" max="7416" width="8.6640625" style="3" customWidth="1"/>
    <col min="7417" max="7417" width="9.88671875" style="3" customWidth="1"/>
    <col min="7418" max="7418" width="14.44140625" style="3" customWidth="1"/>
    <col min="7419" max="7419" width="7.33203125" style="3" customWidth="1"/>
    <col min="7420" max="7420" width="5.5546875" style="3" customWidth="1"/>
    <col min="7421" max="7421" width="9" style="3" customWidth="1"/>
    <col min="7422" max="7423" width="9.88671875" style="3" customWidth="1"/>
    <col min="7424" max="7424" width="11.109375" style="3" customWidth="1"/>
    <col min="7425" max="7425" width="2.88671875" style="3" customWidth="1"/>
    <col min="7426" max="7426" width="3.5546875" style="3" customWidth="1"/>
    <col min="7427" max="7671" width="9.109375" style="3"/>
    <col min="7672" max="7672" width="8.6640625" style="3" customWidth="1"/>
    <col min="7673" max="7673" width="9.88671875" style="3" customWidth="1"/>
    <col min="7674" max="7674" width="14.44140625" style="3" customWidth="1"/>
    <col min="7675" max="7675" width="7.33203125" style="3" customWidth="1"/>
    <col min="7676" max="7676" width="5.5546875" style="3" customWidth="1"/>
    <col min="7677" max="7677" width="9" style="3" customWidth="1"/>
    <col min="7678" max="7679" width="9.88671875" style="3" customWidth="1"/>
    <col min="7680" max="7680" width="11.109375" style="3" customWidth="1"/>
    <col min="7681" max="7681" width="2.88671875" style="3" customWidth="1"/>
    <col min="7682" max="7682" width="3.5546875" style="3" customWidth="1"/>
    <col min="7683" max="7927" width="9.109375" style="3"/>
    <col min="7928" max="7928" width="8.6640625" style="3" customWidth="1"/>
    <col min="7929" max="7929" width="9.88671875" style="3" customWidth="1"/>
    <col min="7930" max="7930" width="14.44140625" style="3" customWidth="1"/>
    <col min="7931" max="7931" width="7.33203125" style="3" customWidth="1"/>
    <col min="7932" max="7932" width="5.5546875" style="3" customWidth="1"/>
    <col min="7933" max="7933" width="9" style="3" customWidth="1"/>
    <col min="7934" max="7935" width="9.88671875" style="3" customWidth="1"/>
    <col min="7936" max="7936" width="11.109375" style="3" customWidth="1"/>
    <col min="7937" max="7937" width="2.88671875" style="3" customWidth="1"/>
    <col min="7938" max="7938" width="3.5546875" style="3" customWidth="1"/>
    <col min="7939" max="8183" width="9.109375" style="3"/>
    <col min="8184" max="8184" width="8.6640625" style="3" customWidth="1"/>
    <col min="8185" max="8185" width="9.88671875" style="3" customWidth="1"/>
    <col min="8186" max="8186" width="14.44140625" style="3" customWidth="1"/>
    <col min="8187" max="8187" width="7.33203125" style="3" customWidth="1"/>
    <col min="8188" max="8188" width="5.5546875" style="3" customWidth="1"/>
    <col min="8189" max="8189" width="9" style="3" customWidth="1"/>
    <col min="8190" max="8191" width="9.88671875" style="3" customWidth="1"/>
    <col min="8192" max="8192" width="11.109375" style="3" customWidth="1"/>
    <col min="8193" max="8193" width="2.88671875" style="3" customWidth="1"/>
    <col min="8194" max="8194" width="3.5546875" style="3" customWidth="1"/>
    <col min="8195" max="8439" width="9.109375" style="3"/>
    <col min="8440" max="8440" width="8.6640625" style="3" customWidth="1"/>
    <col min="8441" max="8441" width="9.88671875" style="3" customWidth="1"/>
    <col min="8442" max="8442" width="14.44140625" style="3" customWidth="1"/>
    <col min="8443" max="8443" width="7.33203125" style="3" customWidth="1"/>
    <col min="8444" max="8444" width="5.5546875" style="3" customWidth="1"/>
    <col min="8445" max="8445" width="9" style="3" customWidth="1"/>
    <col min="8446" max="8447" width="9.88671875" style="3" customWidth="1"/>
    <col min="8448" max="8448" width="11.109375" style="3" customWidth="1"/>
    <col min="8449" max="8449" width="2.88671875" style="3" customWidth="1"/>
    <col min="8450" max="8450" width="3.5546875" style="3" customWidth="1"/>
    <col min="8451" max="8695" width="9.109375" style="3"/>
    <col min="8696" max="8696" width="8.6640625" style="3" customWidth="1"/>
    <col min="8697" max="8697" width="9.88671875" style="3" customWidth="1"/>
    <col min="8698" max="8698" width="14.44140625" style="3" customWidth="1"/>
    <col min="8699" max="8699" width="7.33203125" style="3" customWidth="1"/>
    <col min="8700" max="8700" width="5.5546875" style="3" customWidth="1"/>
    <col min="8701" max="8701" width="9" style="3" customWidth="1"/>
    <col min="8702" max="8703" width="9.88671875" style="3" customWidth="1"/>
    <col min="8704" max="8704" width="11.109375" style="3" customWidth="1"/>
    <col min="8705" max="8705" width="2.88671875" style="3" customWidth="1"/>
    <col min="8706" max="8706" width="3.5546875" style="3" customWidth="1"/>
    <col min="8707" max="8951" width="9.109375" style="3"/>
    <col min="8952" max="8952" width="8.6640625" style="3" customWidth="1"/>
    <col min="8953" max="8953" width="9.88671875" style="3" customWidth="1"/>
    <col min="8954" max="8954" width="14.44140625" style="3" customWidth="1"/>
    <col min="8955" max="8955" width="7.33203125" style="3" customWidth="1"/>
    <col min="8956" max="8956" width="5.5546875" style="3" customWidth="1"/>
    <col min="8957" max="8957" width="9" style="3" customWidth="1"/>
    <col min="8958" max="8959" width="9.88671875" style="3" customWidth="1"/>
    <col min="8960" max="8960" width="11.109375" style="3" customWidth="1"/>
    <col min="8961" max="8961" width="2.88671875" style="3" customWidth="1"/>
    <col min="8962" max="8962" width="3.5546875" style="3" customWidth="1"/>
    <col min="8963" max="9207" width="9.109375" style="3"/>
    <col min="9208" max="9208" width="8.6640625" style="3" customWidth="1"/>
    <col min="9209" max="9209" width="9.88671875" style="3" customWidth="1"/>
    <col min="9210" max="9210" width="14.44140625" style="3" customWidth="1"/>
    <col min="9211" max="9211" width="7.33203125" style="3" customWidth="1"/>
    <col min="9212" max="9212" width="5.5546875" style="3" customWidth="1"/>
    <col min="9213" max="9213" width="9" style="3" customWidth="1"/>
    <col min="9214" max="9215" width="9.88671875" style="3" customWidth="1"/>
    <col min="9216" max="9216" width="11.109375" style="3" customWidth="1"/>
    <col min="9217" max="9217" width="2.88671875" style="3" customWidth="1"/>
    <col min="9218" max="9218" width="3.5546875" style="3" customWidth="1"/>
    <col min="9219" max="9463" width="9.109375" style="3"/>
    <col min="9464" max="9464" width="8.6640625" style="3" customWidth="1"/>
    <col min="9465" max="9465" width="9.88671875" style="3" customWidth="1"/>
    <col min="9466" max="9466" width="14.44140625" style="3" customWidth="1"/>
    <col min="9467" max="9467" width="7.33203125" style="3" customWidth="1"/>
    <col min="9468" max="9468" width="5.5546875" style="3" customWidth="1"/>
    <col min="9469" max="9469" width="9" style="3" customWidth="1"/>
    <col min="9470" max="9471" width="9.88671875" style="3" customWidth="1"/>
    <col min="9472" max="9472" width="11.109375" style="3" customWidth="1"/>
    <col min="9473" max="9473" width="2.88671875" style="3" customWidth="1"/>
    <col min="9474" max="9474" width="3.5546875" style="3" customWidth="1"/>
    <col min="9475" max="9719" width="9.109375" style="3"/>
    <col min="9720" max="9720" width="8.6640625" style="3" customWidth="1"/>
    <col min="9721" max="9721" width="9.88671875" style="3" customWidth="1"/>
    <col min="9722" max="9722" width="14.44140625" style="3" customWidth="1"/>
    <col min="9723" max="9723" width="7.33203125" style="3" customWidth="1"/>
    <col min="9724" max="9724" width="5.5546875" style="3" customWidth="1"/>
    <col min="9725" max="9725" width="9" style="3" customWidth="1"/>
    <col min="9726" max="9727" width="9.88671875" style="3" customWidth="1"/>
    <col min="9728" max="9728" width="11.109375" style="3" customWidth="1"/>
    <col min="9729" max="9729" width="2.88671875" style="3" customWidth="1"/>
    <col min="9730" max="9730" width="3.5546875" style="3" customWidth="1"/>
    <col min="9731" max="9975" width="9.109375" style="3"/>
    <col min="9976" max="9976" width="8.6640625" style="3" customWidth="1"/>
    <col min="9977" max="9977" width="9.88671875" style="3" customWidth="1"/>
    <col min="9978" max="9978" width="14.44140625" style="3" customWidth="1"/>
    <col min="9979" max="9979" width="7.33203125" style="3" customWidth="1"/>
    <col min="9980" max="9980" width="5.5546875" style="3" customWidth="1"/>
    <col min="9981" max="9981" width="9" style="3" customWidth="1"/>
    <col min="9982" max="9983" width="9.88671875" style="3" customWidth="1"/>
    <col min="9984" max="9984" width="11.109375" style="3" customWidth="1"/>
    <col min="9985" max="9985" width="2.88671875" style="3" customWidth="1"/>
    <col min="9986" max="9986" width="3.5546875" style="3" customWidth="1"/>
    <col min="9987" max="10231" width="9.109375" style="3"/>
    <col min="10232" max="10232" width="8.6640625" style="3" customWidth="1"/>
    <col min="10233" max="10233" width="9.88671875" style="3" customWidth="1"/>
    <col min="10234" max="10234" width="14.44140625" style="3" customWidth="1"/>
    <col min="10235" max="10235" width="7.33203125" style="3" customWidth="1"/>
    <col min="10236" max="10236" width="5.5546875" style="3" customWidth="1"/>
    <col min="10237" max="10237" width="9" style="3" customWidth="1"/>
    <col min="10238" max="10239" width="9.88671875" style="3" customWidth="1"/>
    <col min="10240" max="10240" width="11.109375" style="3" customWidth="1"/>
    <col min="10241" max="10241" width="2.88671875" style="3" customWidth="1"/>
    <col min="10242" max="10242" width="3.5546875" style="3" customWidth="1"/>
    <col min="10243" max="10487" width="9.109375" style="3"/>
    <col min="10488" max="10488" width="8.6640625" style="3" customWidth="1"/>
    <col min="10489" max="10489" width="9.88671875" style="3" customWidth="1"/>
    <col min="10490" max="10490" width="14.44140625" style="3" customWidth="1"/>
    <col min="10491" max="10491" width="7.33203125" style="3" customWidth="1"/>
    <col min="10492" max="10492" width="5.5546875" style="3" customWidth="1"/>
    <col min="10493" max="10493" width="9" style="3" customWidth="1"/>
    <col min="10494" max="10495" width="9.88671875" style="3" customWidth="1"/>
    <col min="10496" max="10496" width="11.109375" style="3" customWidth="1"/>
    <col min="10497" max="10497" width="2.88671875" style="3" customWidth="1"/>
    <col min="10498" max="10498" width="3.5546875" style="3" customWidth="1"/>
    <col min="10499" max="10743" width="9.109375" style="3"/>
    <col min="10744" max="10744" width="8.6640625" style="3" customWidth="1"/>
    <col min="10745" max="10745" width="9.88671875" style="3" customWidth="1"/>
    <col min="10746" max="10746" width="14.44140625" style="3" customWidth="1"/>
    <col min="10747" max="10747" width="7.33203125" style="3" customWidth="1"/>
    <col min="10748" max="10748" width="5.5546875" style="3" customWidth="1"/>
    <col min="10749" max="10749" width="9" style="3" customWidth="1"/>
    <col min="10750" max="10751" width="9.88671875" style="3" customWidth="1"/>
    <col min="10752" max="10752" width="11.109375" style="3" customWidth="1"/>
    <col min="10753" max="10753" width="2.88671875" style="3" customWidth="1"/>
    <col min="10754" max="10754" width="3.5546875" style="3" customWidth="1"/>
    <col min="10755" max="10999" width="9.109375" style="3"/>
    <col min="11000" max="11000" width="8.6640625" style="3" customWidth="1"/>
    <col min="11001" max="11001" width="9.88671875" style="3" customWidth="1"/>
    <col min="11002" max="11002" width="14.44140625" style="3" customWidth="1"/>
    <col min="11003" max="11003" width="7.33203125" style="3" customWidth="1"/>
    <col min="11004" max="11004" width="5.5546875" style="3" customWidth="1"/>
    <col min="11005" max="11005" width="9" style="3" customWidth="1"/>
    <col min="11006" max="11007" width="9.88671875" style="3" customWidth="1"/>
    <col min="11008" max="11008" width="11.109375" style="3" customWidth="1"/>
    <col min="11009" max="11009" width="2.88671875" style="3" customWidth="1"/>
    <col min="11010" max="11010" width="3.5546875" style="3" customWidth="1"/>
    <col min="11011" max="11255" width="9.109375" style="3"/>
    <col min="11256" max="11256" width="8.6640625" style="3" customWidth="1"/>
    <col min="11257" max="11257" width="9.88671875" style="3" customWidth="1"/>
    <col min="11258" max="11258" width="14.44140625" style="3" customWidth="1"/>
    <col min="11259" max="11259" width="7.33203125" style="3" customWidth="1"/>
    <col min="11260" max="11260" width="5.5546875" style="3" customWidth="1"/>
    <col min="11261" max="11261" width="9" style="3" customWidth="1"/>
    <col min="11262" max="11263" width="9.88671875" style="3" customWidth="1"/>
    <col min="11264" max="11264" width="11.109375" style="3" customWidth="1"/>
    <col min="11265" max="11265" width="2.88671875" style="3" customWidth="1"/>
    <col min="11266" max="11266" width="3.5546875" style="3" customWidth="1"/>
    <col min="11267" max="11511" width="9.109375" style="3"/>
    <col min="11512" max="11512" width="8.6640625" style="3" customWidth="1"/>
    <col min="11513" max="11513" width="9.88671875" style="3" customWidth="1"/>
    <col min="11514" max="11514" width="14.44140625" style="3" customWidth="1"/>
    <col min="11515" max="11515" width="7.33203125" style="3" customWidth="1"/>
    <col min="11516" max="11516" width="5.5546875" style="3" customWidth="1"/>
    <col min="11517" max="11517" width="9" style="3" customWidth="1"/>
    <col min="11518" max="11519" width="9.88671875" style="3" customWidth="1"/>
    <col min="11520" max="11520" width="11.109375" style="3" customWidth="1"/>
    <col min="11521" max="11521" width="2.88671875" style="3" customWidth="1"/>
    <col min="11522" max="11522" width="3.5546875" style="3" customWidth="1"/>
    <col min="11523" max="11767" width="9.109375" style="3"/>
    <col min="11768" max="11768" width="8.6640625" style="3" customWidth="1"/>
    <col min="11769" max="11769" width="9.88671875" style="3" customWidth="1"/>
    <col min="11770" max="11770" width="14.44140625" style="3" customWidth="1"/>
    <col min="11771" max="11771" width="7.33203125" style="3" customWidth="1"/>
    <col min="11772" max="11772" width="5.5546875" style="3" customWidth="1"/>
    <col min="11773" max="11773" width="9" style="3" customWidth="1"/>
    <col min="11774" max="11775" width="9.88671875" style="3" customWidth="1"/>
    <col min="11776" max="11776" width="11.109375" style="3" customWidth="1"/>
    <col min="11777" max="11777" width="2.88671875" style="3" customWidth="1"/>
    <col min="11778" max="11778" width="3.5546875" style="3" customWidth="1"/>
    <col min="11779" max="12023" width="9.109375" style="3"/>
    <col min="12024" max="12024" width="8.6640625" style="3" customWidth="1"/>
    <col min="12025" max="12025" width="9.88671875" style="3" customWidth="1"/>
    <col min="12026" max="12026" width="14.44140625" style="3" customWidth="1"/>
    <col min="12027" max="12027" width="7.33203125" style="3" customWidth="1"/>
    <col min="12028" max="12028" width="5.5546875" style="3" customWidth="1"/>
    <col min="12029" max="12029" width="9" style="3" customWidth="1"/>
    <col min="12030" max="12031" width="9.88671875" style="3" customWidth="1"/>
    <col min="12032" max="12032" width="11.109375" style="3" customWidth="1"/>
    <col min="12033" max="12033" width="2.88671875" style="3" customWidth="1"/>
    <col min="12034" max="12034" width="3.5546875" style="3" customWidth="1"/>
    <col min="12035" max="12279" width="9.109375" style="3"/>
    <col min="12280" max="12280" width="8.6640625" style="3" customWidth="1"/>
    <col min="12281" max="12281" width="9.88671875" style="3" customWidth="1"/>
    <col min="12282" max="12282" width="14.44140625" style="3" customWidth="1"/>
    <col min="12283" max="12283" width="7.33203125" style="3" customWidth="1"/>
    <col min="12284" max="12284" width="5.5546875" style="3" customWidth="1"/>
    <col min="12285" max="12285" width="9" style="3" customWidth="1"/>
    <col min="12286" max="12287" width="9.88671875" style="3" customWidth="1"/>
    <col min="12288" max="12288" width="11.109375" style="3" customWidth="1"/>
    <col min="12289" max="12289" width="2.88671875" style="3" customWidth="1"/>
    <col min="12290" max="12290" width="3.5546875" style="3" customWidth="1"/>
    <col min="12291" max="12535" width="9.109375" style="3"/>
    <col min="12536" max="12536" width="8.6640625" style="3" customWidth="1"/>
    <col min="12537" max="12537" width="9.88671875" style="3" customWidth="1"/>
    <col min="12538" max="12538" width="14.44140625" style="3" customWidth="1"/>
    <col min="12539" max="12539" width="7.33203125" style="3" customWidth="1"/>
    <col min="12540" max="12540" width="5.5546875" style="3" customWidth="1"/>
    <col min="12541" max="12541" width="9" style="3" customWidth="1"/>
    <col min="12542" max="12543" width="9.88671875" style="3" customWidth="1"/>
    <col min="12544" max="12544" width="11.109375" style="3" customWidth="1"/>
    <col min="12545" max="12545" width="2.88671875" style="3" customWidth="1"/>
    <col min="12546" max="12546" width="3.5546875" style="3" customWidth="1"/>
    <col min="12547" max="12791" width="9.109375" style="3"/>
    <col min="12792" max="12792" width="8.6640625" style="3" customWidth="1"/>
    <col min="12793" max="12793" width="9.88671875" style="3" customWidth="1"/>
    <col min="12794" max="12794" width="14.44140625" style="3" customWidth="1"/>
    <col min="12795" max="12795" width="7.33203125" style="3" customWidth="1"/>
    <col min="12796" max="12796" width="5.5546875" style="3" customWidth="1"/>
    <col min="12797" max="12797" width="9" style="3" customWidth="1"/>
    <col min="12798" max="12799" width="9.88671875" style="3" customWidth="1"/>
    <col min="12800" max="12800" width="11.109375" style="3" customWidth="1"/>
    <col min="12801" max="12801" width="2.88671875" style="3" customWidth="1"/>
    <col min="12802" max="12802" width="3.5546875" style="3" customWidth="1"/>
    <col min="12803" max="13047" width="9.109375" style="3"/>
    <col min="13048" max="13048" width="8.6640625" style="3" customWidth="1"/>
    <col min="13049" max="13049" width="9.88671875" style="3" customWidth="1"/>
    <col min="13050" max="13050" width="14.44140625" style="3" customWidth="1"/>
    <col min="13051" max="13051" width="7.33203125" style="3" customWidth="1"/>
    <col min="13052" max="13052" width="5.5546875" style="3" customWidth="1"/>
    <col min="13053" max="13053" width="9" style="3" customWidth="1"/>
    <col min="13054" max="13055" width="9.88671875" style="3" customWidth="1"/>
    <col min="13056" max="13056" width="11.109375" style="3" customWidth="1"/>
    <col min="13057" max="13057" width="2.88671875" style="3" customWidth="1"/>
    <col min="13058" max="13058" width="3.5546875" style="3" customWidth="1"/>
    <col min="13059" max="13303" width="9.109375" style="3"/>
    <col min="13304" max="13304" width="8.6640625" style="3" customWidth="1"/>
    <col min="13305" max="13305" width="9.88671875" style="3" customWidth="1"/>
    <col min="13306" max="13306" width="14.44140625" style="3" customWidth="1"/>
    <col min="13307" max="13307" width="7.33203125" style="3" customWidth="1"/>
    <col min="13308" max="13308" width="5.5546875" style="3" customWidth="1"/>
    <col min="13309" max="13309" width="9" style="3" customWidth="1"/>
    <col min="13310" max="13311" width="9.88671875" style="3" customWidth="1"/>
    <col min="13312" max="13312" width="11.109375" style="3" customWidth="1"/>
    <col min="13313" max="13313" width="2.88671875" style="3" customWidth="1"/>
    <col min="13314" max="13314" width="3.5546875" style="3" customWidth="1"/>
    <col min="13315" max="13559" width="9.109375" style="3"/>
    <col min="13560" max="13560" width="8.6640625" style="3" customWidth="1"/>
    <col min="13561" max="13561" width="9.88671875" style="3" customWidth="1"/>
    <col min="13562" max="13562" width="14.44140625" style="3" customWidth="1"/>
    <col min="13563" max="13563" width="7.33203125" style="3" customWidth="1"/>
    <col min="13564" max="13564" width="5.5546875" style="3" customWidth="1"/>
    <col min="13565" max="13565" width="9" style="3" customWidth="1"/>
    <col min="13566" max="13567" width="9.88671875" style="3" customWidth="1"/>
    <col min="13568" max="13568" width="11.109375" style="3" customWidth="1"/>
    <col min="13569" max="13569" width="2.88671875" style="3" customWidth="1"/>
    <col min="13570" max="13570" width="3.5546875" style="3" customWidth="1"/>
    <col min="13571" max="13815" width="9.109375" style="3"/>
    <col min="13816" max="13816" width="8.6640625" style="3" customWidth="1"/>
    <col min="13817" max="13817" width="9.88671875" style="3" customWidth="1"/>
    <col min="13818" max="13818" width="14.44140625" style="3" customWidth="1"/>
    <col min="13819" max="13819" width="7.33203125" style="3" customWidth="1"/>
    <col min="13820" max="13820" width="5.5546875" style="3" customWidth="1"/>
    <col min="13821" max="13821" width="9" style="3" customWidth="1"/>
    <col min="13822" max="13823" width="9.88671875" style="3" customWidth="1"/>
    <col min="13824" max="13824" width="11.109375" style="3" customWidth="1"/>
    <col min="13825" max="13825" width="2.88671875" style="3" customWidth="1"/>
    <col min="13826" max="13826" width="3.5546875" style="3" customWidth="1"/>
    <col min="13827" max="14071" width="9.109375" style="3"/>
    <col min="14072" max="14072" width="8.6640625" style="3" customWidth="1"/>
    <col min="14073" max="14073" width="9.88671875" style="3" customWidth="1"/>
    <col min="14074" max="14074" width="14.44140625" style="3" customWidth="1"/>
    <col min="14075" max="14075" width="7.33203125" style="3" customWidth="1"/>
    <col min="14076" max="14076" width="5.5546875" style="3" customWidth="1"/>
    <col min="14077" max="14077" width="9" style="3" customWidth="1"/>
    <col min="14078" max="14079" width="9.88671875" style="3" customWidth="1"/>
    <col min="14080" max="14080" width="11.109375" style="3" customWidth="1"/>
    <col min="14081" max="14081" width="2.88671875" style="3" customWidth="1"/>
    <col min="14082" max="14082" width="3.5546875" style="3" customWidth="1"/>
    <col min="14083" max="14327" width="9.109375" style="3"/>
    <col min="14328" max="14328" width="8.6640625" style="3" customWidth="1"/>
    <col min="14329" max="14329" width="9.88671875" style="3" customWidth="1"/>
    <col min="14330" max="14330" width="14.44140625" style="3" customWidth="1"/>
    <col min="14331" max="14331" width="7.33203125" style="3" customWidth="1"/>
    <col min="14332" max="14332" width="5.5546875" style="3" customWidth="1"/>
    <col min="14333" max="14333" width="9" style="3" customWidth="1"/>
    <col min="14334" max="14335" width="9.88671875" style="3" customWidth="1"/>
    <col min="14336" max="14336" width="11.109375" style="3" customWidth="1"/>
    <col min="14337" max="14337" width="2.88671875" style="3" customWidth="1"/>
    <col min="14338" max="14338" width="3.5546875" style="3" customWidth="1"/>
    <col min="14339" max="14583" width="9.109375" style="3"/>
    <col min="14584" max="14584" width="8.6640625" style="3" customWidth="1"/>
    <col min="14585" max="14585" width="9.88671875" style="3" customWidth="1"/>
    <col min="14586" max="14586" width="14.44140625" style="3" customWidth="1"/>
    <col min="14587" max="14587" width="7.33203125" style="3" customWidth="1"/>
    <col min="14588" max="14588" width="5.5546875" style="3" customWidth="1"/>
    <col min="14589" max="14589" width="9" style="3" customWidth="1"/>
    <col min="14590" max="14591" width="9.88671875" style="3" customWidth="1"/>
    <col min="14592" max="14592" width="11.109375" style="3" customWidth="1"/>
    <col min="14593" max="14593" width="2.88671875" style="3" customWidth="1"/>
    <col min="14594" max="14594" width="3.5546875" style="3" customWidth="1"/>
    <col min="14595" max="14839" width="9.109375" style="3"/>
    <col min="14840" max="14840" width="8.6640625" style="3" customWidth="1"/>
    <col min="14841" max="14841" width="9.88671875" style="3" customWidth="1"/>
    <col min="14842" max="14842" width="14.44140625" style="3" customWidth="1"/>
    <col min="14843" max="14843" width="7.33203125" style="3" customWidth="1"/>
    <col min="14844" max="14844" width="5.5546875" style="3" customWidth="1"/>
    <col min="14845" max="14845" width="9" style="3" customWidth="1"/>
    <col min="14846" max="14847" width="9.88671875" style="3" customWidth="1"/>
    <col min="14848" max="14848" width="11.109375" style="3" customWidth="1"/>
    <col min="14849" max="14849" width="2.88671875" style="3" customWidth="1"/>
    <col min="14850" max="14850" width="3.5546875" style="3" customWidth="1"/>
    <col min="14851" max="15095" width="9.109375" style="3"/>
    <col min="15096" max="15096" width="8.6640625" style="3" customWidth="1"/>
    <col min="15097" max="15097" width="9.88671875" style="3" customWidth="1"/>
    <col min="15098" max="15098" width="14.44140625" style="3" customWidth="1"/>
    <col min="15099" max="15099" width="7.33203125" style="3" customWidth="1"/>
    <col min="15100" max="15100" width="5.5546875" style="3" customWidth="1"/>
    <col min="15101" max="15101" width="9" style="3" customWidth="1"/>
    <col min="15102" max="15103" width="9.88671875" style="3" customWidth="1"/>
    <col min="15104" max="15104" width="11.109375" style="3" customWidth="1"/>
    <col min="15105" max="15105" width="2.88671875" style="3" customWidth="1"/>
    <col min="15106" max="15106" width="3.5546875" style="3" customWidth="1"/>
    <col min="15107" max="15351" width="9.109375" style="3"/>
    <col min="15352" max="15352" width="8.6640625" style="3" customWidth="1"/>
    <col min="15353" max="15353" width="9.88671875" style="3" customWidth="1"/>
    <col min="15354" max="15354" width="14.44140625" style="3" customWidth="1"/>
    <col min="15355" max="15355" width="7.33203125" style="3" customWidth="1"/>
    <col min="15356" max="15356" width="5.5546875" style="3" customWidth="1"/>
    <col min="15357" max="15357" width="9" style="3" customWidth="1"/>
    <col min="15358" max="15359" width="9.88671875" style="3" customWidth="1"/>
    <col min="15360" max="15360" width="11.109375" style="3" customWidth="1"/>
    <col min="15361" max="15361" width="2.88671875" style="3" customWidth="1"/>
    <col min="15362" max="15362" width="3.5546875" style="3" customWidth="1"/>
    <col min="15363" max="15607" width="9.109375" style="3"/>
    <col min="15608" max="15608" width="8.6640625" style="3" customWidth="1"/>
    <col min="15609" max="15609" width="9.88671875" style="3" customWidth="1"/>
    <col min="15610" max="15610" width="14.44140625" style="3" customWidth="1"/>
    <col min="15611" max="15611" width="7.33203125" style="3" customWidth="1"/>
    <col min="15612" max="15612" width="5.5546875" style="3" customWidth="1"/>
    <col min="15613" max="15613" width="9" style="3" customWidth="1"/>
    <col min="15614" max="15615" width="9.88671875" style="3" customWidth="1"/>
    <col min="15616" max="15616" width="11.109375" style="3" customWidth="1"/>
    <col min="15617" max="15617" width="2.88671875" style="3" customWidth="1"/>
    <col min="15618" max="15618" width="3.5546875" style="3" customWidth="1"/>
    <col min="15619" max="15863" width="9.109375" style="3"/>
    <col min="15864" max="15864" width="8.6640625" style="3" customWidth="1"/>
    <col min="15865" max="15865" width="9.88671875" style="3" customWidth="1"/>
    <col min="15866" max="15866" width="14.44140625" style="3" customWidth="1"/>
    <col min="15867" max="15867" width="7.33203125" style="3" customWidth="1"/>
    <col min="15868" max="15868" width="5.5546875" style="3" customWidth="1"/>
    <col min="15869" max="15869" width="9" style="3" customWidth="1"/>
    <col min="15870" max="15871" width="9.88671875" style="3" customWidth="1"/>
    <col min="15872" max="15872" width="11.109375" style="3" customWidth="1"/>
    <col min="15873" max="15873" width="2.88671875" style="3" customWidth="1"/>
    <col min="15874" max="15874" width="3.5546875" style="3" customWidth="1"/>
    <col min="15875" max="16119" width="9.109375" style="3"/>
    <col min="16120" max="16120" width="8.6640625" style="3" customWidth="1"/>
    <col min="16121" max="16121" width="9.88671875" style="3" customWidth="1"/>
    <col min="16122" max="16122" width="14.44140625" style="3" customWidth="1"/>
    <col min="16123" max="16123" width="7.33203125" style="3" customWidth="1"/>
    <col min="16124" max="16124" width="5.5546875" style="3" customWidth="1"/>
    <col min="16125" max="16125" width="9" style="3" customWidth="1"/>
    <col min="16126" max="16127" width="9.88671875" style="3" customWidth="1"/>
    <col min="16128" max="16128" width="11.109375" style="3" customWidth="1"/>
    <col min="16129" max="16129" width="2.88671875" style="3" customWidth="1"/>
    <col min="16130" max="16130" width="3.5546875" style="3" customWidth="1"/>
    <col min="16131" max="16384" width="9.109375" style="3"/>
  </cols>
  <sheetData>
    <row r="1" spans="1:8" ht="46.5" customHeight="1" x14ac:dyDescent="0.3">
      <c r="A1" s="122" t="s">
        <v>211</v>
      </c>
      <c r="B1" s="122"/>
      <c r="C1" s="122"/>
      <c r="D1" s="122"/>
      <c r="E1" s="122"/>
      <c r="F1" s="122"/>
      <c r="G1" s="122"/>
      <c r="H1" s="122"/>
    </row>
    <row r="2" spans="1:8" ht="16.5" customHeight="1" x14ac:dyDescent="0.3">
      <c r="A2" s="73" t="s">
        <v>0</v>
      </c>
      <c r="B2" s="73"/>
      <c r="C2" s="73"/>
      <c r="D2" s="73"/>
      <c r="E2" s="73"/>
      <c r="F2" s="73"/>
      <c r="G2" s="73"/>
      <c r="H2" s="73"/>
    </row>
    <row r="3" spans="1:8" x14ac:dyDescent="0.3">
      <c r="A3" s="71" t="s">
        <v>1</v>
      </c>
      <c r="B3" s="71"/>
      <c r="C3" s="71"/>
      <c r="D3" s="71"/>
      <c r="E3" s="123" t="str">
        <f ca="1">TEXT(TODAY(),"DD/MM/YYYY")</f>
        <v>15/07/2025</v>
      </c>
      <c r="F3" s="123"/>
      <c r="G3" s="123"/>
      <c r="H3" s="123"/>
    </row>
    <row r="4" spans="1:8" ht="15" customHeight="1" x14ac:dyDescent="0.3">
      <c r="A4" s="71" t="s">
        <v>2</v>
      </c>
      <c r="B4" s="71"/>
      <c r="C4" s="71"/>
      <c r="D4" s="71"/>
      <c r="E4" s="119" t="s">
        <v>162</v>
      </c>
      <c r="F4" s="119"/>
      <c r="G4" s="119"/>
      <c r="H4" s="119"/>
    </row>
    <row r="5" spans="1:8" x14ac:dyDescent="0.3">
      <c r="A5" s="71" t="s">
        <v>3</v>
      </c>
      <c r="B5" s="71"/>
      <c r="C5" s="71"/>
      <c r="D5" s="71"/>
      <c r="E5" s="123">
        <v>45848</v>
      </c>
      <c r="F5" s="123"/>
      <c r="G5" s="123"/>
      <c r="H5" s="123"/>
    </row>
    <row r="6" spans="1:8" ht="16.5" customHeight="1" x14ac:dyDescent="0.3">
      <c r="A6" s="71" t="s">
        <v>4</v>
      </c>
      <c r="B6" s="71"/>
      <c r="C6" s="71"/>
      <c r="D6" s="71"/>
      <c r="E6" s="79" t="s">
        <v>163</v>
      </c>
      <c r="F6" s="79"/>
      <c r="G6" s="79"/>
      <c r="H6" s="79"/>
    </row>
    <row r="7" spans="1:8" ht="15" customHeight="1" x14ac:dyDescent="0.3">
      <c r="A7" s="71" t="s">
        <v>5</v>
      </c>
      <c r="B7" s="71"/>
      <c r="C7" s="71"/>
      <c r="D7" s="71"/>
      <c r="E7" s="79" t="str">
        <f>E6</f>
        <v>M/s. Kapstone Constructions Private Limited</v>
      </c>
      <c r="F7" s="79"/>
      <c r="G7" s="79"/>
      <c r="H7" s="79"/>
    </row>
    <row r="8" spans="1:8" x14ac:dyDescent="0.3">
      <c r="A8" s="71" t="s">
        <v>6</v>
      </c>
      <c r="B8" s="71"/>
      <c r="C8" s="71"/>
      <c r="D8" s="71"/>
      <c r="E8" s="85" t="s">
        <v>164</v>
      </c>
      <c r="F8" s="85"/>
      <c r="G8" s="85"/>
      <c r="H8" s="85"/>
    </row>
    <row r="9" spans="1:8" x14ac:dyDescent="0.3">
      <c r="A9" s="76" t="s">
        <v>119</v>
      </c>
      <c r="B9" s="76"/>
      <c r="C9" s="76"/>
      <c r="D9" s="76"/>
      <c r="E9" s="76" t="s">
        <v>187</v>
      </c>
      <c r="F9" s="76"/>
      <c r="G9" s="76"/>
      <c r="H9" s="76"/>
    </row>
    <row r="10" spans="1:8" x14ac:dyDescent="0.3">
      <c r="A10" s="82" t="s">
        <v>210</v>
      </c>
      <c r="B10" s="76"/>
      <c r="C10" s="76"/>
      <c r="D10" s="76"/>
      <c r="E10" s="76" t="s">
        <v>221</v>
      </c>
      <c r="F10" s="76"/>
      <c r="G10" s="76"/>
      <c r="H10" s="76"/>
    </row>
    <row r="11" spans="1:8" ht="33.75" customHeight="1" x14ac:dyDescent="0.3">
      <c r="A11" s="76" t="s">
        <v>7</v>
      </c>
      <c r="B11" s="76"/>
      <c r="C11" s="76"/>
      <c r="D11" s="76"/>
      <c r="E11" s="82" t="s">
        <v>198</v>
      </c>
      <c r="F11" s="76"/>
      <c r="G11" s="76"/>
      <c r="H11" s="76"/>
    </row>
    <row r="12" spans="1:8" x14ac:dyDescent="0.3">
      <c r="A12" s="76" t="s">
        <v>8</v>
      </c>
      <c r="B12" s="76"/>
      <c r="C12" s="76"/>
      <c r="D12" s="76"/>
      <c r="E12" s="82" t="s">
        <v>165</v>
      </c>
      <c r="F12" s="82"/>
      <c r="G12" s="82"/>
      <c r="H12" s="82"/>
    </row>
    <row r="13" spans="1:8" ht="51" customHeight="1" x14ac:dyDescent="0.3">
      <c r="A13" s="76" t="s">
        <v>9</v>
      </c>
      <c r="B13" s="76"/>
      <c r="C13" s="76"/>
      <c r="D13" s="76"/>
      <c r="E13" s="82" t="s">
        <v>186</v>
      </c>
      <c r="F13" s="76"/>
      <c r="G13" s="76"/>
      <c r="H13" s="76"/>
    </row>
    <row r="14" spans="1:8" ht="46.5" customHeight="1" x14ac:dyDescent="0.3">
      <c r="A14" s="82" t="s">
        <v>10</v>
      </c>
      <c r="B14" s="82"/>
      <c r="C14" s="82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Rustomjee La Familia, CTS No.12, 13, 14Pt, 15, 16,..,423, 424 &amp; others, near Lodha Quality Homes, RG road, Majiwade, Thane west, Thane, Thane - 400601.</v>
      </c>
      <c r="D14" s="82"/>
      <c r="E14" s="82"/>
      <c r="F14" s="82"/>
      <c r="G14" s="82"/>
      <c r="H14" s="82"/>
    </row>
    <row r="15" spans="1:8" x14ac:dyDescent="0.3">
      <c r="A15" s="82" t="s">
        <v>168</v>
      </c>
      <c r="B15" s="82"/>
      <c r="C15" s="82" t="s">
        <v>182</v>
      </c>
      <c r="D15" s="82"/>
      <c r="E15" s="82"/>
      <c r="F15" s="82"/>
      <c r="G15" s="82"/>
      <c r="H15" s="82"/>
    </row>
    <row r="16" spans="1:8" ht="15.75" customHeight="1" x14ac:dyDescent="0.3">
      <c r="A16" s="79" t="s">
        <v>11</v>
      </c>
      <c r="B16" s="79"/>
      <c r="C16" s="76" t="s">
        <v>171</v>
      </c>
      <c r="D16" s="76"/>
      <c r="E16" s="79" t="s">
        <v>169</v>
      </c>
      <c r="F16" s="79"/>
      <c r="G16" s="82" t="s">
        <v>166</v>
      </c>
      <c r="H16" s="82"/>
    </row>
    <row r="17" spans="1:8" x14ac:dyDescent="0.3">
      <c r="A17" s="71" t="s">
        <v>13</v>
      </c>
      <c r="B17" s="71"/>
      <c r="C17" s="82" t="s">
        <v>167</v>
      </c>
      <c r="D17" s="82"/>
      <c r="E17" s="79" t="s">
        <v>12</v>
      </c>
      <c r="F17" s="79"/>
      <c r="G17" s="120" t="s">
        <v>170</v>
      </c>
      <c r="H17" s="120"/>
    </row>
    <row r="18" spans="1:8" x14ac:dyDescent="0.3">
      <c r="A18" s="71" t="s">
        <v>76</v>
      </c>
      <c r="B18" s="71"/>
      <c r="C18" s="82" t="s">
        <v>170</v>
      </c>
      <c r="D18" s="82"/>
      <c r="E18" s="79" t="s">
        <v>14</v>
      </c>
      <c r="F18" s="79"/>
      <c r="G18" s="82">
        <v>400601</v>
      </c>
      <c r="H18" s="82"/>
    </row>
    <row r="19" spans="1:8" ht="32.25" customHeight="1" x14ac:dyDescent="0.3">
      <c r="A19" s="71" t="s">
        <v>120</v>
      </c>
      <c r="B19" s="71"/>
      <c r="C19" s="121" t="s">
        <v>172</v>
      </c>
      <c r="D19" s="121"/>
      <c r="E19" s="79" t="s">
        <v>15</v>
      </c>
      <c r="F19" s="79"/>
      <c r="G19" s="82" t="s">
        <v>188</v>
      </c>
      <c r="H19" s="82"/>
    </row>
    <row r="20" spans="1:8" ht="15" customHeight="1" x14ac:dyDescent="0.3">
      <c r="A20" s="79" t="s">
        <v>78</v>
      </c>
      <c r="B20" s="79"/>
      <c r="C20" s="79"/>
      <c r="D20" s="79"/>
      <c r="E20" s="76" t="s">
        <v>16</v>
      </c>
      <c r="F20" s="76"/>
      <c r="G20" s="76"/>
      <c r="H20" s="76"/>
    </row>
    <row r="21" spans="1:8" ht="18.75" customHeight="1" x14ac:dyDescent="0.3">
      <c r="A21" s="79"/>
      <c r="B21" s="79"/>
      <c r="C21" s="79"/>
      <c r="D21" s="79"/>
      <c r="E21" s="76"/>
      <c r="F21" s="76"/>
      <c r="G21" s="76"/>
      <c r="H21" s="76"/>
    </row>
    <row r="22" spans="1:8" ht="15" customHeight="1" x14ac:dyDescent="0.3">
      <c r="A22" s="79" t="s">
        <v>17</v>
      </c>
      <c r="B22" s="79"/>
      <c r="C22" s="79"/>
      <c r="D22" s="79"/>
      <c r="E22" s="82" t="s">
        <v>18</v>
      </c>
      <c r="F22" s="82"/>
      <c r="G22" s="82"/>
      <c r="H22" s="82"/>
    </row>
    <row r="23" spans="1:8" ht="15" customHeight="1" x14ac:dyDescent="0.3">
      <c r="A23" s="71" t="s">
        <v>19</v>
      </c>
      <c r="B23" s="71"/>
      <c r="C23" s="71"/>
      <c r="D23" s="71"/>
      <c r="E23" s="82" t="str">
        <f>IF(AND(G17="Mumbai"),"Upper Class","Middle Class")</f>
        <v>Middle Class</v>
      </c>
      <c r="F23" s="82"/>
      <c r="G23" s="82"/>
      <c r="H23" s="82"/>
    </row>
    <row r="24" spans="1:8" x14ac:dyDescent="0.3">
      <c r="A24" s="71" t="s">
        <v>20</v>
      </c>
      <c r="B24" s="71"/>
      <c r="C24" s="71"/>
      <c r="D24" s="71"/>
      <c r="E24" s="82" t="s">
        <v>21</v>
      </c>
      <c r="F24" s="82"/>
      <c r="G24" s="82"/>
      <c r="H24" s="82"/>
    </row>
    <row r="25" spans="1:8" ht="15.75" customHeight="1" x14ac:dyDescent="0.3">
      <c r="A25" s="71" t="s">
        <v>22</v>
      </c>
      <c r="B25" s="71"/>
      <c r="C25" s="71"/>
      <c r="D25" s="71"/>
      <c r="E25" s="82" t="str">
        <f>IF(AND(G17="Mumbai"),"Developed","Developing")</f>
        <v>Developing</v>
      </c>
      <c r="F25" s="82"/>
      <c r="G25" s="82"/>
      <c r="H25" s="82"/>
    </row>
    <row r="26" spans="1:8" x14ac:dyDescent="0.3">
      <c r="A26" s="71" t="s">
        <v>23</v>
      </c>
      <c r="B26" s="71"/>
      <c r="C26" s="71"/>
      <c r="D26" s="71"/>
      <c r="E26" s="82" t="s">
        <v>24</v>
      </c>
      <c r="F26" s="82"/>
      <c r="G26" s="82"/>
      <c r="H26" s="82"/>
    </row>
    <row r="27" spans="1:8" x14ac:dyDescent="0.3">
      <c r="A27" s="71" t="s">
        <v>83</v>
      </c>
      <c r="B27" s="71"/>
      <c r="C27" s="71"/>
      <c r="D27" s="71"/>
      <c r="E27" s="82" t="s">
        <v>84</v>
      </c>
      <c r="F27" s="82"/>
      <c r="G27" s="82"/>
      <c r="H27" s="82"/>
    </row>
    <row r="28" spans="1:8" ht="15" customHeight="1" x14ac:dyDescent="0.3">
      <c r="A28" s="79" t="s">
        <v>33</v>
      </c>
      <c r="B28" s="79"/>
      <c r="C28" s="79"/>
      <c r="D28" s="79"/>
      <c r="E28" s="119" t="s">
        <v>173</v>
      </c>
      <c r="F28" s="119"/>
      <c r="G28" s="119"/>
      <c r="H28" s="119"/>
    </row>
    <row r="29" spans="1:8" x14ac:dyDescent="0.3">
      <c r="A29" s="79" t="s">
        <v>95</v>
      </c>
      <c r="B29" s="79"/>
      <c r="C29" s="79"/>
      <c r="D29" s="79"/>
      <c r="E29" s="79" t="s">
        <v>34</v>
      </c>
      <c r="F29" s="79"/>
      <c r="G29" s="79"/>
      <c r="H29" s="79"/>
    </row>
    <row r="30" spans="1:8" s="6" customFormat="1" x14ac:dyDescent="0.3">
      <c r="A30" s="118" t="s">
        <v>96</v>
      </c>
      <c r="B30" s="118"/>
      <c r="C30" s="116" t="s">
        <v>29</v>
      </c>
      <c r="D30" s="116"/>
      <c r="E30" s="116"/>
      <c r="F30" s="116" t="s">
        <v>31</v>
      </c>
      <c r="G30" s="116"/>
      <c r="H30" s="116"/>
    </row>
    <row r="31" spans="1:8" s="6" customFormat="1" x14ac:dyDescent="0.3">
      <c r="A31" s="117" t="s">
        <v>25</v>
      </c>
      <c r="B31" s="117" t="s">
        <v>30</v>
      </c>
      <c r="C31" s="115" t="s">
        <v>30</v>
      </c>
      <c r="D31" s="115"/>
      <c r="E31" s="115"/>
      <c r="F31" s="115" t="s">
        <v>174</v>
      </c>
      <c r="G31" s="115"/>
      <c r="H31" s="115"/>
    </row>
    <row r="32" spans="1:8" x14ac:dyDescent="0.3">
      <c r="A32" s="117" t="s">
        <v>26</v>
      </c>
      <c r="B32" s="117" t="s">
        <v>30</v>
      </c>
      <c r="C32" s="115" t="s">
        <v>30</v>
      </c>
      <c r="D32" s="115"/>
      <c r="E32" s="115"/>
      <c r="F32" s="115" t="s">
        <v>175</v>
      </c>
      <c r="G32" s="115"/>
      <c r="H32" s="115"/>
    </row>
    <row r="33" spans="1:8" s="6" customFormat="1" x14ac:dyDescent="0.3">
      <c r="A33" s="117" t="s">
        <v>28</v>
      </c>
      <c r="B33" s="117" t="s">
        <v>30</v>
      </c>
      <c r="C33" s="115" t="s">
        <v>30</v>
      </c>
      <c r="D33" s="115"/>
      <c r="E33" s="115"/>
      <c r="F33" s="115" t="s">
        <v>176</v>
      </c>
      <c r="G33" s="115"/>
      <c r="H33" s="115"/>
    </row>
    <row r="34" spans="1:8" x14ac:dyDescent="0.3">
      <c r="A34" s="117" t="s">
        <v>27</v>
      </c>
      <c r="B34" s="117" t="s">
        <v>30</v>
      </c>
      <c r="C34" s="115" t="s">
        <v>30</v>
      </c>
      <c r="D34" s="115"/>
      <c r="E34" s="115"/>
      <c r="F34" s="115" t="s">
        <v>177</v>
      </c>
      <c r="G34" s="115"/>
      <c r="H34" s="115"/>
    </row>
    <row r="35" spans="1:8" x14ac:dyDescent="0.3">
      <c r="A35" s="71" t="s">
        <v>32</v>
      </c>
      <c r="B35" s="71"/>
      <c r="C35" s="71"/>
      <c r="D35" s="71"/>
      <c r="E35" s="71"/>
      <c r="F35" s="71"/>
      <c r="G35" s="71"/>
      <c r="H35" s="71"/>
    </row>
    <row r="36" spans="1:8" ht="15.75" customHeight="1" x14ac:dyDescent="0.3">
      <c r="A36" s="73" t="s">
        <v>213</v>
      </c>
      <c r="B36" s="73"/>
      <c r="C36" s="74" t="s">
        <v>214</v>
      </c>
      <c r="D36" s="74"/>
      <c r="E36" s="74"/>
      <c r="F36" s="74"/>
      <c r="G36" s="74"/>
      <c r="H36" s="74"/>
    </row>
    <row r="37" spans="1:8" ht="15.75" customHeight="1" x14ac:dyDescent="0.3">
      <c r="A37" s="73" t="s">
        <v>212</v>
      </c>
      <c r="B37" s="73"/>
      <c r="C37" s="75" t="s">
        <v>215</v>
      </c>
      <c r="D37" s="74"/>
      <c r="E37" s="74"/>
      <c r="F37" s="74"/>
      <c r="G37" s="74"/>
      <c r="H37" s="74"/>
    </row>
    <row r="38" spans="1:8" x14ac:dyDescent="0.3">
      <c r="A38" s="85" t="s">
        <v>35</v>
      </c>
      <c r="B38" s="85"/>
      <c r="C38" s="85"/>
      <c r="D38" s="85"/>
      <c r="E38" s="73" t="s">
        <v>178</v>
      </c>
      <c r="F38" s="73"/>
      <c r="G38" s="73" t="s">
        <v>179</v>
      </c>
      <c r="H38" s="73"/>
    </row>
    <row r="39" spans="1:8" x14ac:dyDescent="0.3">
      <c r="A39" s="71" t="s">
        <v>36</v>
      </c>
      <c r="B39" s="71"/>
      <c r="C39" s="71"/>
      <c r="D39" s="71"/>
      <c r="E39" s="83">
        <v>97766.62</v>
      </c>
      <c r="F39" s="83"/>
      <c r="G39" s="83">
        <v>421231.43</v>
      </c>
      <c r="H39" s="83"/>
    </row>
    <row r="40" spans="1:8" x14ac:dyDescent="0.3">
      <c r="A40" s="71" t="s">
        <v>37</v>
      </c>
      <c r="B40" s="71"/>
      <c r="C40" s="71"/>
      <c r="D40" s="71"/>
      <c r="E40" s="72">
        <v>1</v>
      </c>
      <c r="F40" s="72"/>
      <c r="G40" s="72">
        <v>1</v>
      </c>
      <c r="H40" s="72"/>
    </row>
    <row r="41" spans="1:8" x14ac:dyDescent="0.3">
      <c r="A41" s="71" t="s">
        <v>38</v>
      </c>
      <c r="B41" s="71"/>
      <c r="C41" s="71"/>
      <c r="D41" s="71"/>
      <c r="E41" s="72">
        <f>E43/E39-E40</f>
        <v>0</v>
      </c>
      <c r="F41" s="72"/>
      <c r="G41" s="72">
        <f>G43/G39-G40</f>
        <v>-0.24829728398946871</v>
      </c>
      <c r="H41" s="72"/>
    </row>
    <row r="42" spans="1:8" x14ac:dyDescent="0.3">
      <c r="A42" s="71" t="s">
        <v>39</v>
      </c>
      <c r="B42" s="71"/>
      <c r="C42" s="71"/>
      <c r="D42" s="71"/>
      <c r="E42" s="72">
        <f>E40+E41</f>
        <v>1</v>
      </c>
      <c r="F42" s="72"/>
      <c r="G42" s="72">
        <f>G40+G41</f>
        <v>0.75170271601053129</v>
      </c>
      <c r="H42" s="72"/>
    </row>
    <row r="43" spans="1:8" x14ac:dyDescent="0.3">
      <c r="A43" s="76" t="s">
        <v>94</v>
      </c>
      <c r="B43" s="76"/>
      <c r="C43" s="76"/>
      <c r="D43" s="76"/>
      <c r="E43" s="84">
        <v>97766.62</v>
      </c>
      <c r="F43" s="84"/>
      <c r="G43" s="84">
        <v>316640.81</v>
      </c>
      <c r="H43" s="84"/>
    </row>
    <row r="44" spans="1:8" x14ac:dyDescent="0.3">
      <c r="A44" s="76" t="s">
        <v>40</v>
      </c>
      <c r="B44" s="76"/>
      <c r="C44" s="76"/>
      <c r="D44" s="76"/>
      <c r="E44" s="76" t="s">
        <v>189</v>
      </c>
      <c r="F44" s="76"/>
      <c r="G44" s="76"/>
      <c r="H44" s="76"/>
    </row>
    <row r="45" spans="1:8" x14ac:dyDescent="0.3">
      <c r="A45" s="110" t="s">
        <v>41</v>
      </c>
      <c r="B45" s="110"/>
      <c r="C45" s="110"/>
      <c r="D45" s="110"/>
      <c r="E45" s="110"/>
      <c r="F45" s="110"/>
      <c r="G45" s="110"/>
      <c r="H45" s="110"/>
    </row>
    <row r="46" spans="1:8" ht="33.75" customHeight="1" x14ac:dyDescent="0.3">
      <c r="A46" s="86" t="s">
        <v>149</v>
      </c>
      <c r="B46" s="87"/>
      <c r="C46" s="88" t="s">
        <v>180</v>
      </c>
      <c r="D46" s="89"/>
      <c r="E46" s="89"/>
      <c r="F46" s="89"/>
      <c r="G46" s="89"/>
      <c r="H46" s="90"/>
    </row>
    <row r="47" spans="1:8" x14ac:dyDescent="0.3">
      <c r="A47" s="82" t="s">
        <v>42</v>
      </c>
      <c r="B47" s="82"/>
      <c r="C47" s="91" t="s">
        <v>190</v>
      </c>
      <c r="D47" s="91"/>
      <c r="E47" s="91"/>
      <c r="F47" s="55" t="s">
        <v>43</v>
      </c>
      <c r="G47" s="92">
        <v>44728</v>
      </c>
      <c r="H47" s="92"/>
    </row>
    <row r="48" spans="1:8" ht="35.4" customHeight="1" x14ac:dyDescent="0.3">
      <c r="A48" s="82" t="s">
        <v>203</v>
      </c>
      <c r="B48" s="76"/>
      <c r="C48" s="91" t="s">
        <v>204</v>
      </c>
      <c r="D48" s="91"/>
      <c r="E48" s="91"/>
      <c r="F48" s="55" t="s">
        <v>43</v>
      </c>
      <c r="G48" s="92">
        <v>44530</v>
      </c>
      <c r="H48" s="92"/>
    </row>
    <row r="49" spans="1:14" ht="35.4" customHeight="1" x14ac:dyDescent="0.3">
      <c r="A49" s="82" t="s">
        <v>202</v>
      </c>
      <c r="B49" s="76"/>
      <c r="C49" s="91" t="str">
        <f>C48</f>
        <v>S05/0022/10/TMC/TD-DP/TPS/3784/21</v>
      </c>
      <c r="D49" s="91"/>
      <c r="E49" s="91"/>
      <c r="F49" s="55" t="s">
        <v>43</v>
      </c>
      <c r="G49" s="92">
        <v>44728</v>
      </c>
      <c r="H49" s="92"/>
    </row>
    <row r="50" spans="1:14" s="5" customFormat="1" x14ac:dyDescent="0.3">
      <c r="A50" s="82" t="s">
        <v>44</v>
      </c>
      <c r="B50" s="82"/>
      <c r="C50" s="91" t="s">
        <v>183</v>
      </c>
      <c r="D50" s="91"/>
      <c r="E50" s="91"/>
      <c r="F50" s="8" t="s">
        <v>43</v>
      </c>
      <c r="G50" s="92">
        <v>44530</v>
      </c>
      <c r="H50" s="92"/>
    </row>
    <row r="51" spans="1:14" s="5" customFormat="1" ht="36.75" customHeight="1" x14ac:dyDescent="0.3">
      <c r="A51" s="82"/>
      <c r="B51" s="82"/>
      <c r="C51" s="96" t="s">
        <v>194</v>
      </c>
      <c r="D51" s="97"/>
      <c r="E51" s="97"/>
      <c r="F51" s="97"/>
      <c r="G51" s="97"/>
      <c r="H51" s="98"/>
    </row>
    <row r="52" spans="1:14" s="5" customFormat="1" x14ac:dyDescent="0.3">
      <c r="A52" s="82" t="s">
        <v>44</v>
      </c>
      <c r="B52" s="82"/>
      <c r="C52" s="91" t="s">
        <v>195</v>
      </c>
      <c r="D52" s="91"/>
      <c r="E52" s="91"/>
      <c r="F52" s="8" t="s">
        <v>43</v>
      </c>
      <c r="G52" s="92">
        <v>44728</v>
      </c>
      <c r="H52" s="92"/>
    </row>
    <row r="53" spans="1:14" s="5" customFormat="1" ht="36.75" customHeight="1" x14ac:dyDescent="0.3">
      <c r="A53" s="82"/>
      <c r="B53" s="82"/>
      <c r="C53" s="96" t="s">
        <v>196</v>
      </c>
      <c r="D53" s="97"/>
      <c r="E53" s="97"/>
      <c r="F53" s="97"/>
      <c r="G53" s="97"/>
      <c r="H53" s="98"/>
    </row>
    <row r="54" spans="1:14" x14ac:dyDescent="0.3">
      <c r="A54" s="80" t="s">
        <v>45</v>
      </c>
      <c r="B54" s="80"/>
      <c r="C54" s="93" t="s">
        <v>104</v>
      </c>
      <c r="D54" s="94"/>
      <c r="E54" s="94" t="s">
        <v>46</v>
      </c>
      <c r="F54" s="47" t="s">
        <v>43</v>
      </c>
      <c r="G54" s="133" t="s">
        <v>30</v>
      </c>
      <c r="H54" s="133"/>
    </row>
    <row r="55" spans="1:14" x14ac:dyDescent="0.3">
      <c r="A55" s="95" t="s">
        <v>48</v>
      </c>
      <c r="B55" s="95"/>
      <c r="C55" s="95"/>
      <c r="D55" s="95"/>
      <c r="E55" s="95"/>
      <c r="F55" s="95"/>
      <c r="G55" s="95"/>
      <c r="H55" s="95"/>
    </row>
    <row r="56" spans="1:14" x14ac:dyDescent="0.3">
      <c r="A56" s="82" t="s">
        <v>93</v>
      </c>
      <c r="B56" s="82"/>
      <c r="C56" s="82"/>
      <c r="D56" s="76">
        <f>E43</f>
        <v>97766.62</v>
      </c>
      <c r="E56" s="76"/>
      <c r="F56" s="76"/>
      <c r="G56" s="76"/>
      <c r="H56" s="76"/>
    </row>
    <row r="57" spans="1:14" x14ac:dyDescent="0.3">
      <c r="A57" s="82" t="s">
        <v>49</v>
      </c>
      <c r="B57" s="76"/>
      <c r="C57" s="76"/>
      <c r="D57" s="76" t="s">
        <v>207</v>
      </c>
      <c r="E57" s="76"/>
      <c r="F57" s="76"/>
      <c r="G57" s="76"/>
      <c r="H57" s="76"/>
      <c r="I57" s="35"/>
    </row>
    <row r="58" spans="1:14" ht="33" customHeight="1" x14ac:dyDescent="0.3">
      <c r="A58" s="112" t="s">
        <v>50</v>
      </c>
      <c r="B58" s="113"/>
      <c r="C58" s="114"/>
      <c r="D58" s="111" t="s">
        <v>201</v>
      </c>
      <c r="E58" s="111"/>
      <c r="F58" s="111"/>
      <c r="G58" s="111"/>
      <c r="H58" s="111"/>
    </row>
    <row r="59" spans="1:14" ht="32.25" customHeight="1" x14ac:dyDescent="0.3">
      <c r="A59" s="82" t="s">
        <v>91</v>
      </c>
      <c r="B59" s="82"/>
      <c r="C59" s="82"/>
      <c r="D59" s="82" t="s">
        <v>217</v>
      </c>
      <c r="E59" s="82"/>
      <c r="F59" s="82"/>
      <c r="G59" s="82"/>
      <c r="H59" s="82"/>
    </row>
    <row r="60" spans="1:14" ht="32.25" customHeight="1" x14ac:dyDescent="0.3">
      <c r="A60" s="82"/>
      <c r="B60" s="82"/>
      <c r="C60" s="82"/>
      <c r="D60" s="82" t="s">
        <v>218</v>
      </c>
      <c r="E60" s="82"/>
      <c r="F60" s="82"/>
      <c r="G60" s="82"/>
      <c r="H60" s="82"/>
    </row>
    <row r="61" spans="1:14" ht="15.75" customHeight="1" x14ac:dyDescent="0.3">
      <c r="A61" s="71" t="s">
        <v>47</v>
      </c>
      <c r="B61" s="71"/>
      <c r="C61" s="71"/>
      <c r="D61" s="82" t="s">
        <v>181</v>
      </c>
      <c r="E61" s="82"/>
      <c r="F61" s="82"/>
      <c r="G61" s="82"/>
      <c r="H61" s="82"/>
      <c r="J61" s="34"/>
      <c r="K61" s="35"/>
      <c r="N61" s="35"/>
    </row>
    <row r="62" spans="1:14" ht="15.75" customHeight="1" x14ac:dyDescent="0.3">
      <c r="A62" s="71" t="s">
        <v>89</v>
      </c>
      <c r="B62" s="71"/>
      <c r="C62" s="71"/>
      <c r="D62" s="132" t="str">
        <f>(IF(G54="NA","60 Years After Completion",IF(G54&lt;&gt;"NA",""&amp;60-ROUNDDOWN((E3-G54)/360,0)&amp;" Years"," ")))</f>
        <v>60 Years After Completion</v>
      </c>
      <c r="E62" s="132"/>
      <c r="F62" s="132"/>
      <c r="G62" s="132"/>
      <c r="H62" s="132"/>
      <c r="N62" s="35"/>
    </row>
    <row r="63" spans="1:14" ht="15.75" customHeight="1" x14ac:dyDescent="0.3">
      <c r="A63" s="71" t="s">
        <v>90</v>
      </c>
      <c r="B63" s="71"/>
      <c r="C63" s="71"/>
      <c r="D63" s="79" t="s">
        <v>24</v>
      </c>
      <c r="E63" s="79"/>
      <c r="F63" s="79"/>
      <c r="G63" s="79"/>
      <c r="H63" s="79"/>
      <c r="J63" s="13"/>
      <c r="K63" s="13"/>
    </row>
    <row r="64" spans="1:14" ht="15.75" hidden="1" customHeight="1" x14ac:dyDescent="0.3">
      <c r="A64" s="71" t="s">
        <v>77</v>
      </c>
      <c r="B64" s="71"/>
      <c r="C64" s="71"/>
      <c r="D64" s="82" t="s">
        <v>146</v>
      </c>
      <c r="E64" s="79"/>
      <c r="F64" s="79"/>
      <c r="G64" s="79"/>
      <c r="H64" s="79"/>
    </row>
    <row r="65" spans="1:14" x14ac:dyDescent="0.3">
      <c r="A65" s="79" t="s">
        <v>147</v>
      </c>
      <c r="B65" s="79"/>
      <c r="C65" s="79"/>
      <c r="D65" s="79" t="s">
        <v>30</v>
      </c>
      <c r="E65" s="79"/>
      <c r="F65" s="79"/>
      <c r="G65" s="79"/>
      <c r="H65" s="79"/>
      <c r="I65" s="45"/>
      <c r="J65" s="45"/>
      <c r="K65" s="45"/>
      <c r="L65" s="45"/>
      <c r="M65" s="45"/>
      <c r="N65" s="45"/>
    </row>
    <row r="66" spans="1:14" ht="15.75" customHeight="1" x14ac:dyDescent="0.3">
      <c r="A66" s="71" t="s">
        <v>88</v>
      </c>
      <c r="B66" s="71"/>
      <c r="C66" s="71"/>
      <c r="D66" s="82" t="str">
        <f ca="1">(IF(G72&gt;95%,"Nothing",IF(G72&gt;0%,"Cement, Aggregate, Steel, etc",IF(G72=0%,"Work not yet Started"))))</f>
        <v>Cement, Aggregate, Steel, etc</v>
      </c>
      <c r="E66" s="82"/>
      <c r="F66" s="82"/>
      <c r="G66" s="82"/>
      <c r="H66" s="82"/>
      <c r="J66" s="13"/>
    </row>
    <row r="67" spans="1:14" ht="33.75" customHeight="1" thickBot="1" x14ac:dyDescent="0.35">
      <c r="A67" s="82" t="s">
        <v>117</v>
      </c>
      <c r="B67" s="82"/>
      <c r="C67" s="82"/>
      <c r="D67" s="82" t="str">
        <f ca="1">(IF(D66="Nothing","Yes",IF(D66="Cement, Aggregate, Steel, etc","Under Construction",IF(D66="Work not yet Started","Work not yet Started"))))</f>
        <v>Under Construction</v>
      </c>
      <c r="E67" s="82"/>
      <c r="F67" s="82" t="str">
        <f ca="1">(IF(D66="Nothing","Yes",IF(D66="Cement, Aggregate, Steel, etc","Under Construction",IF(D66="Work not yet Started","Work not yet Started"))))</f>
        <v>Under Construction</v>
      </c>
      <c r="G67" s="82"/>
      <c r="H67" s="82"/>
    </row>
    <row r="68" spans="1:14" ht="31.5" customHeight="1" x14ac:dyDescent="0.3">
      <c r="A68" s="80" t="s">
        <v>138</v>
      </c>
      <c r="B68" s="80"/>
      <c r="C68" s="80" t="str">
        <f>D59</f>
        <v>A Wing = 3B + G/St + 1st to 22nd Floor + Service Floor + 23rd to 47th Floor + Recreational Floor.</v>
      </c>
      <c r="D68" s="80"/>
      <c r="E68" s="80"/>
      <c r="F68" s="80"/>
      <c r="G68" s="80"/>
      <c r="H68" s="80"/>
      <c r="I68" s="37" t="str">
        <f ca="1">(IF(E72&gt;99%,"All work completed. Please provide OC.",IF(E72&gt;89.8%,"Plinth, RCC, Brick, Plaster, Flooring, Painting work Completed. Finishing work is in process.",IF(E72&lt;94%,(IF(C72=0,"Work not yet Started.",IF(D72=25%,"Piling work in process",IF(D72=50%,"Excavation work in process",IF(D72=100%,"Excavation work Completed. ","0")))&amp;(IF(C73=0%,"",IF(C73=J74,"Footing work is process",IF(C73=J75,"Footing work Completed",IF(C73=J76,"1st Basement Completed",IF(C73=J77,"1st &amp; 2nd Basement Completed",IF(C73=J78,"1st to 3rd Basement Completed",IF(C73=J79,"1st to 4th Basement Completed",IF(C73=J80,"Plinth work is process",IF(C73=J81,"Plinth work completed","0")))))))))))&amp;(IF(C74=(D69+F69+H69),", RCC Slab",IF(C74&gt;0,", RCC upto "&amp;C74&amp;" Slab",""))&amp;(IF(C75=H69,", Brickwork",IF(C75&gt;0,", Brickwork upto "&amp;C75&amp;" Floor",""))&amp;(IF(C76=H69,", Internal Plaster",IF(C76&gt;0,", Internal Plaster upto "&amp;C76&amp;" Floor",""))&amp;(IF(C77=H69,", External Plaster",IF(C77&gt;0,", External Plaster upto "&amp;C77&amp;" Floor",""))&amp;(IF(C78=H69,", Flooring",IF(C78&gt;0,", Flooring upto "&amp;C78&amp;" Floor",""))&amp;(IF(C79=H69,", Painting",IF(C79&gt;0,", Painting upto "&amp;C79&amp;" Floor",""))&amp;(IF(C80&gt;0,", Finishing upto "&amp;C80&amp;" Floor","")&amp;(IF(C74&gt;0.5," Completed",""))))))))))))))</f>
        <v>Excavation work Completed. Plinth work completed, RCC Slab, Brickwork, Internal Plaster upto 38 Floor, External Plaster upto 33 Floor, Flooring upto 25 Floor Completed</v>
      </c>
      <c r="J68" s="15"/>
    </row>
    <row r="69" spans="1:14" x14ac:dyDescent="0.3">
      <c r="A69" s="42" t="s">
        <v>140</v>
      </c>
      <c r="B69" s="46">
        <v>3</v>
      </c>
      <c r="C69" s="46" t="s">
        <v>75</v>
      </c>
      <c r="D69" s="46">
        <v>1</v>
      </c>
      <c r="E69" s="46" t="s">
        <v>74</v>
      </c>
      <c r="F69" s="46">
        <v>0</v>
      </c>
      <c r="G69" s="46" t="s">
        <v>82</v>
      </c>
      <c r="H69" s="44">
        <f ca="1">--TRIM(RIGHT(SUBSTITUTE(LEFT(C68,_xlfn.AGGREGATE(16,6,FIND({0,1,2,3,4,5,6,7,8,9},C68,ROW(INDIRECT("1:"&amp;LEN(C68)))),1))," ",REPT(" ",LEN(C68))),LEN(C68)))</f>
        <v>47</v>
      </c>
      <c r="I69" s="13"/>
      <c r="J69" s="16"/>
    </row>
    <row r="70" spans="1:14" ht="48.75" customHeight="1" x14ac:dyDescent="0.3">
      <c r="A70" s="135" t="s">
        <v>92</v>
      </c>
      <c r="B70" s="110"/>
      <c r="C70" s="80" t="str">
        <f ca="1">I68</f>
        <v>Excavation work Completed. Plinth work completed, RCC Slab, Brickwork, Internal Plaster upto 38 Floor, External Plaster upto 33 Floor, Flooring upto 25 Floor Completed</v>
      </c>
      <c r="D70" s="80"/>
      <c r="E70" s="80"/>
      <c r="F70" s="80"/>
      <c r="G70" s="80"/>
      <c r="H70" s="81"/>
      <c r="I70" s="13" t="s">
        <v>103</v>
      </c>
      <c r="J70" s="16"/>
    </row>
    <row r="71" spans="1:14" ht="15.75" customHeight="1" x14ac:dyDescent="0.3">
      <c r="A71" s="77" t="s">
        <v>51</v>
      </c>
      <c r="B71" s="78"/>
      <c r="C71" s="48" t="s">
        <v>137</v>
      </c>
      <c r="D71" s="48" t="s">
        <v>85</v>
      </c>
      <c r="E71" s="78" t="s">
        <v>87</v>
      </c>
      <c r="F71" s="78"/>
      <c r="G71" s="78" t="s">
        <v>86</v>
      </c>
      <c r="H71" s="134"/>
      <c r="I71" s="33" t="s">
        <v>139</v>
      </c>
      <c r="J71" s="17">
        <f ca="1">H69*25%</f>
        <v>11.75</v>
      </c>
    </row>
    <row r="72" spans="1:14" x14ac:dyDescent="0.3">
      <c r="A72" s="77" t="s">
        <v>126</v>
      </c>
      <c r="B72" s="78"/>
      <c r="C72" s="49">
        <f ca="1">J73</f>
        <v>47</v>
      </c>
      <c r="D72" s="50">
        <f ca="1">((100/H69)*C72)/100</f>
        <v>1</v>
      </c>
      <c r="E72" s="126">
        <f ca="1">(((C73/H69*10)+(40/(D69+F69+H69)*C74)+(7.5/(H69)*C75)+(7.5/(H69)*C76)+(10/H69*C77)+(10/H69*C78)+(5/H69*C79)+(5/H69*C80)+(5/H69*C81))/100)</f>
        <v>0.75904255319148928</v>
      </c>
      <c r="F72" s="126"/>
      <c r="G72" s="126">
        <f ca="1">((((C72/H69)*20)+((C73/H69)*25)+(30/(H69+F69+D69)*C74)+(5/H69*C75)+(5/H69*C76)+(5/H69*C77)+(5/H69*C78)+(0/H69*C79)+(0/H69*C80)+(5/H69*C81))/100)</f>
        <v>0.90212765957446805</v>
      </c>
      <c r="H72" s="128"/>
      <c r="I72" s="33" t="s">
        <v>98</v>
      </c>
      <c r="J72" s="36">
        <f ca="1">H69*50%</f>
        <v>23.5</v>
      </c>
    </row>
    <row r="73" spans="1:14" x14ac:dyDescent="0.3">
      <c r="A73" s="77" t="s">
        <v>52</v>
      </c>
      <c r="B73" s="78"/>
      <c r="C73" s="51">
        <f ca="1">J81</f>
        <v>47.000000000000007</v>
      </c>
      <c r="D73" s="50">
        <f ca="1">((100/H69)*C73)/100</f>
        <v>1.0000000000000002</v>
      </c>
      <c r="E73" s="126"/>
      <c r="F73" s="126"/>
      <c r="G73" s="126"/>
      <c r="H73" s="128"/>
      <c r="I73" s="33" t="s">
        <v>99</v>
      </c>
      <c r="J73" s="36">
        <f ca="1">H69</f>
        <v>47</v>
      </c>
    </row>
    <row r="74" spans="1:14" ht="15.75" customHeight="1" x14ac:dyDescent="0.3">
      <c r="A74" s="77" t="s">
        <v>127</v>
      </c>
      <c r="B74" s="78"/>
      <c r="C74" s="51">
        <v>48</v>
      </c>
      <c r="D74" s="50">
        <f ca="1">((100/(D69+F69+H69))*C74)/100</f>
        <v>1</v>
      </c>
      <c r="E74" s="126"/>
      <c r="F74" s="126"/>
      <c r="G74" s="126"/>
      <c r="H74" s="128"/>
      <c r="I74" s="33" t="s">
        <v>100</v>
      </c>
      <c r="J74" s="39">
        <f ca="1">(IF(B69&gt;1,(H69/(B69+2)),H69/4))</f>
        <v>9.4</v>
      </c>
    </row>
    <row r="75" spans="1:14" ht="15.75" customHeight="1" x14ac:dyDescent="0.3">
      <c r="A75" s="77" t="s">
        <v>134</v>
      </c>
      <c r="B75" s="78" t="s">
        <v>128</v>
      </c>
      <c r="C75" s="51">
        <f>C74-1</f>
        <v>47</v>
      </c>
      <c r="D75" s="50">
        <f ca="1">((100/H69)*C75)/100</f>
        <v>1</v>
      </c>
      <c r="E75" s="126"/>
      <c r="F75" s="126"/>
      <c r="G75" s="126"/>
      <c r="H75" s="128"/>
      <c r="I75" s="33" t="s">
        <v>101</v>
      </c>
      <c r="J75" s="39">
        <f ca="1">(IF(B69&gt;1,(H69/(B69+2)+J74),H69/4+J74))</f>
        <v>18.8</v>
      </c>
    </row>
    <row r="76" spans="1:14" ht="15.75" customHeight="1" x14ac:dyDescent="0.3">
      <c r="A76" s="77" t="s">
        <v>135</v>
      </c>
      <c r="B76" s="78" t="s">
        <v>128</v>
      </c>
      <c r="C76" s="51">
        <v>38</v>
      </c>
      <c r="D76" s="50">
        <f ca="1">((100/H69)*C76)/100</f>
        <v>0.8085106382978724</v>
      </c>
      <c r="E76" s="126"/>
      <c r="F76" s="126"/>
      <c r="G76" s="126"/>
      <c r="H76" s="128"/>
      <c r="I76" s="33" t="s">
        <v>144</v>
      </c>
      <c r="J76" s="39">
        <f ca="1">(IF(B69&gt;1,(H69/(B69+2)+J75),0))</f>
        <v>28.200000000000003</v>
      </c>
    </row>
    <row r="77" spans="1:14" ht="15" customHeight="1" x14ac:dyDescent="0.3">
      <c r="A77" s="77" t="s">
        <v>133</v>
      </c>
      <c r="B77" s="78" t="s">
        <v>130</v>
      </c>
      <c r="C77" s="51">
        <v>33</v>
      </c>
      <c r="D77" s="50">
        <f ca="1">((100/(H69))*C77)/100</f>
        <v>0.7021276595744681</v>
      </c>
      <c r="E77" s="126"/>
      <c r="F77" s="126"/>
      <c r="G77" s="126"/>
      <c r="H77" s="128"/>
      <c r="I77" s="33" t="s">
        <v>141</v>
      </c>
      <c r="J77" s="39">
        <f ca="1">(IF(B69&gt;2,(H69/(B69+2)+J76),0))</f>
        <v>37.6</v>
      </c>
    </row>
    <row r="78" spans="1:14" ht="15.75" customHeight="1" x14ac:dyDescent="0.3">
      <c r="A78" s="77" t="s">
        <v>129</v>
      </c>
      <c r="B78" s="78" t="s">
        <v>129</v>
      </c>
      <c r="C78" s="49">
        <v>25</v>
      </c>
      <c r="D78" s="50">
        <f ca="1">((100/H69)*C78)/100</f>
        <v>0.53191489361702127</v>
      </c>
      <c r="E78" s="126"/>
      <c r="F78" s="126"/>
      <c r="G78" s="126"/>
      <c r="H78" s="128"/>
      <c r="I78" s="33" t="s">
        <v>142</v>
      </c>
      <c r="J78" s="40">
        <f>(IF(B69&gt;3,(H69/(B69+2)+J77),0))</f>
        <v>0</v>
      </c>
    </row>
    <row r="79" spans="1:14" ht="15.75" customHeight="1" x14ac:dyDescent="0.3">
      <c r="A79" s="77" t="s">
        <v>136</v>
      </c>
      <c r="B79" s="78"/>
      <c r="C79" s="49">
        <v>0</v>
      </c>
      <c r="D79" s="50">
        <f ca="1">((100/H69)*C79)/100</f>
        <v>0</v>
      </c>
      <c r="E79" s="126"/>
      <c r="F79" s="126"/>
      <c r="G79" s="126"/>
      <c r="H79" s="128"/>
      <c r="I79" s="33" t="s">
        <v>143</v>
      </c>
      <c r="J79" s="39">
        <f>(IF(B69&gt;4,(H69/(B69+2)+J78),0))</f>
        <v>0</v>
      </c>
    </row>
    <row r="80" spans="1:14" ht="15.75" customHeight="1" x14ac:dyDescent="0.3">
      <c r="A80" s="77" t="s">
        <v>131</v>
      </c>
      <c r="B80" s="78" t="s">
        <v>131</v>
      </c>
      <c r="C80" s="49">
        <v>0</v>
      </c>
      <c r="D80" s="50">
        <f ca="1">((100/(H69))*C80)/100</f>
        <v>0</v>
      </c>
      <c r="E80" s="126"/>
      <c r="F80" s="126"/>
      <c r="G80" s="126"/>
      <c r="H80" s="128"/>
      <c r="I80" s="33" t="s">
        <v>145</v>
      </c>
      <c r="J80" s="39">
        <f>(IF(B69=1,(H69/(B69+3)+J75),IF(B69=0,(H69/4+J75),IF(B69&gt;1,0))))</f>
        <v>0</v>
      </c>
    </row>
    <row r="81" spans="1:10" ht="16.2" thickBot="1" x14ac:dyDescent="0.35">
      <c r="A81" s="130" t="s">
        <v>132</v>
      </c>
      <c r="B81" s="131"/>
      <c r="C81" s="52">
        <v>0</v>
      </c>
      <c r="D81" s="53">
        <f ca="1">((100/(H69))*C81)/100</f>
        <v>0</v>
      </c>
      <c r="E81" s="127"/>
      <c r="F81" s="127"/>
      <c r="G81" s="127"/>
      <c r="H81" s="129"/>
      <c r="I81" s="38" t="s">
        <v>102</v>
      </c>
      <c r="J81" s="41">
        <f ca="1">(IF(B69&gt;1.5,(H69/(B69+2)+J75+MAX(0,J76-J75)+MAX(0,J77-J76)+MAX(0,J78-J77)+MAX(0,J79-J78)+MAX(0,J80-J79)),IF(B69=1,(H69/(B69+3)+J80),IF(B69=0,H69/4+J80))))</f>
        <v>47.000000000000007</v>
      </c>
    </row>
    <row r="82" spans="1:10" ht="31.5" customHeight="1" x14ac:dyDescent="0.3">
      <c r="A82" s="149" t="s">
        <v>138</v>
      </c>
      <c r="B82" s="150"/>
      <c r="C82" s="151" t="s">
        <v>219</v>
      </c>
      <c r="D82" s="152"/>
      <c r="E82" s="152"/>
      <c r="F82" s="152"/>
      <c r="G82" s="152"/>
      <c r="H82" s="153"/>
      <c r="I82" s="37" t="str">
        <f ca="1">(IF(E86&gt;99%,"All work completed. Please provide OC.",IF(E86&gt;89.8%,"Plinth, RCC, Brick, Plaster, Flooring, Painting work Completed. Finishing work is in process.",IF(E86&lt;94%,(IF(C86=0,"Work not yet Started.",IF(D86=25%,"Piling work in process",IF(D86=50%,"Excavation work in process",IF(D86=100%,"Excavation work Completed. ","0")))&amp;(IF(C87=0%,"",IF(C87=J88,"Footing work is process",IF(C87=J89,"Footing work Completed",IF(C87=J90,"1st Basement Completed",IF(C87=J91,"1st &amp; 2nd Basement Completed",IF(C87=J92,"1st to 3rd Basement Completed",IF(C87=J93,"1st to 4th Basement Completed",IF(C87=J94,"Plinth work is process",IF(C87=J95,"Plinth work completed","0")))))))))))&amp;(IF(C88=(D83+F83+H83),", RCC Slab",IF(C88&gt;0,", RCC upto "&amp;C88&amp;" Slab",""))&amp;(IF(C89=H83,", Brickwork",IF(C89&gt;0,", Brickwork upto "&amp;C89&amp;" Floor",""))&amp;(IF(C90=H83,", Internal Plaster",IF(C90&gt;0,", Internal Plaster upto "&amp;C90&amp;" Floor",""))&amp;(IF(C91=H83,", External Plaster",IF(C91&gt;0,", External Plaster upto "&amp;C91&amp;" Floor",""))&amp;(IF(C92=H83,", Flooring",IF(C92&gt;0,", Flooring upto "&amp;C92&amp;" Floor",""))&amp;(IF(C93=H83,", Painting",IF(C93&gt;0,", Painting upto "&amp;C93&amp;" Floor",""))&amp;(IF(C94&gt;0,", Finishing upto "&amp;C94&amp;" Floor","")&amp;(IF(C88&gt;0.5," Completed",""))))))))))))))</f>
        <v>Excavation work Completed. Plinth work completed, RCC Slab, Brickwork, Internal Plaster upto 38 Floor, External Plaster upto 33 Floor, Flooring upto 25 Floor Completed</v>
      </c>
      <c r="J82" s="15"/>
    </row>
    <row r="83" spans="1:10" x14ac:dyDescent="0.3">
      <c r="A83" s="42" t="s">
        <v>140</v>
      </c>
      <c r="B83" s="46">
        <v>3</v>
      </c>
      <c r="C83" s="46" t="s">
        <v>75</v>
      </c>
      <c r="D83" s="46">
        <v>1</v>
      </c>
      <c r="E83" s="46" t="s">
        <v>74</v>
      </c>
      <c r="F83" s="46">
        <v>0</v>
      </c>
      <c r="G83" s="46" t="s">
        <v>82</v>
      </c>
      <c r="H83" s="44">
        <f ca="1">--TRIM(RIGHT(SUBSTITUTE(LEFT(C82,_xlfn.AGGREGATE(16,6,FIND({0,1,2,3,4,5,6,7,8,9},C82,ROW(INDIRECT("1:"&amp;LEN(C82)))),1))," ",REPT(" ",LEN(C82))),LEN(C82)))</f>
        <v>47</v>
      </c>
      <c r="I83" s="13"/>
      <c r="J83" s="16"/>
    </row>
    <row r="84" spans="1:10" ht="50.25" customHeight="1" x14ac:dyDescent="0.3">
      <c r="A84" s="135" t="s">
        <v>92</v>
      </c>
      <c r="B84" s="110"/>
      <c r="C84" s="80" t="str">
        <f ca="1">I82</f>
        <v>Excavation work Completed. Plinth work completed, RCC Slab, Brickwork, Internal Plaster upto 38 Floor, External Plaster upto 33 Floor, Flooring upto 25 Floor Completed</v>
      </c>
      <c r="D84" s="80"/>
      <c r="E84" s="80"/>
      <c r="F84" s="80"/>
      <c r="G84" s="80"/>
      <c r="H84" s="81"/>
      <c r="I84" s="13" t="s">
        <v>103</v>
      </c>
      <c r="J84" s="16"/>
    </row>
    <row r="85" spans="1:10" ht="15.75" customHeight="1" x14ac:dyDescent="0.3">
      <c r="A85" s="77" t="s">
        <v>51</v>
      </c>
      <c r="B85" s="78"/>
      <c r="C85" s="48" t="s">
        <v>137</v>
      </c>
      <c r="D85" s="48" t="s">
        <v>85</v>
      </c>
      <c r="E85" s="78" t="s">
        <v>87</v>
      </c>
      <c r="F85" s="78"/>
      <c r="G85" s="78" t="s">
        <v>86</v>
      </c>
      <c r="H85" s="134"/>
      <c r="I85" s="33" t="s">
        <v>139</v>
      </c>
      <c r="J85" s="17">
        <f ca="1">H83*25%</f>
        <v>11.75</v>
      </c>
    </row>
    <row r="86" spans="1:10" x14ac:dyDescent="0.3">
      <c r="A86" s="78" t="s">
        <v>126</v>
      </c>
      <c r="B86" s="78"/>
      <c r="C86" s="49">
        <f ca="1">J87</f>
        <v>47</v>
      </c>
      <c r="D86" s="50">
        <f ca="1">((100/H83)*C86)/100</f>
        <v>1</v>
      </c>
      <c r="E86" s="126">
        <f ca="1">(((C87/H83*10)+(40/(D83+F83+H83)*C88)+(7.5/(H83)*C89)+(7.5/(H83)*C90)+(10/H83*C91)+(10/H83*C92)+(5/H83*C93)+(5/H83*C94)+(5/H83*C95))/100)</f>
        <v>0.75904255319148928</v>
      </c>
      <c r="F86" s="126"/>
      <c r="G86" s="126">
        <f ca="1">((((C86/H83)*20)+((C87/H83)*25)+(30/(H83+F83+D83)*C88)+(5/H83*C89)+(5/H83*C90)+(5/H83*C91)+(5/H83*C92)+(0/H83*C93)+(0/H83*C94)+(5/H83*C95))/100)</f>
        <v>0.90212765957446805</v>
      </c>
      <c r="H86" s="126"/>
      <c r="I86" s="33" t="s">
        <v>98</v>
      </c>
      <c r="J86" s="36">
        <f ca="1">H83*50%</f>
        <v>23.5</v>
      </c>
    </row>
    <row r="87" spans="1:10" x14ac:dyDescent="0.3">
      <c r="A87" s="78" t="s">
        <v>52</v>
      </c>
      <c r="B87" s="78"/>
      <c r="C87" s="51">
        <f ca="1">J95</f>
        <v>47.000000000000007</v>
      </c>
      <c r="D87" s="50">
        <f ca="1">((100/H83)*C87)/100</f>
        <v>1.0000000000000002</v>
      </c>
      <c r="E87" s="126"/>
      <c r="F87" s="126"/>
      <c r="G87" s="126"/>
      <c r="H87" s="126"/>
      <c r="I87" s="33" t="s">
        <v>99</v>
      </c>
      <c r="J87" s="36">
        <f ca="1">H83</f>
        <v>47</v>
      </c>
    </row>
    <row r="88" spans="1:10" ht="15.75" customHeight="1" x14ac:dyDescent="0.3">
      <c r="A88" s="78" t="s">
        <v>127</v>
      </c>
      <c r="B88" s="78"/>
      <c r="C88" s="51">
        <v>48</v>
      </c>
      <c r="D88" s="50">
        <f ca="1">((100/(D83+F83+H83))*C88)/100</f>
        <v>1</v>
      </c>
      <c r="E88" s="126"/>
      <c r="F88" s="126"/>
      <c r="G88" s="126"/>
      <c r="H88" s="126"/>
      <c r="I88" s="33" t="s">
        <v>100</v>
      </c>
      <c r="J88" s="39">
        <f ca="1">(IF(B83&gt;1,(H83/(B83+2)),H83/4))</f>
        <v>9.4</v>
      </c>
    </row>
    <row r="89" spans="1:10" ht="15.75" customHeight="1" x14ac:dyDescent="0.3">
      <c r="A89" s="78" t="s">
        <v>134</v>
      </c>
      <c r="B89" s="78" t="s">
        <v>128</v>
      </c>
      <c r="C89" s="51">
        <f>C88-1</f>
        <v>47</v>
      </c>
      <c r="D89" s="50">
        <f ca="1">((100/H83)*C89)/100</f>
        <v>1</v>
      </c>
      <c r="E89" s="126"/>
      <c r="F89" s="126"/>
      <c r="G89" s="126"/>
      <c r="H89" s="126"/>
      <c r="I89" s="33" t="s">
        <v>101</v>
      </c>
      <c r="J89" s="39">
        <f ca="1">(IF(B83&gt;1,(H83/(B83+2)+J88),H83/4+J88))</f>
        <v>18.8</v>
      </c>
    </row>
    <row r="90" spans="1:10" ht="15.75" customHeight="1" x14ac:dyDescent="0.3">
      <c r="A90" s="78" t="s">
        <v>135</v>
      </c>
      <c r="B90" s="78" t="s">
        <v>128</v>
      </c>
      <c r="C90" s="51">
        <v>38</v>
      </c>
      <c r="D90" s="50">
        <f ca="1">((100/H83)*C90)/100</f>
        <v>0.8085106382978724</v>
      </c>
      <c r="E90" s="126"/>
      <c r="F90" s="126"/>
      <c r="G90" s="126"/>
      <c r="H90" s="126"/>
      <c r="I90" s="33" t="s">
        <v>144</v>
      </c>
      <c r="J90" s="39">
        <f ca="1">(IF(B83&gt;1,(H83/(B83+2)+J89),0))</f>
        <v>28.200000000000003</v>
      </c>
    </row>
    <row r="91" spans="1:10" ht="15" customHeight="1" x14ac:dyDescent="0.3">
      <c r="A91" s="78" t="s">
        <v>133</v>
      </c>
      <c r="B91" s="78" t="s">
        <v>130</v>
      </c>
      <c r="C91" s="51">
        <v>33</v>
      </c>
      <c r="D91" s="50">
        <f ca="1">((100/(H83))*C91)/100</f>
        <v>0.7021276595744681</v>
      </c>
      <c r="E91" s="126"/>
      <c r="F91" s="126"/>
      <c r="G91" s="126"/>
      <c r="H91" s="126"/>
      <c r="I91" s="33" t="s">
        <v>141</v>
      </c>
      <c r="J91" s="39">
        <f ca="1">(IF(B83&gt;2,(H83/(B83+2)+J90),0))</f>
        <v>37.6</v>
      </c>
    </row>
    <row r="92" spans="1:10" ht="15.75" customHeight="1" x14ac:dyDescent="0.3">
      <c r="A92" s="78" t="s">
        <v>129</v>
      </c>
      <c r="B92" s="78" t="s">
        <v>129</v>
      </c>
      <c r="C92" s="49">
        <v>25</v>
      </c>
      <c r="D92" s="50">
        <f ca="1">((100/H83)*C92)/100</f>
        <v>0.53191489361702127</v>
      </c>
      <c r="E92" s="126"/>
      <c r="F92" s="126"/>
      <c r="G92" s="126"/>
      <c r="H92" s="126"/>
      <c r="I92" s="33" t="s">
        <v>142</v>
      </c>
      <c r="J92" s="40">
        <f>(IF(B83&gt;3,(H83/(B83+2)+J91),0))</f>
        <v>0</v>
      </c>
    </row>
    <row r="93" spans="1:10" ht="15.75" customHeight="1" x14ac:dyDescent="0.3">
      <c r="A93" s="78" t="s">
        <v>136</v>
      </c>
      <c r="B93" s="78"/>
      <c r="C93" s="49">
        <v>0</v>
      </c>
      <c r="D93" s="50">
        <f ca="1">((100/H83)*C93)/100</f>
        <v>0</v>
      </c>
      <c r="E93" s="126"/>
      <c r="F93" s="126"/>
      <c r="G93" s="126"/>
      <c r="H93" s="126"/>
      <c r="I93" s="33" t="s">
        <v>143</v>
      </c>
      <c r="J93" s="39">
        <f>(IF(B83&gt;4,(H83/(B83+2)+J92),0))</f>
        <v>0</v>
      </c>
    </row>
    <row r="94" spans="1:10" ht="15.75" customHeight="1" x14ac:dyDescent="0.3">
      <c r="A94" s="78" t="s">
        <v>131</v>
      </c>
      <c r="B94" s="78" t="s">
        <v>131</v>
      </c>
      <c r="C94" s="49">
        <v>0</v>
      </c>
      <c r="D94" s="50">
        <f ca="1">((100/(H83))*C94)/100</f>
        <v>0</v>
      </c>
      <c r="E94" s="126"/>
      <c r="F94" s="126"/>
      <c r="G94" s="126"/>
      <c r="H94" s="126"/>
      <c r="I94" s="33" t="s">
        <v>145</v>
      </c>
      <c r="J94" s="39">
        <f>(IF(B83=1,(H83/(B83+3)+J89),IF(B83=0,(H83/4+J89),IF(B83&gt;1,0))))</f>
        <v>0</v>
      </c>
    </row>
    <row r="95" spans="1:10" ht="16.2" thickBot="1" x14ac:dyDescent="0.35">
      <c r="A95" s="78" t="s">
        <v>132</v>
      </c>
      <c r="B95" s="78"/>
      <c r="C95" s="49">
        <v>0</v>
      </c>
      <c r="D95" s="50">
        <f ca="1">((100/(H83))*C95)/100</f>
        <v>0</v>
      </c>
      <c r="E95" s="126"/>
      <c r="F95" s="126"/>
      <c r="G95" s="126"/>
      <c r="H95" s="126"/>
      <c r="I95" s="38" t="s">
        <v>102</v>
      </c>
      <c r="J95" s="41">
        <f ca="1">(IF(B83&gt;1.5,(H83/(B83+2)+J89+MAX(0,J90-J89)+MAX(0,J91-J90)+MAX(0,J92-J91)+MAX(0,J93-J92)+MAX(0,J94-J93)),IF(B83=1,(H83/(B83+3)+J94),IF(B83=0,H83/4+J94))))</f>
        <v>47.000000000000007</v>
      </c>
    </row>
    <row r="96" spans="1:10" ht="31.5" customHeight="1" x14ac:dyDescent="0.3">
      <c r="A96" s="80" t="s">
        <v>138</v>
      </c>
      <c r="B96" s="80"/>
      <c r="C96" s="80" t="s">
        <v>220</v>
      </c>
      <c r="D96" s="80"/>
      <c r="E96" s="80"/>
      <c r="F96" s="80"/>
      <c r="G96" s="80"/>
      <c r="H96" s="80"/>
      <c r="I96" s="37" t="str">
        <f ca="1">(IF(E100&gt;99%,"All work completed. Please provide OC.",IF(E100&gt;89.8%,"Plinth, RCC, Brick, Plaster, Flooring, Painting work Completed. Finishing work is in process.",IF(E100&lt;94%,(IF(C100=0,"Work not yet Started.",IF(D100=25%,"Piling work in process",IF(D100=50%,"Excavation work in process",IF(D100=100%,"Excavation work Completed. ","0")))&amp;(IF(C101=0%,"",IF(C101=J102,"Footing work is process",IF(C101=J103,"Footing work Completed",IF(C101=J104,"1st Basement Completed",IF(C101=J105,"1st &amp; 2nd Basement Completed",IF(C101=J106,"1st to 3rd Basement Completed",IF(C101=J107,"1st to 4th Basement Completed",IF(C101=J108,"Plinth work is process",IF(C101=J109,"Plinth work completed","0")))))))))))&amp;(IF(C102=(D97+F97+H97),", RCC Slab",IF(C102&gt;0,", RCC upto "&amp;C102&amp;" Slab",""))&amp;(IF(C103=H97,", Brickwork",IF(C103&gt;0,", Brickwork upto "&amp;C103&amp;" Floor",""))&amp;(IF(C104=H97,", Internal Plaster",IF(C104&gt;0,", Internal Plaster upto "&amp;C104&amp;" Floor",""))&amp;(IF(C105=H97,", External Plaster",IF(C105&gt;0,", External Plaster upto "&amp;C105&amp;" Floor",""))&amp;(IF(C106=H97,", Flooring",IF(C106&gt;0,", Flooring upto "&amp;C106&amp;" Floor",""))&amp;(IF(C107=H97,", Painting",IF(C107&gt;0,", Painting upto "&amp;C107&amp;" Floor",""))&amp;(IF(C108&gt;0,", Finishing upto "&amp;C108&amp;" Floor","")&amp;(IF(C102&gt;0.5," Completed",""))))))))))))))</f>
        <v>Excavation work Completed. Plinth work completed, RCC Slab, Brickwork, Internal Plaster upto 35.25 Floor, External Plaster upto 30 Floor, Flooring upto 25 Floor Completed</v>
      </c>
      <c r="J96" s="15"/>
    </row>
    <row r="97" spans="1:10" x14ac:dyDescent="0.3">
      <c r="A97" s="46" t="s">
        <v>140</v>
      </c>
      <c r="B97" s="46">
        <v>3</v>
      </c>
      <c r="C97" s="46" t="s">
        <v>75</v>
      </c>
      <c r="D97" s="46">
        <v>1</v>
      </c>
      <c r="E97" s="46" t="s">
        <v>74</v>
      </c>
      <c r="F97" s="46">
        <v>0</v>
      </c>
      <c r="G97" s="46" t="s">
        <v>82</v>
      </c>
      <c r="H97" s="46">
        <f ca="1">--TRIM(RIGHT(SUBSTITUTE(LEFT(C96,_xlfn.AGGREGATE(16,6,FIND({0,1,2,3,4,5,6,7,8,9},C96,ROW(INDIRECT("1:"&amp;LEN(C96)))),1))," ",REPT(" ",LEN(C96))),LEN(C96)))</f>
        <v>47</v>
      </c>
      <c r="I97" s="13"/>
      <c r="J97" s="16"/>
    </row>
    <row r="98" spans="1:10" ht="49.5" customHeight="1" x14ac:dyDescent="0.3">
      <c r="A98" s="110" t="s">
        <v>92</v>
      </c>
      <c r="B98" s="110"/>
      <c r="C98" s="80" t="str">
        <f ca="1">I96</f>
        <v>Excavation work Completed. Plinth work completed, RCC Slab, Brickwork, Internal Plaster upto 35.25 Floor, External Plaster upto 30 Floor, Flooring upto 25 Floor Completed</v>
      </c>
      <c r="D98" s="80"/>
      <c r="E98" s="80"/>
      <c r="F98" s="80"/>
      <c r="G98" s="80"/>
      <c r="H98" s="80"/>
      <c r="I98" s="13" t="s">
        <v>103</v>
      </c>
      <c r="J98" s="16"/>
    </row>
    <row r="99" spans="1:10" ht="15.75" customHeight="1" x14ac:dyDescent="0.3">
      <c r="A99" s="77" t="s">
        <v>51</v>
      </c>
      <c r="B99" s="78"/>
      <c r="C99" s="48" t="s">
        <v>137</v>
      </c>
      <c r="D99" s="48" t="s">
        <v>85</v>
      </c>
      <c r="E99" s="78" t="s">
        <v>87</v>
      </c>
      <c r="F99" s="78"/>
      <c r="G99" s="78" t="s">
        <v>86</v>
      </c>
      <c r="H99" s="134"/>
      <c r="I99" s="33" t="s">
        <v>139</v>
      </c>
      <c r="J99" s="17">
        <f ca="1">H97*25%</f>
        <v>11.75</v>
      </c>
    </row>
    <row r="100" spans="1:10" x14ac:dyDescent="0.3">
      <c r="A100" s="77" t="s">
        <v>126</v>
      </c>
      <c r="B100" s="78"/>
      <c r="C100" s="49">
        <f ca="1">J101</f>
        <v>47</v>
      </c>
      <c r="D100" s="50">
        <f ca="1">((100/H97)*C100)/100</f>
        <v>1</v>
      </c>
      <c r="E100" s="126">
        <f ca="1">(((C101/H97*10)+(40/(D97+F97+H97)*C102)+(7.5/(H97)*C103)+(7.5/(H97)*C104)+(10/H97*C105)+(10/H97*C106)+(5/H97*C107)+(5/H97*C108)+(5/H97*C109))/100)</f>
        <v>0.74827127659574455</v>
      </c>
      <c r="F100" s="126"/>
      <c r="G100" s="126">
        <f ca="1">((((C100/H97)*20)+((C101/H97)*25)+(30/(H97+F97+D97)*C102)+(5/H97*C103)+(5/H97*C104)+(5/H97*C105)+(5/H97*C106)+(0/H97*C107)+(0/H97*C108)+(5/H97*C109))/100)</f>
        <v>0.89601063829787231</v>
      </c>
      <c r="H100" s="128"/>
      <c r="I100" s="33" t="s">
        <v>98</v>
      </c>
      <c r="J100" s="36">
        <f ca="1">H97*50%</f>
        <v>23.5</v>
      </c>
    </row>
    <row r="101" spans="1:10" x14ac:dyDescent="0.3">
      <c r="A101" s="77" t="s">
        <v>52</v>
      </c>
      <c r="B101" s="78"/>
      <c r="C101" s="51">
        <f ca="1">J109</f>
        <v>47.000000000000007</v>
      </c>
      <c r="D101" s="50">
        <f ca="1">((100/H97)*C101)/100</f>
        <v>1.0000000000000002</v>
      </c>
      <c r="E101" s="126"/>
      <c r="F101" s="126"/>
      <c r="G101" s="126"/>
      <c r="H101" s="128"/>
      <c r="I101" s="33" t="s">
        <v>99</v>
      </c>
      <c r="J101" s="36">
        <f ca="1">H97</f>
        <v>47</v>
      </c>
    </row>
    <row r="102" spans="1:10" ht="15.75" customHeight="1" x14ac:dyDescent="0.3">
      <c r="A102" s="77" t="s">
        <v>127</v>
      </c>
      <c r="B102" s="78"/>
      <c r="C102" s="51">
        <v>48</v>
      </c>
      <c r="D102" s="50">
        <f ca="1">((100/(D97+F97+H97))*C102)/100</f>
        <v>1</v>
      </c>
      <c r="E102" s="126"/>
      <c r="F102" s="126"/>
      <c r="G102" s="126"/>
      <c r="H102" s="128"/>
      <c r="I102" s="33" t="s">
        <v>100</v>
      </c>
      <c r="J102" s="39">
        <f ca="1">(IF(B97&gt;1,(H97/(B97+2)),H97/4))</f>
        <v>9.4</v>
      </c>
    </row>
    <row r="103" spans="1:10" ht="15.75" customHeight="1" x14ac:dyDescent="0.3">
      <c r="A103" s="77" t="s">
        <v>134</v>
      </c>
      <c r="B103" s="78" t="s">
        <v>128</v>
      </c>
      <c r="C103" s="51">
        <f>C102-1</f>
        <v>47</v>
      </c>
      <c r="D103" s="50">
        <f ca="1">((100/H97)*C103)/100</f>
        <v>1</v>
      </c>
      <c r="E103" s="126"/>
      <c r="F103" s="126"/>
      <c r="G103" s="126"/>
      <c r="H103" s="128"/>
      <c r="I103" s="33" t="s">
        <v>101</v>
      </c>
      <c r="J103" s="39">
        <f ca="1">(IF(B97&gt;1,(H97/(B97+2)+J102),H97/4+J102))</f>
        <v>18.8</v>
      </c>
    </row>
    <row r="104" spans="1:10" ht="15.75" customHeight="1" x14ac:dyDescent="0.3">
      <c r="A104" s="77" t="s">
        <v>135</v>
      </c>
      <c r="B104" s="78" t="s">
        <v>128</v>
      </c>
      <c r="C104" s="51">
        <f>C103*0.75</f>
        <v>35.25</v>
      </c>
      <c r="D104" s="50">
        <f ca="1">((100/H97)*C104)/100</f>
        <v>0.75</v>
      </c>
      <c r="E104" s="126"/>
      <c r="F104" s="126"/>
      <c r="G104" s="126"/>
      <c r="H104" s="128"/>
      <c r="I104" s="33" t="s">
        <v>144</v>
      </c>
      <c r="J104" s="39">
        <f ca="1">(IF(B97&gt;1,(H97/(B97+2)+J103),0))</f>
        <v>28.200000000000003</v>
      </c>
    </row>
    <row r="105" spans="1:10" ht="15" customHeight="1" x14ac:dyDescent="0.3">
      <c r="A105" s="77" t="s">
        <v>133</v>
      </c>
      <c r="B105" s="78" t="s">
        <v>130</v>
      </c>
      <c r="C105" s="51">
        <v>30</v>
      </c>
      <c r="D105" s="50">
        <f ca="1">((100/(H97))*C105)/100</f>
        <v>0.63829787234042556</v>
      </c>
      <c r="E105" s="126"/>
      <c r="F105" s="126"/>
      <c r="G105" s="126"/>
      <c r="H105" s="128"/>
      <c r="I105" s="33" t="s">
        <v>141</v>
      </c>
      <c r="J105" s="39">
        <f ca="1">(IF(B97&gt;2,(H97/(B97+2)+J104),0))</f>
        <v>37.6</v>
      </c>
    </row>
    <row r="106" spans="1:10" ht="15.75" customHeight="1" x14ac:dyDescent="0.3">
      <c r="A106" s="77" t="s">
        <v>129</v>
      </c>
      <c r="B106" s="78" t="s">
        <v>129</v>
      </c>
      <c r="C106" s="49">
        <v>25</v>
      </c>
      <c r="D106" s="50">
        <f ca="1">((100/H97)*C106)/100</f>
        <v>0.53191489361702127</v>
      </c>
      <c r="E106" s="126"/>
      <c r="F106" s="126"/>
      <c r="G106" s="126"/>
      <c r="H106" s="128"/>
      <c r="I106" s="33" t="s">
        <v>142</v>
      </c>
      <c r="J106" s="40">
        <f>(IF(B97&gt;3,(H97/(B97+2)+J105),0))</f>
        <v>0</v>
      </c>
    </row>
    <row r="107" spans="1:10" ht="15.75" customHeight="1" x14ac:dyDescent="0.3">
      <c r="A107" s="77" t="s">
        <v>136</v>
      </c>
      <c r="B107" s="78"/>
      <c r="C107" s="49">
        <v>0</v>
      </c>
      <c r="D107" s="50">
        <f ca="1">((100/H97)*C107)/100</f>
        <v>0</v>
      </c>
      <c r="E107" s="126"/>
      <c r="F107" s="126"/>
      <c r="G107" s="126"/>
      <c r="H107" s="128"/>
      <c r="I107" s="33" t="s">
        <v>143</v>
      </c>
      <c r="J107" s="39">
        <f>(IF(B97&gt;4,(H97/(B97+2)+J106),0))</f>
        <v>0</v>
      </c>
    </row>
    <row r="108" spans="1:10" ht="15.75" customHeight="1" x14ac:dyDescent="0.3">
      <c r="A108" s="77" t="s">
        <v>131</v>
      </c>
      <c r="B108" s="78" t="s">
        <v>131</v>
      </c>
      <c r="C108" s="49">
        <v>0</v>
      </c>
      <c r="D108" s="50">
        <f ca="1">((100/(H97))*C108)/100</f>
        <v>0</v>
      </c>
      <c r="E108" s="126"/>
      <c r="F108" s="126"/>
      <c r="G108" s="126"/>
      <c r="H108" s="128"/>
      <c r="I108" s="33" t="s">
        <v>145</v>
      </c>
      <c r="J108" s="39">
        <f>(IF(B97=1,(H97/(B97+3)+J103),IF(B97=0,(H97/4+J103),IF(B97&gt;1,0))))</f>
        <v>0</v>
      </c>
    </row>
    <row r="109" spans="1:10" ht="16.2" thickBot="1" x14ac:dyDescent="0.35">
      <c r="A109" s="130" t="s">
        <v>132</v>
      </c>
      <c r="B109" s="131"/>
      <c r="C109" s="52">
        <v>0</v>
      </c>
      <c r="D109" s="53">
        <f ca="1">((100/(H97))*C109)/100</f>
        <v>0</v>
      </c>
      <c r="E109" s="127"/>
      <c r="F109" s="127"/>
      <c r="G109" s="127"/>
      <c r="H109" s="129"/>
      <c r="I109" s="38" t="s">
        <v>102</v>
      </c>
      <c r="J109" s="41">
        <f ca="1">(IF(B97&gt;1.5,(H97/(B97+2)+J103+MAX(0,J104-J103)+MAX(0,J105-J104)+MAX(0,J106-J105)+MAX(0,J107-J106)+MAX(0,J108-J107)),IF(B97=1,(H97/(B97+3)+J108),IF(B97=0,H97/4+J108))))</f>
        <v>47.000000000000007</v>
      </c>
    </row>
    <row r="110" spans="1:10" x14ac:dyDescent="0.3">
      <c r="A110" s="85" t="s">
        <v>53</v>
      </c>
      <c r="B110" s="85"/>
      <c r="C110" s="85"/>
      <c r="D110" s="85"/>
      <c r="E110" s="85"/>
      <c r="F110" s="85"/>
      <c r="G110" s="85"/>
      <c r="H110" s="85"/>
    </row>
    <row r="111" spans="1:10" x14ac:dyDescent="0.3">
      <c r="A111" s="71" t="s">
        <v>185</v>
      </c>
      <c r="B111" s="71"/>
      <c r="C111" s="71"/>
      <c r="D111" s="71"/>
      <c r="E111" s="71"/>
      <c r="F111" s="94">
        <v>14000</v>
      </c>
      <c r="G111" s="94"/>
      <c r="H111" s="94"/>
    </row>
    <row r="112" spans="1:10" s="7" customFormat="1" x14ac:dyDescent="0.25">
      <c r="A112" s="71" t="s">
        <v>222</v>
      </c>
      <c r="B112" s="71"/>
      <c r="C112" s="71"/>
      <c r="D112" s="71"/>
      <c r="E112" s="71"/>
      <c r="F112" s="91">
        <v>700000</v>
      </c>
      <c r="G112" s="91"/>
      <c r="H112" s="91"/>
    </row>
    <row r="113" spans="1:9" s="7" customFormat="1" x14ac:dyDescent="0.25">
      <c r="A113" s="71" t="s">
        <v>223</v>
      </c>
      <c r="B113" s="71"/>
      <c r="C113" s="71"/>
      <c r="D113" s="71"/>
      <c r="E113" s="71"/>
      <c r="F113" s="91">
        <v>50000</v>
      </c>
      <c r="G113" s="91"/>
      <c r="H113" s="91"/>
    </row>
    <row r="114" spans="1:9" s="7" customFormat="1" x14ac:dyDescent="0.25">
      <c r="A114" s="71" t="s">
        <v>97</v>
      </c>
      <c r="B114" s="71"/>
      <c r="C114" s="71"/>
      <c r="D114" s="71"/>
      <c r="E114" s="71"/>
      <c r="F114" s="91">
        <v>50000</v>
      </c>
      <c r="G114" s="91"/>
      <c r="H114" s="91"/>
    </row>
    <row r="115" spans="1:9" s="7" customFormat="1" x14ac:dyDescent="0.25">
      <c r="A115" s="71" t="s">
        <v>224</v>
      </c>
      <c r="B115" s="71"/>
      <c r="C115" s="71"/>
      <c r="D115" s="71"/>
      <c r="E115" s="71"/>
      <c r="F115" s="91">
        <v>150000</v>
      </c>
      <c r="G115" s="91"/>
      <c r="H115" s="91"/>
    </row>
    <row r="116" spans="1:9" s="7" customFormat="1" x14ac:dyDescent="0.25">
      <c r="A116" s="71" t="s">
        <v>225</v>
      </c>
      <c r="B116" s="71"/>
      <c r="C116" s="71"/>
      <c r="D116" s="71"/>
      <c r="E116" s="71"/>
      <c r="F116" s="91">
        <v>350000</v>
      </c>
      <c r="G116" s="91"/>
      <c r="H116" s="91"/>
    </row>
    <row r="117" spans="1:9" x14ac:dyDescent="0.3">
      <c r="A117" s="71" t="s">
        <v>54</v>
      </c>
      <c r="B117" s="71"/>
      <c r="C117" s="71"/>
      <c r="D117" s="71"/>
      <c r="E117" s="71"/>
      <c r="F117" s="138" t="s">
        <v>184</v>
      </c>
      <c r="G117" s="138"/>
      <c r="H117" s="138"/>
    </row>
    <row r="118" spans="1:9" s="4" customFormat="1" x14ac:dyDescent="0.3">
      <c r="A118" s="85" t="s">
        <v>55</v>
      </c>
      <c r="B118" s="85"/>
      <c r="C118" s="85"/>
      <c r="D118" s="85"/>
      <c r="E118" s="85"/>
      <c r="F118" s="91">
        <f>F111*0.8</f>
        <v>11200</v>
      </c>
      <c r="G118" s="91"/>
      <c r="H118" s="91"/>
    </row>
    <row r="119" spans="1:9" s="1" customFormat="1" x14ac:dyDescent="0.3">
      <c r="A119" s="140" t="s">
        <v>160</v>
      </c>
      <c r="B119" s="140"/>
      <c r="C119" s="140"/>
      <c r="D119" s="140"/>
      <c r="E119" s="140"/>
      <c r="F119" s="140"/>
      <c r="G119" s="140"/>
      <c r="H119" s="140"/>
    </row>
    <row r="120" spans="1:9" s="1" customFormat="1" ht="15.75" customHeight="1" x14ac:dyDescent="0.3">
      <c r="A120" s="125" t="s">
        <v>56</v>
      </c>
      <c r="B120" s="125"/>
      <c r="C120" s="124" t="s">
        <v>80</v>
      </c>
      <c r="D120" s="124"/>
      <c r="E120" s="144" t="s">
        <v>57</v>
      </c>
      <c r="F120" s="144"/>
      <c r="G120" s="125" t="s">
        <v>58</v>
      </c>
      <c r="H120" s="125"/>
    </row>
    <row r="121" spans="1:9" s="1" customFormat="1" x14ac:dyDescent="0.3">
      <c r="A121" s="139" t="s">
        <v>193</v>
      </c>
      <c r="B121" s="139"/>
      <c r="C121" s="109">
        <f>COUNT(D134:D141)*37+COUNT(D143:D144,D146:D150)*8</f>
        <v>352</v>
      </c>
      <c r="D121" s="109"/>
      <c r="E121" s="109">
        <f>SUM(D134:D141)*37+SUM(D143:D144,D146:D150)*8</f>
        <v>236277.52855199995</v>
      </c>
      <c r="F121" s="109"/>
      <c r="G121" s="109">
        <f>SUM(F134:F141)*37+SUM(F143:F144,F146:F150)*8</f>
        <v>366230.16925559996</v>
      </c>
      <c r="H121" s="109"/>
    </row>
    <row r="122" spans="1:9" s="1" customFormat="1" x14ac:dyDescent="0.3">
      <c r="A122" s="139" t="s">
        <v>161</v>
      </c>
      <c r="B122" s="139"/>
      <c r="C122" s="109">
        <f>COUNT(D157:D164)*37+COUNT(D166:D167,D169:D173)*8</f>
        <v>352</v>
      </c>
      <c r="D122" s="109"/>
      <c r="E122" s="109">
        <f>SUM(D157:D164)*37+SUM(D166:D167,D169:D173)*8</f>
        <v>221252.05018799996</v>
      </c>
      <c r="F122" s="109"/>
      <c r="G122" s="109">
        <f>SUM(F157:F164)*37+SUM(F166:F167,F169:F173)*8</f>
        <v>342940.67779139994</v>
      </c>
      <c r="H122" s="109"/>
    </row>
    <row r="123" spans="1:9" s="1" customFormat="1" x14ac:dyDescent="0.3">
      <c r="A123" s="139" t="s">
        <v>191</v>
      </c>
      <c r="B123" s="139"/>
      <c r="C123" s="109">
        <f>COUNT(D180:D186)*37+COUNT(D188:D194)*8</f>
        <v>315</v>
      </c>
      <c r="D123" s="109"/>
      <c r="E123" s="109">
        <f>SUM(D180:D186)*37+SUM(D188:D194)*8</f>
        <v>244563.47545499995</v>
      </c>
      <c r="F123" s="109"/>
      <c r="G123" s="109">
        <f>SUM(F180:F186)*37+SUM(F188:F194)*8</f>
        <v>379073.38695524994</v>
      </c>
      <c r="H123" s="109"/>
    </row>
    <row r="124" spans="1:9" s="56" customFormat="1" x14ac:dyDescent="0.3">
      <c r="A124" s="140" t="s">
        <v>206</v>
      </c>
      <c r="B124" s="140"/>
      <c r="C124" s="154">
        <f>SUM(C121:C123)</f>
        <v>1019</v>
      </c>
      <c r="D124" s="154"/>
      <c r="E124" s="154">
        <f>SUM(E121:E123)</f>
        <v>702093.05419499986</v>
      </c>
      <c r="F124" s="154"/>
      <c r="G124" s="154">
        <f>SUM(G121:G123)</f>
        <v>1088244.2340022498</v>
      </c>
      <c r="H124" s="154"/>
    </row>
    <row r="125" spans="1:9" s="4" customFormat="1" ht="17.25" customHeight="1" x14ac:dyDescent="0.3">
      <c r="A125" s="73" t="s">
        <v>59</v>
      </c>
      <c r="B125" s="73"/>
      <c r="C125" s="73"/>
      <c r="D125" s="73"/>
      <c r="E125" s="73"/>
      <c r="F125" s="73"/>
      <c r="G125" s="73"/>
      <c r="H125" s="73"/>
    </row>
    <row r="126" spans="1:9" x14ac:dyDescent="0.3">
      <c r="A126" s="73" t="s">
        <v>60</v>
      </c>
      <c r="B126" s="73"/>
      <c r="C126" s="73"/>
      <c r="D126" s="73"/>
      <c r="E126" s="73"/>
      <c r="F126" s="73"/>
      <c r="G126" s="73"/>
      <c r="H126" s="73"/>
    </row>
    <row r="127" spans="1:9" ht="47.25" customHeight="1" x14ac:dyDescent="0.3">
      <c r="A127" s="101" t="s">
        <v>118</v>
      </c>
      <c r="B127" s="102"/>
      <c r="C127" s="99" t="s">
        <v>61</v>
      </c>
      <c r="D127" s="99" t="s">
        <v>62</v>
      </c>
      <c r="E127" s="142" t="s">
        <v>63</v>
      </c>
      <c r="F127" s="32" t="s">
        <v>148</v>
      </c>
      <c r="G127" s="101" t="s">
        <v>64</v>
      </c>
      <c r="H127" s="102"/>
      <c r="I127" s="31"/>
    </row>
    <row r="128" spans="1:9" s="2" customFormat="1" x14ac:dyDescent="0.3">
      <c r="A128" s="103"/>
      <c r="B128" s="104"/>
      <c r="C128" s="100"/>
      <c r="D128" s="100"/>
      <c r="E128" s="143"/>
      <c r="F128" s="30">
        <v>0.55000000000000004</v>
      </c>
      <c r="G128" s="103"/>
      <c r="H128" s="104"/>
      <c r="I128" s="31"/>
    </row>
    <row r="129" spans="1:16" x14ac:dyDescent="0.3">
      <c r="A129" s="73" t="s">
        <v>197</v>
      </c>
      <c r="B129" s="73"/>
      <c r="C129" s="73"/>
      <c r="D129" s="73"/>
      <c r="E129" s="73"/>
      <c r="F129" s="73"/>
      <c r="G129" s="73"/>
      <c r="H129" s="73"/>
    </row>
    <row r="130" spans="1:16" x14ac:dyDescent="0.3">
      <c r="A130" s="73" t="s">
        <v>193</v>
      </c>
      <c r="B130" s="73"/>
      <c r="C130" s="73"/>
      <c r="D130" s="73"/>
      <c r="E130" s="73"/>
      <c r="F130" s="73"/>
      <c r="G130" s="73"/>
      <c r="H130" s="73"/>
    </row>
    <row r="131" spans="1:16" x14ac:dyDescent="0.3">
      <c r="A131" s="73" t="s">
        <v>151</v>
      </c>
      <c r="B131" s="73"/>
      <c r="C131" s="73"/>
      <c r="D131" s="73"/>
      <c r="E131" s="73"/>
      <c r="F131" s="73"/>
      <c r="G131" s="73"/>
      <c r="H131" s="73"/>
    </row>
    <row r="132" spans="1:16" x14ac:dyDescent="0.3">
      <c r="A132" s="73" t="s">
        <v>152</v>
      </c>
      <c r="B132" s="73"/>
      <c r="C132" s="73"/>
      <c r="D132" s="73"/>
      <c r="E132" s="73"/>
      <c r="F132" s="73"/>
      <c r="G132" s="73"/>
      <c r="H132" s="73"/>
    </row>
    <row r="133" spans="1:16" s="2" customFormat="1" ht="30" customHeight="1" x14ac:dyDescent="0.3">
      <c r="A133" s="105" t="s">
        <v>153</v>
      </c>
      <c r="B133" s="105"/>
      <c r="C133" s="105"/>
      <c r="D133" s="105"/>
      <c r="E133" s="105"/>
      <c r="F133" s="105"/>
      <c r="G133" s="105"/>
      <c r="H133" s="105"/>
      <c r="I133" s="31"/>
    </row>
    <row r="134" spans="1:16" s="2" customFormat="1" x14ac:dyDescent="0.3">
      <c r="A134" s="61">
        <v>1</v>
      </c>
      <c r="B134" s="61"/>
      <c r="C134" s="14" t="s">
        <v>154</v>
      </c>
      <c r="D134" s="14">
        <f>(57.35+1*3.05+0.75*2.14+0.6*(1.22+1.8))*10.764</f>
        <v>686.92618799999991</v>
      </c>
      <c r="E134" s="14">
        <v>0</v>
      </c>
      <c r="F134" s="14">
        <f t="shared" ref="F134:F141" si="0">D134*(($F$128)+1)+(IF(E134&lt;101,E134,IF(E134&lt;201,E134/2,IF(E134&lt;=301,E134/3,E134/4))))</f>
        <v>1064.7355914</v>
      </c>
      <c r="G134" s="61" t="str">
        <f>A133</f>
        <v>1st to 6th, 8th to 11th, 13th to 16th, 18th to 21st, 23rd to 25th, 27th to 30th, 32nd to 35th, 37th to 40th &amp; 42nd to 45th Floor for Residential</v>
      </c>
      <c r="H134" s="61"/>
      <c r="I134" s="14">
        <f>0.8*(1.22+1.8)</f>
        <v>2.4160000000000004</v>
      </c>
      <c r="J134" s="2">
        <f>0.75*2.14+1*3.05</f>
        <v>4.6549999999999994</v>
      </c>
      <c r="K134" s="14">
        <f>(3.05*5.515+2.14*2.925+0.9*4+2.75*3.2+3.05*3.35+1.375*2.38+2.29*1.375)</f>
        <v>52.119</v>
      </c>
      <c r="M134" s="2">
        <f>12000*F134</f>
        <v>12776827.096799999</v>
      </c>
      <c r="N134" s="2" t="str">
        <f t="shared" ref="N134:N141" ca="1" si="1">O134&amp;""&amp;",..,"&amp;""&amp;P134</f>
        <v>16801,..,4501</v>
      </c>
      <c r="O134" s="2">
        <f ca="1">(SUMPRODUCT(MID(0&amp;(LEFT(A133,SUM(LEN(A133)-LEN(SUBSTITUTE(A133,{0,1,2},""))))), LARGE(INDEX(ISNUMBER(--MID((LEFT(A133,SUM(LEN(A133)-LEN(SUBSTITUTE(A133,{0,1,2},""))))), ROW(INDIRECT("1:"&amp;LEN((LEFT(A133,SUM(LEN(A133)-LEN(SUBSTITUTE(A133,{0,1,2},"")))))))), 1)) * ROW(INDIRECT("1:"&amp;LEN((LEFT(A133,SUM(LEN(A133)-LEN(SUBSTITUTE(A133,{0,1,2},"")))))))), 0), ROW(INDIRECT("1:"&amp;LEN((LEFT(A133,SUM(LEN(A133)-LEN(SUBSTITUTE(A133,{0,1,2},"")))))))))+1, 1) * 10^ROW(INDIRECT("1:"&amp;LEN((LEFT(A133,SUM(LEN(A133)-LEN(SUBSTITUTE(A133,{0,1,2},""))))))))/10))*100+1</f>
        <v>16801</v>
      </c>
      <c r="P134" s="2">
        <f ca="1">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",LEN(A133))),LEN(A133)))))))/10))*100+1</f>
        <v>4501</v>
      </c>
    </row>
    <row r="135" spans="1:16" s="2" customFormat="1" x14ac:dyDescent="0.3">
      <c r="A135" s="61">
        <v>2</v>
      </c>
      <c r="B135" s="61"/>
      <c r="C135" s="14" t="s">
        <v>155</v>
      </c>
      <c r="D135" s="14">
        <f>(39.74+1*2.75+0.75*2.14+1.19*0.6)*10.764</f>
        <v>482.32407599999993</v>
      </c>
      <c r="E135" s="14">
        <v>0</v>
      </c>
      <c r="F135" s="14">
        <f t="shared" si="0"/>
        <v>747.60231779999992</v>
      </c>
      <c r="G135" s="61"/>
      <c r="H135" s="61"/>
      <c r="I135" s="14">
        <f>(3.35*6.85+1.26*3.98+1*4.5+2.29*3.1+2.9*3.35+3.05*4.49+1.375*2.44+1.375*2.29)</f>
        <v>69.474550000000008</v>
      </c>
      <c r="J135" s="31"/>
      <c r="N135" s="2" t="str">
        <f t="shared" ca="1" si="1"/>
        <v>16802,..,4502</v>
      </c>
      <c r="O135" s="2">
        <f t="shared" ref="O135:P135" ca="1" si="2">O134+1</f>
        <v>16802</v>
      </c>
      <c r="P135" s="2">
        <f t="shared" ca="1" si="2"/>
        <v>4502</v>
      </c>
    </row>
    <row r="136" spans="1:16" s="2" customFormat="1" ht="15.75" customHeight="1" x14ac:dyDescent="0.3">
      <c r="A136" s="61">
        <v>3</v>
      </c>
      <c r="B136" s="61"/>
      <c r="C136" s="14" t="s">
        <v>155</v>
      </c>
      <c r="D136" s="14">
        <f>(38.83+0.75*2.14+1*2.75+1.19*0.6)*10.764</f>
        <v>472.5288359999999</v>
      </c>
      <c r="E136" s="14">
        <v>0</v>
      </c>
      <c r="F136" s="14">
        <f t="shared" si="0"/>
        <v>732.41969579999989</v>
      </c>
      <c r="G136" s="61"/>
      <c r="H136" s="61"/>
      <c r="I136" s="31"/>
      <c r="J136" s="31"/>
      <c r="N136" s="2" t="str">
        <f t="shared" ca="1" si="1"/>
        <v>16803,..,4503</v>
      </c>
      <c r="O136" s="2">
        <f t="shared" ref="O136:P136" ca="1" si="3">O135+1</f>
        <v>16803</v>
      </c>
      <c r="P136" s="2">
        <f t="shared" ca="1" si="3"/>
        <v>4503</v>
      </c>
    </row>
    <row r="137" spans="1:16" s="2" customFormat="1" ht="15.75" customHeight="1" x14ac:dyDescent="0.3">
      <c r="A137" s="61">
        <v>4</v>
      </c>
      <c r="B137" s="61"/>
      <c r="C137" s="14" t="s">
        <v>154</v>
      </c>
      <c r="D137" s="14">
        <f>(58.61+1*3.05+0.75*2.14+0.6*(1.22+1.8))*10.764</f>
        <v>700.4888279999999</v>
      </c>
      <c r="E137" s="14">
        <v>0</v>
      </c>
      <c r="F137" s="14">
        <f t="shared" si="0"/>
        <v>1085.7576833999999</v>
      </c>
      <c r="G137" s="61"/>
      <c r="H137" s="61"/>
      <c r="I137" s="31"/>
      <c r="N137" s="2" t="str">
        <f t="shared" ca="1" si="1"/>
        <v>16804,..,4504</v>
      </c>
      <c r="O137" s="2">
        <f t="shared" ref="O137:P137" ca="1" si="4">O136+1</f>
        <v>16804</v>
      </c>
      <c r="P137" s="2">
        <f t="shared" ca="1" si="4"/>
        <v>4504</v>
      </c>
    </row>
    <row r="138" spans="1:16" s="2" customFormat="1" ht="15.75" customHeight="1" x14ac:dyDescent="0.3">
      <c r="A138" s="61">
        <v>5</v>
      </c>
      <c r="B138" s="61"/>
      <c r="C138" s="14" t="s">
        <v>154</v>
      </c>
      <c r="D138" s="14">
        <f>(58.99+1*3.05+0.75*2.14+0.6*(1.8+1.22))*10.764</f>
        <v>704.57914799999992</v>
      </c>
      <c r="E138" s="14">
        <v>0</v>
      </c>
      <c r="F138" s="14">
        <f t="shared" si="0"/>
        <v>1092.0976793999998</v>
      </c>
      <c r="G138" s="61"/>
      <c r="H138" s="61"/>
      <c r="I138" s="31"/>
      <c r="N138" s="2" t="str">
        <f t="shared" ca="1" si="1"/>
        <v>16805,..,4505</v>
      </c>
      <c r="O138" s="2">
        <f t="shared" ref="O138:P138" ca="1" si="5">O137+1</f>
        <v>16805</v>
      </c>
      <c r="P138" s="2">
        <f t="shared" ca="1" si="5"/>
        <v>4505</v>
      </c>
    </row>
    <row r="139" spans="1:16" s="2" customFormat="1" ht="15.75" customHeight="1" x14ac:dyDescent="0.3">
      <c r="A139" s="61">
        <v>6</v>
      </c>
      <c r="B139" s="61"/>
      <c r="C139" s="14" t="s">
        <v>156</v>
      </c>
      <c r="D139" s="14">
        <f>(77+1*3.05+0.75*2.14+0.6*(1.22+1.22+1.22))*10.764</f>
        <v>902.57216399999993</v>
      </c>
      <c r="E139" s="14">
        <v>0</v>
      </c>
      <c r="F139" s="14">
        <f t="shared" si="0"/>
        <v>1398.9868541999999</v>
      </c>
      <c r="G139" s="61"/>
      <c r="H139" s="61"/>
      <c r="I139" s="31"/>
      <c r="J139" s="31"/>
      <c r="N139" s="2" t="str">
        <f t="shared" ca="1" si="1"/>
        <v>16806,..,4506</v>
      </c>
      <c r="O139" s="2">
        <f ca="1">O138+1</f>
        <v>16806</v>
      </c>
      <c r="P139" s="2">
        <f ca="1">P138+1</f>
        <v>4506</v>
      </c>
    </row>
    <row r="140" spans="1:16" s="2" customFormat="1" ht="15.75" customHeight="1" x14ac:dyDescent="0.3">
      <c r="A140" s="61">
        <v>7</v>
      </c>
      <c r="B140" s="61"/>
      <c r="C140" s="14" t="s">
        <v>154</v>
      </c>
      <c r="D140" s="14">
        <f>(58.77+1*3.05+0.75*2.14+0.6*(1.19+1.22))*10.764</f>
        <v>698.27144399999986</v>
      </c>
      <c r="E140" s="14">
        <v>0</v>
      </c>
      <c r="F140" s="14">
        <f t="shared" ref="F140" si="6">D140*(($F$128)+1)+(IF(E140&lt;101,E140,IF(E140&lt;201,E140/2,IF(E140&lt;=301,E140/3,E140/4))))</f>
        <v>1082.3207381999998</v>
      </c>
      <c r="G140" s="61"/>
      <c r="H140" s="61"/>
      <c r="I140" s="31"/>
      <c r="J140" s="31"/>
      <c r="N140" s="2" t="str">
        <f t="shared" ref="N140" ca="1" si="7">O140&amp;""&amp;",..,"&amp;""&amp;P140</f>
        <v>16806,..,4506</v>
      </c>
      <c r="O140" s="2">
        <f t="shared" ref="O140:P141" ca="1" si="8">O138+1</f>
        <v>16806</v>
      </c>
      <c r="P140" s="2">
        <f t="shared" ca="1" si="8"/>
        <v>4506</v>
      </c>
    </row>
    <row r="141" spans="1:16" s="2" customFormat="1" ht="15.75" customHeight="1" x14ac:dyDescent="0.3">
      <c r="A141" s="61">
        <v>8</v>
      </c>
      <c r="B141" s="61"/>
      <c r="C141" s="14" t="s">
        <v>154</v>
      </c>
      <c r="D141" s="14">
        <f>(57.35+1*3.05+0.75*2.14+0.6*(1.22+1.8))*10.764</f>
        <v>686.92618799999991</v>
      </c>
      <c r="E141" s="14">
        <v>0</v>
      </c>
      <c r="F141" s="14">
        <f t="shared" si="0"/>
        <v>1064.7355914</v>
      </c>
      <c r="G141" s="61"/>
      <c r="H141" s="61"/>
      <c r="I141" s="31"/>
      <c r="J141" s="31"/>
      <c r="N141" s="2" t="str">
        <f t="shared" ca="1" si="1"/>
        <v>16807,..,4507</v>
      </c>
      <c r="O141" s="2">
        <f t="shared" ca="1" si="8"/>
        <v>16807</v>
      </c>
      <c r="P141" s="2">
        <f t="shared" ca="1" si="8"/>
        <v>4507</v>
      </c>
    </row>
    <row r="142" spans="1:16" s="2" customFormat="1" x14ac:dyDescent="0.3">
      <c r="A142" s="105" t="s">
        <v>157</v>
      </c>
      <c r="B142" s="105"/>
      <c r="C142" s="105"/>
      <c r="D142" s="105"/>
      <c r="E142" s="105"/>
      <c r="F142" s="105"/>
      <c r="G142" s="105"/>
      <c r="H142" s="105"/>
      <c r="I142" s="31"/>
      <c r="J142" s="31"/>
      <c r="L142" s="60"/>
      <c r="M142" s="60"/>
    </row>
    <row r="143" spans="1:16" s="2" customFormat="1" x14ac:dyDescent="0.3">
      <c r="A143" s="61">
        <v>1</v>
      </c>
      <c r="B143" s="61"/>
      <c r="C143" s="14" t="s">
        <v>154</v>
      </c>
      <c r="D143" s="14">
        <f>(57.35+1*3.05+0.75*2.14+0.6*(1.22+1.8))*10.764</f>
        <v>686.92618799999991</v>
      </c>
      <c r="E143" s="14">
        <v>0</v>
      </c>
      <c r="F143" s="14">
        <f t="shared" ref="F143:F144" si="9">D143*(($F$128)+1)+(IF(E143&lt;101,E143,IF(E143&lt;201,E143/2,IF(E143&lt;=301,E143/3,E143/4))))</f>
        <v>1064.7355914</v>
      </c>
      <c r="G143" s="62" t="str">
        <f>A142</f>
        <v>7th, 12th, 17th, 22nd, 26th, 31st, 36th &amp; 41st Floor (Part Refuge Area)</v>
      </c>
      <c r="H143" s="63"/>
      <c r="I143" s="14">
        <f>(3.05*5.515+0.9*4+2.14*2.925+2.75*3.2+3.05*3.33+1.375*2.36+2.29*1.375+0.8*(1.8+1.22)+0.75*2.14+1*3.05)</f>
        <v>59.101499999999994</v>
      </c>
      <c r="J143" s="31"/>
      <c r="N143" s="31"/>
    </row>
    <row r="144" spans="1:16" s="2" customFormat="1" x14ac:dyDescent="0.3">
      <c r="A144" s="61">
        <v>2</v>
      </c>
      <c r="B144" s="61"/>
      <c r="C144" s="14" t="s">
        <v>155</v>
      </c>
      <c r="D144" s="14">
        <f>(39.74+1*2.75+0.75*2.14+1.19*0.6)*10.764</f>
        <v>482.32407599999993</v>
      </c>
      <c r="E144" s="14">
        <v>0</v>
      </c>
      <c r="F144" s="14">
        <f t="shared" si="9"/>
        <v>747.60231779999992</v>
      </c>
      <c r="G144" s="64"/>
      <c r="H144" s="65"/>
      <c r="I144" s="31"/>
      <c r="J144" s="31"/>
      <c r="N144" s="31"/>
    </row>
    <row r="145" spans="1:16" s="2" customFormat="1" ht="15.75" customHeight="1" x14ac:dyDescent="0.3">
      <c r="A145" s="61">
        <v>3</v>
      </c>
      <c r="B145" s="61"/>
      <c r="C145" s="68" t="s">
        <v>158</v>
      </c>
      <c r="D145" s="69"/>
      <c r="E145" s="69"/>
      <c r="F145" s="70"/>
      <c r="G145" s="64"/>
      <c r="H145" s="65"/>
      <c r="I145" s="31"/>
      <c r="J145" s="31"/>
      <c r="N145" s="31"/>
    </row>
    <row r="146" spans="1:16" s="2" customFormat="1" x14ac:dyDescent="0.3">
      <c r="A146" s="61">
        <v>4</v>
      </c>
      <c r="B146" s="61"/>
      <c r="C146" s="14" t="s">
        <v>154</v>
      </c>
      <c r="D146" s="14">
        <f>(58.61+1*3.05+0.75*2.14+0.6*(1.22+1.8))*10.764</f>
        <v>700.4888279999999</v>
      </c>
      <c r="E146" s="14">
        <v>0</v>
      </c>
      <c r="F146" s="14">
        <f t="shared" ref="F146:F150" si="10">D146*(($F$128)+1)+(IF(E146&lt;101,E146,IF(E146&lt;201,E146/2,IF(E146&lt;=301,E146/3,E146/4))))</f>
        <v>1085.7576833999999</v>
      </c>
      <c r="G146" s="64"/>
      <c r="H146" s="65"/>
      <c r="I146" s="31"/>
      <c r="J146" s="31"/>
      <c r="N146" s="31"/>
    </row>
    <row r="147" spans="1:16" s="2" customFormat="1" x14ac:dyDescent="0.3">
      <c r="A147" s="61">
        <f t="shared" ref="A147:A150" si="11">A146+1</f>
        <v>5</v>
      </c>
      <c r="B147" s="61"/>
      <c r="C147" s="14" t="s">
        <v>154</v>
      </c>
      <c r="D147" s="14">
        <f>(58.99+1*3.05+0.75*2.14+0.6*(1.8+1.22))*10.764</f>
        <v>704.57914799999992</v>
      </c>
      <c r="E147" s="14">
        <v>0</v>
      </c>
      <c r="F147" s="14">
        <f t="shared" si="10"/>
        <v>1092.0976793999998</v>
      </c>
      <c r="G147" s="64"/>
      <c r="H147" s="65"/>
      <c r="I147" s="31"/>
      <c r="J147" s="31"/>
      <c r="N147" s="31"/>
    </row>
    <row r="148" spans="1:16" s="2" customFormat="1" x14ac:dyDescent="0.3">
      <c r="A148" s="61">
        <f t="shared" si="11"/>
        <v>6</v>
      </c>
      <c r="B148" s="61"/>
      <c r="C148" s="14" t="s">
        <v>156</v>
      </c>
      <c r="D148" s="14">
        <f>(77+1*3.05+0.75*2.14+0.6*(1.22+1.22+1.22))*10.764</f>
        <v>902.57216399999993</v>
      </c>
      <c r="E148" s="14">
        <v>0</v>
      </c>
      <c r="F148" s="14">
        <f t="shared" si="10"/>
        <v>1398.9868541999999</v>
      </c>
      <c r="G148" s="64"/>
      <c r="H148" s="65"/>
      <c r="I148" s="31"/>
      <c r="J148" s="31"/>
      <c r="N148" s="31"/>
    </row>
    <row r="149" spans="1:16" s="2" customFormat="1" x14ac:dyDescent="0.3">
      <c r="A149" s="61">
        <f t="shared" si="11"/>
        <v>7</v>
      </c>
      <c r="B149" s="61"/>
      <c r="C149" s="14" t="s">
        <v>154</v>
      </c>
      <c r="D149" s="14">
        <f>(58.77+1*3.05+0.75*2.14+0.6*(1.19+1.22))*10.764</f>
        <v>698.27144399999986</v>
      </c>
      <c r="E149" s="14">
        <v>0</v>
      </c>
      <c r="F149" s="14">
        <f t="shared" si="10"/>
        <v>1082.3207381999998</v>
      </c>
      <c r="G149" s="64"/>
      <c r="H149" s="65"/>
      <c r="I149" s="31"/>
      <c r="J149" s="31"/>
      <c r="N149" s="31"/>
    </row>
    <row r="150" spans="1:16" s="2" customFormat="1" x14ac:dyDescent="0.3">
      <c r="A150" s="61">
        <f t="shared" si="11"/>
        <v>8</v>
      </c>
      <c r="B150" s="61"/>
      <c r="C150" s="14" t="s">
        <v>154</v>
      </c>
      <c r="D150" s="14">
        <f>(57.35+1*3.05+0.75*2.14+0.6*(1.22+1.8))*10.764</f>
        <v>686.92618799999991</v>
      </c>
      <c r="E150" s="14">
        <v>0</v>
      </c>
      <c r="F150" s="14">
        <f t="shared" si="10"/>
        <v>1064.7355914</v>
      </c>
      <c r="G150" s="66"/>
      <c r="H150" s="67"/>
      <c r="I150" s="31"/>
      <c r="N150" s="31"/>
    </row>
    <row r="151" spans="1:16" x14ac:dyDescent="0.3">
      <c r="A151" s="73" t="s">
        <v>199</v>
      </c>
      <c r="B151" s="73"/>
      <c r="C151" s="73"/>
      <c r="D151" s="73"/>
      <c r="E151" s="73"/>
      <c r="F151" s="73"/>
      <c r="G151" s="73"/>
      <c r="H151" s="73"/>
    </row>
    <row r="152" spans="1:16" x14ac:dyDescent="0.3">
      <c r="A152" s="73" t="s">
        <v>159</v>
      </c>
      <c r="B152" s="73"/>
      <c r="C152" s="73"/>
      <c r="D152" s="73"/>
      <c r="E152" s="73"/>
      <c r="F152" s="73"/>
      <c r="G152" s="73"/>
      <c r="H152" s="73"/>
    </row>
    <row r="153" spans="1:16" x14ac:dyDescent="0.3">
      <c r="A153" s="73" t="s">
        <v>161</v>
      </c>
      <c r="B153" s="73"/>
      <c r="C153" s="73"/>
      <c r="D153" s="73"/>
      <c r="E153" s="73"/>
      <c r="F153" s="73"/>
      <c r="G153" s="73"/>
      <c r="H153" s="73"/>
    </row>
    <row r="154" spans="1:16" x14ac:dyDescent="0.3">
      <c r="A154" s="73" t="s">
        <v>151</v>
      </c>
      <c r="B154" s="73"/>
      <c r="C154" s="73"/>
      <c r="D154" s="73"/>
      <c r="E154" s="73"/>
      <c r="F154" s="73"/>
      <c r="G154" s="73"/>
      <c r="H154" s="73"/>
    </row>
    <row r="155" spans="1:16" x14ac:dyDescent="0.3">
      <c r="A155" s="73" t="s">
        <v>152</v>
      </c>
      <c r="B155" s="73"/>
      <c r="C155" s="73"/>
      <c r="D155" s="73"/>
      <c r="E155" s="73"/>
      <c r="F155" s="73"/>
      <c r="G155" s="73"/>
      <c r="H155" s="73"/>
    </row>
    <row r="156" spans="1:16" s="2" customFormat="1" ht="30" customHeight="1" x14ac:dyDescent="0.3">
      <c r="A156" s="106" t="s">
        <v>153</v>
      </c>
      <c r="B156" s="107"/>
      <c r="C156" s="107"/>
      <c r="D156" s="107"/>
      <c r="E156" s="107"/>
      <c r="F156" s="107"/>
      <c r="G156" s="107"/>
      <c r="H156" s="108"/>
      <c r="I156" s="31"/>
    </row>
    <row r="157" spans="1:16" s="2" customFormat="1" x14ac:dyDescent="0.3">
      <c r="A157" s="68">
        <v>1</v>
      </c>
      <c r="B157" s="70"/>
      <c r="C157" s="14" t="s">
        <v>154</v>
      </c>
      <c r="D157" s="14">
        <f>(52.87+1*3.05+0.75*2.14+1.07*0.6+1.8*0.6)*10.764</f>
        <v>637.73470799999984</v>
      </c>
      <c r="E157" s="14">
        <v>0</v>
      </c>
      <c r="F157" s="14">
        <f t="shared" ref="F157:F162" si="12">D157*(($F$128)+1)+(IF(E157&lt;101,E157,IF(E157&lt;201,E157/2,IF(E157&lt;=301,E157/3,E157/4))))</f>
        <v>988.48879739999973</v>
      </c>
      <c r="G157" s="62" t="str">
        <f>A156</f>
        <v>1st to 6th, 8th to 11th, 13th to 16th, 18th to 21st, 23rd to 25th, 27th to 30th, 32nd to 35th, 37th to 40th &amp; 42nd to 45th Floor for Residential</v>
      </c>
      <c r="H157" s="63"/>
      <c r="I157" s="31"/>
      <c r="N157" s="2" t="str">
        <f t="shared" ref="N157:N162" ca="1" si="13">O157&amp;""&amp;",..,"&amp;""&amp;P157</f>
        <v>16801,..,4501</v>
      </c>
      <c r="O157" s="2">
        <f ca="1">(SUMPRODUCT(MID(0&amp;(LEFT(A156,SUM(LEN(A156)-LEN(SUBSTITUTE(A156,{0,1,2},""))))), LARGE(INDEX(ISNUMBER(--MID((LEFT(A156,SUM(LEN(A156)-LEN(SUBSTITUTE(A156,{0,1,2},""))))), ROW(INDIRECT("1:"&amp;LEN((LEFT(A156,SUM(LEN(A156)-LEN(SUBSTITUTE(A156,{0,1,2},"")))))))), 1)) * ROW(INDIRECT("1:"&amp;LEN((LEFT(A156,SUM(LEN(A156)-LEN(SUBSTITUTE(A156,{0,1,2},"")))))))), 0), ROW(INDIRECT("1:"&amp;LEN((LEFT(A156,SUM(LEN(A156)-LEN(SUBSTITUTE(A156,{0,1,2},"")))))))))+1, 1) * 10^ROW(INDIRECT("1:"&amp;LEN((LEFT(A156,SUM(LEN(A156)-LEN(SUBSTITUTE(A156,{0,1,2},""))))))))/10))*100+1</f>
        <v>16801</v>
      </c>
      <c r="P157" s="2">
        <f ca="1">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",LEN(A156))),LEN(A156)))))))/10))*100+1</f>
        <v>4501</v>
      </c>
    </row>
    <row r="158" spans="1:16" s="2" customFormat="1" x14ac:dyDescent="0.3">
      <c r="A158" s="68">
        <v>2</v>
      </c>
      <c r="B158" s="70"/>
      <c r="C158" s="14" t="s">
        <v>155</v>
      </c>
      <c r="D158" s="14">
        <f>(36.96+1*2.75+0.75*2.14+1.19*0.6)*10.764</f>
        <v>452.40015599999992</v>
      </c>
      <c r="E158" s="14">
        <v>0</v>
      </c>
      <c r="F158" s="14">
        <f t="shared" si="12"/>
        <v>701.22024179999994</v>
      </c>
      <c r="G158" s="64"/>
      <c r="H158" s="65"/>
      <c r="I158" s="31">
        <v>9000000</v>
      </c>
      <c r="J158" s="31">
        <f t="shared" ref="J158:J159" si="14">I158/F158</f>
        <v>12834.76925437494</v>
      </c>
      <c r="N158" s="2" t="str">
        <f t="shared" ca="1" si="13"/>
        <v>16802,..,4502</v>
      </c>
      <c r="O158" s="2">
        <f t="shared" ref="O158:P161" ca="1" si="15">O157+1</f>
        <v>16802</v>
      </c>
      <c r="P158" s="2">
        <f t="shared" ca="1" si="15"/>
        <v>4502</v>
      </c>
    </row>
    <row r="159" spans="1:16" s="2" customFormat="1" ht="15.75" customHeight="1" x14ac:dyDescent="0.3">
      <c r="A159" s="68">
        <v>3</v>
      </c>
      <c r="B159" s="70"/>
      <c r="C159" s="14" t="s">
        <v>155</v>
      </c>
      <c r="D159" s="14">
        <f>(37.86+1*2.75+0.75*2.14+1.19*0.6)*10.764</f>
        <v>462.0877559999999</v>
      </c>
      <c r="E159" s="14">
        <v>0</v>
      </c>
      <c r="F159" s="14">
        <f t="shared" si="12"/>
        <v>716.23602179999989</v>
      </c>
      <c r="G159" s="64"/>
      <c r="H159" s="65"/>
      <c r="I159" s="31">
        <v>9500000</v>
      </c>
      <c r="J159" s="31">
        <f t="shared" si="14"/>
        <v>13263.78415892179</v>
      </c>
      <c r="N159" s="2" t="str">
        <f t="shared" ca="1" si="13"/>
        <v>16803,..,4503</v>
      </c>
      <c r="O159" s="2">
        <f t="shared" ca="1" si="15"/>
        <v>16803</v>
      </c>
      <c r="P159" s="2">
        <f t="shared" ca="1" si="15"/>
        <v>4503</v>
      </c>
    </row>
    <row r="160" spans="1:16" s="2" customFormat="1" ht="15.75" customHeight="1" x14ac:dyDescent="0.3">
      <c r="A160" s="68">
        <v>4</v>
      </c>
      <c r="B160" s="70"/>
      <c r="C160" s="14" t="s">
        <v>154</v>
      </c>
      <c r="D160" s="14">
        <f>(51.58+1*3.05+0.75*2.14+1.07*0.6+1.8*0.6)*10.764</f>
        <v>623.8491479999999</v>
      </c>
      <c r="E160" s="14">
        <v>0</v>
      </c>
      <c r="F160" s="14">
        <f t="shared" si="12"/>
        <v>966.96617939999987</v>
      </c>
      <c r="G160" s="64"/>
      <c r="H160" s="65"/>
      <c r="I160" s="31"/>
      <c r="N160" s="2" t="str">
        <f t="shared" ca="1" si="13"/>
        <v>16804,..,4504</v>
      </c>
      <c r="O160" s="2">
        <f t="shared" ca="1" si="15"/>
        <v>16804</v>
      </c>
      <c r="P160" s="2">
        <f t="shared" ca="1" si="15"/>
        <v>4504</v>
      </c>
    </row>
    <row r="161" spans="1:16" s="2" customFormat="1" ht="15.75" customHeight="1" x14ac:dyDescent="0.3">
      <c r="A161" s="68">
        <v>5</v>
      </c>
      <c r="B161" s="70"/>
      <c r="C161" s="14" t="s">
        <v>154</v>
      </c>
      <c r="D161" s="14">
        <f>(51.58+1*3.05+2.14*0.75+1.07*2.7+1.8*0.6)*10.764</f>
        <v>648.03585599999985</v>
      </c>
      <c r="E161" s="14">
        <v>0</v>
      </c>
      <c r="F161" s="14">
        <f t="shared" si="12"/>
        <v>1004.4555767999998</v>
      </c>
      <c r="G161" s="64"/>
      <c r="H161" s="65"/>
      <c r="I161" s="31"/>
      <c r="N161" s="2" t="str">
        <f t="shared" ca="1" si="13"/>
        <v>16805,..,4505</v>
      </c>
      <c r="O161" s="2">
        <f t="shared" ca="1" si="15"/>
        <v>16805</v>
      </c>
      <c r="P161" s="2">
        <f t="shared" ca="1" si="15"/>
        <v>4505</v>
      </c>
    </row>
    <row r="162" spans="1:16" s="2" customFormat="1" ht="15.75" customHeight="1" x14ac:dyDescent="0.3">
      <c r="A162" s="68">
        <v>6</v>
      </c>
      <c r="B162" s="70"/>
      <c r="C162" s="14" t="s">
        <v>154</v>
      </c>
      <c r="D162" s="14">
        <f>(56.26+1*3.05+1.22*0.6+1.19*0.6+0.75*2.14)*10.764</f>
        <v>671.25380399999983</v>
      </c>
      <c r="E162" s="14">
        <v>0</v>
      </c>
      <c r="F162" s="14">
        <f t="shared" si="12"/>
        <v>1040.4433961999998</v>
      </c>
      <c r="G162" s="64"/>
      <c r="H162" s="65"/>
      <c r="I162" s="31">
        <v>11800000</v>
      </c>
      <c r="J162" s="31">
        <f>I162/F162</f>
        <v>11341.318560045662</v>
      </c>
      <c r="N162" s="2" t="str">
        <f t="shared" ca="1" si="13"/>
        <v>16806,..,4506</v>
      </c>
      <c r="O162" s="2">
        <f ca="1">O161+1</f>
        <v>16806</v>
      </c>
      <c r="P162" s="2">
        <f ca="1">P161+1</f>
        <v>4506</v>
      </c>
    </row>
    <row r="163" spans="1:16" s="2" customFormat="1" ht="15.75" customHeight="1" x14ac:dyDescent="0.3">
      <c r="A163" s="68">
        <v>7</v>
      </c>
      <c r="B163" s="70"/>
      <c r="C163" s="14" t="s">
        <v>156</v>
      </c>
      <c r="D163" s="14">
        <f>(73.6+1*3.05+1.22*0.6+1.22*0.6+0.75*2.14+1.22*0.6)*10.764</f>
        <v>865.97456399999987</v>
      </c>
      <c r="E163" s="14">
        <v>0</v>
      </c>
      <c r="F163" s="14">
        <f t="shared" ref="F163:F164" si="16">D163*(($F$128)+1)+(IF(E163&lt;101,E163,IF(E163&lt;201,E163/2,IF(E163&lt;=301,E163/3,E163/4))))</f>
        <v>1342.2605741999998</v>
      </c>
      <c r="G163" s="64"/>
      <c r="H163" s="65"/>
      <c r="I163" s="31">
        <v>15500000</v>
      </c>
      <c r="J163" s="31">
        <f>I163/F163</f>
        <v>11547.683287381176</v>
      </c>
      <c r="N163" s="2" t="str">
        <f t="shared" ref="N163:N164" ca="1" si="17">O163&amp;""&amp;",..,"&amp;""&amp;P163</f>
        <v>16807,..,4507</v>
      </c>
      <c r="O163" s="2">
        <f t="shared" ref="O163:P163" ca="1" si="18">O162+1</f>
        <v>16807</v>
      </c>
      <c r="P163" s="2">
        <f t="shared" ca="1" si="18"/>
        <v>4507</v>
      </c>
    </row>
    <row r="164" spans="1:16" s="2" customFormat="1" ht="15.75" customHeight="1" x14ac:dyDescent="0.3">
      <c r="A164" s="68">
        <v>8</v>
      </c>
      <c r="B164" s="70"/>
      <c r="C164" s="14" t="s">
        <v>154</v>
      </c>
      <c r="D164" s="14">
        <f>(53.25+1*3.05+0.75*2.14+1.07*0.6+1.8*0.6)*10.764</f>
        <v>641.82502799999986</v>
      </c>
      <c r="E164" s="14">
        <v>0</v>
      </c>
      <c r="F164" s="14">
        <f t="shared" si="16"/>
        <v>994.82879339999977</v>
      </c>
      <c r="G164" s="66"/>
      <c r="H164" s="67"/>
      <c r="I164" s="31"/>
      <c r="J164" s="31"/>
      <c r="N164" s="2" t="str">
        <f t="shared" ca="1" si="17"/>
        <v>16808,..,4508</v>
      </c>
      <c r="O164" s="2">
        <f ca="1">O163+1</f>
        <v>16808</v>
      </c>
      <c r="P164" s="2">
        <f ca="1">P163+1</f>
        <v>4508</v>
      </c>
    </row>
    <row r="165" spans="1:16" s="2" customFormat="1" x14ac:dyDescent="0.3">
      <c r="A165" s="105" t="s">
        <v>157</v>
      </c>
      <c r="B165" s="105"/>
      <c r="C165" s="105"/>
      <c r="D165" s="105"/>
      <c r="E165" s="105"/>
      <c r="F165" s="105"/>
      <c r="G165" s="105"/>
      <c r="H165" s="105"/>
      <c r="I165" s="31"/>
      <c r="J165" s="31"/>
      <c r="L165" s="60"/>
      <c r="M165" s="60"/>
    </row>
    <row r="166" spans="1:16" s="2" customFormat="1" x14ac:dyDescent="0.3">
      <c r="A166" s="61">
        <v>1</v>
      </c>
      <c r="B166" s="61"/>
      <c r="C166" s="14" t="s">
        <v>154</v>
      </c>
      <c r="D166" s="14">
        <f>(52.87+1*3.05+0.75*2.14+1.07*0.6+1.8*0.6)*10.764</f>
        <v>637.73470799999984</v>
      </c>
      <c r="E166" s="14">
        <v>0</v>
      </c>
      <c r="F166" s="14">
        <f t="shared" ref="F166:F167" si="19">D166*(($F$128)+1)+(IF(E166&lt;101,E166,IF(E166&lt;201,E166/2,IF(E166&lt;=301,E166/3,E166/4))))</f>
        <v>988.48879739999973</v>
      </c>
      <c r="G166" s="62" t="str">
        <f>A165</f>
        <v>7th, 12th, 17th, 22nd, 26th, 31st, 36th &amp; 41st Floor (Part Refuge Area)</v>
      </c>
      <c r="H166" s="63"/>
      <c r="I166" s="31"/>
      <c r="J166" s="31"/>
      <c r="N166" s="31"/>
    </row>
    <row r="167" spans="1:16" s="2" customFormat="1" x14ac:dyDescent="0.3">
      <c r="A167" s="61">
        <v>2</v>
      </c>
      <c r="B167" s="61"/>
      <c r="C167" s="14" t="s">
        <v>155</v>
      </c>
      <c r="D167" s="14">
        <f>(36.96+1*2.75+0.75*2.14+1.19*0.6)*10.764</f>
        <v>452.40015599999992</v>
      </c>
      <c r="E167" s="14">
        <v>0</v>
      </c>
      <c r="F167" s="14">
        <f t="shared" si="19"/>
        <v>701.22024179999994</v>
      </c>
      <c r="G167" s="64"/>
      <c r="H167" s="65"/>
      <c r="I167" s="31"/>
      <c r="J167" s="31"/>
      <c r="N167" s="31"/>
    </row>
    <row r="168" spans="1:16" s="2" customFormat="1" x14ac:dyDescent="0.3">
      <c r="A168" s="61">
        <f t="shared" ref="A168:A173" si="20">A167+1</f>
        <v>3</v>
      </c>
      <c r="B168" s="61"/>
      <c r="C168" s="68" t="s">
        <v>158</v>
      </c>
      <c r="D168" s="69"/>
      <c r="E168" s="69"/>
      <c r="F168" s="70"/>
      <c r="G168" s="64"/>
      <c r="H168" s="65"/>
      <c r="I168" s="31"/>
      <c r="J168" s="31"/>
      <c r="N168" s="31"/>
    </row>
    <row r="169" spans="1:16" s="2" customFormat="1" x14ac:dyDescent="0.3">
      <c r="A169" s="61">
        <f t="shared" si="20"/>
        <v>4</v>
      </c>
      <c r="B169" s="61"/>
      <c r="C169" s="14" t="s">
        <v>154</v>
      </c>
      <c r="D169" s="14">
        <f>(51.58+1*3.05+2.14*0.75+1.07*0.6+1.8*0.6)*10.764</f>
        <v>623.8491479999999</v>
      </c>
      <c r="E169" s="14">
        <v>0</v>
      </c>
      <c r="F169" s="14">
        <f t="shared" ref="F169:F171" si="21">D169*(($F$128)+1)+(IF(E169&lt;101,E169,IF(E169&lt;201,E169/2,IF(E169&lt;=301,E169/3,E169/4))))</f>
        <v>966.96617939999987</v>
      </c>
      <c r="G169" s="64"/>
      <c r="H169" s="65"/>
      <c r="I169" s="31"/>
      <c r="J169" s="31"/>
      <c r="N169" s="31"/>
    </row>
    <row r="170" spans="1:16" s="2" customFormat="1" x14ac:dyDescent="0.3">
      <c r="A170" s="61">
        <f t="shared" si="20"/>
        <v>5</v>
      </c>
      <c r="B170" s="61"/>
      <c r="C170" s="14" t="s">
        <v>154</v>
      </c>
      <c r="D170" s="14">
        <f>(51.58+1*3.05+0.75*2.14+1.07*0.6+1.8*0.6)*10.764</f>
        <v>623.8491479999999</v>
      </c>
      <c r="E170" s="14">
        <v>0</v>
      </c>
      <c r="F170" s="14">
        <f t="shared" si="21"/>
        <v>966.96617939999987</v>
      </c>
      <c r="G170" s="64"/>
      <c r="H170" s="65"/>
      <c r="I170" s="31"/>
      <c r="J170" s="31"/>
      <c r="N170" s="31"/>
    </row>
    <row r="171" spans="1:16" s="2" customFormat="1" x14ac:dyDescent="0.3">
      <c r="A171" s="61">
        <f t="shared" si="20"/>
        <v>6</v>
      </c>
      <c r="B171" s="61"/>
      <c r="C171" s="14" t="s">
        <v>154</v>
      </c>
      <c r="D171" s="14">
        <f>(56.26+1*3.05+1.22*0.6+1.19*0.6+0.75*2.14)*10.764</f>
        <v>671.25380399999983</v>
      </c>
      <c r="E171" s="14">
        <v>0</v>
      </c>
      <c r="F171" s="14">
        <f t="shared" si="21"/>
        <v>1040.4433961999998</v>
      </c>
      <c r="G171" s="64"/>
      <c r="H171" s="65"/>
      <c r="I171" s="31">
        <v>13700000</v>
      </c>
      <c r="J171" s="31">
        <f t="shared" ref="J171:J172" si="22">I171/F171</f>
        <v>13167.46307395132</v>
      </c>
      <c r="N171" s="31"/>
    </row>
    <row r="172" spans="1:16" s="2" customFormat="1" x14ac:dyDescent="0.3">
      <c r="A172" s="61">
        <f t="shared" si="20"/>
        <v>7</v>
      </c>
      <c r="B172" s="61"/>
      <c r="C172" s="14" t="s">
        <v>156</v>
      </c>
      <c r="D172" s="14">
        <f>(73.6+1*3.05+1.22*0.6+1.22*0.6+0.75*2.14+1.22*0.6)*10.764</f>
        <v>865.97456399999987</v>
      </c>
      <c r="E172" s="14">
        <v>0</v>
      </c>
      <c r="F172" s="14">
        <f t="shared" ref="F172:F173" si="23">D172*(($F$128)+1)+(IF(E172&lt;101,E172,IF(E172&lt;201,E172/2,IF(E172&lt;=301,E172/3,E172/4))))</f>
        <v>1342.2605741999998</v>
      </c>
      <c r="G172" s="64"/>
      <c r="H172" s="65"/>
      <c r="I172" s="31">
        <v>17900000</v>
      </c>
      <c r="J172" s="31">
        <f t="shared" si="22"/>
        <v>13335.711667362779</v>
      </c>
      <c r="N172" s="31"/>
    </row>
    <row r="173" spans="1:16" s="2" customFormat="1" x14ac:dyDescent="0.3">
      <c r="A173" s="61">
        <f t="shared" si="20"/>
        <v>8</v>
      </c>
      <c r="B173" s="61"/>
      <c r="C173" s="14" t="s">
        <v>154</v>
      </c>
      <c r="D173" s="14">
        <f>(53.25+1*3.05+0.75*2.14+1.07*0.6+1.8*0.6)*10.764</f>
        <v>641.82502799999986</v>
      </c>
      <c r="E173" s="14">
        <v>0</v>
      </c>
      <c r="F173" s="14">
        <f t="shared" si="23"/>
        <v>994.82879339999977</v>
      </c>
      <c r="G173" s="66"/>
      <c r="H173" s="67"/>
      <c r="I173" s="31"/>
      <c r="N173" s="31"/>
    </row>
    <row r="174" spans="1:16" x14ac:dyDescent="0.3">
      <c r="A174" s="73" t="s">
        <v>199</v>
      </c>
      <c r="B174" s="73"/>
      <c r="C174" s="73"/>
      <c r="D174" s="73"/>
      <c r="E174" s="73"/>
      <c r="F174" s="73"/>
      <c r="G174" s="73"/>
      <c r="H174" s="73"/>
    </row>
    <row r="175" spans="1:16" x14ac:dyDescent="0.3">
      <c r="A175" s="73" t="s">
        <v>159</v>
      </c>
      <c r="B175" s="73"/>
      <c r="C175" s="73"/>
      <c r="D175" s="73"/>
      <c r="E175" s="73"/>
      <c r="F175" s="73"/>
      <c r="G175" s="73"/>
      <c r="H175" s="73"/>
    </row>
    <row r="176" spans="1:16" x14ac:dyDescent="0.3">
      <c r="A176" s="73" t="s">
        <v>191</v>
      </c>
      <c r="B176" s="73"/>
      <c r="C176" s="73"/>
      <c r="D176" s="73"/>
      <c r="E176" s="73"/>
      <c r="F176" s="73"/>
      <c r="G176" s="73"/>
      <c r="H176" s="73"/>
    </row>
    <row r="177" spans="1:16" x14ac:dyDescent="0.3">
      <c r="A177" s="73" t="s">
        <v>151</v>
      </c>
      <c r="B177" s="73"/>
      <c r="C177" s="73"/>
      <c r="D177" s="73"/>
      <c r="E177" s="73"/>
      <c r="F177" s="73"/>
      <c r="G177" s="73"/>
      <c r="H177" s="73"/>
    </row>
    <row r="178" spans="1:16" x14ac:dyDescent="0.3">
      <c r="A178" s="73" t="s">
        <v>152</v>
      </c>
      <c r="B178" s="73"/>
      <c r="C178" s="73"/>
      <c r="D178" s="73"/>
      <c r="E178" s="73"/>
      <c r="F178" s="73"/>
      <c r="G178" s="73"/>
      <c r="H178" s="73"/>
    </row>
    <row r="179" spans="1:16" s="2" customFormat="1" ht="30" customHeight="1" x14ac:dyDescent="0.3">
      <c r="A179" s="105" t="s">
        <v>153</v>
      </c>
      <c r="B179" s="105"/>
      <c r="C179" s="105"/>
      <c r="D179" s="105"/>
      <c r="E179" s="105"/>
      <c r="F179" s="105"/>
      <c r="G179" s="105"/>
      <c r="H179" s="105"/>
      <c r="I179" s="31"/>
    </row>
    <row r="180" spans="1:16" s="2" customFormat="1" x14ac:dyDescent="0.3">
      <c r="A180" s="61">
        <v>1</v>
      </c>
      <c r="B180" s="61"/>
      <c r="C180" s="14" t="s">
        <v>154</v>
      </c>
      <c r="D180" s="14">
        <f>(57.35+1*3.05+0.75*2.14+0.6*(1.3+1.5))*10.764</f>
        <v>685.50533999999993</v>
      </c>
      <c r="E180" s="14">
        <v>0</v>
      </c>
      <c r="F180" s="14">
        <f t="shared" ref="F180:F186" si="24">D180*(($F$128)+1)+(IF(E180&lt;101,E180,IF(E180&lt;201,E180/2,IF(E180&lt;=301,E180/3,E180/4))))</f>
        <v>1062.533277</v>
      </c>
      <c r="G180" s="61" t="str">
        <f>A179</f>
        <v>1st to 6th, 8th to 11th, 13th to 16th, 18th to 21st, 23rd to 25th, 27th to 30th, 32nd to 35th, 37th to 40th &amp; 42nd to 45th Floor for Residential</v>
      </c>
      <c r="H180" s="61"/>
      <c r="I180" s="14">
        <f>0.8*(1.22+1.8)</f>
        <v>2.4160000000000004</v>
      </c>
      <c r="J180" s="2">
        <f>0.75*2.14+1*3.05</f>
        <v>4.6549999999999994</v>
      </c>
      <c r="K180" s="14">
        <f>(3.05*5.515+2.14*2.925+0.9*4+2.75*3.2+3.05*3.35+1.375*2.38+2.29*1.375)</f>
        <v>52.119</v>
      </c>
      <c r="N180" s="2" t="str">
        <f t="shared" ref="N180:N186" ca="1" si="25">O180&amp;""&amp;",..,"&amp;""&amp;P180</f>
        <v>16801,..,4501</v>
      </c>
      <c r="O180" s="2">
        <f ca="1">(SUMPRODUCT(MID(0&amp;(LEFT(A179,SUM(LEN(A179)-LEN(SUBSTITUTE(A179,{0,1,2},""))))), LARGE(INDEX(ISNUMBER(--MID((LEFT(A179,SUM(LEN(A179)-LEN(SUBSTITUTE(A179,{0,1,2},""))))), ROW(INDIRECT("1:"&amp;LEN((LEFT(A179,SUM(LEN(A179)-LEN(SUBSTITUTE(A179,{0,1,2},"")))))))), 1)) * ROW(INDIRECT("1:"&amp;LEN((LEFT(A179,SUM(LEN(A179)-LEN(SUBSTITUTE(A179,{0,1,2},"")))))))), 0), ROW(INDIRECT("1:"&amp;LEN((LEFT(A179,SUM(LEN(A179)-LEN(SUBSTITUTE(A179,{0,1,2},"")))))))))+1, 1) * 10^ROW(INDIRECT("1:"&amp;LEN((LEFT(A179,SUM(LEN(A179)-LEN(SUBSTITUTE(A179,{0,1,2},""))))))))/10))*100+1</f>
        <v>16801</v>
      </c>
      <c r="P180" s="2">
        <f ca="1">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",LEN(A179))),LEN(A179)))))))/10))*100+1</f>
        <v>4501</v>
      </c>
    </row>
    <row r="181" spans="1:16" s="2" customFormat="1" x14ac:dyDescent="0.3">
      <c r="A181" s="61">
        <v>2</v>
      </c>
      <c r="B181" s="61"/>
      <c r="C181" s="14" t="s">
        <v>156</v>
      </c>
      <c r="D181" s="14">
        <f>(93.75+0.75*2.29+2.415*1.25+0.6*(1.5+1.5+1.8))*10.764</f>
        <v>1091.1063149999998</v>
      </c>
      <c r="E181" s="14">
        <v>0</v>
      </c>
      <c r="F181" s="14">
        <f t="shared" si="24"/>
        <v>1691.2147882499996</v>
      </c>
      <c r="G181" s="61"/>
      <c r="H181" s="61"/>
      <c r="I181" s="14">
        <f>(3.35*6.85+1.26*3.98+1*4.5+2.29*3.1+2.9*3.35+3.05*4.49+1.375*2.44+1.375*2.29)</f>
        <v>69.474550000000008</v>
      </c>
      <c r="J181" s="31"/>
      <c r="N181" s="2" t="str">
        <f t="shared" ca="1" si="25"/>
        <v>16802,..,4502</v>
      </c>
      <c r="O181" s="2">
        <f t="shared" ref="O181:P181" ca="1" si="26">O180+1</f>
        <v>16802</v>
      </c>
      <c r="P181" s="2">
        <f t="shared" ca="1" si="26"/>
        <v>4502</v>
      </c>
    </row>
    <row r="182" spans="1:16" s="2" customFormat="1" ht="15.75" customHeight="1" x14ac:dyDescent="0.3">
      <c r="A182" s="61">
        <v>3</v>
      </c>
      <c r="B182" s="61"/>
      <c r="C182" s="14" t="s">
        <v>154</v>
      </c>
      <c r="D182" s="14">
        <f>(58.62+0.75*2.14+1*3.05+0.6*(1.3+1.6))*10.764</f>
        <v>699.82145999999977</v>
      </c>
      <c r="E182" s="14">
        <v>0</v>
      </c>
      <c r="F182" s="14">
        <f t="shared" si="24"/>
        <v>1084.7232629999996</v>
      </c>
      <c r="G182" s="61"/>
      <c r="H182" s="61"/>
      <c r="I182" s="31"/>
      <c r="J182" s="31"/>
      <c r="N182" s="2" t="str">
        <f t="shared" ca="1" si="25"/>
        <v>16803,..,4503</v>
      </c>
      <c r="O182" s="2">
        <f t="shared" ref="O182:P182" ca="1" si="27">O181+1</f>
        <v>16803</v>
      </c>
      <c r="P182" s="2">
        <f t="shared" ca="1" si="27"/>
        <v>4503</v>
      </c>
    </row>
    <row r="183" spans="1:16" s="2" customFormat="1" ht="15.75" customHeight="1" x14ac:dyDescent="0.3">
      <c r="A183" s="61">
        <v>4</v>
      </c>
      <c r="B183" s="61"/>
      <c r="C183" s="14" t="s">
        <v>154</v>
      </c>
      <c r="D183" s="14">
        <f>(59+1*3.05+0.75*2.14+0.6*(1.3+1.6))*10.764</f>
        <v>703.91177999999991</v>
      </c>
      <c r="E183" s="14">
        <v>0</v>
      </c>
      <c r="F183" s="14">
        <f t="shared" si="24"/>
        <v>1091.0632589999998</v>
      </c>
      <c r="G183" s="61"/>
      <c r="H183" s="61"/>
      <c r="I183" s="31"/>
      <c r="N183" s="2" t="str">
        <f t="shared" ca="1" si="25"/>
        <v>16804,..,4504</v>
      </c>
      <c r="O183" s="2">
        <f t="shared" ref="O183:P183" ca="1" si="28">O182+1</f>
        <v>16804</v>
      </c>
      <c r="P183" s="2">
        <f t="shared" ca="1" si="28"/>
        <v>4504</v>
      </c>
    </row>
    <row r="184" spans="1:16" s="2" customFormat="1" ht="15.75" customHeight="1" x14ac:dyDescent="0.3">
      <c r="A184" s="61">
        <v>5</v>
      </c>
      <c r="B184" s="61"/>
      <c r="C184" s="14" t="s">
        <v>156</v>
      </c>
      <c r="D184" s="14">
        <f>(79.15+1*3.05+0.75*2.14+0.6*(1.3+1.5+1.38))*10.764</f>
        <v>929.07313199999999</v>
      </c>
      <c r="E184" s="14">
        <v>0</v>
      </c>
      <c r="F184" s="14">
        <f t="shared" si="24"/>
        <v>1440.0633545999999</v>
      </c>
      <c r="G184" s="61"/>
      <c r="H184" s="61"/>
      <c r="I184" s="31"/>
      <c r="N184" s="2" t="str">
        <f t="shared" ca="1" si="25"/>
        <v>16805,..,4505</v>
      </c>
      <c r="O184" s="2">
        <f t="shared" ref="O184:P184" ca="1" si="29">O183+1</f>
        <v>16805</v>
      </c>
      <c r="P184" s="2">
        <f t="shared" ca="1" si="29"/>
        <v>4505</v>
      </c>
    </row>
    <row r="185" spans="1:16" s="2" customFormat="1" ht="15.75" customHeight="1" x14ac:dyDescent="0.3">
      <c r="A185" s="61">
        <v>6</v>
      </c>
      <c r="B185" s="61"/>
      <c r="C185" s="14" t="s">
        <v>154</v>
      </c>
      <c r="D185" s="14">
        <f>(59.44+1*3.05+0.75*2.14+0.6*(1.38+1.5))*10.764</f>
        <v>708.5187719999999</v>
      </c>
      <c r="E185" s="14">
        <v>0</v>
      </c>
      <c r="F185" s="14">
        <f t="shared" si="24"/>
        <v>1098.2040966</v>
      </c>
      <c r="G185" s="61"/>
      <c r="H185" s="61"/>
      <c r="I185" s="31"/>
      <c r="J185" s="31"/>
      <c r="N185" s="2" t="str">
        <f t="shared" ca="1" si="25"/>
        <v>16806,..,4506</v>
      </c>
      <c r="O185" s="2">
        <f ca="1">O184+1</f>
        <v>16806</v>
      </c>
      <c r="P185" s="2">
        <f ca="1">P184+1</f>
        <v>4506</v>
      </c>
    </row>
    <row r="186" spans="1:16" s="2" customFormat="1" ht="15.75" customHeight="1" x14ac:dyDescent="0.3">
      <c r="A186" s="61">
        <v>7</v>
      </c>
      <c r="B186" s="61"/>
      <c r="C186" s="14" t="s">
        <v>154</v>
      </c>
      <c r="D186" s="14">
        <f>(57.35+1*3.05+0.75*2.14+0.6*(1.38+1.5))*10.764</f>
        <v>686.0220119999999</v>
      </c>
      <c r="E186" s="14">
        <v>0</v>
      </c>
      <c r="F186" s="14">
        <f t="shared" si="24"/>
        <v>1063.3341185999998</v>
      </c>
      <c r="G186" s="61"/>
      <c r="H186" s="61"/>
      <c r="I186" s="31"/>
      <c r="J186" s="31"/>
      <c r="N186" s="2" t="str">
        <f t="shared" ca="1" si="25"/>
        <v>16807,..,4507</v>
      </c>
      <c r="O186" s="2">
        <f t="shared" ref="O186:P186" ca="1" si="30">O185+1</f>
        <v>16807</v>
      </c>
      <c r="P186" s="2">
        <f t="shared" ca="1" si="30"/>
        <v>4507</v>
      </c>
    </row>
    <row r="187" spans="1:16" s="2" customFormat="1" x14ac:dyDescent="0.3">
      <c r="A187" s="105" t="s">
        <v>157</v>
      </c>
      <c r="B187" s="105"/>
      <c r="C187" s="105"/>
      <c r="D187" s="105"/>
      <c r="E187" s="105"/>
      <c r="F187" s="105"/>
      <c r="G187" s="105"/>
      <c r="H187" s="105"/>
      <c r="I187" s="31"/>
      <c r="J187" s="31"/>
      <c r="L187" s="60"/>
      <c r="M187" s="60"/>
    </row>
    <row r="188" spans="1:16" s="2" customFormat="1" x14ac:dyDescent="0.3">
      <c r="A188" s="61">
        <v>1</v>
      </c>
      <c r="B188" s="61"/>
      <c r="C188" s="14" t="s">
        <v>154</v>
      </c>
      <c r="D188" s="14">
        <f>(57.35+1*3.05+0.75*2.14+0.6*(1.3+1.5))*10.764</f>
        <v>685.50533999999993</v>
      </c>
      <c r="E188" s="14">
        <v>0</v>
      </c>
      <c r="F188" s="14">
        <f t="shared" ref="F188:F189" si="31">D188*(($F$128)+1)+(IF(E188&lt;101,E188,IF(E188&lt;201,E188/2,IF(E188&lt;=301,E188/3,E188/4))))</f>
        <v>1062.533277</v>
      </c>
      <c r="G188" s="61" t="str">
        <f>A187</f>
        <v>7th, 12th, 17th, 22nd, 26th, 31st, 36th &amp; 41st Floor (Part Refuge Area)</v>
      </c>
      <c r="H188" s="61"/>
      <c r="I188" s="14">
        <f>(3.05*5.515+0.9*4+2.14*2.925+2.75*3.2+3.05*3.33+1.375*2.36+2.29*1.375+0.8*(1.8+1.22)+0.75*2.14+1*3.05)</f>
        <v>59.101499999999994</v>
      </c>
      <c r="J188" s="31"/>
      <c r="N188" s="31"/>
    </row>
    <row r="189" spans="1:16" s="2" customFormat="1" x14ac:dyDescent="0.3">
      <c r="A189" s="61">
        <v>2</v>
      </c>
      <c r="B189" s="61"/>
      <c r="C189" s="14" t="s">
        <v>192</v>
      </c>
      <c r="D189" s="14">
        <f>(59.59+2.415*1.25+0.75*2.29+0.6*(1.45))*10.764</f>
        <v>701.77243499999997</v>
      </c>
      <c r="E189" s="14">
        <v>0</v>
      </c>
      <c r="F189" s="14">
        <f t="shared" si="31"/>
        <v>1087.7472742499999</v>
      </c>
      <c r="G189" s="61"/>
      <c r="H189" s="61"/>
      <c r="I189" s="31"/>
      <c r="J189" s="31"/>
      <c r="N189" s="31"/>
    </row>
    <row r="190" spans="1:16" s="2" customFormat="1" x14ac:dyDescent="0.3">
      <c r="A190" s="61">
        <v>3</v>
      </c>
      <c r="B190" s="61"/>
      <c r="C190" s="14" t="s">
        <v>154</v>
      </c>
      <c r="D190" s="14">
        <f>(58.62+0.75*2.14+1*3.05+0.6*(1.3+1.6))*10.764</f>
        <v>699.82145999999977</v>
      </c>
      <c r="E190" s="14">
        <v>0</v>
      </c>
      <c r="F190" s="14">
        <f t="shared" ref="F190:F194" si="32">D190*(($F$128)+1)+(IF(E190&lt;101,E190,IF(E190&lt;201,E190/2,IF(E190&lt;=301,E190/3,E190/4))))</f>
        <v>1084.7232629999996</v>
      </c>
      <c r="G190" s="61"/>
      <c r="H190" s="61"/>
      <c r="I190" s="31"/>
      <c r="J190" s="31"/>
      <c r="N190" s="31"/>
    </row>
    <row r="191" spans="1:16" s="2" customFormat="1" x14ac:dyDescent="0.3">
      <c r="A191" s="61">
        <f t="shared" ref="A191:A194" si="33">A190+1</f>
        <v>4</v>
      </c>
      <c r="B191" s="61"/>
      <c r="C191" s="14" t="s">
        <v>154</v>
      </c>
      <c r="D191" s="14">
        <f>(59+1*3.05+0.75*2.14+0.6*(1.3+1.6))*10.764</f>
        <v>703.91177999999991</v>
      </c>
      <c r="E191" s="14">
        <v>0</v>
      </c>
      <c r="F191" s="14">
        <f t="shared" si="32"/>
        <v>1091.0632589999998</v>
      </c>
      <c r="G191" s="61"/>
      <c r="H191" s="61"/>
      <c r="I191" s="31"/>
      <c r="J191" s="31"/>
      <c r="N191" s="31"/>
    </row>
    <row r="192" spans="1:16" s="2" customFormat="1" x14ac:dyDescent="0.3">
      <c r="A192" s="61">
        <f t="shared" si="33"/>
        <v>5</v>
      </c>
      <c r="B192" s="61"/>
      <c r="C192" s="14" t="s">
        <v>156</v>
      </c>
      <c r="D192" s="14">
        <f>(79.15+1*3.05+0.75*2.14+0.6*(1.3+1.5+1.38))*10.764</f>
        <v>929.07313199999999</v>
      </c>
      <c r="E192" s="14">
        <v>0</v>
      </c>
      <c r="F192" s="14">
        <f t="shared" si="32"/>
        <v>1440.0633545999999</v>
      </c>
      <c r="G192" s="61"/>
      <c r="H192" s="61"/>
      <c r="I192" s="31"/>
      <c r="J192" s="31"/>
      <c r="N192" s="31"/>
    </row>
    <row r="193" spans="1:14" s="2" customFormat="1" x14ac:dyDescent="0.3">
      <c r="A193" s="61">
        <f t="shared" si="33"/>
        <v>6</v>
      </c>
      <c r="B193" s="61"/>
      <c r="C193" s="14" t="s">
        <v>154</v>
      </c>
      <c r="D193" s="14">
        <f>(59.44+1*3.05+0.75*2.14+0.6*(1.38+1.5))*10.764</f>
        <v>708.5187719999999</v>
      </c>
      <c r="E193" s="14">
        <v>0</v>
      </c>
      <c r="F193" s="14">
        <f t="shared" si="32"/>
        <v>1098.2040966</v>
      </c>
      <c r="G193" s="61"/>
      <c r="H193" s="61"/>
      <c r="I193" s="31"/>
      <c r="J193" s="31"/>
      <c r="N193" s="31"/>
    </row>
    <row r="194" spans="1:14" s="2" customFormat="1" x14ac:dyDescent="0.3">
      <c r="A194" s="61">
        <f t="shared" si="33"/>
        <v>7</v>
      </c>
      <c r="B194" s="61"/>
      <c r="C194" s="14" t="s">
        <v>154</v>
      </c>
      <c r="D194" s="14">
        <f>(57.35+1*3.05+0.75*2.14+0.6*(1.38+1.5))*10.764</f>
        <v>686.0220119999999</v>
      </c>
      <c r="E194" s="14">
        <v>0</v>
      </c>
      <c r="F194" s="14">
        <f t="shared" si="32"/>
        <v>1063.3341185999998</v>
      </c>
      <c r="G194" s="61"/>
      <c r="H194" s="61"/>
      <c r="I194" s="31"/>
      <c r="N194" s="31"/>
    </row>
    <row r="195" spans="1:14" x14ac:dyDescent="0.3">
      <c r="A195" s="73" t="s">
        <v>199</v>
      </c>
      <c r="B195" s="73"/>
      <c r="C195" s="73"/>
      <c r="D195" s="73"/>
      <c r="E195" s="73"/>
      <c r="F195" s="73"/>
      <c r="G195" s="73"/>
      <c r="H195" s="73"/>
    </row>
    <row r="196" spans="1:14" x14ac:dyDescent="0.3">
      <c r="A196" s="73" t="s">
        <v>159</v>
      </c>
      <c r="B196" s="73"/>
      <c r="C196" s="73"/>
      <c r="D196" s="73"/>
      <c r="E196" s="73"/>
      <c r="F196" s="73"/>
      <c r="G196" s="73"/>
      <c r="H196" s="73"/>
    </row>
    <row r="197" spans="1:14" s="1" customFormat="1" x14ac:dyDescent="0.3">
      <c r="A197" s="145" t="s">
        <v>72</v>
      </c>
      <c r="B197" s="145"/>
      <c r="C197" s="145"/>
      <c r="D197" s="145"/>
      <c r="E197" s="145"/>
      <c r="F197" s="145"/>
      <c r="G197" s="145"/>
      <c r="H197" s="145"/>
    </row>
    <row r="198" spans="1:14" s="1" customFormat="1" x14ac:dyDescent="0.3">
      <c r="A198" s="54">
        <v>1</v>
      </c>
      <c r="B198" s="57" t="s">
        <v>216</v>
      </c>
      <c r="C198" s="58"/>
      <c r="D198" s="58"/>
      <c r="E198" s="58"/>
      <c r="F198" s="58"/>
      <c r="G198" s="58"/>
      <c r="H198" s="59"/>
    </row>
    <row r="199" spans="1:14" s="1" customFormat="1" x14ac:dyDescent="0.3">
      <c r="A199" s="54">
        <f t="shared" ref="A199:A204" si="34">A198+1</f>
        <v>2</v>
      </c>
      <c r="B199" s="57" t="str">
        <f>(IF(F127="Saleable area Loading :","We have considered Saleable area of Flats as per our Calculation.","We considered Saleable area of Flat as per Builder area Sheet."))</f>
        <v>We have considered Saleable area of Flats as per our Calculation.</v>
      </c>
      <c r="C199" s="58"/>
      <c r="D199" s="58"/>
      <c r="E199" s="58"/>
      <c r="F199" s="58"/>
      <c r="G199" s="58"/>
      <c r="H199" s="59"/>
    </row>
    <row r="200" spans="1:14" s="1" customFormat="1" x14ac:dyDescent="0.3">
      <c r="A200" s="43">
        <v>3</v>
      </c>
      <c r="B200" s="146" t="s">
        <v>121</v>
      </c>
      <c r="C200" s="147"/>
      <c r="D200" s="147"/>
      <c r="E200" s="147"/>
      <c r="F200" s="147"/>
      <c r="G200" s="147"/>
      <c r="H200" s="148"/>
    </row>
    <row r="201" spans="1:14" s="1" customFormat="1" x14ac:dyDescent="0.3">
      <c r="A201" s="43">
        <f t="shared" si="34"/>
        <v>4</v>
      </c>
      <c r="B201" s="146" t="s">
        <v>150</v>
      </c>
      <c r="C201" s="147"/>
      <c r="D201" s="147"/>
      <c r="E201" s="147"/>
      <c r="F201" s="147"/>
      <c r="G201" s="147"/>
      <c r="H201" s="148"/>
    </row>
    <row r="202" spans="1:14" s="1" customFormat="1" x14ac:dyDescent="0.3">
      <c r="A202" s="43">
        <f t="shared" si="34"/>
        <v>5</v>
      </c>
      <c r="B202" s="146" t="s">
        <v>200</v>
      </c>
      <c r="C202" s="147"/>
      <c r="D202" s="147"/>
      <c r="E202" s="147"/>
      <c r="F202" s="147"/>
      <c r="G202" s="147"/>
      <c r="H202" s="148"/>
    </row>
    <row r="203" spans="1:14" s="1" customFormat="1" x14ac:dyDescent="0.3">
      <c r="A203" s="43">
        <f t="shared" si="34"/>
        <v>6</v>
      </c>
      <c r="B203" s="146" t="s">
        <v>122</v>
      </c>
      <c r="C203" s="147"/>
      <c r="D203" s="147"/>
      <c r="E203" s="147"/>
      <c r="F203" s="147"/>
      <c r="G203" s="147"/>
      <c r="H203" s="148"/>
    </row>
    <row r="204" spans="1:14" s="1" customFormat="1" x14ac:dyDescent="0.3">
      <c r="A204" s="54">
        <f t="shared" si="34"/>
        <v>7</v>
      </c>
      <c r="B204" s="57" t="s">
        <v>123</v>
      </c>
      <c r="C204" s="58"/>
      <c r="D204" s="58"/>
      <c r="E204" s="58"/>
      <c r="F204" s="58"/>
      <c r="G204" s="58"/>
      <c r="H204" s="59"/>
    </row>
    <row r="205" spans="1:14" s="1" customFormat="1" hidden="1" x14ac:dyDescent="0.3">
      <c r="A205" s="54">
        <f>A203+1</f>
        <v>7</v>
      </c>
      <c r="B205" s="57" t="s">
        <v>208</v>
      </c>
      <c r="C205" s="58"/>
      <c r="D205" s="58"/>
      <c r="E205" s="58"/>
      <c r="F205" s="58"/>
      <c r="G205" s="58"/>
      <c r="H205" s="59"/>
    </row>
    <row r="206" spans="1:14" s="1" customFormat="1" x14ac:dyDescent="0.3">
      <c r="A206" s="54">
        <f>A204+1</f>
        <v>8</v>
      </c>
      <c r="B206" s="57" t="s">
        <v>205</v>
      </c>
      <c r="C206" s="58"/>
      <c r="D206" s="58"/>
      <c r="E206" s="58"/>
      <c r="F206" s="58"/>
      <c r="G206" s="58"/>
      <c r="H206" s="59"/>
    </row>
    <row r="207" spans="1:14" s="1" customFormat="1" x14ac:dyDescent="0.3">
      <c r="A207" s="54">
        <v>9</v>
      </c>
      <c r="B207" s="57" t="s">
        <v>226</v>
      </c>
      <c r="C207" s="58"/>
      <c r="D207" s="58"/>
      <c r="E207" s="58"/>
      <c r="F207" s="58"/>
      <c r="G207" s="58"/>
      <c r="H207" s="59"/>
    </row>
    <row r="208" spans="1:14" s="1" customFormat="1" x14ac:dyDescent="0.3">
      <c r="A208" s="54">
        <v>9</v>
      </c>
      <c r="B208" s="57" t="s">
        <v>227</v>
      </c>
      <c r="C208" s="58"/>
      <c r="D208" s="58"/>
      <c r="E208" s="58"/>
      <c r="F208" s="58"/>
      <c r="G208" s="58"/>
      <c r="H208" s="59"/>
    </row>
    <row r="209" spans="1:8" x14ac:dyDescent="0.3">
      <c r="A209" s="95" t="s">
        <v>65</v>
      </c>
      <c r="B209" s="95"/>
      <c r="C209" s="95"/>
      <c r="D209" s="95"/>
      <c r="E209" s="95"/>
      <c r="F209" s="95"/>
      <c r="G209" s="95"/>
      <c r="H209" s="95"/>
    </row>
    <row r="210" spans="1:8" x14ac:dyDescent="0.3">
      <c r="A210" s="76" t="s">
        <v>66</v>
      </c>
      <c r="B210" s="76"/>
      <c r="C210" s="76"/>
      <c r="D210" s="76"/>
      <c r="E210" s="76"/>
      <c r="F210" s="76"/>
      <c r="G210" s="76"/>
      <c r="H210" s="76"/>
    </row>
    <row r="211" spans="1:8" ht="15.75" customHeight="1" x14ac:dyDescent="0.3">
      <c r="A211" s="141" t="s">
        <v>67</v>
      </c>
      <c r="B211" s="141"/>
      <c r="C211" s="141"/>
      <c r="D211" s="141"/>
      <c r="E211" s="141"/>
      <c r="F211" s="141"/>
      <c r="G211" s="141"/>
      <c r="H211" s="141"/>
    </row>
    <row r="212" spans="1:8" x14ac:dyDescent="0.3">
      <c r="A212" s="71" t="s">
        <v>68</v>
      </c>
      <c r="B212" s="71"/>
      <c r="C212" s="71"/>
      <c r="D212" s="71"/>
      <c r="E212" s="71"/>
      <c r="F212" s="71"/>
      <c r="G212" s="71"/>
      <c r="H212" s="71"/>
    </row>
    <row r="213" spans="1:8" x14ac:dyDescent="0.3">
      <c r="A213" s="71" t="s">
        <v>69</v>
      </c>
      <c r="B213" s="71"/>
      <c r="C213" s="71"/>
      <c r="D213" s="71"/>
      <c r="E213" s="71"/>
      <c r="F213" s="71"/>
      <c r="G213" s="71"/>
      <c r="H213" s="71"/>
    </row>
    <row r="214" spans="1:8" x14ac:dyDescent="0.3">
      <c r="A214" s="71" t="s">
        <v>124</v>
      </c>
      <c r="B214" s="71"/>
      <c r="C214" s="71"/>
      <c r="D214" s="71"/>
      <c r="E214" s="71"/>
      <c r="F214" s="71"/>
      <c r="G214" s="71"/>
      <c r="H214" s="71"/>
    </row>
    <row r="215" spans="1:8" ht="35.25" customHeight="1" x14ac:dyDescent="0.3">
      <c r="A215" s="79" t="s">
        <v>125</v>
      </c>
      <c r="B215" s="79"/>
      <c r="C215" s="79"/>
      <c r="D215" s="79"/>
      <c r="E215" s="79"/>
      <c r="F215" s="79"/>
      <c r="G215" s="79"/>
      <c r="H215" s="79"/>
    </row>
    <row r="216" spans="1:8" x14ac:dyDescent="0.3">
      <c r="A216" s="137" t="s">
        <v>79</v>
      </c>
      <c r="B216" s="137"/>
      <c r="C216" s="137" t="s">
        <v>209</v>
      </c>
      <c r="D216" s="137"/>
      <c r="E216" s="137" t="s">
        <v>105</v>
      </c>
      <c r="F216" s="137"/>
      <c r="G216" s="137" t="s">
        <v>228</v>
      </c>
      <c r="H216" s="137"/>
    </row>
    <row r="217" spans="1:8" x14ac:dyDescent="0.3">
      <c r="A217" s="136" t="s">
        <v>81</v>
      </c>
      <c r="B217" s="136"/>
      <c r="C217" s="136"/>
      <c r="D217" s="136"/>
      <c r="E217" s="136"/>
      <c r="F217" s="136"/>
      <c r="G217" s="136"/>
      <c r="H217" s="136"/>
    </row>
    <row r="218" spans="1:8" x14ac:dyDescent="0.3">
      <c r="A218" s="136"/>
      <c r="B218" s="136"/>
      <c r="C218" s="136"/>
      <c r="D218" s="136"/>
      <c r="E218" s="136"/>
      <c r="F218" s="136"/>
      <c r="G218" s="136"/>
      <c r="H218" s="136"/>
    </row>
    <row r="219" spans="1:8" x14ac:dyDescent="0.3">
      <c r="A219" s="136"/>
      <c r="B219" s="136"/>
      <c r="C219" s="136"/>
      <c r="D219" s="136"/>
      <c r="E219" s="136"/>
      <c r="F219" s="136"/>
      <c r="G219" s="136"/>
      <c r="H219" s="136"/>
    </row>
    <row r="220" spans="1:8" x14ac:dyDescent="0.3">
      <c r="A220" s="136"/>
      <c r="B220" s="136"/>
      <c r="C220" s="136"/>
      <c r="D220" s="136"/>
      <c r="E220" s="136"/>
      <c r="F220" s="136"/>
      <c r="G220" s="136"/>
      <c r="H220" s="136"/>
    </row>
    <row r="221" spans="1:8" x14ac:dyDescent="0.3">
      <c r="A221" s="9" t="s">
        <v>70</v>
      </c>
      <c r="B221" s="10"/>
      <c r="C221" s="10"/>
      <c r="D221" s="9" t="str">
        <f>E8</f>
        <v>Rustomjee La Familia</v>
      </c>
      <c r="F221" s="10"/>
      <c r="G221" s="10"/>
      <c r="H221" s="10"/>
    </row>
    <row r="222" spans="1:8" x14ac:dyDescent="0.3">
      <c r="A222" s="10"/>
      <c r="B222" s="10"/>
      <c r="C222" s="10"/>
      <c r="D222" s="10"/>
      <c r="E222" s="10"/>
      <c r="F222" s="10"/>
      <c r="G222" s="10"/>
      <c r="H222" s="10"/>
    </row>
    <row r="223" spans="1:8" x14ac:dyDescent="0.3">
      <c r="A223" s="10"/>
      <c r="B223" s="10"/>
      <c r="C223" s="10"/>
      <c r="D223" s="10"/>
      <c r="E223" s="10"/>
      <c r="F223" s="10"/>
      <c r="G223" s="10"/>
      <c r="H223" s="10"/>
    </row>
    <row r="224" spans="1:8" ht="15" customHeight="1" x14ac:dyDescent="0.3"/>
    <row r="265" spans="1:1" x14ac:dyDescent="0.3">
      <c r="A265" s="12" t="s">
        <v>71</v>
      </c>
    </row>
  </sheetData>
  <mergeCells count="354">
    <mergeCell ref="B208:H208"/>
    <mergeCell ref="A96:B96"/>
    <mergeCell ref="C96:H96"/>
    <mergeCell ref="A98:B98"/>
    <mergeCell ref="C98:H98"/>
    <mergeCell ref="A99:B99"/>
    <mergeCell ref="E99:F99"/>
    <mergeCell ref="G99:H99"/>
    <mergeCell ref="A100:B100"/>
    <mergeCell ref="E100:F109"/>
    <mergeCell ref="G100:H109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87:H187"/>
    <mergeCell ref="A178:H178"/>
    <mergeCell ref="B204:H204"/>
    <mergeCell ref="A177:H177"/>
    <mergeCell ref="B201:H201"/>
    <mergeCell ref="A151:H151"/>
    <mergeCell ref="A152:H152"/>
    <mergeCell ref="A140:B140"/>
    <mergeCell ref="A142:H142"/>
    <mergeCell ref="G122:H122"/>
    <mergeCell ref="A123:B123"/>
    <mergeCell ref="C123:D123"/>
    <mergeCell ref="E123:F123"/>
    <mergeCell ref="G123:H123"/>
    <mergeCell ref="A124:B124"/>
    <mergeCell ref="C124:D124"/>
    <mergeCell ref="E124:F124"/>
    <mergeCell ref="G124:H124"/>
    <mergeCell ref="A90:B90"/>
    <mergeCell ref="A91:B91"/>
    <mergeCell ref="A92:B92"/>
    <mergeCell ref="A93:B93"/>
    <mergeCell ref="A94:B94"/>
    <mergeCell ref="A82:B82"/>
    <mergeCell ref="C82:H82"/>
    <mergeCell ref="A84:B84"/>
    <mergeCell ref="C84:H84"/>
    <mergeCell ref="A85:B85"/>
    <mergeCell ref="E85:F85"/>
    <mergeCell ref="G85:H85"/>
    <mergeCell ref="A86:B86"/>
    <mergeCell ref="E86:F95"/>
    <mergeCell ref="G86:H95"/>
    <mergeCell ref="A87:B87"/>
    <mergeCell ref="A88:B88"/>
    <mergeCell ref="A89:B89"/>
    <mergeCell ref="A95:B95"/>
    <mergeCell ref="A209:H209"/>
    <mergeCell ref="A210:H210"/>
    <mergeCell ref="E120:F120"/>
    <mergeCell ref="A125:H125"/>
    <mergeCell ref="A158:B158"/>
    <mergeCell ref="A126:H126"/>
    <mergeCell ref="A197:H197"/>
    <mergeCell ref="B203:H203"/>
    <mergeCell ref="A180:B180"/>
    <mergeCell ref="G180:H186"/>
    <mergeCell ref="A181:B181"/>
    <mergeCell ref="A182:B182"/>
    <mergeCell ref="A183:B183"/>
    <mergeCell ref="A184:B184"/>
    <mergeCell ref="A185:B185"/>
    <mergeCell ref="A186:B186"/>
    <mergeCell ref="A179:H179"/>
    <mergeCell ref="B199:H199"/>
    <mergeCell ref="B200:H200"/>
    <mergeCell ref="B202:H202"/>
    <mergeCell ref="A154:H154"/>
    <mergeCell ref="A155:H155"/>
    <mergeCell ref="A176:H176"/>
    <mergeCell ref="A188:B188"/>
    <mergeCell ref="A79:B79"/>
    <mergeCell ref="A217:H220"/>
    <mergeCell ref="A216:B216"/>
    <mergeCell ref="E216:F216"/>
    <mergeCell ref="C216:D216"/>
    <mergeCell ref="G216:H216"/>
    <mergeCell ref="A117:E117"/>
    <mergeCell ref="F117:H117"/>
    <mergeCell ref="A118:E118"/>
    <mergeCell ref="F118:H118"/>
    <mergeCell ref="A165:H165"/>
    <mergeCell ref="A121:B121"/>
    <mergeCell ref="A159:B159"/>
    <mergeCell ref="A212:H212"/>
    <mergeCell ref="A119:H119"/>
    <mergeCell ref="A215:H215"/>
    <mergeCell ref="A213:H213"/>
    <mergeCell ref="A214:H214"/>
    <mergeCell ref="A171:B171"/>
    <mergeCell ref="A211:H211"/>
    <mergeCell ref="A166:B166"/>
    <mergeCell ref="A120:B120"/>
    <mergeCell ref="D127:D128"/>
    <mergeCell ref="E127:E128"/>
    <mergeCell ref="G54:H54"/>
    <mergeCell ref="A75:B75"/>
    <mergeCell ref="A78:B78"/>
    <mergeCell ref="A71:B71"/>
    <mergeCell ref="A74:B74"/>
    <mergeCell ref="A66:C66"/>
    <mergeCell ref="D66:H66"/>
    <mergeCell ref="A72:B72"/>
    <mergeCell ref="G71:H71"/>
    <mergeCell ref="A70:B70"/>
    <mergeCell ref="A68:B68"/>
    <mergeCell ref="C68:H68"/>
    <mergeCell ref="A11:D11"/>
    <mergeCell ref="E11:H11"/>
    <mergeCell ref="A5:D5"/>
    <mergeCell ref="E5:H5"/>
    <mergeCell ref="A6:D6"/>
    <mergeCell ref="E6:H6"/>
    <mergeCell ref="A7:D7"/>
    <mergeCell ref="E7:H7"/>
    <mergeCell ref="B198:H198"/>
    <mergeCell ref="E71:F71"/>
    <mergeCell ref="A64:C64"/>
    <mergeCell ref="D64:H64"/>
    <mergeCell ref="A67:C67"/>
    <mergeCell ref="D67:H67"/>
    <mergeCell ref="A65:C65"/>
    <mergeCell ref="D65:H65"/>
    <mergeCell ref="A77:B77"/>
    <mergeCell ref="F111:H111"/>
    <mergeCell ref="A110:H110"/>
    <mergeCell ref="C120:D120"/>
    <mergeCell ref="G120:H120"/>
    <mergeCell ref="A153:H153"/>
    <mergeCell ref="A40:D40"/>
    <mergeCell ref="A47:B47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F114:H114"/>
    <mergeCell ref="A116:E116"/>
    <mergeCell ref="E38:F38"/>
    <mergeCell ref="G38:H38"/>
    <mergeCell ref="E39:F39"/>
    <mergeCell ref="A42:D42"/>
    <mergeCell ref="A43:D43"/>
    <mergeCell ref="A44:D44"/>
    <mergeCell ref="A45:H45"/>
    <mergeCell ref="D58:H58"/>
    <mergeCell ref="E41:F41"/>
    <mergeCell ref="E42:F42"/>
    <mergeCell ref="A58:C58"/>
    <mergeCell ref="G48:H48"/>
    <mergeCell ref="A52:B53"/>
    <mergeCell ref="C53:H53"/>
    <mergeCell ref="A61:C61"/>
    <mergeCell ref="A62:C62"/>
    <mergeCell ref="D61:H61"/>
    <mergeCell ref="E72:F81"/>
    <mergeCell ref="G72:H81"/>
    <mergeCell ref="A80:B80"/>
    <mergeCell ref="A81:B81"/>
    <mergeCell ref="D62:H62"/>
    <mergeCell ref="F115:H115"/>
    <mergeCell ref="L165:M165"/>
    <mergeCell ref="A170:B170"/>
    <mergeCell ref="A167:B167"/>
    <mergeCell ref="A168:B168"/>
    <mergeCell ref="A169:B169"/>
    <mergeCell ref="A162:B162"/>
    <mergeCell ref="A161:B161"/>
    <mergeCell ref="A160:B160"/>
    <mergeCell ref="A157:B157"/>
    <mergeCell ref="A129:H129"/>
    <mergeCell ref="A136:B136"/>
    <mergeCell ref="A137:B137"/>
    <mergeCell ref="A138:B138"/>
    <mergeCell ref="A156:H156"/>
    <mergeCell ref="C121:D121"/>
    <mergeCell ref="E121:F121"/>
    <mergeCell ref="G121:H121"/>
    <mergeCell ref="A139:B139"/>
    <mergeCell ref="A141:B141"/>
    <mergeCell ref="G127:H128"/>
    <mergeCell ref="A122:B122"/>
    <mergeCell ref="C122:D122"/>
    <mergeCell ref="E122:F122"/>
    <mergeCell ref="A112:E112"/>
    <mergeCell ref="F112:H112"/>
    <mergeCell ref="A113:E113"/>
    <mergeCell ref="E43:F43"/>
    <mergeCell ref="F116:H116"/>
    <mergeCell ref="A114:E114"/>
    <mergeCell ref="A175:H175"/>
    <mergeCell ref="G157:H164"/>
    <mergeCell ref="G166:H173"/>
    <mergeCell ref="A164:B164"/>
    <mergeCell ref="A172:B172"/>
    <mergeCell ref="A173:B173"/>
    <mergeCell ref="C168:F168"/>
    <mergeCell ref="A174:H174"/>
    <mergeCell ref="C127:C128"/>
    <mergeCell ref="A127:B128"/>
    <mergeCell ref="A163:B163"/>
    <mergeCell ref="A130:H130"/>
    <mergeCell ref="A131:H131"/>
    <mergeCell ref="A132:H132"/>
    <mergeCell ref="A133:H133"/>
    <mergeCell ref="A134:B134"/>
    <mergeCell ref="A115:E115"/>
    <mergeCell ref="F113:H113"/>
    <mergeCell ref="G134:H141"/>
    <mergeCell ref="A135:B135"/>
    <mergeCell ref="A9:D9"/>
    <mergeCell ref="E9:H9"/>
    <mergeCell ref="A46:B46"/>
    <mergeCell ref="C46:H46"/>
    <mergeCell ref="C47:E47"/>
    <mergeCell ref="G47:H47"/>
    <mergeCell ref="G52:H52"/>
    <mergeCell ref="D56:H56"/>
    <mergeCell ref="C52:E52"/>
    <mergeCell ref="C48:E48"/>
    <mergeCell ref="A54:B54"/>
    <mergeCell ref="C54:E54"/>
    <mergeCell ref="A48:B48"/>
    <mergeCell ref="A55:H55"/>
    <mergeCell ref="A56:C56"/>
    <mergeCell ref="A50:B51"/>
    <mergeCell ref="C50:E50"/>
    <mergeCell ref="G50:H50"/>
    <mergeCell ref="C51:H51"/>
    <mergeCell ref="A49:B49"/>
    <mergeCell ref="C49:E49"/>
    <mergeCell ref="G49:H49"/>
    <mergeCell ref="A111:E111"/>
    <mergeCell ref="E40:F40"/>
    <mergeCell ref="A37:B37"/>
    <mergeCell ref="C36:H36"/>
    <mergeCell ref="C37:H37"/>
    <mergeCell ref="A41:D41"/>
    <mergeCell ref="E44:H44"/>
    <mergeCell ref="A76:B76"/>
    <mergeCell ref="A63:C63"/>
    <mergeCell ref="D63:H63"/>
    <mergeCell ref="C70:H70"/>
    <mergeCell ref="A73:B73"/>
    <mergeCell ref="D60:H60"/>
    <mergeCell ref="A59:C60"/>
    <mergeCell ref="G39:H39"/>
    <mergeCell ref="G40:H40"/>
    <mergeCell ref="G41:H41"/>
    <mergeCell ref="G42:H42"/>
    <mergeCell ref="G43:H43"/>
    <mergeCell ref="A39:D39"/>
    <mergeCell ref="D59:H59"/>
    <mergeCell ref="A57:C57"/>
    <mergeCell ref="D57:H57"/>
    <mergeCell ref="A38:D38"/>
    <mergeCell ref="B207:H207"/>
    <mergeCell ref="L142:M142"/>
    <mergeCell ref="A143:B143"/>
    <mergeCell ref="G143:H150"/>
    <mergeCell ref="A144:B144"/>
    <mergeCell ref="A146:B146"/>
    <mergeCell ref="A147:B147"/>
    <mergeCell ref="A148:B148"/>
    <mergeCell ref="A149:B149"/>
    <mergeCell ref="A150:B150"/>
    <mergeCell ref="A145:B145"/>
    <mergeCell ref="C145:F145"/>
    <mergeCell ref="B206:H206"/>
    <mergeCell ref="L187:M187"/>
    <mergeCell ref="G188:H194"/>
    <mergeCell ref="A189:B189"/>
    <mergeCell ref="A190:B190"/>
    <mergeCell ref="A191:B191"/>
    <mergeCell ref="A192:B192"/>
    <mergeCell ref="A193:B193"/>
    <mergeCell ref="A194:B194"/>
    <mergeCell ref="B205:H205"/>
    <mergeCell ref="A195:H195"/>
    <mergeCell ref="A196:H196"/>
  </mergeCells>
  <hyperlinks>
    <hyperlink ref="C37" r:id="rId1" xr:uid="{00000000-0004-0000-0000-000000000000}"/>
  </hyperlinks>
  <printOptions horizontalCentered="1"/>
  <pageMargins left="0.39370078740157499" right="0.39370078740157499" top="0.78740157480314998" bottom="0.78740157480314998" header="0.196850393700787" footer="0.196850393700787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16383" man="1"/>
    <brk id="95" max="7" man="1"/>
    <brk id="220" max="16383" man="1"/>
    <brk id="26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22" zoomScale="85" zoomScaleNormal="85" workbookViewId="0">
      <selection activeCell="K38" sqref="K38"/>
    </sheetView>
  </sheetViews>
  <sheetFormatPr defaultColWidth="8.6640625" defaultRowHeight="14.4" x14ac:dyDescent="0.3"/>
  <cols>
    <col min="1" max="1" width="8.6640625" style="18"/>
    <col min="2" max="2" width="22.109375" style="18" customWidth="1"/>
    <col min="3" max="3" width="37" style="18" customWidth="1"/>
    <col min="4" max="5" width="11.44140625" style="18" customWidth="1"/>
    <col min="6" max="6" width="14" style="18" customWidth="1"/>
    <col min="7" max="7" width="20" style="18" customWidth="1"/>
    <col min="8" max="8" width="16.44140625" style="18" customWidth="1"/>
    <col min="9" max="16384" width="8.6640625" style="18"/>
  </cols>
  <sheetData>
    <row r="1" spans="1:9" ht="15" customHeight="1" x14ac:dyDescent="0.3"/>
    <row r="2" spans="1:9" ht="15" customHeight="1" x14ac:dyDescent="0.3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">
      <c r="A3" s="19"/>
      <c r="B3" s="155" t="s">
        <v>106</v>
      </c>
      <c r="C3" s="155"/>
      <c r="D3" s="155"/>
      <c r="E3" s="155"/>
      <c r="F3" s="155"/>
      <c r="G3" s="155"/>
      <c r="H3" s="155"/>
    </row>
    <row r="4" spans="1:9" x14ac:dyDescent="0.3">
      <c r="A4" s="19"/>
      <c r="B4" s="20" t="s">
        <v>107</v>
      </c>
      <c r="C4" s="20" t="s">
        <v>108</v>
      </c>
      <c r="D4" s="20" t="s">
        <v>73</v>
      </c>
      <c r="E4" s="20" t="s">
        <v>109</v>
      </c>
      <c r="F4" s="20" t="s">
        <v>115</v>
      </c>
      <c r="G4" s="20" t="s">
        <v>116</v>
      </c>
      <c r="H4" s="20" t="s">
        <v>110</v>
      </c>
    </row>
    <row r="5" spans="1:9" ht="15" customHeight="1" x14ac:dyDescent="0.3">
      <c r="A5" s="19"/>
      <c r="B5" s="22" t="s">
        <v>111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3">
      <c r="A6" s="19"/>
      <c r="B6" s="22" t="s">
        <v>111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">
      <c r="A7" s="19"/>
      <c r="B7" s="22" t="s">
        <v>111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">
      <c r="A8" s="19"/>
      <c r="B8" s="22" t="s">
        <v>111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">
      <c r="A9" s="19"/>
      <c r="B9" s="22" t="s">
        <v>111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">
      <c r="A10" s="19"/>
      <c r="B10" s="22" t="s">
        <v>112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">
      <c r="A11" s="19"/>
      <c r="B11" s="22" t="s">
        <v>112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">
      <c r="A12" s="19"/>
      <c r="B12" s="27" t="s">
        <v>113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">
      <c r="B13" s="27" t="s">
        <v>114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2025-07-15T11:26:09Z</cp:lastPrinted>
  <dcterms:created xsi:type="dcterms:W3CDTF">2019-07-16T09:29:46Z</dcterms:created>
  <dcterms:modified xsi:type="dcterms:W3CDTF">2025-07-15T11:26:10Z</dcterms:modified>
</cp:coreProperties>
</file>