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K:\VSJ Work\July 25\Axis\Dump\"/>
    </mc:Choice>
  </mc:AlternateContent>
  <xr:revisionPtr revIDLastSave="0" documentId="13_ncr:1_{90AA7537-17F7-4FBD-8951-C5A4C2E39702}"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Note" sheetId="4" r:id="rId3"/>
  </sheets>
  <definedNames>
    <definedName name="_xlnm.Print_Area" localSheetId="0">Report!$A$1:$H$400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86" i="1" l="1"/>
  <c r="D185" i="1"/>
  <c r="I255" i="1"/>
  <c r="I233" i="1"/>
  <c r="D261" i="1"/>
  <c r="F261" i="1" s="1"/>
  <c r="D260" i="1"/>
  <c r="D259" i="1"/>
  <c r="D258" i="1"/>
  <c r="F258" i="1" s="1"/>
  <c r="D257" i="1"/>
  <c r="F257" i="1" s="1"/>
  <c r="D256" i="1"/>
  <c r="F256" i="1" s="1"/>
  <c r="D253" i="1"/>
  <c r="F253" i="1" s="1"/>
  <c r="D252" i="1"/>
  <c r="F252" i="1" s="1"/>
  <c r="D251" i="1"/>
  <c r="F251" i="1" s="1"/>
  <c r="D250" i="1"/>
  <c r="F250" i="1" s="1"/>
  <c r="D249" i="1"/>
  <c r="F249" i="1" s="1"/>
  <c r="D248" i="1"/>
  <c r="F248" i="1" s="1"/>
  <c r="D246" i="1"/>
  <c r="D245" i="1"/>
  <c r="D244" i="1"/>
  <c r="D243" i="1"/>
  <c r="F243" i="1" s="1"/>
  <c r="D242" i="1"/>
  <c r="F242" i="1" s="1"/>
  <c r="D241" i="1"/>
  <c r="F241" i="1" s="1"/>
  <c r="F245" i="1"/>
  <c r="D239" i="1"/>
  <c r="F239" i="1" s="1"/>
  <c r="D238" i="1"/>
  <c r="D237" i="1"/>
  <c r="D236" i="1"/>
  <c r="F236" i="1" s="1"/>
  <c r="D235" i="1"/>
  <c r="F235" i="1" s="1"/>
  <c r="D234" i="1"/>
  <c r="F234" i="1" s="1"/>
  <c r="F260" i="1"/>
  <c r="F259" i="1"/>
  <c r="A257" i="1"/>
  <c r="A258" i="1" s="1"/>
  <c r="A259" i="1" s="1"/>
  <c r="A260" i="1" s="1"/>
  <c r="A261" i="1" s="1"/>
  <c r="G256" i="1"/>
  <c r="A249" i="1"/>
  <c r="A250" i="1" s="1"/>
  <c r="A251" i="1" s="1"/>
  <c r="A252" i="1" s="1"/>
  <c r="A253" i="1" s="1"/>
  <c r="G248" i="1"/>
  <c r="F246" i="1"/>
  <c r="F244" i="1"/>
  <c r="A242" i="1"/>
  <c r="A243" i="1" s="1"/>
  <c r="A244" i="1" s="1"/>
  <c r="A245" i="1" s="1"/>
  <c r="A246" i="1" s="1"/>
  <c r="G241" i="1"/>
  <c r="I240" i="1"/>
  <c r="F238" i="1"/>
  <c r="F237" i="1"/>
  <c r="A235" i="1"/>
  <c r="A236" i="1" s="1"/>
  <c r="A237" i="1" s="1"/>
  <c r="A238" i="1" s="1"/>
  <c r="A239" i="1" s="1"/>
  <c r="G234" i="1"/>
  <c r="I184" i="1"/>
  <c r="I195" i="1"/>
  <c r="I218" i="1"/>
  <c r="D228" i="1"/>
  <c r="F228" i="1" s="1"/>
  <c r="D227" i="1"/>
  <c r="D226" i="1"/>
  <c r="F226" i="1" s="1"/>
  <c r="D225" i="1"/>
  <c r="F225" i="1" s="1"/>
  <c r="D224" i="1"/>
  <c r="F224" i="1" s="1"/>
  <c r="D223" i="1"/>
  <c r="F223" i="1" s="1"/>
  <c r="D222" i="1"/>
  <c r="F222" i="1" s="1"/>
  <c r="D221" i="1"/>
  <c r="F221" i="1" s="1"/>
  <c r="D220" i="1"/>
  <c r="F220" i="1" s="1"/>
  <c r="D219" i="1"/>
  <c r="F219" i="1" s="1"/>
  <c r="F227" i="1"/>
  <c r="A220" i="1"/>
  <c r="A221" i="1" s="1"/>
  <c r="A222" i="1" s="1"/>
  <c r="A223" i="1" s="1"/>
  <c r="A224" i="1" s="1"/>
  <c r="A225" i="1" s="1"/>
  <c r="A226" i="1" s="1"/>
  <c r="A227" i="1" s="1"/>
  <c r="A228" i="1" s="1"/>
  <c r="G219" i="1"/>
  <c r="D216" i="1"/>
  <c r="F216" i="1" s="1"/>
  <c r="D215" i="1"/>
  <c r="D214" i="1"/>
  <c r="F214" i="1" s="1"/>
  <c r="D213" i="1"/>
  <c r="F213" i="1" s="1"/>
  <c r="D212" i="1"/>
  <c r="F212" i="1" s="1"/>
  <c r="D210" i="1"/>
  <c r="F210" i="1" s="1"/>
  <c r="D209" i="1"/>
  <c r="F209" i="1" s="1"/>
  <c r="D208" i="1"/>
  <c r="F208" i="1" s="1"/>
  <c r="D207" i="1"/>
  <c r="F207" i="1" s="1"/>
  <c r="F215" i="1"/>
  <c r="A208" i="1"/>
  <c r="A209" i="1" s="1"/>
  <c r="A210" i="1" s="1"/>
  <c r="A211" i="1" s="1"/>
  <c r="A212" i="1" s="1"/>
  <c r="A213" i="1" s="1"/>
  <c r="A214" i="1" s="1"/>
  <c r="A215" i="1" s="1"/>
  <c r="A216" i="1" s="1"/>
  <c r="G207" i="1"/>
  <c r="D205" i="1"/>
  <c r="F205" i="1" s="1"/>
  <c r="D204" i="1"/>
  <c r="F204" i="1" s="1"/>
  <c r="D203" i="1"/>
  <c r="F203" i="1" s="1"/>
  <c r="D202" i="1"/>
  <c r="F202" i="1" s="1"/>
  <c r="D201" i="1"/>
  <c r="F201" i="1" s="1"/>
  <c r="D199" i="1"/>
  <c r="F199" i="1" s="1"/>
  <c r="D198" i="1"/>
  <c r="F198" i="1" s="1"/>
  <c r="D197" i="1"/>
  <c r="F197" i="1" s="1"/>
  <c r="D196" i="1"/>
  <c r="F196" i="1" s="1"/>
  <c r="A197" i="1"/>
  <c r="A198" i="1" s="1"/>
  <c r="A199" i="1" s="1"/>
  <c r="A200" i="1" s="1"/>
  <c r="A201" i="1" s="1"/>
  <c r="A202" i="1" s="1"/>
  <c r="A203" i="1" s="1"/>
  <c r="A204" i="1" s="1"/>
  <c r="A205" i="1" s="1"/>
  <c r="G196" i="1"/>
  <c r="D194" i="1"/>
  <c r="D193" i="1"/>
  <c r="D192" i="1"/>
  <c r="D191" i="1"/>
  <c r="D190" i="1"/>
  <c r="D189" i="1"/>
  <c r="D188" i="1"/>
  <c r="D187" i="1"/>
  <c r="C137" i="1" l="1"/>
  <c r="E137" i="1"/>
  <c r="G137" i="1"/>
  <c r="C136" i="1"/>
  <c r="E136" i="1"/>
  <c r="F194" i="1" l="1"/>
  <c r="F193" i="1"/>
  <c r="F192" i="1"/>
  <c r="F191" i="1"/>
  <c r="F190" i="1"/>
  <c r="F189" i="1"/>
  <c r="F188" i="1"/>
  <c r="F187" i="1"/>
  <c r="F186" i="1"/>
  <c r="A186" i="1"/>
  <c r="A187" i="1" s="1"/>
  <c r="A188" i="1" s="1"/>
  <c r="A189" i="1" s="1"/>
  <c r="A190" i="1" s="1"/>
  <c r="A191" i="1" s="1"/>
  <c r="A192" i="1" s="1"/>
  <c r="A193" i="1" s="1"/>
  <c r="A194" i="1" s="1"/>
  <c r="G185" i="1"/>
  <c r="F185" i="1"/>
  <c r="C105" i="1"/>
  <c r="C91" i="1"/>
  <c r="G55" i="1"/>
  <c r="G56" i="1" s="1"/>
  <c r="G136" i="1" l="1"/>
  <c r="D180" i="1"/>
  <c r="D179" i="1"/>
  <c r="D178" i="1"/>
  <c r="D177" i="1"/>
  <c r="D176" i="1"/>
  <c r="D175" i="1"/>
  <c r="D174" i="1"/>
  <c r="D173" i="1"/>
  <c r="D172" i="1"/>
  <c r="D169" i="1"/>
  <c r="D168" i="1"/>
  <c r="D167" i="1"/>
  <c r="D166" i="1"/>
  <c r="D165" i="1"/>
  <c r="D164" i="1"/>
  <c r="D163" i="1"/>
  <c r="D162" i="1"/>
  <c r="D161" i="1"/>
  <c r="D158" i="1"/>
  <c r="D157" i="1"/>
  <c r="D156" i="1"/>
  <c r="D155" i="1"/>
  <c r="D154" i="1"/>
  <c r="D153" i="1"/>
  <c r="D152" i="1"/>
  <c r="D151" i="1"/>
  <c r="D150" i="1"/>
  <c r="D149" i="1"/>
  <c r="I152" i="1"/>
  <c r="I161" i="1"/>
  <c r="E135" i="1" l="1"/>
  <c r="E138" i="1" s="1"/>
  <c r="C135" i="1"/>
  <c r="C138" i="1" s="1"/>
  <c r="F169" i="1"/>
  <c r="F168" i="1"/>
  <c r="F166" i="1"/>
  <c r="F180" i="1"/>
  <c r="F179" i="1"/>
  <c r="F178" i="1"/>
  <c r="F177" i="1"/>
  <c r="F176" i="1"/>
  <c r="F175" i="1"/>
  <c r="F174" i="1"/>
  <c r="F173" i="1"/>
  <c r="F172" i="1"/>
  <c r="A172" i="1"/>
  <c r="A173" i="1" s="1"/>
  <c r="A174" i="1" s="1"/>
  <c r="A175" i="1" s="1"/>
  <c r="G171" i="1"/>
  <c r="F167" i="1"/>
  <c r="F165" i="1"/>
  <c r="F157" i="1"/>
  <c r="F156" i="1"/>
  <c r="K150" i="1" s="1"/>
  <c r="F155" i="1"/>
  <c r="K155" i="1" s="1"/>
  <c r="K156" i="1" s="1"/>
  <c r="F154" i="1"/>
  <c r="F153" i="1"/>
  <c r="I149" i="1"/>
  <c r="F158" i="1"/>
  <c r="C51" i="1"/>
  <c r="M149" i="1" l="1"/>
  <c r="K149" i="1"/>
  <c r="A176" i="1"/>
  <c r="A177" i="1" s="1"/>
  <c r="A178" i="1" s="1"/>
  <c r="A179" i="1" s="1"/>
  <c r="A180" i="1" s="1"/>
  <c r="D71" i="1"/>
  <c r="E29" i="1"/>
  <c r="B264" i="1"/>
  <c r="C77" i="1"/>
  <c r="B78" i="1" s="1"/>
  <c r="E24" i="1"/>
  <c r="E26" i="1" l="1"/>
  <c r="C14" i="1"/>
  <c r="E42" i="1" l="1"/>
  <c r="E43" i="1" s="1"/>
  <c r="F150" i="1" l="1"/>
  <c r="F151" i="1"/>
  <c r="F152" i="1"/>
  <c r="F149" i="1"/>
  <c r="A150" i="1"/>
  <c r="A151" i="1" s="1"/>
  <c r="A152" i="1" s="1"/>
  <c r="G149" i="1"/>
  <c r="J149" i="1" l="1"/>
  <c r="M148" i="1"/>
  <c r="K151" i="1"/>
  <c r="K152" i="1" s="1"/>
  <c r="A153" i="1"/>
  <c r="A154" i="1" s="1"/>
  <c r="A155" i="1" s="1"/>
  <c r="A156" i="1" s="1"/>
  <c r="A157" i="1" s="1"/>
  <c r="A158" i="1" s="1"/>
  <c r="F132" i="1"/>
  <c r="F164" i="1" l="1"/>
  <c r="F163" i="1"/>
  <c r="F161" i="1"/>
  <c r="F162" i="1"/>
  <c r="G135" i="1" l="1"/>
  <c r="G138" i="1" s="1"/>
  <c r="F11" i="5"/>
  <c r="G11" i="5" s="1"/>
  <c r="F10" i="5"/>
  <c r="G10" i="5" s="1"/>
  <c r="F9" i="5"/>
  <c r="G9" i="5" s="1"/>
  <c r="F8" i="5"/>
  <c r="G8" i="5" s="1"/>
  <c r="F7" i="5"/>
  <c r="G7" i="5" s="1"/>
  <c r="F6" i="5"/>
  <c r="G6" i="5" s="1"/>
  <c r="F5" i="5"/>
  <c r="G5" i="5" s="1"/>
  <c r="G12" i="5" s="1"/>
  <c r="D288" i="1"/>
  <c r="G160" i="1"/>
  <c r="A161" i="1"/>
  <c r="A162" i="1" s="1"/>
  <c r="A163" i="1" s="1"/>
  <c r="A164" i="1" s="1"/>
  <c r="A165" i="1" s="1"/>
  <c r="A166" i="1" s="1"/>
  <c r="A167" i="1" s="1"/>
  <c r="A168" i="1" s="1"/>
  <c r="A169" i="1" s="1"/>
  <c r="G51" i="1"/>
  <c r="G52" i="1" s="1"/>
  <c r="E7" i="1"/>
  <c r="E3" i="1"/>
  <c r="H78" i="1"/>
  <c r="D90" i="1" l="1"/>
  <c r="D88" i="1"/>
  <c r="D87" i="1"/>
  <c r="D86" i="1"/>
  <c r="D84" i="1"/>
  <c r="J77" i="1"/>
  <c r="D89" i="1"/>
  <c r="D85" i="1"/>
  <c r="J81" i="1"/>
  <c r="J82" i="1"/>
  <c r="C81" i="1" s="1"/>
  <c r="J80" i="1"/>
  <c r="J83" i="1"/>
  <c r="J84" i="1" s="1"/>
  <c r="J89" i="1" s="1"/>
  <c r="J85" i="1" l="1"/>
  <c r="J86" i="1" s="1"/>
  <c r="D83" i="1"/>
  <c r="J79" i="1"/>
  <c r="D81" i="1"/>
  <c r="B92" i="1" l="1"/>
  <c r="J87" i="1"/>
  <c r="H92" i="1"/>
  <c r="J88" i="1" l="1"/>
  <c r="J90" i="1" s="1"/>
  <c r="C82" i="1" s="1"/>
  <c r="G81" i="1" s="1"/>
  <c r="D75" i="1" s="1"/>
  <c r="D76" i="1" s="1"/>
  <c r="J96" i="1"/>
  <c r="C95" i="1" s="1"/>
  <c r="D95" i="1" s="1"/>
  <c r="J94" i="1"/>
  <c r="J91" i="1"/>
  <c r="J93" i="1" s="1"/>
  <c r="D102" i="1"/>
  <c r="D97" i="1"/>
  <c r="D104" i="1"/>
  <c r="D100" i="1"/>
  <c r="D98" i="1"/>
  <c r="J95" i="1"/>
  <c r="D103" i="1"/>
  <c r="D99" i="1"/>
  <c r="D101" i="1"/>
  <c r="J102" i="1"/>
  <c r="J97" i="1"/>
  <c r="J98" i="1" s="1"/>
  <c r="J103" i="1" s="1"/>
  <c r="D82" i="1" l="1"/>
  <c r="I78" i="1" s="1"/>
  <c r="I79" i="1" s="1"/>
  <c r="E81" i="1"/>
  <c r="J78" i="1"/>
  <c r="J99" i="1"/>
  <c r="J100" i="1" s="1"/>
  <c r="B106" i="1"/>
  <c r="F76" i="1"/>
  <c r="H106" i="1"/>
  <c r="J101" i="1" l="1"/>
  <c r="J110" i="1"/>
  <c r="C109" i="1" s="1"/>
  <c r="D109" i="1" s="1"/>
  <c r="J108" i="1"/>
  <c r="J105" i="1"/>
  <c r="J107" i="1" s="1"/>
  <c r="D115" i="1"/>
  <c r="D118" i="1"/>
  <c r="D114" i="1"/>
  <c r="D116" i="1"/>
  <c r="D111" i="1"/>
  <c r="D113" i="1"/>
  <c r="D112" i="1"/>
  <c r="D117" i="1"/>
  <c r="J109" i="1"/>
  <c r="J111" i="1"/>
  <c r="J116" i="1"/>
  <c r="I77" i="1"/>
  <c r="C79" i="1" s="1"/>
  <c r="J104" i="1" l="1"/>
  <c r="C96" i="1" s="1"/>
  <c r="E95" i="1" s="1"/>
  <c r="J112" i="1"/>
  <c r="J113" i="1" s="1"/>
  <c r="J117" i="1"/>
  <c r="J92" i="1" l="1"/>
  <c r="J114" i="1"/>
  <c r="J115" i="1" s="1"/>
  <c r="J118" i="1" s="1"/>
  <c r="C110" i="1" s="1"/>
  <c r="G95" i="1"/>
  <c r="D96" i="1"/>
  <c r="I92" i="1" s="1"/>
  <c r="I93" i="1" s="1"/>
  <c r="I91" i="1" l="1"/>
  <c r="C93" i="1" s="1"/>
  <c r="E109" i="1"/>
  <c r="G109" i="1"/>
  <c r="J106" i="1"/>
  <c r="D110" i="1"/>
  <c r="I106" i="1" s="1"/>
  <c r="I107" i="1" l="1"/>
  <c r="I105" i="1" s="1"/>
  <c r="C107" i="1" s="1"/>
</calcChain>
</file>

<file path=xl/sharedStrings.xml><?xml version="1.0" encoding="utf-8"?>
<sst xmlns="http://schemas.openxmlformats.org/spreadsheetml/2006/main" count="471" uniqueCount="263">
  <si>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</si>
  <si>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</si>
  <si>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</si>
  <si>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</si>
  <si>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</si>
  <si>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</si>
  <si>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</si>
  <si>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</si>
  <si>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</si>
  <si>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</si>
  <si>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</si>
  <si>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</si>
  <si>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</si>
  <si>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</si>
  <si>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</si>
  <si>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</si>
  <si>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</si>
  <si>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</si>
  <si>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</si>
  <si>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</si>
  <si>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</si>
  <si>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</si>
  <si>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</si>
  <si>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</si>
  <si>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</si>
  <si>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</si>
  <si>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</si>
  <si>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</si>
  <si>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</si>
  <si>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</si>
  <si>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</si>
  <si>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</si>
  <si>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</si>
  <si>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</si>
  <si>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</si>
  <si>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</si>
  <si>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</si>
  <si>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</si>
  <si>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</si>
  <si>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</si>
  <si>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</si>
  <si>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</si>
  <si>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</si>
  <si>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</si>
  <si>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</si>
  <si>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</si>
  <si>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</si>
  <si>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</si>
  <si>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</si>
  <si>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</si>
  <si>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</si>
  <si>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</si>
  <si>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</si>
  <si>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</si>
  <si>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</si>
  <si>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</si>
  <si>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</si>
  <si>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</si>
  <si>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</si>
  <si>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</si>
  <si>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</si>
  <si>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</si>
  <si>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</si>
  <si>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</si>
  <si>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</si>
  <si>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</si>
  <si>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</si>
  <si>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</si>
  <si>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</si>
  <si>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</si>
  <si>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</si>
  <si>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</si>
  <si>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</si>
  <si>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</si>
  <si>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</si>
  <si>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</si>
  <si>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</si>
  <si>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</si>
  <si>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</si>
  <si>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</si>
  <si>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</si>
  <si>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</si>
  <si>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</si>
  <si>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</si>
  <si>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</si>
  <si>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</si>
  <si>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</si>
  <si>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</si>
  <si>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</si>
  <si>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</si>
  <si>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</si>
  <si>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</si>
  <si>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</si>
  <si>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</si>
  <si>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</si>
  <si>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</si>
  <si>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Gas Connection Charges</t>
  </si>
  <si>
    <t>Society Formation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</si>
  <si>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</si>
  <si>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</si>
  <si>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</si>
  <si>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</si>
  <si>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</si>
  <si>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</si>
  <si>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</si>
  <si>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</si>
  <si>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</si>
  <si>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</si>
  <si>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</si>
  <si>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</si>
  <si>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</si>
  <si>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</si>
  <si>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</si>
  <si>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</si>
  <si>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</si>
  <si>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</si>
  <si>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</si>
  <si>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r>
      <t xml:space="preserve">Flat No.
</t>
    </r>
    <r>
      <rPr>
        <b/>
        <sz val="11"/>
        <color rgb="FF000000"/>
        <rFont val="Times New Roman"/>
        <family val="1"/>
      </rPr>
      <t>(Approved Plan)</t>
    </r>
  </si>
  <si>
    <t>Flat No.
(Sale Plan)</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</si>
  <si>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</si>
  <si>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</si>
  <si>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</si>
  <si>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</si>
  <si>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</si>
  <si>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</si>
  <si>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</si>
  <si>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</si>
  <si>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</si>
  <si>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</si>
  <si>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</si>
  <si>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</si>
  <si>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</si>
  <si>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</si>
  <si>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</si>
  <si>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</si>
  <si>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</si>
  <si>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</si>
  <si>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</si>
  <si>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</si>
  <si>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</si>
  <si>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</si>
  <si>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</si>
  <si>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</si>
  <si>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</si>
  <si>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</si>
  <si>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</si>
  <si>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</si>
  <si>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</si>
  <si>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</si>
  <si>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</si>
  <si>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</si>
  <si>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</si>
  <si>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Recommended Rates of the Property : </t>
  </si>
  <si>
    <t>Floor Rise Rate</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</si>
  <si>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</si>
  <si>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</si>
  <si>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</si>
  <si>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</si>
  <si>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</si>
  <si>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</si>
  <si>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</si>
  <si>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</si>
  <si>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</si>
  <si>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Provided Contact Details (Name &amp; Contact No.)</t>
  </si>
  <si>
    <t>Site Person - Contact Details (Name &amp; Contact No.)</t>
  </si>
  <si>
    <t>Axis Thane</t>
  </si>
  <si>
    <t>Kapstone Constructions Private Limited</t>
  </si>
  <si>
    <t>Mr.Santosh - 9820995007</t>
  </si>
  <si>
    <t>Thane</t>
  </si>
  <si>
    <t>Majiwade</t>
  </si>
  <si>
    <t>Lodha Crown</t>
  </si>
  <si>
    <t>Laxmi Nagar</t>
  </si>
  <si>
    <t>RG Road</t>
  </si>
  <si>
    <t>Open Plot</t>
  </si>
  <si>
    <t>Survey No</t>
  </si>
  <si>
    <t>Thane Municipal Corporation (TMC)</t>
  </si>
  <si>
    <t>VP/S05/0022/10/TMC/TDD/4294/23</t>
  </si>
  <si>
    <t>Ajay Songare</t>
  </si>
  <si>
    <t>12, 13, 14pt, 15, 16pt, 17pt, 18pt, 19pt, 20, 21pt, 30pt, 35 to 38, 41, 42, 43, 44, 44, 45pt, 46pt, 47pt, 48, 49, 50, 51, 53pt, 54, 55, 84pt, 327, 328, 329, 345, 383, 386pt, 423, 424 &amp; Others</t>
  </si>
  <si>
    <t>Wing A</t>
  </si>
  <si>
    <t>Ground Floor For Entrance Lobby, Panel Room &amp; Double Height Parking</t>
  </si>
  <si>
    <t>1st to 3rd Basement Floor For Parking</t>
  </si>
  <si>
    <t>1st Floor For Drivers Room, Society Office, BMS Room &amp; ELV Room</t>
  </si>
  <si>
    <t>2nd to 6th, 8th to 11th, 13th to 16th, 18th to 21st, 23rd, 24th, 26th to 29th, 31st to 34th, 36th to 39th, 41st to 44th, 46th to 49th &amp; 51st to 54th Floor For Residential</t>
  </si>
  <si>
    <t>2BHK</t>
  </si>
  <si>
    <t>Medical Facilities, Letter Box, High Speed Elevators, Foosball, Escalators, Changing Room, Beach Volley Ball Court, Pergola, Multipurpose Hall, Manicured Garden, Senior Citizen Siteout, Solar Lighting, Security Cabin,Intercom, Banquet Hall, Amphitheater, Indoor Games, Gymnasium etc.</t>
  </si>
  <si>
    <t>22nd &amp; 25th Floor</t>
  </si>
  <si>
    <t>7th, 12th, 17th, 30th, 35th, 40th, 45th, 50th, 55th Floor (Part Refuge Area)</t>
  </si>
  <si>
    <t>Refuge Area</t>
  </si>
  <si>
    <t>3BHK</t>
  </si>
  <si>
    <t>A Wing = 3B + G + 1st to 22nd + Service Floor + Recreational Floor + 23rd to 40th Floor</t>
  </si>
  <si>
    <t>Approved Plans, CC, Cost Sheet</t>
  </si>
  <si>
    <t>Inspection</t>
  </si>
  <si>
    <t>official site</t>
  </si>
  <si>
    <t xml:space="preserve">https://www.rustomjeelaviemajiwada.co.in/ </t>
  </si>
  <si>
    <t>Infrastructure Charges</t>
  </si>
  <si>
    <t>Registration Charges</t>
  </si>
  <si>
    <t>Electric water connections &amp; piped gas connection charges</t>
  </si>
  <si>
    <t>24 Months Maintenance Charges</t>
  </si>
  <si>
    <t>cost Sheet</t>
  </si>
  <si>
    <t>Photo provided by the bank on 11/09/2024</t>
  </si>
  <si>
    <t>Rustomjee La Vie Wing A, B &amp; C</t>
  </si>
  <si>
    <t>Other Plot</t>
  </si>
  <si>
    <t>45.00 M. Wide D.P. Road</t>
  </si>
  <si>
    <t>20.00 M. Wide Service Road</t>
  </si>
  <si>
    <t>RG Road/Pipelin</t>
  </si>
  <si>
    <t>Sub Plot 8A Wing A, B &amp; C</t>
  </si>
  <si>
    <t>Wing A = P51700050803
Wing B = P51700053110
Wing C = P51700053109</t>
  </si>
  <si>
    <t>03 Wings</t>
  </si>
  <si>
    <t>Wing B &amp; C</t>
  </si>
  <si>
    <t>Wing B = 4B + G + 1st to 22nd + Service Floor + Recreational Floor + 23rd to 53rd Floor
Wing C = 4B + G + 1st to 23rd + Service Floor + Recreational Floor + 24th to 54th Floor</t>
  </si>
  <si>
    <t>A Wing = 3B + G + 1st to 22nd + Service Floor + Recreational Floor + 23rd to 55th Floor
Wing B = 4B + G + 1st to 22nd + Service Floor + Recreational Floor + 23rd to 53rd Floor
Wing C = 4B + G + 1st to 23rd + Service Floor + Recreational Floor + 24th to 54th Floor</t>
  </si>
  <si>
    <t>Wing B = 4B + G + 1st to 22nd + Service Floor + Recreational Floor + 23rd to 55th Floor</t>
  </si>
  <si>
    <t>Wing C = 4B + G + 1st to 23rd + Service Floor + Recreational Floor + 24th to 55th Floor</t>
  </si>
  <si>
    <t>Sub Plot No. 8A</t>
  </si>
  <si>
    <t>Wing B</t>
  </si>
  <si>
    <t xml:space="preserve">Approved Floor plan No. For Wing A  </t>
  </si>
  <si>
    <t xml:space="preserve">Commencement-CC No For Wing A  
Valid Up to: </t>
  </si>
  <si>
    <t xml:space="preserve">Commencement-CC No For Wing B &amp; C  
Valid Up to: </t>
  </si>
  <si>
    <t xml:space="preserve">Approved Floor plan No. For Wing B &amp; C  </t>
  </si>
  <si>
    <t>1st to 6th, 8th to 11th, 13th to 16th &amp; 18th to 21st Floor For Residential</t>
  </si>
  <si>
    <t>7th, 12th, 17th, 30th, 35th, 40th, 45th &amp; 50th Floor (Part Refuge Area)</t>
  </si>
  <si>
    <t>22nd &amp; 25th Floor (Part Refuge Area)</t>
  </si>
  <si>
    <t>Service Floor &amp; Recreational Floor (For Fitness Centre, Conference) is in between 22nd &amp; 23rd Floors</t>
  </si>
  <si>
    <t>23rd, 24th, 26th to 29th, 31st to 34th, 
36th to 39th, 41st to 44th, 46th to 49th, 51st to 53rd Floor</t>
  </si>
  <si>
    <t>Wing C</t>
  </si>
  <si>
    <t>Ground Floor For Etrance Lobby, Meter Room, Panel Room &amp; Parking</t>
  </si>
  <si>
    <t>1st Floor For Society Office</t>
  </si>
  <si>
    <t>2nd to 7th, 9th to 12th, 14th to 17th &amp; 19th to 22nd Floor For Residential</t>
  </si>
  <si>
    <t>8th, 13th, 18th, 31st, 36th, 41st, 46th &amp; 51st Floor (Part Refuge Area)</t>
  </si>
  <si>
    <t>23rd &amp; 26th Floor (Part Refuge Area)</t>
  </si>
  <si>
    <t>Service Floor &amp; Recreational Floor (For Multipurpose Hall &amp; Swimming Pool) is in between 23rd &amp; 24th Floors</t>
  </si>
  <si>
    <t>24th, 25th, 27th to 30th, 32nd to 35th, 37th to 40th, 42nd to 45th, 47th to 50th &amp; 52nd to 54th Floor</t>
  </si>
  <si>
    <t>A Wing = 4B + G + 1st to 22nd + Service Floor + Recreational Floor + 23rd to 55th Floor</t>
  </si>
  <si>
    <t xml:space="preserve">Layout Approval No For Wing A, B &amp; C     </t>
  </si>
  <si>
    <t>19.210904,72.990706</t>
  </si>
  <si>
    <t>https://maps.app.goo.gl/kZkaaAzt8k5kmfsh7</t>
  </si>
  <si>
    <t>4.40 KM from Thane Railway Station</t>
  </si>
  <si>
    <t>Thane West</t>
  </si>
  <si>
    <t xml:space="preserve">Fire NOC
Valid Up to: </t>
  </si>
  <si>
    <t xml:space="preserve">Environmental Clearance
Valid Up to: </t>
  </si>
  <si>
    <t>TMC/CFO/42142</t>
  </si>
  <si>
    <t>SIA/MH/MIS/81646/2017</t>
  </si>
  <si>
    <t>Wing A, B &amp; C Basement + 1st to 45th Floor (150.08Mt Height)</t>
  </si>
  <si>
    <t>Please Check for Environmental Clearance.</t>
  </si>
  <si>
    <t>EC drafted in RBL report not for plot 8A</t>
  </si>
  <si>
    <t>Ground Floor for Commercial, Entrance Lobby, Society Office, Panel Room &amp; Parking</t>
  </si>
  <si>
    <t>We have updated approved plans and CC for Wing B &amp; C (on 21/10/2024).</t>
  </si>
  <si>
    <t>We have not drafted Wing B commercial shop area because shop numbering is not mentioned on approved plans.</t>
  </si>
  <si>
    <t>We considered Gross carpet area = Net carpet + Balcony + Utility Area + Chajja Area.</t>
  </si>
  <si>
    <t>Wing B &amp; C = Net carpet + Balcony + Utility Area</t>
  </si>
  <si>
    <t>Wing A = Net carpet + Balcony + Chajja Area</t>
  </si>
  <si>
    <t>S05/0022/10 TMCB/TDD/0006/(P/T)/
2023/AutoDCR</t>
  </si>
  <si>
    <t>VP/S05/0022/10/TMC/TD-DP/
TPS/4294/23</t>
  </si>
  <si>
    <t>1st to 4th Basement Floor For Parking</t>
  </si>
  <si>
    <t>Flats - 1367</t>
  </si>
  <si>
    <t>Please provide approved plans for Wing A.</t>
  </si>
  <si>
    <t>rate 14000 sanjay verbal CAse C wing 2305</t>
  </si>
  <si>
    <t>Recommended Rates/Other Charges of the Property have been revised on 28/10/2024.</t>
  </si>
  <si>
    <t>Mr.Prathmesh</t>
  </si>
  <si>
    <t>As per RERA - Wing A = 31/12/2028
                         Wing B &amp; C = 28/02/2029</t>
  </si>
  <si>
    <t>Construction work is in process at the time of Visit.</t>
  </si>
  <si>
    <t>Kunal Kadam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</si>
</sst>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 #,##0.00_ ;_ * \-#,##0.00_ ;_ * &quot;-&quot;??_ ;_ @_ "/>
    <numFmt numFmtId="164" formatCode="_(* #,##0.00_);_(* \(#,##0.00\);_(* &quot;-&quot;??_);_(@_)"/>
    <numFmt numFmtId="165" formatCode="0.0"/>
    <numFmt numFmtId="166" formatCode="_(* #,##0_);_(* \(#,##0\);_(* &quot;-&quot;??_);_(@_)"/>
    <numFmt numFmtId="167" formatCode="_ * #,##0_ ;_ * \-#,##0_ ;_ * &quot;-&quot;??_ ;_ @_ "/>
  </numFmts>
  <fonts count="28"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b/>
      <sz val="12"/>
      <color rgb="FFFF0000"/>
      <name val="Times New Roman"/>
      <family val="1"/>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4" tint="0.59999389629810485"/>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4"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197">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10" xfId="0" applyFont="1" applyBorder="1" applyProtection="1">
      <protection hidden="1"/>
    </xf>
    <xf numFmtId="0" fontId="12" fillId="0" borderId="3" xfId="1" applyFont="1" applyBorder="1" applyAlignment="1" applyProtection="1">
      <alignment horizontal="center" vertical="top"/>
      <protection locked="0"/>
    </xf>
    <xf numFmtId="0" fontId="12"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6"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12" fillId="0" borderId="1" xfId="1" applyFont="1" applyBorder="1" applyAlignment="1" applyProtection="1">
      <alignment horizontal="center" vertical="top"/>
      <protection locked="0"/>
    </xf>
    <xf numFmtId="0" fontId="6" fillId="0" borderId="1" xfId="1" applyFont="1" applyBorder="1" applyAlignment="1" applyProtection="1">
      <alignment horizontal="center" vertical="top"/>
      <protection locked="0"/>
    </xf>
    <xf numFmtId="0" fontId="24" fillId="2" borderId="29" xfId="0" applyFont="1" applyFill="1" applyBorder="1"/>
    <xf numFmtId="0" fontId="25" fillId="0" borderId="30" xfId="0" applyFont="1" applyBorder="1"/>
    <xf numFmtId="0" fontId="25" fillId="0" borderId="1" xfId="0" applyFont="1" applyBorder="1"/>
    <xf numFmtId="0" fontId="25" fillId="0" borderId="4" xfId="0" applyFont="1" applyBorder="1"/>
    <xf numFmtId="2" fontId="7" fillId="0" borderId="0" xfId="1" applyNumberFormat="1" applyFont="1" applyAlignment="1">
      <alignment horizontal="center" vertical="center"/>
    </xf>
    <xf numFmtId="1" fontId="7" fillId="0" borderId="1" xfId="1" applyNumberFormat="1" applyFont="1" applyBorder="1" applyAlignment="1">
      <alignment horizontal="center" vertical="center"/>
    </xf>
    <xf numFmtId="1" fontId="10" fillId="0" borderId="0" xfId="1" applyNumberFormat="1" applyFont="1" applyAlignment="1">
      <alignment horizontal="center" vertical="center"/>
    </xf>
    <xf numFmtId="0" fontId="10" fillId="0" borderId="0" xfId="1" applyFont="1" applyAlignment="1">
      <alignment horizontal="center" vertical="center"/>
    </xf>
    <xf numFmtId="1" fontId="26" fillId="0" borderId="0" xfId="10" applyNumberFormat="1" applyAlignment="1">
      <alignment horizontal="center" vertical="center"/>
    </xf>
    <xf numFmtId="0" fontId="7" fillId="0" borderId="6"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top" wrapText="1"/>
      <protection locked="0"/>
    </xf>
    <xf numFmtId="1" fontId="26" fillId="0" borderId="0" xfId="10" applyNumberFormat="1" applyBorder="1" applyAlignment="1">
      <alignment horizontal="center" vertical="center"/>
    </xf>
    <xf numFmtId="0" fontId="27" fillId="0" borderId="0" xfId="0" applyFont="1" applyAlignment="1">
      <alignment horizontal="left" vertical="center"/>
    </xf>
    <xf numFmtId="0" fontId="24" fillId="2" borderId="14" xfId="0" applyFont="1" applyFill="1" applyBorder="1"/>
    <xf numFmtId="0" fontId="25" fillId="0" borderId="8" xfId="0" applyFont="1" applyBorder="1"/>
    <xf numFmtId="1" fontId="8" fillId="0" borderId="1" xfId="1" applyNumberFormat="1" applyFont="1" applyBorder="1" applyAlignment="1" applyProtection="1">
      <alignment horizontal="center" vertical="top" wrapText="1"/>
      <protection locked="0"/>
    </xf>
    <xf numFmtId="9" fontId="8" fillId="0" borderId="1" xfId="8" applyFont="1" applyFill="1" applyBorder="1" applyAlignment="1" applyProtection="1">
      <alignment horizontal="center" vertical="top" wrapText="1"/>
      <protection locked="0"/>
    </xf>
    <xf numFmtId="167" fontId="12" fillId="0" borderId="1" xfId="9" applyNumberFormat="1" applyFont="1" applyFill="1" applyBorder="1" applyAlignment="1" applyProtection="1">
      <alignment horizontal="left" vertical="top"/>
      <protection locked="0"/>
    </xf>
    <xf numFmtId="165" fontId="6" fillId="0" borderId="1" xfId="1" applyNumberFormat="1" applyFont="1" applyBorder="1" applyAlignment="1" applyProtection="1">
      <alignment horizontal="left" vertical="top"/>
      <protection locked="0"/>
    </xf>
    <xf numFmtId="0" fontId="6" fillId="0" borderId="1" xfId="1" applyFont="1" applyBorder="1" applyAlignment="1" applyProtection="1">
      <alignment horizontal="left" vertical="top"/>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12" fillId="0" borderId="7" xfId="1" applyFont="1" applyBorder="1" applyAlignment="1" applyProtection="1">
      <alignment horizontal="left" vertical="top" wrapText="1"/>
      <protection locked="0"/>
    </xf>
    <xf numFmtId="0" fontId="12" fillId="0" borderId="20" xfId="1" applyFont="1" applyBorder="1" applyAlignment="1" applyProtection="1">
      <alignment horizontal="left" vertical="top" wrapText="1"/>
      <protection locked="0"/>
    </xf>
    <xf numFmtId="0" fontId="12" fillId="0" borderId="8" xfId="1" applyFont="1" applyBorder="1" applyAlignment="1" applyProtection="1">
      <alignment horizontal="left" vertical="top" wrapText="1"/>
      <protection locked="0"/>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12" fillId="0" borderId="1" xfId="1" applyFont="1" applyBorder="1" applyAlignment="1" applyProtection="1">
      <alignment horizontal="left" vertical="top"/>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6" fillId="0" borderId="1" xfId="1" applyFont="1" applyBorder="1" applyAlignment="1" applyProtection="1">
      <alignment horizontal="left" vertical="top" wrapText="1"/>
      <protection locked="0"/>
    </xf>
    <xf numFmtId="0" fontId="8" fillId="0" borderId="15" xfId="1" applyFont="1" applyBorder="1" applyAlignment="1" applyProtection="1">
      <alignment horizontal="center" vertical="top"/>
      <protection locked="0"/>
    </xf>
    <xf numFmtId="0" fontId="8" fillId="0" borderId="15" xfId="1" applyFont="1" applyBorder="1" applyAlignment="1" applyProtection="1">
      <alignment horizontal="left" vertical="top"/>
      <protection locked="0"/>
    </xf>
    <xf numFmtId="0" fontId="6" fillId="0" borderId="1" xfId="1" applyFont="1" applyBorder="1" applyAlignment="1" applyProtection="1">
      <alignment vertical="top"/>
      <protection locked="0"/>
    </xf>
    <xf numFmtId="1" fontId="6" fillId="0" borderId="1"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top" wrapText="1"/>
      <protection locked="0"/>
    </xf>
    <xf numFmtId="1" fontId="4" fillId="0" borderId="1" xfId="1" applyNumberFormat="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67" fontId="13" fillId="0" borderId="1" xfId="9" applyNumberFormat="1" applyFont="1" applyFill="1" applyBorder="1" applyAlignment="1" applyProtection="1">
      <alignment horizontal="left" vertical="top"/>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0" fontId="8" fillId="0" borderId="1" xfId="1" applyFont="1" applyBorder="1" applyAlignment="1" applyProtection="1">
      <alignment horizontal="center" vertical="top"/>
      <protection locked="0"/>
    </xf>
    <xf numFmtId="1" fontId="13" fillId="0" borderId="7" xfId="0" applyNumberFormat="1" applyFont="1" applyBorder="1" applyAlignment="1" applyProtection="1">
      <alignment vertical="top" wrapText="1"/>
      <protection locked="0"/>
    </xf>
    <xf numFmtId="1" fontId="13" fillId="0" borderId="20" xfId="0" applyNumberFormat="1" applyFont="1" applyBorder="1" applyAlignment="1" applyProtection="1">
      <alignment vertical="top" wrapText="1"/>
      <protection locked="0"/>
    </xf>
    <xf numFmtId="1" fontId="13" fillId="0" borderId="8" xfId="0" applyNumberFormat="1" applyFont="1" applyBorder="1" applyAlignment="1" applyProtection="1">
      <alignment vertical="top" wrapText="1"/>
      <protection locked="0"/>
    </xf>
    <xf numFmtId="9" fontId="7" fillId="0" borderId="1" xfId="8"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left" vertical="top" wrapText="1"/>
      <protection locked="0"/>
    </xf>
    <xf numFmtId="0" fontId="8"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top" wrapText="1"/>
      <protection locked="0"/>
    </xf>
    <xf numFmtId="0" fontId="6" fillId="0" borderId="2" xfId="1" applyFont="1" applyBorder="1" applyAlignment="1" applyProtection="1">
      <alignment horizontal="left" vertical="top"/>
      <protection locked="0"/>
    </xf>
    <xf numFmtId="0" fontId="12" fillId="0" borderId="2" xfId="1" applyFont="1" applyBorder="1" applyAlignment="1" applyProtection="1">
      <alignment horizontal="left" vertical="top" wrapText="1"/>
      <protection locked="0"/>
    </xf>
    <xf numFmtId="0" fontId="7" fillId="0" borderId="4" xfId="1" applyFont="1" applyBorder="1" applyAlignment="1" applyProtection="1">
      <alignment horizontal="center" vertical="top" wrapText="1"/>
      <protection locked="0"/>
    </xf>
    <xf numFmtId="0" fontId="13" fillId="0" borderId="1" xfId="1" applyFont="1" applyBorder="1" applyAlignment="1" applyProtection="1">
      <alignment horizontal="left" vertical="top"/>
      <protection locked="0"/>
    </xf>
    <xf numFmtId="0" fontId="7" fillId="0" borderId="3" xfId="1" applyFont="1" applyBorder="1" applyAlignment="1" applyProtection="1">
      <alignment horizontal="center" vertical="top" wrapText="1"/>
      <protection locked="0"/>
    </xf>
    <xf numFmtId="9" fontId="7" fillId="0" borderId="16" xfId="8" applyFont="1" applyFill="1" applyBorder="1" applyAlignment="1" applyProtection="1">
      <alignment horizontal="center" vertical="center" wrapText="1"/>
      <protection locked="0"/>
    </xf>
    <xf numFmtId="9" fontId="7" fillId="0" borderId="17" xfId="8" applyFont="1" applyFill="1" applyBorder="1" applyAlignment="1" applyProtection="1">
      <alignment horizontal="center" vertical="center" wrapText="1"/>
      <protection locked="0"/>
    </xf>
    <xf numFmtId="9" fontId="7" fillId="0" borderId="24"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9" xfId="8" applyFont="1" applyFill="1" applyBorder="1" applyAlignment="1" applyProtection="1">
      <alignment horizontal="center" vertical="center" wrapText="1"/>
      <protection locked="0"/>
    </xf>
    <xf numFmtId="9" fontId="7" fillId="0" borderId="11" xfId="8" applyFont="1" applyFill="1" applyBorder="1" applyAlignment="1" applyProtection="1">
      <alignment horizontal="center" vertical="center" wrapText="1"/>
      <protection locked="0"/>
    </xf>
    <xf numFmtId="0" fontId="12" fillId="0" borderId="1" xfId="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8" fillId="0" borderId="1" xfId="1" applyFont="1" applyBorder="1" applyAlignment="1" applyProtection="1">
      <alignment horizontal="left" vertical="top"/>
      <protection locked="0"/>
    </xf>
    <xf numFmtId="1" fontId="8"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0" fontId="10" fillId="0" borderId="1" xfId="0" applyFont="1" applyBorder="1" applyAlignment="1" applyProtection="1">
      <alignment horizontal="center" vertical="center"/>
      <protection locked="0"/>
    </xf>
    <xf numFmtId="1" fontId="7"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13" fillId="0" borderId="3" xfId="1" applyFont="1" applyBorder="1" applyAlignment="1" applyProtection="1">
      <alignment horizontal="left" vertical="top"/>
      <protection locked="0"/>
    </xf>
    <xf numFmtId="0" fontId="8" fillId="0" borderId="21"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12"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13" fillId="0" borderId="4" xfId="1" applyFont="1" applyBorder="1" applyAlignment="1" applyProtection="1">
      <alignment horizontal="left" vertical="top" wrapText="1"/>
      <protection locked="0"/>
    </xf>
    <xf numFmtId="0" fontId="11" fillId="0" borderId="1" xfId="1" applyFont="1" applyBorder="1" applyAlignment="1" applyProtection="1">
      <alignment horizontal="center" vertical="top" wrapText="1"/>
      <protection locked="0"/>
    </xf>
    <xf numFmtId="0" fontId="13" fillId="0" borderId="7" xfId="1" applyFont="1" applyBorder="1" applyAlignment="1" applyProtection="1">
      <alignment horizontal="left" vertical="top"/>
      <protection locked="0"/>
    </xf>
    <xf numFmtId="0" fontId="13" fillId="0" borderId="20" xfId="1" applyFont="1" applyBorder="1" applyAlignment="1" applyProtection="1">
      <alignment horizontal="left" vertical="top"/>
      <protection locked="0"/>
    </xf>
    <xf numFmtId="0" fontId="13" fillId="0" borderId="8"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3" fillId="0" borderId="1"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1" xfId="1" applyFont="1" applyBorder="1" applyAlignment="1" applyProtection="1">
      <alignment horizontal="center" vertical="top" wrapText="1"/>
      <protection locked="0"/>
    </xf>
    <xf numFmtId="2" fontId="6" fillId="0" borderId="1" xfId="1" applyNumberFormat="1" applyFont="1" applyBorder="1" applyAlignment="1" applyProtection="1">
      <alignment horizontal="left" vertical="top" wrapText="1"/>
      <protection locked="0"/>
    </xf>
    <xf numFmtId="0" fontId="6" fillId="0" borderId="15" xfId="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1" fontId="10" fillId="0" borderId="1" xfId="0" applyNumberFormat="1" applyFont="1" applyBorder="1" applyAlignment="1" applyProtection="1">
      <alignment horizontal="center" vertical="center"/>
      <protection locked="0"/>
    </xf>
    <xf numFmtId="0" fontId="7" fillId="0" borderId="0" xfId="1" applyFont="1" applyAlignment="1">
      <alignment horizontal="center" vertical="center"/>
    </xf>
    <xf numFmtId="1" fontId="6" fillId="0" borderId="16"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24" xfId="1" applyNumberFormat="1" applyFont="1" applyBorder="1" applyAlignment="1" applyProtection="1">
      <alignment horizontal="center" vertical="center" wrapText="1"/>
      <protection locked="0"/>
    </xf>
    <xf numFmtId="1" fontId="6" fillId="0" borderId="25"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8" fillId="3" borderId="7" xfId="1" applyNumberFormat="1" applyFont="1" applyFill="1" applyBorder="1" applyAlignment="1" applyProtection="1">
      <alignment horizontal="center" vertical="center" wrapText="1"/>
      <protection locked="0"/>
    </xf>
    <xf numFmtId="1" fontId="8" fillId="3" borderId="20" xfId="1" applyNumberFormat="1" applyFont="1" applyFill="1" applyBorder="1" applyAlignment="1" applyProtection="1">
      <alignment horizontal="center" vertical="center" wrapText="1"/>
      <protection locked="0"/>
    </xf>
    <xf numFmtId="1" fontId="8" fillId="3" borderId="8" xfId="1" applyNumberFormat="1" applyFont="1" applyFill="1" applyBorder="1" applyAlignment="1" applyProtection="1">
      <alignment horizontal="center" vertical="center" wrapText="1"/>
      <protection locked="0"/>
    </xf>
    <xf numFmtId="1" fontId="8" fillId="4" borderId="7" xfId="1" applyNumberFormat="1" applyFont="1" applyFill="1" applyBorder="1" applyAlignment="1" applyProtection="1">
      <alignment horizontal="center" vertical="center" wrapText="1"/>
      <protection locked="0"/>
    </xf>
    <xf numFmtId="1" fontId="8" fillId="4" borderId="20" xfId="1" applyNumberFormat="1" applyFont="1" applyFill="1" applyBorder="1" applyAlignment="1" applyProtection="1">
      <alignment horizontal="center" vertical="center" wrapText="1"/>
      <protection locked="0"/>
    </xf>
    <xf numFmtId="1" fontId="8" fillId="4" borderId="8" xfId="1" applyNumberFormat="1" applyFont="1" applyFill="1" applyBorder="1" applyAlignment="1" applyProtection="1">
      <alignment horizontal="center" vertical="center" wrapText="1"/>
      <protection locked="0"/>
    </xf>
    <xf numFmtId="0" fontId="26" fillId="0" borderId="1" xfId="10" applyFill="1" applyBorder="1" applyAlignment="1" applyProtection="1">
      <alignment horizontal="left" vertical="top" wrapText="1"/>
      <protection locked="0"/>
    </xf>
    <xf numFmtId="1" fontId="6" fillId="0" borderId="20" xfId="1"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left" vertical="top" wrapText="1"/>
      <protection locked="0"/>
    </xf>
    <xf numFmtId="0" fontId="12" fillId="0" borderId="16"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25"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2" fillId="0" borderId="31" xfId="1" applyFont="1" applyBorder="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8" fillId="3" borderId="7" xfId="1" applyFont="1" applyFill="1" applyBorder="1" applyAlignment="1" applyProtection="1">
      <alignment horizontal="center" vertical="top" wrapText="1"/>
      <protection locked="0"/>
    </xf>
    <xf numFmtId="0" fontId="8" fillId="3" borderId="20" xfId="1" applyFont="1" applyFill="1" applyBorder="1" applyAlignment="1" applyProtection="1">
      <alignment horizontal="center" vertical="top" wrapText="1"/>
      <protection locked="0"/>
    </xf>
    <xf numFmtId="0" fontId="8" fillId="3" borderId="8" xfId="1" applyFont="1" applyFill="1" applyBorder="1" applyAlignment="1" applyProtection="1">
      <alignment horizontal="center"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13" fillId="0" borderId="12" xfId="1" applyFont="1" applyBorder="1" applyAlignment="1" applyProtection="1">
      <alignment horizontal="left" vertical="top" wrapText="1"/>
      <protection locked="0"/>
    </xf>
    <xf numFmtId="0" fontId="13" fillId="0" borderId="13" xfId="1" applyFont="1" applyBorder="1" applyAlignment="1" applyProtection="1">
      <alignment horizontal="left" vertical="top" wrapText="1"/>
      <protection locked="0"/>
    </xf>
    <xf numFmtId="0" fontId="13" fillId="0" borderId="22" xfId="1" applyFont="1" applyBorder="1" applyAlignment="1" applyProtection="1">
      <alignment horizontal="left" vertical="top" wrapText="1"/>
      <protection locked="0"/>
    </xf>
    <xf numFmtId="1" fontId="8" fillId="3" borderId="1" xfId="1" applyNumberFormat="1" applyFont="1" applyFill="1" applyBorder="1" applyAlignment="1" applyProtection="1">
      <alignment horizontal="center" vertical="center" wrapText="1"/>
      <protection locked="0"/>
    </xf>
    <xf numFmtId="0" fontId="10" fillId="0" borderId="24" xfId="0" applyFont="1" applyBorder="1" applyAlignment="1">
      <alignment horizontal="center" vertical="center"/>
    </xf>
    <xf numFmtId="0" fontId="10" fillId="0" borderId="0" xfId="0" applyFont="1" applyAlignment="1">
      <alignment horizontal="center" vertical="center"/>
    </xf>
    <xf numFmtId="0" fontId="9" fillId="0" borderId="1" xfId="5" applyFont="1" applyBorder="1" applyAlignment="1">
      <alignment horizontal="left"/>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jp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jpeg"/><Relationship Id="rId2" Type="http://schemas.openxmlformats.org/officeDocument/2006/relationships/image" Target="../media/image2.png"/><Relationship Id="rId16" Type="http://schemas.openxmlformats.org/officeDocument/2006/relationships/image" Target="../media/image16.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jp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png"/><Relationship Id="rId1" Type="http://schemas.openxmlformats.org/officeDocument/2006/relationships/image" Target="../media/image2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drawing1.xml><?xml version="1.0" encoding="utf-8"?>
<xdr:wsDr xmlns:xdr="http://schemas.openxmlformats.org/drawingml/2006/spreadsheetDrawing" xmlns:a="http://schemas.openxmlformats.org/drawingml/2006/main">
  <xdr:twoCellAnchor editAs="oneCell">
    <xdr:from>
      <xdr:col>1</xdr:col>
      <xdr:colOff>416815</xdr:colOff>
      <xdr:row>382</xdr:row>
      <xdr:rowOff>92617</xdr:rowOff>
    </xdr:from>
    <xdr:to>
      <xdr:col>6</xdr:col>
      <xdr:colOff>410543</xdr:colOff>
      <xdr:row>396</xdr:row>
      <xdr:rowOff>47587</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178815" y="65018481"/>
          <a:ext cx="4141433" cy="2743200"/>
        </a:xfrm>
        <a:prstGeom prst="rect">
          <a:avLst/>
        </a:prstGeom>
        <a:ln w="12700">
          <a:solidFill>
            <a:schemeClr val="tx1"/>
          </a:solidFill>
        </a:ln>
      </xdr:spPr>
    </xdr:pic>
    <xdr:clientData/>
  </xdr:twoCellAnchor>
  <xdr:twoCellAnchor editAs="oneCell">
    <xdr:from>
      <xdr:col>1</xdr:col>
      <xdr:colOff>389659</xdr:colOff>
      <xdr:row>367</xdr:row>
      <xdr:rowOff>190500</xdr:rowOff>
    </xdr:from>
    <xdr:to>
      <xdr:col>6</xdr:col>
      <xdr:colOff>410543</xdr:colOff>
      <xdr:row>381</xdr:row>
      <xdr:rowOff>145473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151659" y="62128977"/>
          <a:ext cx="4168589" cy="2743200"/>
        </a:xfrm>
        <a:prstGeom prst="rect">
          <a:avLst/>
        </a:prstGeom>
        <a:ln w="12700">
          <a:solidFill>
            <a:schemeClr val="tx1"/>
          </a:solidFill>
        </a:ln>
      </xdr:spPr>
    </xdr:pic>
    <xdr:clientData/>
  </xdr:twoCellAnchor>
  <xdr:twoCellAnchor editAs="oneCell">
    <xdr:from>
      <xdr:col>9</xdr:col>
      <xdr:colOff>163535</xdr:colOff>
      <xdr:row>46</xdr:row>
      <xdr:rowOff>272142</xdr:rowOff>
    </xdr:from>
    <xdr:to>
      <xdr:col>13</xdr:col>
      <xdr:colOff>625728</xdr:colOff>
      <xdr:row>50</xdr:row>
      <xdr:rowOff>120100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stretch>
          <a:fillRect/>
        </a:stretch>
      </xdr:blipFill>
      <xdr:spPr>
        <a:xfrm>
          <a:off x="7824356" y="11661321"/>
          <a:ext cx="3591836" cy="677993"/>
        </a:xfrm>
        <a:prstGeom prst="rect">
          <a:avLst/>
        </a:prstGeom>
      </xdr:spPr>
    </xdr:pic>
    <xdr:clientData/>
  </xdr:twoCellAnchor>
  <xdr:twoCellAnchor>
    <xdr:from>
      <xdr:col>8</xdr:col>
      <xdr:colOff>877624</xdr:colOff>
      <xdr:row>334</xdr:row>
      <xdr:rowOff>131924</xdr:rowOff>
    </xdr:from>
    <xdr:to>
      <xdr:col>13</xdr:col>
      <xdr:colOff>742174</xdr:colOff>
      <xdr:row>348</xdr:row>
      <xdr:rowOff>84349</xdr:rowOff>
    </xdr:to>
    <xdr:grpSp>
      <xdr:nvGrpSpPr>
        <xdr:cNvPr id="17" name="Group 16">
          <a:extLst>
            <a:ext uri="{FF2B5EF4-FFF2-40B4-BE49-F238E27FC236}">
              <a16:creationId xmlns:a16="http://schemas.microsoft.com/office/drawing/2014/main" id="{00000000-0008-0000-0000-000011000000}"/>
            </a:ext>
          </a:extLst>
        </xdr:cNvPr>
        <xdr:cNvGrpSpPr/>
      </xdr:nvGrpSpPr>
      <xdr:grpSpPr>
        <a:xfrm>
          <a:off x="7619083" y="72925336"/>
          <a:ext cx="4284150" cy="2713554"/>
          <a:chOff x="1168977" y="71547012"/>
          <a:chExt cx="4167609" cy="2776308"/>
        </a:xfrm>
      </xdr:grpSpPr>
      <xdr:pic>
        <xdr:nvPicPr>
          <xdr:cNvPr id="19" name="Picture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4"/>
          <a:stretch>
            <a:fillRect/>
          </a:stretch>
        </xdr:blipFill>
        <xdr:spPr>
          <a:xfrm>
            <a:off x="1168977" y="71547012"/>
            <a:ext cx="4167609" cy="2776308"/>
          </a:xfrm>
          <a:prstGeom prst="rect">
            <a:avLst/>
          </a:prstGeom>
          <a:ln w="12700">
            <a:solidFill>
              <a:schemeClr val="tx1"/>
            </a:solidFill>
          </a:ln>
        </xdr:spPr>
      </xdr:pic>
      <xdr:sp macro="" textlink="">
        <xdr:nvSpPr>
          <xdr:cNvPr id="20" name="Rectangle 19">
            <a:extLst>
              <a:ext uri="{FF2B5EF4-FFF2-40B4-BE49-F238E27FC236}">
                <a16:creationId xmlns:a16="http://schemas.microsoft.com/office/drawing/2014/main" id="{00000000-0008-0000-0000-000014000000}"/>
              </a:ext>
            </a:extLst>
          </xdr:cNvPr>
          <xdr:cNvSpPr/>
        </xdr:nvSpPr>
        <xdr:spPr>
          <a:xfrm rot="1134066">
            <a:off x="3472726" y="73588209"/>
            <a:ext cx="325517" cy="25999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clientData/>
  </xdr:twoCellAnchor>
  <xdr:twoCellAnchor>
    <xdr:from>
      <xdr:col>3</xdr:col>
      <xdr:colOff>520406</xdr:colOff>
      <xdr:row>386</xdr:row>
      <xdr:rowOff>82497</xdr:rowOff>
    </xdr:from>
    <xdr:to>
      <xdr:col>5</xdr:col>
      <xdr:colOff>175087</xdr:colOff>
      <xdr:row>391</xdr:row>
      <xdr:rowOff>132151</xdr:rowOff>
    </xdr:to>
    <xdr:sp macro="" textlink="">
      <xdr:nvSpPr>
        <xdr:cNvPr id="8" name="Rectangle 7">
          <a:extLst>
            <a:ext uri="{FF2B5EF4-FFF2-40B4-BE49-F238E27FC236}">
              <a16:creationId xmlns:a16="http://schemas.microsoft.com/office/drawing/2014/main" id="{00000000-0008-0000-0000-000008000000}"/>
            </a:ext>
          </a:extLst>
        </xdr:cNvPr>
        <xdr:cNvSpPr/>
      </xdr:nvSpPr>
      <xdr:spPr>
        <a:xfrm rot="710212">
          <a:off x="2929671" y="83118085"/>
          <a:ext cx="1380387" cy="1058184"/>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editAs="oneCell">
    <xdr:from>
      <xdr:col>8</xdr:col>
      <xdr:colOff>115957</xdr:colOff>
      <xdr:row>13</xdr:row>
      <xdr:rowOff>24849</xdr:rowOff>
    </xdr:from>
    <xdr:to>
      <xdr:col>14</xdr:col>
      <xdr:colOff>7857</xdr:colOff>
      <xdr:row>14</xdr:row>
      <xdr:rowOff>110574</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a:stretch>
          <a:fillRect/>
        </a:stretch>
      </xdr:blipFill>
      <xdr:spPr>
        <a:xfrm>
          <a:off x="6634370" y="3006588"/>
          <a:ext cx="5012988" cy="914400"/>
        </a:xfrm>
        <a:prstGeom prst="rect">
          <a:avLst/>
        </a:prstGeom>
      </xdr:spPr>
    </xdr:pic>
    <xdr:clientData/>
  </xdr:twoCellAnchor>
  <xdr:twoCellAnchor editAs="oneCell">
    <xdr:from>
      <xdr:col>13</xdr:col>
      <xdr:colOff>476250</xdr:colOff>
      <xdr:row>61</xdr:row>
      <xdr:rowOff>161925</xdr:rowOff>
    </xdr:from>
    <xdr:to>
      <xdr:col>22</xdr:col>
      <xdr:colOff>174108</xdr:colOff>
      <xdr:row>65</xdr:row>
      <xdr:rowOff>295159</xdr:rowOff>
    </xdr:to>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6"/>
        <a:stretch>
          <a:fillRect/>
        </a:stretch>
      </xdr:blipFill>
      <xdr:spPr>
        <a:xfrm>
          <a:off x="11296650" y="13144500"/>
          <a:ext cx="5631933" cy="933333"/>
        </a:xfrm>
        <a:prstGeom prst="rect">
          <a:avLst/>
        </a:prstGeom>
      </xdr:spPr>
    </xdr:pic>
    <xdr:clientData/>
  </xdr:twoCellAnchor>
  <xdr:twoCellAnchor>
    <xdr:from>
      <xdr:col>12</xdr:col>
      <xdr:colOff>359374</xdr:colOff>
      <xdr:row>77</xdr:row>
      <xdr:rowOff>51140</xdr:rowOff>
    </xdr:from>
    <xdr:to>
      <xdr:col>22</xdr:col>
      <xdr:colOff>18211</xdr:colOff>
      <xdr:row>106</xdr:row>
      <xdr:rowOff>26894</xdr:rowOff>
    </xdr:to>
    <xdr:grpSp>
      <xdr:nvGrpSpPr>
        <xdr:cNvPr id="15" name="Group 14">
          <a:extLst>
            <a:ext uri="{FF2B5EF4-FFF2-40B4-BE49-F238E27FC236}">
              <a16:creationId xmlns:a16="http://schemas.microsoft.com/office/drawing/2014/main" id="{00000000-0008-0000-0000-00000F000000}"/>
            </a:ext>
          </a:extLst>
        </xdr:cNvPr>
        <xdr:cNvGrpSpPr/>
      </xdr:nvGrpSpPr>
      <xdr:grpSpPr>
        <a:xfrm>
          <a:off x="10713609" y="21333352"/>
          <a:ext cx="6624414" cy="6107613"/>
          <a:chOff x="8601075" y="17125950"/>
          <a:chExt cx="6385714" cy="3600000"/>
        </a:xfrm>
      </xdr:grpSpPr>
      <xdr:pic>
        <xdr:nvPicPr>
          <xdr:cNvPr id="30" name="Picture 29">
            <a:extLst>
              <a:ext uri="{FF2B5EF4-FFF2-40B4-BE49-F238E27FC236}">
                <a16:creationId xmlns:a16="http://schemas.microsoft.com/office/drawing/2014/main" id="{00000000-0008-0000-0000-00001E000000}"/>
              </a:ext>
            </a:extLst>
          </xdr:cNvPr>
          <xdr:cNvPicPr>
            <a:picLocks noChangeAspect="1"/>
          </xdr:cNvPicPr>
        </xdr:nvPicPr>
        <xdr:blipFill rotWithShape="1">
          <a:blip xmlns:r="http://schemas.openxmlformats.org/officeDocument/2006/relationships" r:embed="rId7"/>
          <a:srcRect l="18867" t="21500" r="18305" b="15500"/>
          <a:stretch/>
        </xdr:blipFill>
        <xdr:spPr>
          <a:xfrm>
            <a:off x="8601075" y="17125950"/>
            <a:ext cx="6385714" cy="3600000"/>
          </a:xfrm>
          <a:prstGeom prst="rect">
            <a:avLst/>
          </a:prstGeom>
        </xdr:spPr>
      </xdr:pic>
      <xdr:sp macro="" textlink="">
        <xdr:nvSpPr>
          <xdr:cNvPr id="36" name="Rectangle 35">
            <a:extLst>
              <a:ext uri="{FF2B5EF4-FFF2-40B4-BE49-F238E27FC236}">
                <a16:creationId xmlns:a16="http://schemas.microsoft.com/office/drawing/2014/main" id="{00000000-0008-0000-0000-000024000000}"/>
              </a:ext>
            </a:extLst>
          </xdr:cNvPr>
          <xdr:cNvSpPr/>
        </xdr:nvSpPr>
        <xdr:spPr>
          <a:xfrm>
            <a:off x="8601075" y="17125950"/>
            <a:ext cx="2209800" cy="8096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IN" sz="1400" b="1">
                <a:solidFill>
                  <a:srgbClr val="C00000"/>
                </a:solidFill>
              </a:rPr>
              <a:t>Photo provided by the bank on 11/09/2024</a:t>
            </a:r>
          </a:p>
        </xdr:txBody>
      </xdr:sp>
    </xdr:grpSp>
    <xdr:clientData/>
  </xdr:twoCellAnchor>
  <xdr:twoCellAnchor editAs="oneCell">
    <xdr:from>
      <xdr:col>8</xdr:col>
      <xdr:colOff>285750</xdr:colOff>
      <xdr:row>63</xdr:row>
      <xdr:rowOff>123826</xdr:rowOff>
    </xdr:from>
    <xdr:to>
      <xdr:col>12</xdr:col>
      <xdr:colOff>380550</xdr:colOff>
      <xdr:row>66</xdr:row>
      <xdr:rowOff>160499</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6810375" y="15401926"/>
          <a:ext cx="3600000" cy="1674973"/>
        </a:xfrm>
        <a:prstGeom prst="rect">
          <a:avLst/>
        </a:prstGeom>
        <a:ln>
          <a:solidFill>
            <a:sysClr val="windowText" lastClr="000000"/>
          </a:solidFill>
        </a:ln>
      </xdr:spPr>
    </xdr:pic>
    <xdr:clientData/>
  </xdr:twoCellAnchor>
  <xdr:oneCellAnchor>
    <xdr:from>
      <xdr:col>8</xdr:col>
      <xdr:colOff>179245</xdr:colOff>
      <xdr:row>50</xdr:row>
      <xdr:rowOff>142009</xdr:rowOff>
    </xdr:from>
    <xdr:ext cx="3600000" cy="746777"/>
    <xdr:pic>
      <xdr:nvPicPr>
        <xdr:cNvPr id="40" name="Picture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9"/>
        <a:stretch>
          <a:fillRect/>
        </a:stretch>
      </xdr:blipFill>
      <xdr:spPr>
        <a:xfrm>
          <a:off x="6703870" y="12229234"/>
          <a:ext cx="3600000" cy="746777"/>
        </a:xfrm>
        <a:prstGeom prst="rect">
          <a:avLst/>
        </a:prstGeom>
      </xdr:spPr>
    </xdr:pic>
    <xdr:clientData/>
  </xdr:oneCellAnchor>
  <xdr:twoCellAnchor editAs="oneCell">
    <xdr:from>
      <xdr:col>8</xdr:col>
      <xdr:colOff>200025</xdr:colOff>
      <xdr:row>53</xdr:row>
      <xdr:rowOff>0</xdr:rowOff>
    </xdr:from>
    <xdr:to>
      <xdr:col>12</xdr:col>
      <xdr:colOff>294825</xdr:colOff>
      <xdr:row>62</xdr:row>
      <xdr:rowOff>63321</xdr:rowOff>
    </xdr:to>
    <xdr:pic>
      <xdr:nvPicPr>
        <xdr:cNvPr id="16" name="Picture 15">
          <a:extLst>
            <a:ext uri="{FF2B5EF4-FFF2-40B4-BE49-F238E27FC236}">
              <a16:creationId xmlns:a16="http://schemas.microsoft.com/office/drawing/2014/main" id="{00000000-0008-0000-0000-000010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6724650" y="13182600"/>
          <a:ext cx="3600000" cy="2066861"/>
        </a:xfrm>
        <a:prstGeom prst="rect">
          <a:avLst/>
        </a:prstGeom>
        <a:ln>
          <a:solidFill>
            <a:schemeClr val="tx1"/>
          </a:solidFill>
        </a:ln>
      </xdr:spPr>
    </xdr:pic>
    <xdr:clientData/>
  </xdr:twoCellAnchor>
  <xdr:twoCellAnchor>
    <xdr:from>
      <xdr:col>0</xdr:col>
      <xdr:colOff>268942</xdr:colOff>
      <xdr:row>329</xdr:row>
      <xdr:rowOff>22412</xdr:rowOff>
    </xdr:from>
    <xdr:to>
      <xdr:col>7</xdr:col>
      <xdr:colOff>527798</xdr:colOff>
      <xdr:row>354</xdr:row>
      <xdr:rowOff>180415</xdr:rowOff>
    </xdr:to>
    <xdr:grpSp>
      <xdr:nvGrpSpPr>
        <xdr:cNvPr id="95" name="Group 94">
          <a:extLst>
            <a:ext uri="{FF2B5EF4-FFF2-40B4-BE49-F238E27FC236}">
              <a16:creationId xmlns:a16="http://schemas.microsoft.com/office/drawing/2014/main" id="{00000000-0008-0000-0000-00005F000000}"/>
            </a:ext>
          </a:extLst>
        </xdr:cNvPr>
        <xdr:cNvGrpSpPr/>
      </xdr:nvGrpSpPr>
      <xdr:grpSpPr>
        <a:xfrm>
          <a:off x="268942" y="71829706"/>
          <a:ext cx="6148668" cy="5088591"/>
          <a:chOff x="252412" y="1971675"/>
          <a:chExt cx="6353175" cy="5200650"/>
        </a:xfrm>
      </xdr:grpSpPr>
      <xdr:pic>
        <xdr:nvPicPr>
          <xdr:cNvPr id="96" name="Picture 95">
            <a:extLst>
              <a:ext uri="{FF2B5EF4-FFF2-40B4-BE49-F238E27FC236}">
                <a16:creationId xmlns:a16="http://schemas.microsoft.com/office/drawing/2014/main" id="{00000000-0008-0000-0000-000060000000}"/>
              </a:ext>
            </a:extLst>
          </xdr:cNvPr>
          <xdr:cNvPicPr>
            <a:picLocks noChangeAspect="1"/>
          </xdr:cNvPicPr>
        </xdr:nvPicPr>
        <xdr:blipFill>
          <a:blip xmlns:r="http://schemas.openxmlformats.org/officeDocument/2006/relationships" r:embed="rId11"/>
          <a:stretch>
            <a:fillRect/>
          </a:stretch>
        </xdr:blipFill>
        <xdr:spPr>
          <a:xfrm>
            <a:off x="252412" y="1971675"/>
            <a:ext cx="6353175" cy="5200650"/>
          </a:xfrm>
          <a:prstGeom prst="rect">
            <a:avLst/>
          </a:prstGeom>
          <a:ln>
            <a:solidFill>
              <a:schemeClr val="tx1"/>
            </a:solidFill>
          </a:ln>
        </xdr:spPr>
      </xdr:pic>
      <xdr:sp macro="" textlink="">
        <xdr:nvSpPr>
          <xdr:cNvPr id="97" name="Rectangle 96">
            <a:extLst>
              <a:ext uri="{FF2B5EF4-FFF2-40B4-BE49-F238E27FC236}">
                <a16:creationId xmlns:a16="http://schemas.microsoft.com/office/drawing/2014/main" id="{00000000-0008-0000-0000-000061000000}"/>
              </a:ext>
            </a:extLst>
          </xdr:cNvPr>
          <xdr:cNvSpPr/>
        </xdr:nvSpPr>
        <xdr:spPr>
          <a:xfrm rot="18931317">
            <a:off x="3130548" y="3536950"/>
            <a:ext cx="596900" cy="6032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98" name="Rectangle 97">
            <a:extLst>
              <a:ext uri="{FF2B5EF4-FFF2-40B4-BE49-F238E27FC236}">
                <a16:creationId xmlns:a16="http://schemas.microsoft.com/office/drawing/2014/main" id="{00000000-0008-0000-0000-000062000000}"/>
              </a:ext>
            </a:extLst>
          </xdr:cNvPr>
          <xdr:cNvSpPr/>
        </xdr:nvSpPr>
        <xdr:spPr>
          <a:xfrm rot="18902277">
            <a:off x="2665573" y="4404753"/>
            <a:ext cx="647700" cy="5969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99" name="TextBox 4">
            <a:extLst>
              <a:ext uri="{FF2B5EF4-FFF2-40B4-BE49-F238E27FC236}">
                <a16:creationId xmlns:a16="http://schemas.microsoft.com/office/drawing/2014/main" id="{00000000-0008-0000-0000-000063000000}"/>
              </a:ext>
            </a:extLst>
          </xdr:cNvPr>
          <xdr:cNvSpPr txBox="1"/>
        </xdr:nvSpPr>
        <xdr:spPr>
          <a:xfrm rot="2733729">
            <a:off x="3402647" y="3288179"/>
            <a:ext cx="1021161"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C</a:t>
            </a:r>
            <a:endParaRPr lang="en-IN" b="1">
              <a:solidFill>
                <a:srgbClr val="FF0000"/>
              </a:solidFill>
            </a:endParaRPr>
          </a:p>
        </xdr:txBody>
      </xdr:sp>
      <xdr:sp macro="" textlink="">
        <xdr:nvSpPr>
          <xdr:cNvPr id="100" name="TextBox 5">
            <a:extLst>
              <a:ext uri="{FF2B5EF4-FFF2-40B4-BE49-F238E27FC236}">
                <a16:creationId xmlns:a16="http://schemas.microsoft.com/office/drawing/2014/main" id="{00000000-0008-0000-0000-000064000000}"/>
              </a:ext>
            </a:extLst>
          </xdr:cNvPr>
          <xdr:cNvSpPr txBox="1"/>
        </xdr:nvSpPr>
        <xdr:spPr>
          <a:xfrm rot="19042973">
            <a:off x="1875073" y="5102335"/>
            <a:ext cx="991309" cy="374141"/>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B</a:t>
            </a:r>
            <a:endParaRPr lang="en-IN" b="1">
              <a:solidFill>
                <a:srgbClr val="FF0000"/>
              </a:solidFill>
            </a:endParaRPr>
          </a:p>
        </xdr:txBody>
      </xdr:sp>
    </xdr:grpSp>
    <xdr:clientData/>
  </xdr:twoCellAnchor>
  <xdr:twoCellAnchor>
    <xdr:from>
      <xdr:col>3</xdr:col>
      <xdr:colOff>874059</xdr:colOff>
      <xdr:row>341</xdr:row>
      <xdr:rowOff>125213</xdr:rowOff>
    </xdr:from>
    <xdr:to>
      <xdr:col>4</xdr:col>
      <xdr:colOff>492974</xdr:colOff>
      <xdr:row>344</xdr:row>
      <xdr:rowOff>123346</xdr:rowOff>
    </xdr:to>
    <xdr:sp macro="" textlink="">
      <xdr:nvSpPr>
        <xdr:cNvPr id="107" name="Rectangle 106">
          <a:extLst>
            <a:ext uri="{FF2B5EF4-FFF2-40B4-BE49-F238E27FC236}">
              <a16:creationId xmlns:a16="http://schemas.microsoft.com/office/drawing/2014/main" id="{00000000-0008-0000-0000-00006B000000}"/>
            </a:ext>
          </a:extLst>
        </xdr:cNvPr>
        <xdr:cNvSpPr/>
      </xdr:nvSpPr>
      <xdr:spPr>
        <a:xfrm rot="18931317">
          <a:off x="3283324" y="74084037"/>
          <a:ext cx="560209" cy="6032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clientData/>
  </xdr:twoCellAnchor>
  <xdr:twoCellAnchor>
    <xdr:from>
      <xdr:col>4</xdr:col>
      <xdr:colOff>592093</xdr:colOff>
      <xdr:row>343</xdr:row>
      <xdr:rowOff>167180</xdr:rowOff>
    </xdr:from>
    <xdr:to>
      <xdr:col>5</xdr:col>
      <xdr:colOff>238432</xdr:colOff>
      <xdr:row>348</xdr:row>
      <xdr:rowOff>108263</xdr:rowOff>
    </xdr:to>
    <xdr:sp macro="" textlink="">
      <xdr:nvSpPr>
        <xdr:cNvPr id="108" name="TextBox 4">
          <a:extLst>
            <a:ext uri="{FF2B5EF4-FFF2-40B4-BE49-F238E27FC236}">
              <a16:creationId xmlns:a16="http://schemas.microsoft.com/office/drawing/2014/main" id="{00000000-0008-0000-0000-00006C000000}"/>
            </a:ext>
          </a:extLst>
        </xdr:cNvPr>
        <xdr:cNvSpPr txBox="1"/>
      </xdr:nvSpPr>
      <xdr:spPr>
        <a:xfrm rot="2733729">
          <a:off x="3683221" y="74788846"/>
          <a:ext cx="949613" cy="430751"/>
        </a:xfrm>
        <a:prstGeom prst="rect">
          <a:avLst/>
        </a:prstGeom>
        <a:noFill/>
      </xdr:spPr>
      <xdr:txBody>
        <a:bodyPr wrap="square"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0000"/>
              </a:solidFill>
            </a:rPr>
            <a:t>Wing A</a:t>
          </a:r>
          <a:endParaRPr lang="en-IN" b="1">
            <a:solidFill>
              <a:srgbClr val="FF0000"/>
            </a:solidFill>
          </a:endParaRPr>
        </a:p>
      </xdr:txBody>
    </xdr:sp>
    <xdr:clientData/>
  </xdr:twoCellAnchor>
  <xdr:oneCellAnchor>
    <xdr:from>
      <xdr:col>8</xdr:col>
      <xdr:colOff>200025</xdr:colOff>
      <xdr:row>55</xdr:row>
      <xdr:rowOff>0</xdr:rowOff>
    </xdr:from>
    <xdr:ext cx="3600000" cy="2068541"/>
    <xdr:pic>
      <xdr:nvPicPr>
        <xdr:cNvPr id="109" name="Picture 108">
          <a:extLst>
            <a:ext uri="{FF2B5EF4-FFF2-40B4-BE49-F238E27FC236}">
              <a16:creationId xmlns:a16="http://schemas.microsoft.com/office/drawing/2014/main" id="{00000000-0008-0000-0000-00006D000000}"/>
            </a:ext>
          </a:extLst>
        </xdr:cNvPr>
        <xdr:cNvPicPr>
          <a:picLocks noChangeAspect="1"/>
        </xdr:cNvPicPr>
      </xdr:nvPicPr>
      <xdr:blipFill>
        <a:blip xmlns:r="http://schemas.openxmlformats.org/officeDocument/2006/relationships" r:embed="rId10" cstate="screen">
          <a:extLst>
            <a:ext uri="{28A0092B-C50C-407E-A947-70E740481C1C}">
              <a14:useLocalDpi xmlns:a14="http://schemas.microsoft.com/office/drawing/2010/main"/>
            </a:ext>
          </a:extLst>
        </a:blip>
        <a:stretch>
          <a:fillRect/>
        </a:stretch>
      </xdr:blipFill>
      <xdr:spPr>
        <a:xfrm>
          <a:off x="6724650" y="13144500"/>
          <a:ext cx="3600000" cy="2068541"/>
        </a:xfrm>
        <a:prstGeom prst="rect">
          <a:avLst/>
        </a:prstGeom>
        <a:ln>
          <a:solidFill>
            <a:schemeClr val="tx1"/>
          </a:solidFill>
        </a:ln>
      </xdr:spPr>
    </xdr:pic>
    <xdr:clientData/>
  </xdr:oneCellAnchor>
  <xdr:twoCellAnchor>
    <xdr:from>
      <xdr:col>10</xdr:col>
      <xdr:colOff>698126</xdr:colOff>
      <xdr:row>287</xdr:row>
      <xdr:rowOff>149038</xdr:rowOff>
    </xdr:from>
    <xdr:to>
      <xdr:col>18</xdr:col>
      <xdr:colOff>316078</xdr:colOff>
      <xdr:row>321</xdr:row>
      <xdr:rowOff>81754</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9420785" y="63681909"/>
          <a:ext cx="5669128" cy="6629351"/>
          <a:chOff x="590550" y="63817500"/>
          <a:chExt cx="5754666" cy="6619266"/>
        </a:xfrm>
      </xdr:grpSpPr>
      <xdr:pic>
        <xdr:nvPicPr>
          <xdr:cNvPr id="48" name="Picture 47">
            <a:extLst>
              <a:ext uri="{FF2B5EF4-FFF2-40B4-BE49-F238E27FC236}">
                <a16:creationId xmlns:a16="http://schemas.microsoft.com/office/drawing/2014/main" id="{00000000-0008-0000-0000-000030000000}"/>
              </a:ext>
            </a:extLst>
          </xdr:cNvPr>
          <xdr:cNvPicPr>
            <a:picLocks noChangeAspect="1"/>
          </xdr:cNvPicPr>
        </xdr:nvPicPr>
        <xdr:blipFill rotWithShape="1">
          <a:blip xmlns:r="http://schemas.openxmlformats.org/officeDocument/2006/relationships" r:embed="rId12" cstate="print">
            <a:extLst>
              <a:ext uri="{28A0092B-C50C-407E-A947-70E740481C1C}">
                <a14:useLocalDpi xmlns:a14="http://schemas.microsoft.com/office/drawing/2010/main"/>
              </a:ext>
            </a:extLst>
          </a:blip>
          <a:srcRect/>
          <a:stretch/>
        </xdr:blipFill>
        <xdr:spPr>
          <a:xfrm>
            <a:off x="4128110" y="68276766"/>
            <a:ext cx="1720230" cy="2160000"/>
          </a:xfrm>
          <a:prstGeom prst="rect">
            <a:avLst/>
          </a:prstGeom>
          <a:ln>
            <a:solidFill>
              <a:schemeClr val="tx1"/>
            </a:solidFill>
          </a:ln>
        </xdr:spPr>
      </xdr:pic>
      <xdr:pic>
        <xdr:nvPicPr>
          <xdr:cNvPr id="49" name="Picture 48">
            <a:extLst>
              <a:ext uri="{FF2B5EF4-FFF2-40B4-BE49-F238E27FC236}">
                <a16:creationId xmlns:a16="http://schemas.microsoft.com/office/drawing/2014/main" id="{00000000-0008-0000-0000-000031000000}"/>
              </a:ext>
            </a:extLst>
          </xdr:cNvPr>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a:ext>
            </a:extLst>
          </a:blip>
          <a:srcRect/>
          <a:stretch/>
        </xdr:blipFill>
        <xdr:spPr>
          <a:xfrm>
            <a:off x="866123" y="68276766"/>
            <a:ext cx="3109394" cy="2160000"/>
          </a:xfrm>
          <a:prstGeom prst="rect">
            <a:avLst/>
          </a:prstGeom>
          <a:ln>
            <a:solidFill>
              <a:schemeClr val="tx1"/>
            </a:solidFill>
          </a:ln>
        </xdr:spPr>
      </xdr:pic>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14"/>
          <a:stretch>
            <a:fillRect/>
          </a:stretch>
        </xdr:blipFill>
        <xdr:spPr>
          <a:xfrm>
            <a:off x="590550" y="63817500"/>
            <a:ext cx="5754666" cy="4320000"/>
          </a:xfrm>
          <a:prstGeom prst="rect">
            <a:avLst/>
          </a:prstGeom>
          <a:ln>
            <a:solidFill>
              <a:schemeClr val="tx1"/>
            </a:solidFill>
          </a:ln>
        </xdr:spPr>
      </xdr:pic>
    </xdr:grpSp>
    <xdr:clientData/>
  </xdr:twoCellAnchor>
  <xdr:twoCellAnchor>
    <xdr:from>
      <xdr:col>0</xdr:col>
      <xdr:colOff>161365</xdr:colOff>
      <xdr:row>289</xdr:row>
      <xdr:rowOff>44822</xdr:rowOff>
    </xdr:from>
    <xdr:to>
      <xdr:col>7</xdr:col>
      <xdr:colOff>672353</xdr:colOff>
      <xdr:row>314</xdr:row>
      <xdr:rowOff>189564</xdr:rowOff>
    </xdr:to>
    <xdr:grpSp>
      <xdr:nvGrpSpPr>
        <xdr:cNvPr id="2" name="Group 1">
          <a:extLst>
            <a:ext uri="{FF2B5EF4-FFF2-40B4-BE49-F238E27FC236}">
              <a16:creationId xmlns:a16="http://schemas.microsoft.com/office/drawing/2014/main" id="{E1ABECB7-8776-78BB-473A-68C9B75EFB1A}"/>
            </a:ext>
          </a:extLst>
        </xdr:cNvPr>
        <xdr:cNvGrpSpPr/>
      </xdr:nvGrpSpPr>
      <xdr:grpSpPr>
        <a:xfrm>
          <a:off x="161365" y="63972140"/>
          <a:ext cx="6400800" cy="5066365"/>
          <a:chOff x="594361" y="412906"/>
          <a:chExt cx="6864796" cy="5236694"/>
        </a:xfrm>
      </xdr:grpSpPr>
      <xdr:grpSp>
        <xdr:nvGrpSpPr>
          <xdr:cNvPr id="6" name="Group 5">
            <a:extLst>
              <a:ext uri="{FF2B5EF4-FFF2-40B4-BE49-F238E27FC236}">
                <a16:creationId xmlns:a16="http://schemas.microsoft.com/office/drawing/2014/main" id="{4C0B7FC2-399D-F028-9F7F-BF27D133F7F2}"/>
              </a:ext>
            </a:extLst>
          </xdr:cNvPr>
          <xdr:cNvGrpSpPr/>
        </xdr:nvGrpSpPr>
        <xdr:grpSpPr>
          <a:xfrm>
            <a:off x="594361" y="412906"/>
            <a:ext cx="6864796" cy="2520000"/>
            <a:chOff x="594361" y="412906"/>
            <a:chExt cx="6864796" cy="2520000"/>
          </a:xfrm>
        </xdr:grpSpPr>
        <xdr:pic>
          <xdr:nvPicPr>
            <xdr:cNvPr id="18" name="Picture 17">
              <a:extLst>
                <a:ext uri="{FF2B5EF4-FFF2-40B4-BE49-F238E27FC236}">
                  <a16:creationId xmlns:a16="http://schemas.microsoft.com/office/drawing/2014/main" id="{33E4B078-E535-0638-0F68-18CF0E9ECEE4}"/>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594361" y="412906"/>
              <a:ext cx="3356889" cy="2520000"/>
            </a:xfrm>
            <a:prstGeom prst="rect">
              <a:avLst/>
            </a:prstGeom>
            <a:ln>
              <a:solidFill>
                <a:schemeClr val="tx1"/>
              </a:solidFill>
            </a:ln>
          </xdr:spPr>
        </xdr:pic>
        <xdr:pic>
          <xdr:nvPicPr>
            <xdr:cNvPr id="21" name="Picture 20">
              <a:extLst>
                <a:ext uri="{FF2B5EF4-FFF2-40B4-BE49-F238E27FC236}">
                  <a16:creationId xmlns:a16="http://schemas.microsoft.com/office/drawing/2014/main" id="{86F87B02-3616-4A47-3FCD-22B56D85C651}"/>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4102268" y="412906"/>
              <a:ext cx="3356889" cy="2520000"/>
            </a:xfrm>
            <a:prstGeom prst="rect">
              <a:avLst/>
            </a:prstGeom>
            <a:ln>
              <a:solidFill>
                <a:schemeClr val="tx1"/>
              </a:solidFill>
            </a:ln>
          </xdr:spPr>
        </xdr:pic>
      </xdr:grpSp>
      <xdr:grpSp>
        <xdr:nvGrpSpPr>
          <xdr:cNvPr id="11" name="Group 10">
            <a:extLst>
              <a:ext uri="{FF2B5EF4-FFF2-40B4-BE49-F238E27FC236}">
                <a16:creationId xmlns:a16="http://schemas.microsoft.com/office/drawing/2014/main" id="{C3BF9BCC-5099-9504-76F2-A41B8336AC6F}"/>
              </a:ext>
            </a:extLst>
          </xdr:cNvPr>
          <xdr:cNvGrpSpPr/>
        </xdr:nvGrpSpPr>
        <xdr:grpSpPr>
          <a:xfrm>
            <a:off x="1328790" y="3129600"/>
            <a:ext cx="5395939" cy="2520000"/>
            <a:chOff x="594360" y="3129600"/>
            <a:chExt cx="5395939" cy="2520000"/>
          </a:xfrm>
        </xdr:grpSpPr>
        <xdr:pic>
          <xdr:nvPicPr>
            <xdr:cNvPr id="13" name="Picture 12">
              <a:extLst>
                <a:ext uri="{FF2B5EF4-FFF2-40B4-BE49-F238E27FC236}">
                  <a16:creationId xmlns:a16="http://schemas.microsoft.com/office/drawing/2014/main" id="{56FDB272-5494-135A-21B1-C198F32F7065}"/>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4102268" y="3129600"/>
              <a:ext cx="1888031" cy="2520000"/>
            </a:xfrm>
            <a:prstGeom prst="rect">
              <a:avLst/>
            </a:prstGeom>
            <a:ln>
              <a:solidFill>
                <a:schemeClr val="tx1"/>
              </a:solidFill>
            </a:ln>
          </xdr:spPr>
        </xdr:pic>
        <xdr:pic>
          <xdr:nvPicPr>
            <xdr:cNvPr id="14" name="Picture 13">
              <a:extLst>
                <a:ext uri="{FF2B5EF4-FFF2-40B4-BE49-F238E27FC236}">
                  <a16:creationId xmlns:a16="http://schemas.microsoft.com/office/drawing/2014/main" id="{889AC149-1587-2E17-85C7-628FE78EE601}"/>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594360" y="3129600"/>
              <a:ext cx="3356889" cy="252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4</xdr:col>
      <xdr:colOff>617339</xdr:colOff>
      <xdr:row>18</xdr:row>
      <xdr:rowOff>180857</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82706" y="2678206"/>
          <a:ext cx="5323809" cy="942857"/>
        </a:xfrm>
        <a:prstGeom prst="rect">
          <a:avLst/>
        </a:prstGeom>
      </xdr:spPr>
    </xdr:pic>
    <xdr:clientData/>
  </xdr:twoCellAnchor>
  <xdr:twoCellAnchor editAs="oneCell">
    <xdr:from>
      <xdr:col>5</xdr:col>
      <xdr:colOff>179294</xdr:colOff>
      <xdr:row>14</xdr:row>
      <xdr:rowOff>0</xdr:rowOff>
    </xdr:from>
    <xdr:to>
      <xdr:col>12</xdr:col>
      <xdr:colOff>581943</xdr:colOff>
      <xdr:row>25</xdr:row>
      <xdr:rowOff>104500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6230470" y="2678206"/>
          <a:ext cx="6095238" cy="2200000"/>
        </a:xfrm>
        <a:prstGeom prst="rect">
          <a:avLst/>
        </a:prstGeom>
      </xdr:spPr>
    </xdr:pic>
    <xdr:clientData/>
  </xdr:twoCellAnchor>
  <xdr:twoCellAnchor editAs="oneCell">
    <xdr:from>
      <xdr:col>8</xdr:col>
      <xdr:colOff>403413</xdr:colOff>
      <xdr:row>0</xdr:row>
      <xdr:rowOff>0</xdr:rowOff>
    </xdr:from>
    <xdr:to>
      <xdr:col>22</xdr:col>
      <xdr:colOff>264578</xdr:colOff>
      <xdr:row>17</xdr:row>
      <xdr:rowOff>83627</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9816354" y="0"/>
          <a:ext cx="8019048" cy="333333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ustomjeelaviemajiwada.co.in/" TargetMode="External"/><Relationship Id="rId1" Type="http://schemas.openxmlformats.org/officeDocument/2006/relationships/hyperlink" Target="https://maps.app.goo.gl/kZkaaAzt8k5kmfsh7"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367"/>
  <sheetViews>
    <sheetView tabSelected="1" view="pageBreakPreview" zoomScale="85" zoomScaleNormal="100" zoomScaleSheetLayoutView="85" workbookViewId="0">
      <selection activeCell="J6" sqref="J6"/>
    </sheetView>
  </sheetViews>
  <sheetFormatPr defaultColWidth="9.21875" defaultRowHeight="15.6" x14ac:dyDescent="0.3"/>
  <cols>
    <col min="1" max="1" width="11.44140625" style="39" customWidth="1"/>
    <col min="2" max="2" width="12" style="39" customWidth="1"/>
    <col min="3" max="3" width="12.77734375" style="39" customWidth="1"/>
    <col min="4" max="4" width="14.21875" style="39" customWidth="1"/>
    <col min="5" max="7" width="11.77734375" style="39" customWidth="1"/>
    <col min="8" max="8" width="12.44140625" style="39" customWidth="1"/>
    <col min="9" max="9" width="17.44140625" style="20" customWidth="1"/>
    <col min="10" max="10" width="11.44140625" style="20" customWidth="1"/>
    <col min="11" max="11" width="13.21875" style="20" customWidth="1"/>
    <col min="12" max="12" width="10.5546875" style="20" customWidth="1"/>
    <col min="13" max="13" width="11.77734375" style="20" customWidth="1"/>
    <col min="14" max="14" width="12.5546875" style="20" customWidth="1"/>
    <col min="15" max="15" width="9.77734375" style="20" customWidth="1"/>
    <col min="16" max="16" width="11.77734375" style="20" customWidth="1"/>
    <col min="17" max="247" width="9.21875" style="20"/>
    <col min="248" max="248" width="8.77734375" style="20" customWidth="1"/>
    <col min="249" max="249" width="9.77734375" style="20" customWidth="1"/>
    <col min="250" max="250" width="14.44140625" style="20" customWidth="1"/>
    <col min="251" max="251" width="7.21875" style="20" customWidth="1"/>
    <col min="252" max="252" width="5.5546875" style="20" customWidth="1"/>
    <col min="253" max="253" width="9" style="20" customWidth="1"/>
    <col min="254" max="255" width="9.77734375" style="20" customWidth="1"/>
    <col min="256" max="256" width="11.21875" style="20" customWidth="1"/>
    <col min="257" max="257" width="2.77734375" style="20" customWidth="1"/>
    <col min="258" max="258" width="3.5546875" style="20" customWidth="1"/>
    <col min="259" max="503" width="9.21875" style="20"/>
    <col min="504" max="504" width="8.77734375" style="20" customWidth="1"/>
    <col min="505" max="505" width="9.77734375" style="20" customWidth="1"/>
    <col min="506" max="506" width="14.44140625" style="20" customWidth="1"/>
    <col min="507" max="507" width="7.21875" style="20" customWidth="1"/>
    <col min="508" max="508" width="5.5546875" style="20" customWidth="1"/>
    <col min="509" max="509" width="9" style="20" customWidth="1"/>
    <col min="510" max="511" width="9.77734375" style="20" customWidth="1"/>
    <col min="512" max="512" width="11.21875" style="20" customWidth="1"/>
    <col min="513" max="513" width="2.77734375" style="20" customWidth="1"/>
    <col min="514" max="514" width="3.5546875" style="20" customWidth="1"/>
    <col min="515" max="759" width="9.21875" style="20"/>
    <col min="760" max="760" width="8.77734375" style="20" customWidth="1"/>
    <col min="761" max="761" width="9.77734375" style="20" customWidth="1"/>
    <col min="762" max="762" width="14.44140625" style="20" customWidth="1"/>
    <col min="763" max="763" width="7.21875" style="20" customWidth="1"/>
    <col min="764" max="764" width="5.5546875" style="20" customWidth="1"/>
    <col min="765" max="765" width="9" style="20" customWidth="1"/>
    <col min="766" max="767" width="9.77734375" style="20" customWidth="1"/>
    <col min="768" max="768" width="11.21875" style="20" customWidth="1"/>
    <col min="769" max="769" width="2.77734375" style="20" customWidth="1"/>
    <col min="770" max="770" width="3.5546875" style="20" customWidth="1"/>
    <col min="771" max="1015" width="9.21875" style="20"/>
    <col min="1016" max="1016" width="8.77734375" style="20" customWidth="1"/>
    <col min="1017" max="1017" width="9.77734375" style="20" customWidth="1"/>
    <col min="1018" max="1018" width="14.44140625" style="20" customWidth="1"/>
    <col min="1019" max="1019" width="7.21875" style="20" customWidth="1"/>
    <col min="1020" max="1020" width="5.5546875" style="20" customWidth="1"/>
    <col min="1021" max="1021" width="9" style="20" customWidth="1"/>
    <col min="1022" max="1023" width="9.77734375" style="20" customWidth="1"/>
    <col min="1024" max="1024" width="11.21875" style="20" customWidth="1"/>
    <col min="1025" max="1025" width="2.77734375" style="20" customWidth="1"/>
    <col min="1026" max="1026" width="3.5546875" style="20" customWidth="1"/>
    <col min="1027" max="1271" width="9.21875" style="20"/>
    <col min="1272" max="1272" width="8.77734375" style="20" customWidth="1"/>
    <col min="1273" max="1273" width="9.77734375" style="20" customWidth="1"/>
    <col min="1274" max="1274" width="14.44140625" style="20" customWidth="1"/>
    <col min="1275" max="1275" width="7.21875" style="20" customWidth="1"/>
    <col min="1276" max="1276" width="5.5546875" style="20" customWidth="1"/>
    <col min="1277" max="1277" width="9" style="20" customWidth="1"/>
    <col min="1278" max="1279" width="9.77734375" style="20" customWidth="1"/>
    <col min="1280" max="1280" width="11.21875" style="20" customWidth="1"/>
    <col min="1281" max="1281" width="2.77734375" style="20" customWidth="1"/>
    <col min="1282" max="1282" width="3.5546875" style="20" customWidth="1"/>
    <col min="1283" max="1527" width="9.21875" style="20"/>
    <col min="1528" max="1528" width="8.77734375" style="20" customWidth="1"/>
    <col min="1529" max="1529" width="9.77734375" style="20" customWidth="1"/>
    <col min="1530" max="1530" width="14.44140625" style="20" customWidth="1"/>
    <col min="1531" max="1531" width="7.21875" style="20" customWidth="1"/>
    <col min="1532" max="1532" width="5.5546875" style="20" customWidth="1"/>
    <col min="1533" max="1533" width="9" style="20" customWidth="1"/>
    <col min="1534" max="1535" width="9.77734375" style="20" customWidth="1"/>
    <col min="1536" max="1536" width="11.21875" style="20" customWidth="1"/>
    <col min="1537" max="1537" width="2.77734375" style="20" customWidth="1"/>
    <col min="1538" max="1538" width="3.5546875" style="20" customWidth="1"/>
    <col min="1539" max="1783" width="9.21875" style="20"/>
    <col min="1784" max="1784" width="8.77734375" style="20" customWidth="1"/>
    <col min="1785" max="1785" width="9.77734375" style="20" customWidth="1"/>
    <col min="1786" max="1786" width="14.44140625" style="20" customWidth="1"/>
    <col min="1787" max="1787" width="7.21875" style="20" customWidth="1"/>
    <col min="1788" max="1788" width="5.5546875" style="20" customWidth="1"/>
    <col min="1789" max="1789" width="9" style="20" customWidth="1"/>
    <col min="1790" max="1791" width="9.77734375" style="20" customWidth="1"/>
    <col min="1792" max="1792" width="11.21875" style="20" customWidth="1"/>
    <col min="1793" max="1793" width="2.77734375" style="20" customWidth="1"/>
    <col min="1794" max="1794" width="3.5546875" style="20" customWidth="1"/>
    <col min="1795" max="2039" width="9.21875" style="20"/>
    <col min="2040" max="2040" width="8.77734375" style="20" customWidth="1"/>
    <col min="2041" max="2041" width="9.77734375" style="20" customWidth="1"/>
    <col min="2042" max="2042" width="14.44140625" style="20" customWidth="1"/>
    <col min="2043" max="2043" width="7.21875" style="20" customWidth="1"/>
    <col min="2044" max="2044" width="5.5546875" style="20" customWidth="1"/>
    <col min="2045" max="2045" width="9" style="20" customWidth="1"/>
    <col min="2046" max="2047" width="9.77734375" style="20" customWidth="1"/>
    <col min="2048" max="2048" width="11.21875" style="20" customWidth="1"/>
    <col min="2049" max="2049" width="2.77734375" style="20" customWidth="1"/>
    <col min="2050" max="2050" width="3.5546875" style="20" customWidth="1"/>
    <col min="2051" max="2295" width="9.21875" style="20"/>
    <col min="2296" max="2296" width="8.77734375" style="20" customWidth="1"/>
    <col min="2297" max="2297" width="9.77734375" style="20" customWidth="1"/>
    <col min="2298" max="2298" width="14.44140625" style="20" customWidth="1"/>
    <col min="2299" max="2299" width="7.21875" style="20" customWidth="1"/>
    <col min="2300" max="2300" width="5.5546875" style="20" customWidth="1"/>
    <col min="2301" max="2301" width="9" style="20" customWidth="1"/>
    <col min="2302" max="2303" width="9.77734375" style="20" customWidth="1"/>
    <col min="2304" max="2304" width="11.21875" style="20" customWidth="1"/>
    <col min="2305" max="2305" width="2.77734375" style="20" customWidth="1"/>
    <col min="2306" max="2306" width="3.5546875" style="20" customWidth="1"/>
    <col min="2307" max="2551" width="9.21875" style="20"/>
    <col min="2552" max="2552" width="8.77734375" style="20" customWidth="1"/>
    <col min="2553" max="2553" width="9.77734375" style="20" customWidth="1"/>
    <col min="2554" max="2554" width="14.44140625" style="20" customWidth="1"/>
    <col min="2555" max="2555" width="7.21875" style="20" customWidth="1"/>
    <col min="2556" max="2556" width="5.5546875" style="20" customWidth="1"/>
    <col min="2557" max="2557" width="9" style="20" customWidth="1"/>
    <col min="2558" max="2559" width="9.77734375" style="20" customWidth="1"/>
    <col min="2560" max="2560" width="11.21875" style="20" customWidth="1"/>
    <col min="2561" max="2561" width="2.77734375" style="20" customWidth="1"/>
    <col min="2562" max="2562" width="3.5546875" style="20" customWidth="1"/>
    <col min="2563" max="2807" width="9.21875" style="20"/>
    <col min="2808" max="2808" width="8.77734375" style="20" customWidth="1"/>
    <col min="2809" max="2809" width="9.77734375" style="20" customWidth="1"/>
    <col min="2810" max="2810" width="14.44140625" style="20" customWidth="1"/>
    <col min="2811" max="2811" width="7.21875" style="20" customWidth="1"/>
    <col min="2812" max="2812" width="5.5546875" style="20" customWidth="1"/>
    <col min="2813" max="2813" width="9" style="20" customWidth="1"/>
    <col min="2814" max="2815" width="9.77734375" style="20" customWidth="1"/>
    <col min="2816" max="2816" width="11.21875" style="20" customWidth="1"/>
    <col min="2817" max="2817" width="2.77734375" style="20" customWidth="1"/>
    <col min="2818" max="2818" width="3.5546875" style="20" customWidth="1"/>
    <col min="2819" max="3063" width="9.21875" style="20"/>
    <col min="3064" max="3064" width="8.77734375" style="20" customWidth="1"/>
    <col min="3065" max="3065" width="9.77734375" style="20" customWidth="1"/>
    <col min="3066" max="3066" width="14.44140625" style="20" customWidth="1"/>
    <col min="3067" max="3067" width="7.21875" style="20" customWidth="1"/>
    <col min="3068" max="3068" width="5.5546875" style="20" customWidth="1"/>
    <col min="3069" max="3069" width="9" style="20" customWidth="1"/>
    <col min="3070" max="3071" width="9.77734375" style="20" customWidth="1"/>
    <col min="3072" max="3072" width="11.21875" style="20" customWidth="1"/>
    <col min="3073" max="3073" width="2.77734375" style="20" customWidth="1"/>
    <col min="3074" max="3074" width="3.5546875" style="20" customWidth="1"/>
    <col min="3075" max="3319" width="9.21875" style="20"/>
    <col min="3320" max="3320" width="8.77734375" style="20" customWidth="1"/>
    <col min="3321" max="3321" width="9.77734375" style="20" customWidth="1"/>
    <col min="3322" max="3322" width="14.44140625" style="20" customWidth="1"/>
    <col min="3323" max="3323" width="7.21875" style="20" customWidth="1"/>
    <col min="3324" max="3324" width="5.5546875" style="20" customWidth="1"/>
    <col min="3325" max="3325" width="9" style="20" customWidth="1"/>
    <col min="3326" max="3327" width="9.77734375" style="20" customWidth="1"/>
    <col min="3328" max="3328" width="11.21875" style="20" customWidth="1"/>
    <col min="3329" max="3329" width="2.77734375" style="20" customWidth="1"/>
    <col min="3330" max="3330" width="3.5546875" style="20" customWidth="1"/>
    <col min="3331" max="3575" width="9.21875" style="20"/>
    <col min="3576" max="3576" width="8.77734375" style="20" customWidth="1"/>
    <col min="3577" max="3577" width="9.77734375" style="20" customWidth="1"/>
    <col min="3578" max="3578" width="14.44140625" style="20" customWidth="1"/>
    <col min="3579" max="3579" width="7.21875" style="20" customWidth="1"/>
    <col min="3580" max="3580" width="5.5546875" style="20" customWidth="1"/>
    <col min="3581" max="3581" width="9" style="20" customWidth="1"/>
    <col min="3582" max="3583" width="9.77734375" style="20" customWidth="1"/>
    <col min="3584" max="3584" width="11.21875" style="20" customWidth="1"/>
    <col min="3585" max="3585" width="2.77734375" style="20" customWidth="1"/>
    <col min="3586" max="3586" width="3.5546875" style="20" customWidth="1"/>
    <col min="3587" max="3831" width="9.21875" style="20"/>
    <col min="3832" max="3832" width="8.77734375" style="20" customWidth="1"/>
    <col min="3833" max="3833" width="9.77734375" style="20" customWidth="1"/>
    <col min="3834" max="3834" width="14.44140625" style="20" customWidth="1"/>
    <col min="3835" max="3835" width="7.21875" style="20" customWidth="1"/>
    <col min="3836" max="3836" width="5.5546875" style="20" customWidth="1"/>
    <col min="3837" max="3837" width="9" style="20" customWidth="1"/>
    <col min="3838" max="3839" width="9.77734375" style="20" customWidth="1"/>
    <col min="3840" max="3840" width="11.21875" style="20" customWidth="1"/>
    <col min="3841" max="3841" width="2.77734375" style="20" customWidth="1"/>
    <col min="3842" max="3842" width="3.5546875" style="20" customWidth="1"/>
    <col min="3843" max="4087" width="9.21875" style="20"/>
    <col min="4088" max="4088" width="8.77734375" style="20" customWidth="1"/>
    <col min="4089" max="4089" width="9.77734375" style="20" customWidth="1"/>
    <col min="4090" max="4090" width="14.44140625" style="20" customWidth="1"/>
    <col min="4091" max="4091" width="7.21875" style="20" customWidth="1"/>
    <col min="4092" max="4092" width="5.5546875" style="20" customWidth="1"/>
    <col min="4093" max="4093" width="9" style="20" customWidth="1"/>
    <col min="4094" max="4095" width="9.77734375" style="20" customWidth="1"/>
    <col min="4096" max="4096" width="11.21875" style="20" customWidth="1"/>
    <col min="4097" max="4097" width="2.77734375" style="20" customWidth="1"/>
    <col min="4098" max="4098" width="3.5546875" style="20" customWidth="1"/>
    <col min="4099" max="4343" width="9.21875" style="20"/>
    <col min="4344" max="4344" width="8.77734375" style="20" customWidth="1"/>
    <col min="4345" max="4345" width="9.77734375" style="20" customWidth="1"/>
    <col min="4346" max="4346" width="14.44140625" style="20" customWidth="1"/>
    <col min="4347" max="4347" width="7.21875" style="20" customWidth="1"/>
    <col min="4348" max="4348" width="5.5546875" style="20" customWidth="1"/>
    <col min="4349" max="4349" width="9" style="20" customWidth="1"/>
    <col min="4350" max="4351" width="9.77734375" style="20" customWidth="1"/>
    <col min="4352" max="4352" width="11.21875" style="20" customWidth="1"/>
    <col min="4353" max="4353" width="2.77734375" style="20" customWidth="1"/>
    <col min="4354" max="4354" width="3.5546875" style="20" customWidth="1"/>
    <col min="4355" max="4599" width="9.21875" style="20"/>
    <col min="4600" max="4600" width="8.77734375" style="20" customWidth="1"/>
    <col min="4601" max="4601" width="9.77734375" style="20" customWidth="1"/>
    <col min="4602" max="4602" width="14.44140625" style="20" customWidth="1"/>
    <col min="4603" max="4603" width="7.21875" style="20" customWidth="1"/>
    <col min="4604" max="4604" width="5.5546875" style="20" customWidth="1"/>
    <col min="4605" max="4605" width="9" style="20" customWidth="1"/>
    <col min="4606" max="4607" width="9.77734375" style="20" customWidth="1"/>
    <col min="4608" max="4608" width="11.21875" style="20" customWidth="1"/>
    <col min="4609" max="4609" width="2.77734375" style="20" customWidth="1"/>
    <col min="4610" max="4610" width="3.5546875" style="20" customWidth="1"/>
    <col min="4611" max="4855" width="9.21875" style="20"/>
    <col min="4856" max="4856" width="8.77734375" style="20" customWidth="1"/>
    <col min="4857" max="4857" width="9.77734375" style="20" customWidth="1"/>
    <col min="4858" max="4858" width="14.44140625" style="20" customWidth="1"/>
    <col min="4859" max="4859" width="7.21875" style="20" customWidth="1"/>
    <col min="4860" max="4860" width="5.5546875" style="20" customWidth="1"/>
    <col min="4861" max="4861" width="9" style="20" customWidth="1"/>
    <col min="4862" max="4863" width="9.77734375" style="20" customWidth="1"/>
    <col min="4864" max="4864" width="11.21875" style="20" customWidth="1"/>
    <col min="4865" max="4865" width="2.77734375" style="20" customWidth="1"/>
    <col min="4866" max="4866" width="3.5546875" style="20" customWidth="1"/>
    <col min="4867" max="5111" width="9.21875" style="20"/>
    <col min="5112" max="5112" width="8.77734375" style="20" customWidth="1"/>
    <col min="5113" max="5113" width="9.77734375" style="20" customWidth="1"/>
    <col min="5114" max="5114" width="14.44140625" style="20" customWidth="1"/>
    <col min="5115" max="5115" width="7.21875" style="20" customWidth="1"/>
    <col min="5116" max="5116" width="5.5546875" style="20" customWidth="1"/>
    <col min="5117" max="5117" width="9" style="20" customWidth="1"/>
    <col min="5118" max="5119" width="9.77734375" style="20" customWidth="1"/>
    <col min="5120" max="5120" width="11.21875" style="20" customWidth="1"/>
    <col min="5121" max="5121" width="2.77734375" style="20" customWidth="1"/>
    <col min="5122" max="5122" width="3.5546875" style="20" customWidth="1"/>
    <col min="5123" max="5367" width="9.21875" style="20"/>
    <col min="5368" max="5368" width="8.77734375" style="20" customWidth="1"/>
    <col min="5369" max="5369" width="9.77734375" style="20" customWidth="1"/>
    <col min="5370" max="5370" width="14.44140625" style="20" customWidth="1"/>
    <col min="5371" max="5371" width="7.21875" style="20" customWidth="1"/>
    <col min="5372" max="5372" width="5.5546875" style="20" customWidth="1"/>
    <col min="5373" max="5373" width="9" style="20" customWidth="1"/>
    <col min="5374" max="5375" width="9.77734375" style="20" customWidth="1"/>
    <col min="5376" max="5376" width="11.21875" style="20" customWidth="1"/>
    <col min="5377" max="5377" width="2.77734375" style="20" customWidth="1"/>
    <col min="5378" max="5378" width="3.5546875" style="20" customWidth="1"/>
    <col min="5379" max="5623" width="9.21875" style="20"/>
    <col min="5624" max="5624" width="8.77734375" style="20" customWidth="1"/>
    <col min="5625" max="5625" width="9.77734375" style="20" customWidth="1"/>
    <col min="5626" max="5626" width="14.44140625" style="20" customWidth="1"/>
    <col min="5627" max="5627" width="7.21875" style="20" customWidth="1"/>
    <col min="5628" max="5628" width="5.5546875" style="20" customWidth="1"/>
    <col min="5629" max="5629" width="9" style="20" customWidth="1"/>
    <col min="5630" max="5631" width="9.77734375" style="20" customWidth="1"/>
    <col min="5632" max="5632" width="11.21875" style="20" customWidth="1"/>
    <col min="5633" max="5633" width="2.77734375" style="20" customWidth="1"/>
    <col min="5634" max="5634" width="3.5546875" style="20" customWidth="1"/>
    <col min="5635" max="5879" width="9.21875" style="20"/>
    <col min="5880" max="5880" width="8.77734375" style="20" customWidth="1"/>
    <col min="5881" max="5881" width="9.77734375" style="20" customWidth="1"/>
    <col min="5882" max="5882" width="14.44140625" style="20" customWidth="1"/>
    <col min="5883" max="5883" width="7.21875" style="20" customWidth="1"/>
    <col min="5884" max="5884" width="5.5546875" style="20" customWidth="1"/>
    <col min="5885" max="5885" width="9" style="20" customWidth="1"/>
    <col min="5886" max="5887" width="9.77734375" style="20" customWidth="1"/>
    <col min="5888" max="5888" width="11.21875" style="20" customWidth="1"/>
    <col min="5889" max="5889" width="2.77734375" style="20" customWidth="1"/>
    <col min="5890" max="5890" width="3.5546875" style="20" customWidth="1"/>
    <col min="5891" max="6135" width="9.21875" style="20"/>
    <col min="6136" max="6136" width="8.77734375" style="20" customWidth="1"/>
    <col min="6137" max="6137" width="9.77734375" style="20" customWidth="1"/>
    <col min="6138" max="6138" width="14.44140625" style="20" customWidth="1"/>
    <col min="6139" max="6139" width="7.21875" style="20" customWidth="1"/>
    <col min="6140" max="6140" width="5.5546875" style="20" customWidth="1"/>
    <col min="6141" max="6141" width="9" style="20" customWidth="1"/>
    <col min="6142" max="6143" width="9.77734375" style="20" customWidth="1"/>
    <col min="6144" max="6144" width="11.21875" style="20" customWidth="1"/>
    <col min="6145" max="6145" width="2.77734375" style="20" customWidth="1"/>
    <col min="6146" max="6146" width="3.5546875" style="20" customWidth="1"/>
    <col min="6147" max="6391" width="9.21875" style="20"/>
    <col min="6392" max="6392" width="8.77734375" style="20" customWidth="1"/>
    <col min="6393" max="6393" width="9.77734375" style="20" customWidth="1"/>
    <col min="6394" max="6394" width="14.44140625" style="20" customWidth="1"/>
    <col min="6395" max="6395" width="7.21875" style="20" customWidth="1"/>
    <col min="6396" max="6396" width="5.5546875" style="20" customWidth="1"/>
    <col min="6397" max="6397" width="9" style="20" customWidth="1"/>
    <col min="6398" max="6399" width="9.77734375" style="20" customWidth="1"/>
    <col min="6400" max="6400" width="11.21875" style="20" customWidth="1"/>
    <col min="6401" max="6401" width="2.77734375" style="20" customWidth="1"/>
    <col min="6402" max="6402" width="3.5546875" style="20" customWidth="1"/>
    <col min="6403" max="6647" width="9.21875" style="20"/>
    <col min="6648" max="6648" width="8.77734375" style="20" customWidth="1"/>
    <col min="6649" max="6649" width="9.77734375" style="20" customWidth="1"/>
    <col min="6650" max="6650" width="14.44140625" style="20" customWidth="1"/>
    <col min="6651" max="6651" width="7.21875" style="20" customWidth="1"/>
    <col min="6652" max="6652" width="5.5546875" style="20" customWidth="1"/>
    <col min="6653" max="6653" width="9" style="20" customWidth="1"/>
    <col min="6654" max="6655" width="9.77734375" style="20" customWidth="1"/>
    <col min="6656" max="6656" width="11.21875" style="20" customWidth="1"/>
    <col min="6657" max="6657" width="2.77734375" style="20" customWidth="1"/>
    <col min="6658" max="6658" width="3.5546875" style="20" customWidth="1"/>
    <col min="6659" max="6903" width="9.21875" style="20"/>
    <col min="6904" max="6904" width="8.77734375" style="20" customWidth="1"/>
    <col min="6905" max="6905" width="9.77734375" style="20" customWidth="1"/>
    <col min="6906" max="6906" width="14.44140625" style="20" customWidth="1"/>
    <col min="6907" max="6907" width="7.21875" style="20" customWidth="1"/>
    <col min="6908" max="6908" width="5.5546875" style="20" customWidth="1"/>
    <col min="6909" max="6909" width="9" style="20" customWidth="1"/>
    <col min="6910" max="6911" width="9.77734375" style="20" customWidth="1"/>
    <col min="6912" max="6912" width="11.21875" style="20" customWidth="1"/>
    <col min="6913" max="6913" width="2.77734375" style="20" customWidth="1"/>
    <col min="6914" max="6914" width="3.5546875" style="20" customWidth="1"/>
    <col min="6915" max="7159" width="9.21875" style="20"/>
    <col min="7160" max="7160" width="8.77734375" style="20" customWidth="1"/>
    <col min="7161" max="7161" width="9.77734375" style="20" customWidth="1"/>
    <col min="7162" max="7162" width="14.44140625" style="20" customWidth="1"/>
    <col min="7163" max="7163" width="7.21875" style="20" customWidth="1"/>
    <col min="7164" max="7164" width="5.5546875" style="20" customWidth="1"/>
    <col min="7165" max="7165" width="9" style="20" customWidth="1"/>
    <col min="7166" max="7167" width="9.77734375" style="20" customWidth="1"/>
    <col min="7168" max="7168" width="11.21875" style="20" customWidth="1"/>
    <col min="7169" max="7169" width="2.77734375" style="20" customWidth="1"/>
    <col min="7170" max="7170" width="3.5546875" style="20" customWidth="1"/>
    <col min="7171" max="7415" width="9.21875" style="20"/>
    <col min="7416" max="7416" width="8.77734375" style="20" customWidth="1"/>
    <col min="7417" max="7417" width="9.77734375" style="20" customWidth="1"/>
    <col min="7418" max="7418" width="14.44140625" style="20" customWidth="1"/>
    <col min="7419" max="7419" width="7.21875" style="20" customWidth="1"/>
    <col min="7420" max="7420" width="5.5546875" style="20" customWidth="1"/>
    <col min="7421" max="7421" width="9" style="20" customWidth="1"/>
    <col min="7422" max="7423" width="9.77734375" style="20" customWidth="1"/>
    <col min="7424" max="7424" width="11.21875" style="20" customWidth="1"/>
    <col min="7425" max="7425" width="2.77734375" style="20" customWidth="1"/>
    <col min="7426" max="7426" width="3.5546875" style="20" customWidth="1"/>
    <col min="7427" max="7671" width="9.21875" style="20"/>
    <col min="7672" max="7672" width="8.77734375" style="20" customWidth="1"/>
    <col min="7673" max="7673" width="9.77734375" style="20" customWidth="1"/>
    <col min="7674" max="7674" width="14.44140625" style="20" customWidth="1"/>
    <col min="7675" max="7675" width="7.21875" style="20" customWidth="1"/>
    <col min="7676" max="7676" width="5.5546875" style="20" customWidth="1"/>
    <col min="7677" max="7677" width="9" style="20" customWidth="1"/>
    <col min="7678" max="7679" width="9.77734375" style="20" customWidth="1"/>
    <col min="7680" max="7680" width="11.21875" style="20" customWidth="1"/>
    <col min="7681" max="7681" width="2.77734375" style="20" customWidth="1"/>
    <col min="7682" max="7682" width="3.5546875" style="20" customWidth="1"/>
    <col min="7683" max="7927" width="9.21875" style="20"/>
    <col min="7928" max="7928" width="8.77734375" style="20" customWidth="1"/>
    <col min="7929" max="7929" width="9.77734375" style="20" customWidth="1"/>
    <col min="7930" max="7930" width="14.44140625" style="20" customWidth="1"/>
    <col min="7931" max="7931" width="7.21875" style="20" customWidth="1"/>
    <col min="7932" max="7932" width="5.5546875" style="20" customWidth="1"/>
    <col min="7933" max="7933" width="9" style="20" customWidth="1"/>
    <col min="7934" max="7935" width="9.77734375" style="20" customWidth="1"/>
    <col min="7936" max="7936" width="11.21875" style="20" customWidth="1"/>
    <col min="7937" max="7937" width="2.77734375" style="20" customWidth="1"/>
    <col min="7938" max="7938" width="3.5546875" style="20" customWidth="1"/>
    <col min="7939" max="8183" width="9.21875" style="20"/>
    <col min="8184" max="8184" width="8.77734375" style="20" customWidth="1"/>
    <col min="8185" max="8185" width="9.77734375" style="20" customWidth="1"/>
    <col min="8186" max="8186" width="14.44140625" style="20" customWidth="1"/>
    <col min="8187" max="8187" width="7.21875" style="20" customWidth="1"/>
    <col min="8188" max="8188" width="5.5546875" style="20" customWidth="1"/>
    <col min="8189" max="8189" width="9" style="20" customWidth="1"/>
    <col min="8190" max="8191" width="9.77734375" style="20" customWidth="1"/>
    <col min="8192" max="8192" width="11.21875" style="20" customWidth="1"/>
    <col min="8193" max="8193" width="2.77734375" style="20" customWidth="1"/>
    <col min="8194" max="8194" width="3.5546875" style="20" customWidth="1"/>
    <col min="8195" max="8439" width="9.21875" style="20"/>
    <col min="8440" max="8440" width="8.77734375" style="20" customWidth="1"/>
    <col min="8441" max="8441" width="9.77734375" style="20" customWidth="1"/>
    <col min="8442" max="8442" width="14.44140625" style="20" customWidth="1"/>
    <col min="8443" max="8443" width="7.21875" style="20" customWidth="1"/>
    <col min="8444" max="8444" width="5.5546875" style="20" customWidth="1"/>
    <col min="8445" max="8445" width="9" style="20" customWidth="1"/>
    <col min="8446" max="8447" width="9.77734375" style="20" customWidth="1"/>
    <col min="8448" max="8448" width="11.21875" style="20" customWidth="1"/>
    <col min="8449" max="8449" width="2.77734375" style="20" customWidth="1"/>
    <col min="8450" max="8450" width="3.5546875" style="20" customWidth="1"/>
    <col min="8451" max="8695" width="9.21875" style="20"/>
    <col min="8696" max="8696" width="8.77734375" style="20" customWidth="1"/>
    <col min="8697" max="8697" width="9.77734375" style="20" customWidth="1"/>
    <col min="8698" max="8698" width="14.44140625" style="20" customWidth="1"/>
    <col min="8699" max="8699" width="7.21875" style="20" customWidth="1"/>
    <col min="8700" max="8700" width="5.5546875" style="20" customWidth="1"/>
    <col min="8701" max="8701" width="9" style="20" customWidth="1"/>
    <col min="8702" max="8703" width="9.77734375" style="20" customWidth="1"/>
    <col min="8704" max="8704" width="11.21875" style="20" customWidth="1"/>
    <col min="8705" max="8705" width="2.77734375" style="20" customWidth="1"/>
    <col min="8706" max="8706" width="3.5546875" style="20" customWidth="1"/>
    <col min="8707" max="8951" width="9.21875" style="20"/>
    <col min="8952" max="8952" width="8.77734375" style="20" customWidth="1"/>
    <col min="8953" max="8953" width="9.77734375" style="20" customWidth="1"/>
    <col min="8954" max="8954" width="14.44140625" style="20" customWidth="1"/>
    <col min="8955" max="8955" width="7.21875" style="20" customWidth="1"/>
    <col min="8956" max="8956" width="5.5546875" style="20" customWidth="1"/>
    <col min="8957" max="8957" width="9" style="20" customWidth="1"/>
    <col min="8958" max="8959" width="9.77734375" style="20" customWidth="1"/>
    <col min="8960" max="8960" width="11.21875" style="20" customWidth="1"/>
    <col min="8961" max="8961" width="2.77734375" style="20" customWidth="1"/>
    <col min="8962" max="8962" width="3.5546875" style="20" customWidth="1"/>
    <col min="8963" max="9207" width="9.21875" style="20"/>
    <col min="9208" max="9208" width="8.77734375" style="20" customWidth="1"/>
    <col min="9209" max="9209" width="9.77734375" style="20" customWidth="1"/>
    <col min="9210" max="9210" width="14.44140625" style="20" customWidth="1"/>
    <col min="9211" max="9211" width="7.21875" style="20" customWidth="1"/>
    <col min="9212" max="9212" width="5.5546875" style="20" customWidth="1"/>
    <col min="9213" max="9213" width="9" style="20" customWidth="1"/>
    <col min="9214" max="9215" width="9.77734375" style="20" customWidth="1"/>
    <col min="9216" max="9216" width="11.21875" style="20" customWidth="1"/>
    <col min="9217" max="9217" width="2.77734375" style="20" customWidth="1"/>
    <col min="9218" max="9218" width="3.5546875" style="20" customWidth="1"/>
    <col min="9219" max="9463" width="9.21875" style="20"/>
    <col min="9464" max="9464" width="8.77734375" style="20" customWidth="1"/>
    <col min="9465" max="9465" width="9.77734375" style="20" customWidth="1"/>
    <col min="9466" max="9466" width="14.44140625" style="20" customWidth="1"/>
    <col min="9467" max="9467" width="7.21875" style="20" customWidth="1"/>
    <col min="9468" max="9468" width="5.5546875" style="20" customWidth="1"/>
    <col min="9469" max="9469" width="9" style="20" customWidth="1"/>
    <col min="9470" max="9471" width="9.77734375" style="20" customWidth="1"/>
    <col min="9472" max="9472" width="11.21875" style="20" customWidth="1"/>
    <col min="9473" max="9473" width="2.77734375" style="20" customWidth="1"/>
    <col min="9474" max="9474" width="3.5546875" style="20" customWidth="1"/>
    <col min="9475" max="9719" width="9.21875" style="20"/>
    <col min="9720" max="9720" width="8.77734375" style="20" customWidth="1"/>
    <col min="9721" max="9721" width="9.77734375" style="20" customWidth="1"/>
    <col min="9722" max="9722" width="14.44140625" style="20" customWidth="1"/>
    <col min="9723" max="9723" width="7.21875" style="20" customWidth="1"/>
    <col min="9724" max="9724" width="5.5546875" style="20" customWidth="1"/>
    <col min="9725" max="9725" width="9" style="20" customWidth="1"/>
    <col min="9726" max="9727" width="9.77734375" style="20" customWidth="1"/>
    <col min="9728" max="9728" width="11.21875" style="20" customWidth="1"/>
    <col min="9729" max="9729" width="2.77734375" style="20" customWidth="1"/>
    <col min="9730" max="9730" width="3.5546875" style="20" customWidth="1"/>
    <col min="9731" max="9975" width="9.21875" style="20"/>
    <col min="9976" max="9976" width="8.77734375" style="20" customWidth="1"/>
    <col min="9977" max="9977" width="9.77734375" style="20" customWidth="1"/>
    <col min="9978" max="9978" width="14.44140625" style="20" customWidth="1"/>
    <col min="9979" max="9979" width="7.21875" style="20" customWidth="1"/>
    <col min="9980" max="9980" width="5.5546875" style="20" customWidth="1"/>
    <col min="9981" max="9981" width="9" style="20" customWidth="1"/>
    <col min="9982" max="9983" width="9.77734375" style="20" customWidth="1"/>
    <col min="9984" max="9984" width="11.21875" style="20" customWidth="1"/>
    <col min="9985" max="9985" width="2.77734375" style="20" customWidth="1"/>
    <col min="9986" max="9986" width="3.5546875" style="20" customWidth="1"/>
    <col min="9987" max="10231" width="9.21875" style="20"/>
    <col min="10232" max="10232" width="8.77734375" style="20" customWidth="1"/>
    <col min="10233" max="10233" width="9.77734375" style="20" customWidth="1"/>
    <col min="10234" max="10234" width="14.44140625" style="20" customWidth="1"/>
    <col min="10235" max="10235" width="7.21875" style="20" customWidth="1"/>
    <col min="10236" max="10236" width="5.5546875" style="20" customWidth="1"/>
    <col min="10237" max="10237" width="9" style="20" customWidth="1"/>
    <col min="10238" max="10239" width="9.77734375" style="20" customWidth="1"/>
    <col min="10240" max="10240" width="11.21875" style="20" customWidth="1"/>
    <col min="10241" max="10241" width="2.77734375" style="20" customWidth="1"/>
    <col min="10242" max="10242" width="3.5546875" style="20" customWidth="1"/>
    <col min="10243" max="10487" width="9.21875" style="20"/>
    <col min="10488" max="10488" width="8.77734375" style="20" customWidth="1"/>
    <col min="10489" max="10489" width="9.77734375" style="20" customWidth="1"/>
    <col min="10490" max="10490" width="14.44140625" style="20" customWidth="1"/>
    <col min="10491" max="10491" width="7.21875" style="20" customWidth="1"/>
    <col min="10492" max="10492" width="5.5546875" style="20" customWidth="1"/>
    <col min="10493" max="10493" width="9" style="20" customWidth="1"/>
    <col min="10494" max="10495" width="9.77734375" style="20" customWidth="1"/>
    <col min="10496" max="10496" width="11.21875" style="20" customWidth="1"/>
    <col min="10497" max="10497" width="2.77734375" style="20" customWidth="1"/>
    <col min="10498" max="10498" width="3.5546875" style="20" customWidth="1"/>
    <col min="10499" max="10743" width="9.21875" style="20"/>
    <col min="10744" max="10744" width="8.77734375" style="20" customWidth="1"/>
    <col min="10745" max="10745" width="9.77734375" style="20" customWidth="1"/>
    <col min="10746" max="10746" width="14.44140625" style="20" customWidth="1"/>
    <col min="10747" max="10747" width="7.21875" style="20" customWidth="1"/>
    <col min="10748" max="10748" width="5.5546875" style="20" customWidth="1"/>
    <col min="10749" max="10749" width="9" style="20" customWidth="1"/>
    <col min="10750" max="10751" width="9.77734375" style="20" customWidth="1"/>
    <col min="10752" max="10752" width="11.21875" style="20" customWidth="1"/>
    <col min="10753" max="10753" width="2.77734375" style="20" customWidth="1"/>
    <col min="10754" max="10754" width="3.5546875" style="20" customWidth="1"/>
    <col min="10755" max="10999" width="9.21875" style="20"/>
    <col min="11000" max="11000" width="8.77734375" style="20" customWidth="1"/>
    <col min="11001" max="11001" width="9.77734375" style="20" customWidth="1"/>
    <col min="11002" max="11002" width="14.44140625" style="20" customWidth="1"/>
    <col min="11003" max="11003" width="7.21875" style="20" customWidth="1"/>
    <col min="11004" max="11004" width="5.5546875" style="20" customWidth="1"/>
    <col min="11005" max="11005" width="9" style="20" customWidth="1"/>
    <col min="11006" max="11007" width="9.77734375" style="20" customWidth="1"/>
    <col min="11008" max="11008" width="11.21875" style="20" customWidth="1"/>
    <col min="11009" max="11009" width="2.77734375" style="20" customWidth="1"/>
    <col min="11010" max="11010" width="3.5546875" style="20" customWidth="1"/>
    <col min="11011" max="11255" width="9.21875" style="20"/>
    <col min="11256" max="11256" width="8.77734375" style="20" customWidth="1"/>
    <col min="11257" max="11257" width="9.77734375" style="20" customWidth="1"/>
    <col min="11258" max="11258" width="14.44140625" style="20" customWidth="1"/>
    <col min="11259" max="11259" width="7.21875" style="20" customWidth="1"/>
    <col min="11260" max="11260" width="5.5546875" style="20" customWidth="1"/>
    <col min="11261" max="11261" width="9" style="20" customWidth="1"/>
    <col min="11262" max="11263" width="9.77734375" style="20" customWidth="1"/>
    <col min="11264" max="11264" width="11.21875" style="20" customWidth="1"/>
    <col min="11265" max="11265" width="2.77734375" style="20" customWidth="1"/>
    <col min="11266" max="11266" width="3.5546875" style="20" customWidth="1"/>
    <col min="11267" max="11511" width="9.21875" style="20"/>
    <col min="11512" max="11512" width="8.77734375" style="20" customWidth="1"/>
    <col min="11513" max="11513" width="9.77734375" style="20" customWidth="1"/>
    <col min="11514" max="11514" width="14.44140625" style="20" customWidth="1"/>
    <col min="11515" max="11515" width="7.21875" style="20" customWidth="1"/>
    <col min="11516" max="11516" width="5.5546875" style="20" customWidth="1"/>
    <col min="11517" max="11517" width="9" style="20" customWidth="1"/>
    <col min="11518" max="11519" width="9.77734375" style="20" customWidth="1"/>
    <col min="11520" max="11520" width="11.21875" style="20" customWidth="1"/>
    <col min="11521" max="11521" width="2.77734375" style="20" customWidth="1"/>
    <col min="11522" max="11522" width="3.5546875" style="20" customWidth="1"/>
    <col min="11523" max="11767" width="9.21875" style="20"/>
    <col min="11768" max="11768" width="8.77734375" style="20" customWidth="1"/>
    <col min="11769" max="11769" width="9.77734375" style="20" customWidth="1"/>
    <col min="11770" max="11770" width="14.44140625" style="20" customWidth="1"/>
    <col min="11771" max="11771" width="7.21875" style="20" customWidth="1"/>
    <col min="11772" max="11772" width="5.5546875" style="20" customWidth="1"/>
    <col min="11773" max="11773" width="9" style="20" customWidth="1"/>
    <col min="11774" max="11775" width="9.77734375" style="20" customWidth="1"/>
    <col min="11776" max="11776" width="11.21875" style="20" customWidth="1"/>
    <col min="11777" max="11777" width="2.77734375" style="20" customWidth="1"/>
    <col min="11778" max="11778" width="3.5546875" style="20" customWidth="1"/>
    <col min="11779" max="12023" width="9.21875" style="20"/>
    <col min="12024" max="12024" width="8.77734375" style="20" customWidth="1"/>
    <col min="12025" max="12025" width="9.77734375" style="20" customWidth="1"/>
    <col min="12026" max="12026" width="14.44140625" style="20" customWidth="1"/>
    <col min="12027" max="12027" width="7.21875" style="20" customWidth="1"/>
    <col min="12028" max="12028" width="5.5546875" style="20" customWidth="1"/>
    <col min="12029" max="12029" width="9" style="20" customWidth="1"/>
    <col min="12030" max="12031" width="9.77734375" style="20" customWidth="1"/>
    <col min="12032" max="12032" width="11.21875" style="20" customWidth="1"/>
    <col min="12033" max="12033" width="2.77734375" style="20" customWidth="1"/>
    <col min="12034" max="12034" width="3.5546875" style="20" customWidth="1"/>
    <col min="12035" max="12279" width="9.21875" style="20"/>
    <col min="12280" max="12280" width="8.77734375" style="20" customWidth="1"/>
    <col min="12281" max="12281" width="9.77734375" style="20" customWidth="1"/>
    <col min="12282" max="12282" width="14.44140625" style="20" customWidth="1"/>
    <col min="12283" max="12283" width="7.21875" style="20" customWidth="1"/>
    <col min="12284" max="12284" width="5.5546875" style="20" customWidth="1"/>
    <col min="12285" max="12285" width="9" style="20" customWidth="1"/>
    <col min="12286" max="12287" width="9.77734375" style="20" customWidth="1"/>
    <col min="12288" max="12288" width="11.21875" style="20" customWidth="1"/>
    <col min="12289" max="12289" width="2.77734375" style="20" customWidth="1"/>
    <col min="12290" max="12290" width="3.5546875" style="20" customWidth="1"/>
    <col min="12291" max="12535" width="9.21875" style="20"/>
    <col min="12536" max="12536" width="8.77734375" style="20" customWidth="1"/>
    <col min="12537" max="12537" width="9.77734375" style="20" customWidth="1"/>
    <col min="12538" max="12538" width="14.44140625" style="20" customWidth="1"/>
    <col min="12539" max="12539" width="7.21875" style="20" customWidth="1"/>
    <col min="12540" max="12540" width="5.5546875" style="20" customWidth="1"/>
    <col min="12541" max="12541" width="9" style="20" customWidth="1"/>
    <col min="12542" max="12543" width="9.77734375" style="20" customWidth="1"/>
    <col min="12544" max="12544" width="11.21875" style="20" customWidth="1"/>
    <col min="12545" max="12545" width="2.77734375" style="20" customWidth="1"/>
    <col min="12546" max="12546" width="3.5546875" style="20" customWidth="1"/>
    <col min="12547" max="12791" width="9.21875" style="20"/>
    <col min="12792" max="12792" width="8.77734375" style="20" customWidth="1"/>
    <col min="12793" max="12793" width="9.77734375" style="20" customWidth="1"/>
    <col min="12794" max="12794" width="14.44140625" style="20" customWidth="1"/>
    <col min="12795" max="12795" width="7.21875" style="20" customWidth="1"/>
    <col min="12796" max="12796" width="5.5546875" style="20" customWidth="1"/>
    <col min="12797" max="12797" width="9" style="20" customWidth="1"/>
    <col min="12798" max="12799" width="9.77734375" style="20" customWidth="1"/>
    <col min="12800" max="12800" width="11.21875" style="20" customWidth="1"/>
    <col min="12801" max="12801" width="2.77734375" style="20" customWidth="1"/>
    <col min="12802" max="12802" width="3.5546875" style="20" customWidth="1"/>
    <col min="12803" max="13047" width="9.21875" style="20"/>
    <col min="13048" max="13048" width="8.77734375" style="20" customWidth="1"/>
    <col min="13049" max="13049" width="9.77734375" style="20" customWidth="1"/>
    <col min="13050" max="13050" width="14.44140625" style="20" customWidth="1"/>
    <col min="13051" max="13051" width="7.21875" style="20" customWidth="1"/>
    <col min="13052" max="13052" width="5.5546875" style="20" customWidth="1"/>
    <col min="13053" max="13053" width="9" style="20" customWidth="1"/>
    <col min="13054" max="13055" width="9.77734375" style="20" customWidth="1"/>
    <col min="13056" max="13056" width="11.21875" style="20" customWidth="1"/>
    <col min="13057" max="13057" width="2.77734375" style="20" customWidth="1"/>
    <col min="13058" max="13058" width="3.5546875" style="20" customWidth="1"/>
    <col min="13059" max="13303" width="9.21875" style="20"/>
    <col min="13304" max="13304" width="8.77734375" style="20" customWidth="1"/>
    <col min="13305" max="13305" width="9.77734375" style="20" customWidth="1"/>
    <col min="13306" max="13306" width="14.44140625" style="20" customWidth="1"/>
    <col min="13307" max="13307" width="7.21875" style="20" customWidth="1"/>
    <col min="13308" max="13308" width="5.5546875" style="20" customWidth="1"/>
    <col min="13309" max="13309" width="9" style="20" customWidth="1"/>
    <col min="13310" max="13311" width="9.77734375" style="20" customWidth="1"/>
    <col min="13312" max="13312" width="11.21875" style="20" customWidth="1"/>
    <col min="13313" max="13313" width="2.77734375" style="20" customWidth="1"/>
    <col min="13314" max="13314" width="3.5546875" style="20" customWidth="1"/>
    <col min="13315" max="13559" width="9.21875" style="20"/>
    <col min="13560" max="13560" width="8.77734375" style="20" customWidth="1"/>
    <col min="13561" max="13561" width="9.77734375" style="20" customWidth="1"/>
    <col min="13562" max="13562" width="14.44140625" style="20" customWidth="1"/>
    <col min="13563" max="13563" width="7.21875" style="20" customWidth="1"/>
    <col min="13564" max="13564" width="5.5546875" style="20" customWidth="1"/>
    <col min="13565" max="13565" width="9" style="20" customWidth="1"/>
    <col min="13566" max="13567" width="9.77734375" style="20" customWidth="1"/>
    <col min="13568" max="13568" width="11.21875" style="20" customWidth="1"/>
    <col min="13569" max="13569" width="2.77734375" style="20" customWidth="1"/>
    <col min="13570" max="13570" width="3.5546875" style="20" customWidth="1"/>
    <col min="13571" max="13815" width="9.21875" style="20"/>
    <col min="13816" max="13816" width="8.77734375" style="20" customWidth="1"/>
    <col min="13817" max="13817" width="9.77734375" style="20" customWidth="1"/>
    <col min="13818" max="13818" width="14.44140625" style="20" customWidth="1"/>
    <col min="13819" max="13819" width="7.21875" style="20" customWidth="1"/>
    <col min="13820" max="13820" width="5.5546875" style="20" customWidth="1"/>
    <col min="13821" max="13821" width="9" style="20" customWidth="1"/>
    <col min="13822" max="13823" width="9.77734375" style="20" customWidth="1"/>
    <col min="13824" max="13824" width="11.21875" style="20" customWidth="1"/>
    <col min="13825" max="13825" width="2.77734375" style="20" customWidth="1"/>
    <col min="13826" max="13826" width="3.5546875" style="20" customWidth="1"/>
    <col min="13827" max="14071" width="9.21875" style="20"/>
    <col min="14072" max="14072" width="8.77734375" style="20" customWidth="1"/>
    <col min="14073" max="14073" width="9.77734375" style="20" customWidth="1"/>
    <col min="14074" max="14074" width="14.44140625" style="20" customWidth="1"/>
    <col min="14075" max="14075" width="7.21875" style="20" customWidth="1"/>
    <col min="14076" max="14076" width="5.5546875" style="20" customWidth="1"/>
    <col min="14077" max="14077" width="9" style="20" customWidth="1"/>
    <col min="14078" max="14079" width="9.77734375" style="20" customWidth="1"/>
    <col min="14080" max="14080" width="11.21875" style="20" customWidth="1"/>
    <col min="14081" max="14081" width="2.77734375" style="20" customWidth="1"/>
    <col min="14082" max="14082" width="3.5546875" style="20" customWidth="1"/>
    <col min="14083" max="14327" width="9.21875" style="20"/>
    <col min="14328" max="14328" width="8.77734375" style="20" customWidth="1"/>
    <col min="14329" max="14329" width="9.77734375" style="20" customWidth="1"/>
    <col min="14330" max="14330" width="14.44140625" style="20" customWidth="1"/>
    <col min="14331" max="14331" width="7.21875" style="20" customWidth="1"/>
    <col min="14332" max="14332" width="5.5546875" style="20" customWidth="1"/>
    <col min="14333" max="14333" width="9" style="20" customWidth="1"/>
    <col min="14334" max="14335" width="9.77734375" style="20" customWidth="1"/>
    <col min="14336" max="14336" width="11.21875" style="20" customWidth="1"/>
    <col min="14337" max="14337" width="2.77734375" style="20" customWidth="1"/>
    <col min="14338" max="14338" width="3.5546875" style="20" customWidth="1"/>
    <col min="14339" max="14583" width="9.21875" style="20"/>
    <col min="14584" max="14584" width="8.77734375" style="20" customWidth="1"/>
    <col min="14585" max="14585" width="9.77734375" style="20" customWidth="1"/>
    <col min="14586" max="14586" width="14.44140625" style="20" customWidth="1"/>
    <col min="14587" max="14587" width="7.21875" style="20" customWidth="1"/>
    <col min="14588" max="14588" width="5.5546875" style="20" customWidth="1"/>
    <col min="14589" max="14589" width="9" style="20" customWidth="1"/>
    <col min="14590" max="14591" width="9.77734375" style="20" customWidth="1"/>
    <col min="14592" max="14592" width="11.21875" style="20" customWidth="1"/>
    <col min="14593" max="14593" width="2.77734375" style="20" customWidth="1"/>
    <col min="14594" max="14594" width="3.5546875" style="20" customWidth="1"/>
    <col min="14595" max="14839" width="9.21875" style="20"/>
    <col min="14840" max="14840" width="8.77734375" style="20" customWidth="1"/>
    <col min="14841" max="14841" width="9.77734375" style="20" customWidth="1"/>
    <col min="14842" max="14842" width="14.44140625" style="20" customWidth="1"/>
    <col min="14843" max="14843" width="7.21875" style="20" customWidth="1"/>
    <col min="14844" max="14844" width="5.5546875" style="20" customWidth="1"/>
    <col min="14845" max="14845" width="9" style="20" customWidth="1"/>
    <col min="14846" max="14847" width="9.77734375" style="20" customWidth="1"/>
    <col min="14848" max="14848" width="11.21875" style="20" customWidth="1"/>
    <col min="14849" max="14849" width="2.77734375" style="20" customWidth="1"/>
    <col min="14850" max="14850" width="3.5546875" style="20" customWidth="1"/>
    <col min="14851" max="15095" width="9.21875" style="20"/>
    <col min="15096" max="15096" width="8.77734375" style="20" customWidth="1"/>
    <col min="15097" max="15097" width="9.77734375" style="20" customWidth="1"/>
    <col min="15098" max="15098" width="14.44140625" style="20" customWidth="1"/>
    <col min="15099" max="15099" width="7.21875" style="20" customWidth="1"/>
    <col min="15100" max="15100" width="5.5546875" style="20" customWidth="1"/>
    <col min="15101" max="15101" width="9" style="20" customWidth="1"/>
    <col min="15102" max="15103" width="9.77734375" style="20" customWidth="1"/>
    <col min="15104" max="15104" width="11.21875" style="20" customWidth="1"/>
    <col min="15105" max="15105" width="2.77734375" style="20" customWidth="1"/>
    <col min="15106" max="15106" width="3.5546875" style="20" customWidth="1"/>
    <col min="15107" max="15351" width="9.21875" style="20"/>
    <col min="15352" max="15352" width="8.77734375" style="20" customWidth="1"/>
    <col min="15353" max="15353" width="9.77734375" style="20" customWidth="1"/>
    <col min="15354" max="15354" width="14.44140625" style="20" customWidth="1"/>
    <col min="15355" max="15355" width="7.21875" style="20" customWidth="1"/>
    <col min="15356" max="15356" width="5.5546875" style="20" customWidth="1"/>
    <col min="15357" max="15357" width="9" style="20" customWidth="1"/>
    <col min="15358" max="15359" width="9.77734375" style="20" customWidth="1"/>
    <col min="15360" max="15360" width="11.21875" style="20" customWidth="1"/>
    <col min="15361" max="15361" width="2.77734375" style="20" customWidth="1"/>
    <col min="15362" max="15362" width="3.5546875" style="20" customWidth="1"/>
    <col min="15363" max="15607" width="9.21875" style="20"/>
    <col min="15608" max="15608" width="8.77734375" style="20" customWidth="1"/>
    <col min="15609" max="15609" width="9.77734375" style="20" customWidth="1"/>
    <col min="15610" max="15610" width="14.44140625" style="20" customWidth="1"/>
    <col min="15611" max="15611" width="7.21875" style="20" customWidth="1"/>
    <col min="15612" max="15612" width="5.5546875" style="20" customWidth="1"/>
    <col min="15613" max="15613" width="9" style="20" customWidth="1"/>
    <col min="15614" max="15615" width="9.77734375" style="20" customWidth="1"/>
    <col min="15616" max="15616" width="11.21875" style="20" customWidth="1"/>
    <col min="15617" max="15617" width="2.77734375" style="20" customWidth="1"/>
    <col min="15618" max="15618" width="3.5546875" style="20" customWidth="1"/>
    <col min="15619" max="15863" width="9.21875" style="20"/>
    <col min="15864" max="15864" width="8.77734375" style="20" customWidth="1"/>
    <col min="15865" max="15865" width="9.77734375" style="20" customWidth="1"/>
    <col min="15866" max="15866" width="14.44140625" style="20" customWidth="1"/>
    <col min="15867" max="15867" width="7.21875" style="20" customWidth="1"/>
    <col min="15868" max="15868" width="5.5546875" style="20" customWidth="1"/>
    <col min="15869" max="15869" width="9" style="20" customWidth="1"/>
    <col min="15870" max="15871" width="9.77734375" style="20" customWidth="1"/>
    <col min="15872" max="15872" width="11.21875" style="20" customWidth="1"/>
    <col min="15873" max="15873" width="2.77734375" style="20" customWidth="1"/>
    <col min="15874" max="15874" width="3.5546875" style="20" customWidth="1"/>
    <col min="15875" max="16119" width="9.21875" style="20"/>
    <col min="16120" max="16120" width="8.77734375" style="20" customWidth="1"/>
    <col min="16121" max="16121" width="9.77734375" style="20" customWidth="1"/>
    <col min="16122" max="16122" width="14.44140625" style="20" customWidth="1"/>
    <col min="16123" max="16123" width="7.21875" style="20" customWidth="1"/>
    <col min="16124" max="16124" width="5.5546875" style="20" customWidth="1"/>
    <col min="16125" max="16125" width="9" style="20" customWidth="1"/>
    <col min="16126" max="16127" width="9.77734375" style="20" customWidth="1"/>
    <col min="16128" max="16128" width="11.21875" style="20" customWidth="1"/>
    <col min="16129" max="16129" width="2.77734375" style="20" customWidth="1"/>
    <col min="16130" max="16130" width="3.5546875" style="20" customWidth="1"/>
    <col min="16131" max="16384" width="9.21875" style="20"/>
  </cols>
  <sheetData>
    <row r="1" spans="1:8" ht="46.5" customHeight="1" x14ac:dyDescent="0.3">
      <c r="A1" s="145" t="s">
        <v>161</v>
      </c>
      <c r="B1" s="145"/>
      <c r="C1" s="145"/>
      <c r="D1" s="145"/>
      <c r="E1" s="145"/>
      <c r="F1" s="145"/>
      <c r="G1" s="145"/>
      <c r="H1" s="145"/>
    </row>
    <row r="2" spans="1:8" ht="16.5" customHeight="1" x14ac:dyDescent="0.3">
      <c r="A2" s="97" t="s">
        <v>0</v>
      </c>
      <c r="B2" s="97"/>
      <c r="C2" s="97"/>
      <c r="D2" s="97"/>
      <c r="E2" s="97"/>
      <c r="F2" s="97"/>
      <c r="G2" s="97"/>
      <c r="H2" s="97"/>
    </row>
    <row r="3" spans="1:8" x14ac:dyDescent="0.3">
      <c r="A3" s="78" t="s">
        <v>1</v>
      </c>
      <c r="B3" s="78"/>
      <c r="C3" s="78"/>
      <c r="D3" s="78"/>
      <c r="E3" s="78" t="str">
        <f ca="1">TEXT(TODAY(),"DD/MM/YYYY")</f>
        <v>09/07/2025</v>
      </c>
      <c r="F3" s="78"/>
      <c r="G3" s="78"/>
      <c r="H3" s="78"/>
    </row>
    <row r="4" spans="1:8" x14ac:dyDescent="0.3">
      <c r="A4" s="78" t="s">
        <v>2</v>
      </c>
      <c r="B4" s="78"/>
      <c r="C4" s="78"/>
      <c r="D4" s="78"/>
      <c r="E4" s="78" t="s">
        <v>165</v>
      </c>
      <c r="F4" s="78"/>
      <c r="G4" s="78"/>
      <c r="H4" s="78"/>
    </row>
    <row r="5" spans="1:8" x14ac:dyDescent="0.3">
      <c r="A5" s="78" t="s">
        <v>3</v>
      </c>
      <c r="B5" s="78"/>
      <c r="C5" s="78"/>
      <c r="D5" s="78"/>
      <c r="E5" s="149">
        <v>45847</v>
      </c>
      <c r="F5" s="78"/>
      <c r="G5" s="78"/>
      <c r="H5" s="78"/>
    </row>
    <row r="6" spans="1:8" ht="16.5" customHeight="1" x14ac:dyDescent="0.3">
      <c r="A6" s="78" t="s">
        <v>4</v>
      </c>
      <c r="B6" s="78"/>
      <c r="C6" s="78"/>
      <c r="D6" s="78"/>
      <c r="E6" s="78" t="s">
        <v>166</v>
      </c>
      <c r="F6" s="78"/>
      <c r="G6" s="78"/>
      <c r="H6" s="78"/>
    </row>
    <row r="7" spans="1:8" ht="15" customHeight="1" x14ac:dyDescent="0.3">
      <c r="A7" s="78" t="s">
        <v>5</v>
      </c>
      <c r="B7" s="78"/>
      <c r="C7" s="78"/>
      <c r="D7" s="78"/>
      <c r="E7" s="78" t="str">
        <f>E6</f>
        <v>Kapstone Constructions Private Limited</v>
      </c>
      <c r="F7" s="78"/>
      <c r="G7" s="78"/>
      <c r="H7" s="78"/>
    </row>
    <row r="8" spans="1:8" x14ac:dyDescent="0.3">
      <c r="A8" s="78" t="s">
        <v>6</v>
      </c>
      <c r="B8" s="78"/>
      <c r="C8" s="78"/>
      <c r="D8" s="78"/>
      <c r="E8" s="146" t="s">
        <v>201</v>
      </c>
      <c r="F8" s="147"/>
      <c r="G8" s="147"/>
      <c r="H8" s="148"/>
    </row>
    <row r="9" spans="1:8" x14ac:dyDescent="0.3">
      <c r="A9" s="78" t="s">
        <v>163</v>
      </c>
      <c r="B9" s="78"/>
      <c r="C9" s="78"/>
      <c r="D9" s="78"/>
      <c r="E9" s="78" t="s">
        <v>167</v>
      </c>
      <c r="F9" s="78"/>
      <c r="G9" s="78"/>
      <c r="H9" s="78"/>
    </row>
    <row r="10" spans="1:8" x14ac:dyDescent="0.3">
      <c r="A10" s="78" t="s">
        <v>164</v>
      </c>
      <c r="B10" s="78"/>
      <c r="C10" s="78"/>
      <c r="D10" s="78"/>
      <c r="E10" s="78" t="s">
        <v>259</v>
      </c>
      <c r="F10" s="78"/>
      <c r="G10" s="78"/>
      <c r="H10" s="78"/>
    </row>
    <row r="11" spans="1:8" x14ac:dyDescent="0.3">
      <c r="A11" s="78" t="s">
        <v>7</v>
      </c>
      <c r="B11" s="78"/>
      <c r="C11" s="78"/>
      <c r="D11" s="78"/>
      <c r="E11" s="78" t="s">
        <v>206</v>
      </c>
      <c r="F11" s="78"/>
      <c r="G11" s="78"/>
      <c r="H11" s="78"/>
    </row>
    <row r="12" spans="1:8" x14ac:dyDescent="0.3">
      <c r="A12" s="66" t="s">
        <v>8</v>
      </c>
      <c r="B12" s="66"/>
      <c r="C12" s="66"/>
      <c r="D12" s="66"/>
      <c r="E12" s="122" t="s">
        <v>191</v>
      </c>
      <c r="F12" s="122"/>
      <c r="G12" s="122"/>
      <c r="H12" s="122"/>
    </row>
    <row r="13" spans="1:8" ht="47.25" customHeight="1" x14ac:dyDescent="0.3">
      <c r="A13" s="66" t="s">
        <v>9</v>
      </c>
      <c r="B13" s="66"/>
      <c r="C13" s="66"/>
      <c r="D13" s="66"/>
      <c r="E13" s="122" t="s">
        <v>207</v>
      </c>
      <c r="F13" s="78"/>
      <c r="G13" s="78"/>
      <c r="H13" s="78"/>
    </row>
    <row r="14" spans="1:8" ht="65.25" customHeight="1" x14ac:dyDescent="0.3">
      <c r="A14" s="122" t="s">
        <v>10</v>
      </c>
      <c r="B14" s="122"/>
      <c r="C14" s="122" t="str">
        <f>CONCATENATE((IF(OR(E8="",E8="NA"),"",E8)),", ",(IF(OR(A15="",A15="NA"),"",A15)),".",(IF(OR(C15="",C15="NA"),"",C15)),", near ",(IF(OR(C20="",C20="NA"),"",C20)),", ",(IF(OR(C17="",C17="NA"),"",C17)),", ",(IF(OR(C16="",C16="NA"),"",C16)),", ",(IF(OR(G17="",G17="NA"),"",G17)),", ",(IF(OR(C18="",C18="NA"),"",C18)),", ",(IF(OR(C19="",C19="NA"),"",C19)),", ",(IF(OR(G18="",G18="NA"),"",G18))," - ",(IF(OR(G19="",G19="NA"),"",G19)),".")</f>
        <v>Rustomjee La Vie Wing A, B &amp; C, Survey No.12, 13, 14pt, 15, 16pt, 17pt, 18pt, 19pt, 20, 21pt, 30pt, 35 to 38, 41, 42, 43, 44, 44, 45pt, 46pt, 47pt, 48, 49, 50, 51, 53pt, 54, 55, 84pt, 327, 328, 329, 345, 383, 386pt, 423, 424 &amp; Others, near Lodha Crown, RG Road, Laxmi Nagar, Majiwade, Thane West, Thane, Thane - 400601.</v>
      </c>
      <c r="D14" s="122"/>
      <c r="E14" s="122"/>
      <c r="F14" s="122"/>
      <c r="G14" s="122"/>
      <c r="H14" s="122"/>
    </row>
    <row r="15" spans="1:8" ht="48.75" customHeight="1" x14ac:dyDescent="0.3">
      <c r="A15" s="122" t="s">
        <v>174</v>
      </c>
      <c r="B15" s="122"/>
      <c r="C15" s="122" t="s">
        <v>178</v>
      </c>
      <c r="D15" s="122"/>
      <c r="E15" s="122"/>
      <c r="F15" s="122"/>
      <c r="G15" s="122"/>
      <c r="H15" s="122"/>
    </row>
    <row r="16" spans="1:8" ht="15.75" customHeight="1" x14ac:dyDescent="0.3">
      <c r="A16" s="122" t="s">
        <v>159</v>
      </c>
      <c r="B16" s="122"/>
      <c r="C16" s="122" t="s">
        <v>171</v>
      </c>
      <c r="D16" s="122"/>
      <c r="E16" s="122"/>
      <c r="F16" s="122"/>
      <c r="G16" s="122"/>
      <c r="H16" s="122"/>
    </row>
    <row r="17" spans="1:8" ht="15.75" customHeight="1" x14ac:dyDescent="0.3">
      <c r="A17" s="81" t="s">
        <v>11</v>
      </c>
      <c r="B17" s="81"/>
      <c r="C17" s="78" t="s">
        <v>172</v>
      </c>
      <c r="D17" s="78"/>
      <c r="E17" s="81" t="s">
        <v>74</v>
      </c>
      <c r="F17" s="81"/>
      <c r="G17" s="122" t="s">
        <v>169</v>
      </c>
      <c r="H17" s="122"/>
    </row>
    <row r="18" spans="1:8" x14ac:dyDescent="0.3">
      <c r="A18" s="66" t="s">
        <v>13</v>
      </c>
      <c r="B18" s="66"/>
      <c r="C18" s="122" t="s">
        <v>238</v>
      </c>
      <c r="D18" s="122"/>
      <c r="E18" s="81" t="s">
        <v>12</v>
      </c>
      <c r="F18" s="81"/>
      <c r="G18" s="150" t="s">
        <v>168</v>
      </c>
      <c r="H18" s="150"/>
    </row>
    <row r="19" spans="1:8" x14ac:dyDescent="0.3">
      <c r="A19" s="66" t="s">
        <v>75</v>
      </c>
      <c r="B19" s="66"/>
      <c r="C19" s="122" t="s">
        <v>168</v>
      </c>
      <c r="D19" s="122"/>
      <c r="E19" s="81" t="s">
        <v>14</v>
      </c>
      <c r="F19" s="81"/>
      <c r="G19" s="122">
        <v>400601</v>
      </c>
      <c r="H19" s="122"/>
    </row>
    <row r="20" spans="1:8" ht="32.25" customHeight="1" x14ac:dyDescent="0.3">
      <c r="A20" s="66" t="s">
        <v>119</v>
      </c>
      <c r="B20" s="66"/>
      <c r="C20" s="122" t="s">
        <v>170</v>
      </c>
      <c r="D20" s="122"/>
      <c r="E20" s="81" t="s">
        <v>15</v>
      </c>
      <c r="F20" s="81"/>
      <c r="G20" s="122" t="s">
        <v>237</v>
      </c>
      <c r="H20" s="122"/>
    </row>
    <row r="21" spans="1:8" ht="15" customHeight="1" x14ac:dyDescent="0.3">
      <c r="A21" s="81" t="s">
        <v>77</v>
      </c>
      <c r="B21" s="81"/>
      <c r="C21" s="81"/>
      <c r="D21" s="81"/>
      <c r="E21" s="78" t="s">
        <v>16</v>
      </c>
      <c r="F21" s="78"/>
      <c r="G21" s="78"/>
      <c r="H21" s="78"/>
    </row>
    <row r="22" spans="1:8" ht="18.75" customHeight="1" x14ac:dyDescent="0.3">
      <c r="A22" s="81"/>
      <c r="B22" s="81"/>
      <c r="C22" s="81"/>
      <c r="D22" s="81"/>
      <c r="E22" s="78"/>
      <c r="F22" s="78"/>
      <c r="G22" s="78"/>
      <c r="H22" s="78"/>
    </row>
    <row r="23" spans="1:8" ht="15" customHeight="1" x14ac:dyDescent="0.3">
      <c r="A23" s="81" t="s">
        <v>17</v>
      </c>
      <c r="B23" s="81"/>
      <c r="C23" s="81"/>
      <c r="D23" s="81"/>
      <c r="E23" s="122" t="s">
        <v>18</v>
      </c>
      <c r="F23" s="122"/>
      <c r="G23" s="122"/>
      <c r="H23" s="122"/>
    </row>
    <row r="24" spans="1:8" ht="15" customHeight="1" x14ac:dyDescent="0.3">
      <c r="A24" s="66" t="s">
        <v>19</v>
      </c>
      <c r="B24" s="66"/>
      <c r="C24" s="66"/>
      <c r="D24" s="66"/>
      <c r="E24" s="122" t="str">
        <f>IF(AND(G18="Mumbai"),"Upper Class","Middle Class")</f>
        <v>Middle Class</v>
      </c>
      <c r="F24" s="122"/>
      <c r="G24" s="122"/>
      <c r="H24" s="122"/>
    </row>
    <row r="25" spans="1:8" x14ac:dyDescent="0.3">
      <c r="A25" s="66" t="s">
        <v>20</v>
      </c>
      <c r="B25" s="66"/>
      <c r="C25" s="66"/>
      <c r="D25" s="66"/>
      <c r="E25" s="122" t="s">
        <v>21</v>
      </c>
      <c r="F25" s="122"/>
      <c r="G25" s="122"/>
      <c r="H25" s="122"/>
    </row>
    <row r="26" spans="1:8" ht="15.75" customHeight="1" x14ac:dyDescent="0.3">
      <c r="A26" s="66" t="s">
        <v>22</v>
      </c>
      <c r="B26" s="66"/>
      <c r="C26" s="66"/>
      <c r="D26" s="66"/>
      <c r="E26" s="122" t="str">
        <f>IF(AND(G18="Mumbai"),"Developed","Developing")</f>
        <v>Developing</v>
      </c>
      <c r="F26" s="122"/>
      <c r="G26" s="122"/>
      <c r="H26" s="122"/>
    </row>
    <row r="27" spans="1:8" x14ac:dyDescent="0.3">
      <c r="A27" s="66" t="s">
        <v>23</v>
      </c>
      <c r="B27" s="66"/>
      <c r="C27" s="66"/>
      <c r="D27" s="66"/>
      <c r="E27" s="122" t="s">
        <v>24</v>
      </c>
      <c r="F27" s="122"/>
      <c r="G27" s="122"/>
      <c r="H27" s="122"/>
    </row>
    <row r="28" spans="1:8" ht="15.75" customHeight="1" x14ac:dyDescent="0.3">
      <c r="A28" s="66" t="s">
        <v>82</v>
      </c>
      <c r="B28" s="66"/>
      <c r="C28" s="66"/>
      <c r="D28" s="66"/>
      <c r="E28" s="122" t="s">
        <v>83</v>
      </c>
      <c r="F28" s="122"/>
      <c r="G28" s="122"/>
      <c r="H28" s="122"/>
    </row>
    <row r="29" spans="1:8" ht="15" customHeight="1" x14ac:dyDescent="0.3">
      <c r="A29" s="66" t="s">
        <v>33</v>
      </c>
      <c r="B29" s="66"/>
      <c r="C29" s="66"/>
      <c r="D29" s="66"/>
      <c r="E29" s="122"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Residential</v>
      </c>
      <c r="F29" s="122"/>
      <c r="G29" s="122"/>
      <c r="H29" s="122"/>
    </row>
    <row r="30" spans="1:8" ht="15.75" customHeight="1" x14ac:dyDescent="0.3">
      <c r="A30" s="66" t="s">
        <v>94</v>
      </c>
      <c r="B30" s="66"/>
      <c r="C30" s="66"/>
      <c r="D30" s="66"/>
      <c r="E30" s="122" t="s">
        <v>34</v>
      </c>
      <c r="F30" s="122"/>
      <c r="G30" s="122"/>
      <c r="H30" s="122"/>
    </row>
    <row r="31" spans="1:8" s="21" customFormat="1" x14ac:dyDescent="0.3">
      <c r="A31" s="154" t="s">
        <v>95</v>
      </c>
      <c r="B31" s="154"/>
      <c r="C31" s="153" t="s">
        <v>29</v>
      </c>
      <c r="D31" s="153"/>
      <c r="E31" s="153"/>
      <c r="F31" s="153" t="s">
        <v>31</v>
      </c>
      <c r="G31" s="153"/>
      <c r="H31" s="153"/>
    </row>
    <row r="32" spans="1:8" s="21" customFormat="1" x14ac:dyDescent="0.3">
      <c r="A32" s="151" t="s">
        <v>25</v>
      </c>
      <c r="B32" s="151" t="s">
        <v>30</v>
      </c>
      <c r="C32" s="155" t="s">
        <v>203</v>
      </c>
      <c r="D32" s="152"/>
      <c r="E32" s="152"/>
      <c r="F32" s="155" t="s">
        <v>205</v>
      </c>
      <c r="G32" s="152"/>
      <c r="H32" s="152"/>
    </row>
    <row r="33" spans="1:8" x14ac:dyDescent="0.3">
      <c r="A33" s="151" t="s">
        <v>26</v>
      </c>
      <c r="B33" s="151" t="s">
        <v>30</v>
      </c>
      <c r="C33" s="152" t="s">
        <v>202</v>
      </c>
      <c r="D33" s="152"/>
      <c r="E33" s="152"/>
      <c r="F33" s="152" t="s">
        <v>170</v>
      </c>
      <c r="G33" s="152"/>
      <c r="H33" s="152"/>
    </row>
    <row r="34" spans="1:8" s="21" customFormat="1" x14ac:dyDescent="0.3">
      <c r="A34" s="151" t="s">
        <v>28</v>
      </c>
      <c r="B34" s="151" t="s">
        <v>30</v>
      </c>
      <c r="C34" s="152" t="s">
        <v>202</v>
      </c>
      <c r="D34" s="152"/>
      <c r="E34" s="152"/>
      <c r="F34" s="152" t="s">
        <v>173</v>
      </c>
      <c r="G34" s="152"/>
      <c r="H34" s="152"/>
    </row>
    <row r="35" spans="1:8" x14ac:dyDescent="0.3">
      <c r="A35" s="151" t="s">
        <v>27</v>
      </c>
      <c r="B35" s="151" t="s">
        <v>30</v>
      </c>
      <c r="C35" s="155" t="s">
        <v>204</v>
      </c>
      <c r="D35" s="152"/>
      <c r="E35" s="152"/>
      <c r="F35" s="152" t="s">
        <v>172</v>
      </c>
      <c r="G35" s="152"/>
      <c r="H35" s="152"/>
    </row>
    <row r="36" spans="1:8" x14ac:dyDescent="0.3">
      <c r="A36" s="66" t="s">
        <v>32</v>
      </c>
      <c r="B36" s="66"/>
      <c r="C36" s="66"/>
      <c r="D36" s="66"/>
      <c r="E36" s="66"/>
      <c r="F36" s="66"/>
      <c r="G36" s="66"/>
      <c r="H36" s="66"/>
    </row>
    <row r="37" spans="1:8" ht="15.75" customHeight="1" x14ac:dyDescent="0.3">
      <c r="A37" s="66" t="s">
        <v>162</v>
      </c>
      <c r="B37" s="66"/>
      <c r="C37" s="126" t="s">
        <v>235</v>
      </c>
      <c r="D37" s="126"/>
      <c r="E37" s="126"/>
      <c r="F37" s="126"/>
      <c r="G37" s="126"/>
      <c r="H37" s="126"/>
    </row>
    <row r="38" spans="1:8" x14ac:dyDescent="0.3">
      <c r="A38" s="66" t="s">
        <v>158</v>
      </c>
      <c r="B38" s="66"/>
      <c r="C38" s="173" t="s">
        <v>236</v>
      </c>
      <c r="D38" s="122"/>
      <c r="E38" s="122"/>
      <c r="F38" s="122"/>
      <c r="G38" s="122"/>
      <c r="H38" s="122"/>
    </row>
    <row r="39" spans="1:8" x14ac:dyDescent="0.3">
      <c r="A39" s="126" t="s">
        <v>35</v>
      </c>
      <c r="B39" s="126"/>
      <c r="C39" s="126"/>
      <c r="D39" s="126"/>
      <c r="E39" s="126"/>
      <c r="F39" s="126"/>
      <c r="G39" s="126"/>
      <c r="H39" s="126"/>
    </row>
    <row r="40" spans="1:8" x14ac:dyDescent="0.3">
      <c r="A40" s="66" t="s">
        <v>36</v>
      </c>
      <c r="B40" s="66"/>
      <c r="C40" s="66"/>
      <c r="D40" s="66"/>
      <c r="E40" s="156">
        <v>441626.81</v>
      </c>
      <c r="F40" s="156"/>
      <c r="G40" s="156"/>
      <c r="H40" s="156"/>
    </row>
    <row r="41" spans="1:8" x14ac:dyDescent="0.3">
      <c r="A41" s="66" t="s">
        <v>37</v>
      </c>
      <c r="B41" s="66"/>
      <c r="C41" s="66"/>
      <c r="D41" s="66"/>
      <c r="E41" s="65">
        <v>1</v>
      </c>
      <c r="F41" s="65"/>
      <c r="G41" s="65"/>
      <c r="H41" s="65"/>
    </row>
    <row r="42" spans="1:8" x14ac:dyDescent="0.3">
      <c r="A42" s="66" t="s">
        <v>38</v>
      </c>
      <c r="B42" s="66"/>
      <c r="C42" s="66"/>
      <c r="D42" s="66"/>
      <c r="E42" s="65">
        <f>E44/E40-E41</f>
        <v>0.44655210130924794</v>
      </c>
      <c r="F42" s="65"/>
      <c r="G42" s="65"/>
      <c r="H42" s="65"/>
    </row>
    <row r="43" spans="1:8" x14ac:dyDescent="0.3">
      <c r="A43" s="66" t="s">
        <v>39</v>
      </c>
      <c r="B43" s="66"/>
      <c r="C43" s="66"/>
      <c r="D43" s="66"/>
      <c r="E43" s="65">
        <f>E41+E42</f>
        <v>1.4465521013092479</v>
      </c>
      <c r="F43" s="65"/>
      <c r="G43" s="65"/>
      <c r="H43" s="65"/>
    </row>
    <row r="44" spans="1:8" x14ac:dyDescent="0.3">
      <c r="A44" s="66" t="s">
        <v>93</v>
      </c>
      <c r="B44" s="66"/>
      <c r="C44" s="66"/>
      <c r="D44" s="66"/>
      <c r="E44" s="158">
        <v>638836.18999999994</v>
      </c>
      <c r="F44" s="158"/>
      <c r="G44" s="158"/>
      <c r="H44" s="158"/>
    </row>
    <row r="45" spans="1:8" x14ac:dyDescent="0.3">
      <c r="A45" s="78" t="s">
        <v>40</v>
      </c>
      <c r="B45" s="78"/>
      <c r="C45" s="78"/>
      <c r="D45" s="78"/>
      <c r="E45" s="78" t="s">
        <v>208</v>
      </c>
      <c r="F45" s="78"/>
      <c r="G45" s="78"/>
      <c r="H45" s="78"/>
    </row>
    <row r="46" spans="1:8" x14ac:dyDescent="0.3">
      <c r="A46" s="126" t="s">
        <v>41</v>
      </c>
      <c r="B46" s="126"/>
      <c r="C46" s="126"/>
      <c r="D46" s="126"/>
      <c r="E46" s="126"/>
      <c r="F46" s="126"/>
      <c r="G46" s="126"/>
      <c r="H46" s="126"/>
    </row>
    <row r="47" spans="1:8" ht="33.75" customHeight="1" x14ac:dyDescent="0.3">
      <c r="A47" s="67" t="s">
        <v>148</v>
      </c>
      <c r="B47" s="68"/>
      <c r="C47" s="146" t="s">
        <v>175</v>
      </c>
      <c r="D47" s="147"/>
      <c r="E47" s="147"/>
      <c r="F47" s="147"/>
      <c r="G47" s="147"/>
      <c r="H47" s="148"/>
    </row>
    <row r="48" spans="1:8" hidden="1" x14ac:dyDescent="0.3">
      <c r="A48" s="185"/>
      <c r="B48" s="186"/>
      <c r="C48" s="186"/>
      <c r="D48" s="186"/>
      <c r="E48" s="186"/>
      <c r="F48" s="186"/>
      <c r="G48" s="186"/>
      <c r="H48" s="187"/>
    </row>
    <row r="49" spans="1:8" ht="31.5" customHeight="1" x14ac:dyDescent="0.3">
      <c r="A49" s="67" t="s">
        <v>234</v>
      </c>
      <c r="B49" s="68"/>
      <c r="C49" s="67" t="s">
        <v>252</v>
      </c>
      <c r="D49" s="69"/>
      <c r="E49" s="68"/>
      <c r="F49" s="17" t="s">
        <v>43</v>
      </c>
      <c r="G49" s="70">
        <v>45184</v>
      </c>
      <c r="H49" s="68"/>
    </row>
    <row r="50" spans="1:8" ht="31.5" hidden="1" customHeight="1" x14ac:dyDescent="0.3">
      <c r="A50" s="67" t="s">
        <v>42</v>
      </c>
      <c r="B50" s="68"/>
      <c r="C50" s="67" t="s">
        <v>253</v>
      </c>
      <c r="D50" s="69"/>
      <c r="E50" s="68"/>
      <c r="F50" s="17" t="s">
        <v>43</v>
      </c>
      <c r="G50" s="70">
        <v>44971</v>
      </c>
      <c r="H50" s="71"/>
    </row>
    <row r="51" spans="1:8" ht="31.5" customHeight="1" x14ac:dyDescent="0.3">
      <c r="A51" s="67" t="s">
        <v>216</v>
      </c>
      <c r="B51" s="68"/>
      <c r="C51" s="67" t="str">
        <f>C50</f>
        <v>VP/S05/0022/10/TMC/TD-DP/
TPS/4294/23</v>
      </c>
      <c r="D51" s="69"/>
      <c r="E51" s="68"/>
      <c r="F51" s="17" t="s">
        <v>43</v>
      </c>
      <c r="G51" s="70">
        <f>G50</f>
        <v>44971</v>
      </c>
      <c r="H51" s="71"/>
    </row>
    <row r="52" spans="1:8" s="22" customFormat="1" ht="33.75" customHeight="1" x14ac:dyDescent="0.3">
      <c r="A52" s="134" t="s">
        <v>217</v>
      </c>
      <c r="B52" s="135"/>
      <c r="C52" s="67" t="s">
        <v>176</v>
      </c>
      <c r="D52" s="69"/>
      <c r="E52" s="68"/>
      <c r="F52" s="17" t="s">
        <v>43</v>
      </c>
      <c r="G52" s="70">
        <f>G51</f>
        <v>44971</v>
      </c>
      <c r="H52" s="71"/>
    </row>
    <row r="53" spans="1:8" s="22" customFormat="1" ht="33.75" customHeight="1" x14ac:dyDescent="0.3">
      <c r="A53" s="136"/>
      <c r="B53" s="137"/>
      <c r="C53" s="67" t="s">
        <v>190</v>
      </c>
      <c r="D53" s="69"/>
      <c r="E53" s="69"/>
      <c r="F53" s="69"/>
      <c r="G53" s="69"/>
      <c r="H53" s="68"/>
    </row>
    <row r="54" spans="1:8" hidden="1" x14ac:dyDescent="0.3">
      <c r="A54" s="185" t="s">
        <v>209</v>
      </c>
      <c r="B54" s="186"/>
      <c r="C54" s="186"/>
      <c r="D54" s="186"/>
      <c r="E54" s="186"/>
      <c r="F54" s="186"/>
      <c r="G54" s="186"/>
      <c r="H54" s="187"/>
    </row>
    <row r="55" spans="1:8" ht="31.5" customHeight="1" x14ac:dyDescent="0.3">
      <c r="A55" s="67" t="s">
        <v>219</v>
      </c>
      <c r="B55" s="68"/>
      <c r="C55" s="67" t="s">
        <v>252</v>
      </c>
      <c r="D55" s="69"/>
      <c r="E55" s="68"/>
      <c r="F55" s="17" t="s">
        <v>43</v>
      </c>
      <c r="G55" s="70">
        <f>G49</f>
        <v>45184</v>
      </c>
      <c r="H55" s="71"/>
    </row>
    <row r="56" spans="1:8" s="22" customFormat="1" x14ac:dyDescent="0.3">
      <c r="A56" s="134" t="s">
        <v>218</v>
      </c>
      <c r="B56" s="135"/>
      <c r="C56" s="67" t="s">
        <v>176</v>
      </c>
      <c r="D56" s="69"/>
      <c r="E56" s="68"/>
      <c r="F56" s="17" t="s">
        <v>43</v>
      </c>
      <c r="G56" s="70">
        <f>G55</f>
        <v>45184</v>
      </c>
      <c r="H56" s="71"/>
    </row>
    <row r="57" spans="1:8" s="22" customFormat="1" ht="63.75" customHeight="1" x14ac:dyDescent="0.3">
      <c r="A57" s="136"/>
      <c r="B57" s="137"/>
      <c r="C57" s="67" t="s">
        <v>210</v>
      </c>
      <c r="D57" s="69"/>
      <c r="E57" s="69"/>
      <c r="F57" s="69"/>
      <c r="G57" s="69"/>
      <c r="H57" s="68"/>
    </row>
    <row r="58" spans="1:8" s="22" customFormat="1" x14ac:dyDescent="0.3">
      <c r="A58" s="134" t="s">
        <v>239</v>
      </c>
      <c r="B58" s="135"/>
      <c r="C58" s="67" t="s">
        <v>241</v>
      </c>
      <c r="D58" s="69"/>
      <c r="E58" s="68"/>
      <c r="F58" s="17" t="s">
        <v>43</v>
      </c>
      <c r="G58" s="70">
        <v>44273</v>
      </c>
      <c r="H58" s="71"/>
    </row>
    <row r="59" spans="1:8" s="22" customFormat="1" x14ac:dyDescent="0.3">
      <c r="A59" s="136"/>
      <c r="B59" s="137"/>
      <c r="C59" s="67" t="s">
        <v>243</v>
      </c>
      <c r="D59" s="69"/>
      <c r="E59" s="69"/>
      <c r="F59" s="69"/>
      <c r="G59" s="69"/>
      <c r="H59" s="68"/>
    </row>
    <row r="60" spans="1:8" s="22" customFormat="1" hidden="1" x14ac:dyDescent="0.3">
      <c r="A60" s="134" t="s">
        <v>240</v>
      </c>
      <c r="B60" s="135"/>
      <c r="C60" s="67" t="s">
        <v>242</v>
      </c>
      <c r="D60" s="69"/>
      <c r="E60" s="68"/>
      <c r="F60" s="17" t="s">
        <v>43</v>
      </c>
      <c r="G60" s="70">
        <v>44980</v>
      </c>
      <c r="H60" s="71"/>
    </row>
    <row r="61" spans="1:8" s="22" customFormat="1" ht="63.75" hidden="1" customHeight="1" x14ac:dyDescent="0.3">
      <c r="A61" s="136"/>
      <c r="B61" s="137"/>
      <c r="C61" s="67"/>
      <c r="D61" s="69"/>
      <c r="E61" s="69"/>
      <c r="F61" s="69"/>
      <c r="G61" s="69"/>
      <c r="H61" s="68"/>
    </row>
    <row r="62" spans="1:8" x14ac:dyDescent="0.3">
      <c r="A62" s="75" t="s">
        <v>44</v>
      </c>
      <c r="B62" s="76"/>
      <c r="C62" s="75" t="s">
        <v>103</v>
      </c>
      <c r="D62" s="77"/>
      <c r="E62" s="76"/>
      <c r="F62" s="43" t="s">
        <v>43</v>
      </c>
      <c r="G62" s="79" t="s">
        <v>30</v>
      </c>
      <c r="H62" s="80"/>
    </row>
    <row r="63" spans="1:8" x14ac:dyDescent="0.3">
      <c r="A63" s="130" t="s">
        <v>46</v>
      </c>
      <c r="B63" s="130"/>
      <c r="C63" s="130"/>
      <c r="D63" s="130"/>
      <c r="E63" s="130"/>
      <c r="F63" s="130"/>
      <c r="G63" s="130"/>
      <c r="H63" s="130"/>
    </row>
    <row r="64" spans="1:8" x14ac:dyDescent="0.3">
      <c r="A64" s="81" t="s">
        <v>92</v>
      </c>
      <c r="B64" s="81"/>
      <c r="C64" s="81"/>
      <c r="D64" s="66">
        <v>121558.39</v>
      </c>
      <c r="E64" s="66"/>
      <c r="F64" s="66"/>
      <c r="G64" s="66"/>
      <c r="H64" s="66"/>
    </row>
    <row r="65" spans="1:14" x14ac:dyDescent="0.3">
      <c r="A65" s="122" t="s">
        <v>47</v>
      </c>
      <c r="B65" s="78"/>
      <c r="C65" s="78"/>
      <c r="D65" s="78" t="s">
        <v>255</v>
      </c>
      <c r="E65" s="78"/>
      <c r="F65" s="78"/>
      <c r="G65" s="78"/>
      <c r="H65" s="78"/>
      <c r="I65" s="23"/>
    </row>
    <row r="66" spans="1:14" ht="97.5" customHeight="1" x14ac:dyDescent="0.3">
      <c r="A66" s="122" t="s">
        <v>48</v>
      </c>
      <c r="B66" s="122"/>
      <c r="C66" s="122"/>
      <c r="D66" s="122" t="s">
        <v>211</v>
      </c>
      <c r="E66" s="78"/>
      <c r="F66" s="78"/>
      <c r="G66" s="78"/>
      <c r="H66" s="78"/>
    </row>
    <row r="67" spans="1:14" ht="31.5" customHeight="1" x14ac:dyDescent="0.3">
      <c r="A67" s="176" t="s">
        <v>90</v>
      </c>
      <c r="B67" s="177"/>
      <c r="C67" s="178"/>
      <c r="D67" s="72" t="s">
        <v>233</v>
      </c>
      <c r="E67" s="73"/>
      <c r="F67" s="73"/>
      <c r="G67" s="73"/>
      <c r="H67" s="74"/>
    </row>
    <row r="68" spans="1:14" ht="31.5" customHeight="1" x14ac:dyDescent="0.3">
      <c r="A68" s="179"/>
      <c r="B68" s="180"/>
      <c r="C68" s="181"/>
      <c r="D68" s="72" t="s">
        <v>212</v>
      </c>
      <c r="E68" s="73"/>
      <c r="F68" s="73"/>
      <c r="G68" s="73"/>
      <c r="H68" s="74"/>
    </row>
    <row r="69" spans="1:14" ht="31.5" customHeight="1" x14ac:dyDescent="0.3">
      <c r="A69" s="182"/>
      <c r="B69" s="183"/>
      <c r="C69" s="184"/>
      <c r="D69" s="72" t="s">
        <v>213</v>
      </c>
      <c r="E69" s="73"/>
      <c r="F69" s="73"/>
      <c r="G69" s="73"/>
      <c r="H69" s="74"/>
    </row>
    <row r="70" spans="1:14" ht="34.5" customHeight="1" x14ac:dyDescent="0.3">
      <c r="A70" s="66" t="s">
        <v>45</v>
      </c>
      <c r="B70" s="66"/>
      <c r="C70" s="66"/>
      <c r="D70" s="157" t="s">
        <v>260</v>
      </c>
      <c r="E70" s="157"/>
      <c r="F70" s="157"/>
      <c r="G70" s="157"/>
      <c r="H70" s="157"/>
      <c r="J70" s="24"/>
      <c r="K70" s="23"/>
      <c r="N70" s="23"/>
    </row>
    <row r="71" spans="1:14" ht="15.75" customHeight="1" x14ac:dyDescent="0.3">
      <c r="A71" s="66" t="s">
        <v>88</v>
      </c>
      <c r="B71" s="66"/>
      <c r="C71" s="66"/>
      <c r="D71" s="102" t="str">
        <f>(IF(G62="NA","60 Years After Completion",IF(G62&lt;&gt;"NA",""&amp;60-ROUNDDOWN((E3-G62)/360,0)&amp;" Years"," ")))</f>
        <v>60 Years After Completion</v>
      </c>
      <c r="E71" s="102"/>
      <c r="F71" s="102"/>
      <c r="G71" s="102"/>
      <c r="H71" s="102"/>
      <c r="N71" s="23"/>
    </row>
    <row r="72" spans="1:14" ht="15.75" customHeight="1" x14ac:dyDescent="0.3">
      <c r="A72" s="66" t="s">
        <v>89</v>
      </c>
      <c r="B72" s="66"/>
      <c r="C72" s="66"/>
      <c r="D72" s="81" t="s">
        <v>24</v>
      </c>
      <c r="E72" s="81"/>
      <c r="F72" s="81"/>
      <c r="G72" s="81"/>
      <c r="H72" s="81"/>
      <c r="J72" s="25"/>
      <c r="K72" s="25"/>
    </row>
    <row r="73" spans="1:14" ht="81" customHeight="1" x14ac:dyDescent="0.3">
      <c r="A73" s="66" t="s">
        <v>76</v>
      </c>
      <c r="B73" s="66"/>
      <c r="C73" s="66"/>
      <c r="D73" s="122" t="s">
        <v>185</v>
      </c>
      <c r="E73" s="81"/>
      <c r="F73" s="81"/>
      <c r="G73" s="81"/>
      <c r="H73" s="81"/>
    </row>
    <row r="74" spans="1:14" x14ac:dyDescent="0.3">
      <c r="A74" s="81" t="s">
        <v>145</v>
      </c>
      <c r="B74" s="81"/>
      <c r="C74" s="81"/>
      <c r="D74" s="81" t="s">
        <v>30</v>
      </c>
      <c r="E74" s="81"/>
      <c r="F74" s="81"/>
      <c r="G74" s="81"/>
      <c r="H74" s="81"/>
      <c r="I74" s="26"/>
      <c r="J74" s="26"/>
      <c r="K74" s="26"/>
      <c r="L74" s="26"/>
      <c r="M74" s="26"/>
      <c r="N74" s="26"/>
    </row>
    <row r="75" spans="1:14" ht="15.75" customHeight="1" x14ac:dyDescent="0.3">
      <c r="A75" s="108" t="s">
        <v>87</v>
      </c>
      <c r="B75" s="108"/>
      <c r="C75" s="108"/>
      <c r="D75" s="109" t="str">
        <f ca="1">(IF(G81&gt;95%,"Nothing",IF(G81&gt;0%,"Cement, Aggregate, Steel, etc",IF(G81=0%,"Work not yet Started"))))</f>
        <v>Cement, Aggregate, Steel, etc</v>
      </c>
      <c r="E75" s="109"/>
      <c r="F75" s="109"/>
      <c r="G75" s="109"/>
      <c r="H75" s="109"/>
      <c r="J75" s="25"/>
    </row>
    <row r="76" spans="1:14" ht="33.75" customHeight="1" thickBot="1" x14ac:dyDescent="0.35">
      <c r="A76" s="123" t="s">
        <v>116</v>
      </c>
      <c r="B76" s="123"/>
      <c r="C76" s="123"/>
      <c r="D76" s="109" t="str">
        <f ca="1">(IF(D75="Nothing","Yes",IF(D75="Cement, Aggregate, Steel, etc","Under Construction",IF(D75="Work not yet Started","Work not yet Started"))))</f>
        <v>Under Construction</v>
      </c>
      <c r="E76" s="109"/>
      <c r="F76" s="109" t="str">
        <f ca="1">(IF(D75="Nothing","Yes",IF(D75="Cement, Aggregate, Steel, etc","Under Construction",IF(D75="Work not yet Started","Work not yet Started"))))</f>
        <v>Under Construction</v>
      </c>
      <c r="G76" s="109"/>
      <c r="H76" s="109"/>
      <c r="K76" s="21" t="s">
        <v>200</v>
      </c>
    </row>
    <row r="77" spans="1:14" ht="32.25" customHeight="1" x14ac:dyDescent="0.3">
      <c r="A77" s="139" t="s">
        <v>137</v>
      </c>
      <c r="B77" s="140"/>
      <c r="C77" s="141" t="str">
        <f>D67</f>
        <v>A Wing = 4B + G + 1st to 22nd + Service Floor + Recreational Floor + 23rd to 55th Floor</v>
      </c>
      <c r="D77" s="142"/>
      <c r="E77" s="142"/>
      <c r="F77" s="142"/>
      <c r="G77" s="142"/>
      <c r="H77" s="143"/>
      <c r="I77" s="47" t="str">
        <f ca="1">IF(D90=100%,"All work Completed. Possession granted to the Building.",IF(D89=100%,"All work Completed, Waiting for OC",I78&amp;""&amp;I79&amp;""&amp;J78&amp;""&amp;J77&amp;" "&amp;J79))</f>
        <v>Excavation, Plinth Completed, RCC upto 5 Slab Completed</v>
      </c>
      <c r="J77" s="48" t="str">
        <f ca="1">(IF(C83=(D78+F78+H78),"",IF(C83&gt;0,", RCC upto "&amp;C83&amp;" Slab","")))&amp;(IF(C84=H78,"",IF(C84&gt;0,", Brickwork upto "&amp;C84&amp;" Floor","")))&amp;(IF(C85=H78,"",IF(C85&gt;0,", Internal Plaster upto "&amp;C85&amp;" Floor","")))&amp;(IF(C86=H78,"",IF(C86&gt;0,", External Plaster upto "&amp;C86&amp;" Floor","")))&amp;(IF(C87=H78,"",IF(C87&gt;0,", Flooring upto "&amp;C87&amp;" Floor","")))&amp;(IF(C88=H78,"",IF(C88&gt;0,", Painting upto "&amp;C88&amp;" Floor","")))&amp;(IF(C89=H78,"",IF(C89&gt;0,", Finishing upto "&amp;C89&amp;" Floor","")))&amp;(IF(C90=H78,"",IF(C90&gt;0,", Possession upto "&amp;C90&amp;" Floor","")))</f>
        <v>, RCC upto 5 Slab</v>
      </c>
    </row>
    <row r="78" spans="1:14" x14ac:dyDescent="0.3">
      <c r="A78" s="15" t="s">
        <v>139</v>
      </c>
      <c r="B78" s="45">
        <f>IF(AND(ISNUMBER(SEARCH("1B",C77))),1,IF(AND(ISNUMBER(SEARCH("2B",C77))),2,IF(AND(ISNUMBER(SEARCH("3B",C77))),3,IF(AND(ISNUMBER(SEARCH("4B",C77))),4,IF(ISNUMBER(SEARCH("5B",C77)),5,0)))))</f>
        <v>4</v>
      </c>
      <c r="C78" s="45" t="s">
        <v>73</v>
      </c>
      <c r="D78" s="45">
        <v>1</v>
      </c>
      <c r="E78" s="45" t="s">
        <v>72</v>
      </c>
      <c r="F78" s="45">
        <v>0</v>
      </c>
      <c r="G78" s="46" t="s">
        <v>81</v>
      </c>
      <c r="H78" s="16">
        <f ca="1">--TRIM(RIGHT(SUBSTITUTE(LEFT(C77,_xlfn.AGGREGATE(16,6,FIND({0,1,2,3,4,5,6,7,8,9},C77,ROW(INDIRECT("1:"&amp;LEN(C77)))),1))," ",REPT(" ",LEN(C77))),LEN(C77)))</f>
        <v>55</v>
      </c>
      <c r="I78" s="49" t="str">
        <f ca="1">IF(D81=100%,"Excavation","")&amp;IF(D82=100%,", Plinth","")&amp;IF(D83=100%,", RCC Slab","")&amp;IF(D84=100%,", Brickwork","")&amp;IF(D85=100%,", Internal Plaster","")&amp;IF(D86=100%,", External Plaster","")&amp;IF(D87=100%,", Flooring","")&amp;IF(D88=100%,", Painting","")&amp;IF(D89=100%,", Building common Amenities","")</f>
        <v>Excavation, Plinth</v>
      </c>
      <c r="J78" s="50" t="str">
        <f ca="1">(IF(C81=0,"Work not yet Started.",IF(D81=25%,"Piling work in process",IF(D81=50%,"Excavation work in process",IF(D81=100%,"","0")))))&amp;(IF(C82=0%,"",IF(C82=J83,", Footing work is process",IF(C82=J84,", Footing work Completed",IF(C82=J85,", 1st Basement Completed",IF(C82=J86,", 1st &amp; 2nd Basement Completed",IF(C82=J87,", 1st to 3rd Basement Completed",IF(C82=J88,", 1st to 4th Basement Completed",IF(C82=J89,", Plinth work is process",IF(C82=J90,"","0"))))))))))</f>
        <v/>
      </c>
    </row>
    <row r="79" spans="1:14" x14ac:dyDescent="0.3">
      <c r="A79" s="138" t="s">
        <v>91</v>
      </c>
      <c r="B79" s="111"/>
      <c r="C79" s="104" t="str">
        <f ca="1">I77</f>
        <v>Excavation, Plinth Completed, RCC upto 5 Slab Completed</v>
      </c>
      <c r="D79" s="104"/>
      <c r="E79" s="104"/>
      <c r="F79" s="104"/>
      <c r="G79" s="104"/>
      <c r="H79" s="144"/>
      <c r="I79" s="49" t="str">
        <f ca="1">IF(I78&lt;&gt;""," Completed","")</f>
        <v xml:space="preserve"> Completed</v>
      </c>
      <c r="J79" s="50" t="str">
        <f ca="1">IF(J77&lt;&gt;"","Completed","")</f>
        <v>Completed</v>
      </c>
    </row>
    <row r="80" spans="1:14" ht="15.75" customHeight="1" x14ac:dyDescent="0.3">
      <c r="A80" s="112" t="s">
        <v>49</v>
      </c>
      <c r="B80" s="89"/>
      <c r="C80" s="42" t="s">
        <v>136</v>
      </c>
      <c r="D80" s="42" t="s">
        <v>84</v>
      </c>
      <c r="E80" s="89" t="s">
        <v>86</v>
      </c>
      <c r="F80" s="89"/>
      <c r="G80" s="89" t="s">
        <v>85</v>
      </c>
      <c r="H80" s="110"/>
      <c r="I80" s="13" t="s">
        <v>138</v>
      </c>
      <c r="J80" s="27">
        <f ca="1">H78*25%</f>
        <v>13.75</v>
      </c>
    </row>
    <row r="81" spans="1:10" x14ac:dyDescent="0.3">
      <c r="A81" s="89" t="s">
        <v>125</v>
      </c>
      <c r="B81" s="89"/>
      <c r="C81" s="42">
        <f ca="1">J82</f>
        <v>55</v>
      </c>
      <c r="D81" s="18">
        <f ca="1">((100/H78)*C81)/100</f>
        <v>1</v>
      </c>
      <c r="E81" s="101">
        <f ca="1">(((C82/H78*10)+(40/(D78+F78+H78)*C83)+(7.5/(H78)*C84)+(7.5/(H78)*C85)+(10/H78*C86)+(10/H78*C87)+(5/H78*C88)+(5/H78*C89)+(5/H78*C90))/100)</f>
        <v>0.1357142857142857</v>
      </c>
      <c r="F81" s="101"/>
      <c r="G81" s="101">
        <f ca="1">((((C81/H78)*20)+((C82/H78)*25)+(30/(H78+F78+D78)*C83)+(5/H78*C84)+(5/H78*C85)+(5/H78*C86)+(5/H78*C87)+(0/H78*C88)+(0/H78*C89)+(5/H78*C90))/100)</f>
        <v>0.47678571428571431</v>
      </c>
      <c r="H81" s="101"/>
      <c r="I81" s="13" t="s">
        <v>98</v>
      </c>
      <c r="J81" s="28">
        <f ca="1">H78*50%</f>
        <v>27.5</v>
      </c>
    </row>
    <row r="82" spans="1:10" x14ac:dyDescent="0.3">
      <c r="A82" s="89" t="s">
        <v>50</v>
      </c>
      <c r="B82" s="89"/>
      <c r="C82" s="57">
        <f ca="1">J90</f>
        <v>55</v>
      </c>
      <c r="D82" s="18">
        <f ca="1">((100/H78)*C82)/100</f>
        <v>1</v>
      </c>
      <c r="E82" s="101"/>
      <c r="F82" s="101"/>
      <c r="G82" s="101"/>
      <c r="H82" s="101"/>
      <c r="I82" s="13" t="s">
        <v>99</v>
      </c>
      <c r="J82" s="28">
        <f ca="1">H78</f>
        <v>55</v>
      </c>
    </row>
    <row r="83" spans="1:10" ht="15.75" customHeight="1" x14ac:dyDescent="0.3">
      <c r="A83" s="89" t="s">
        <v>126</v>
      </c>
      <c r="B83" s="89"/>
      <c r="C83" s="42">
        <v>5</v>
      </c>
      <c r="D83" s="18">
        <f ca="1">((100/(D78+F78+H78))*C83)/100</f>
        <v>8.9285714285714288E-2</v>
      </c>
      <c r="E83" s="101"/>
      <c r="F83" s="101"/>
      <c r="G83" s="101"/>
      <c r="H83" s="101"/>
      <c r="I83" s="13" t="s">
        <v>100</v>
      </c>
      <c r="J83" s="29">
        <f ca="1">(IF(B78&gt;1,(H78/(B78+2)),H78/4))</f>
        <v>9.1666666666666661</v>
      </c>
    </row>
    <row r="84" spans="1:10" ht="15.75" customHeight="1" x14ac:dyDescent="0.3">
      <c r="A84" s="89" t="s">
        <v>133</v>
      </c>
      <c r="B84" s="89" t="s">
        <v>127</v>
      </c>
      <c r="C84" s="42">
        <v>0</v>
      </c>
      <c r="D84" s="18">
        <f ca="1">((100/H78)*C84)/100</f>
        <v>0</v>
      </c>
      <c r="E84" s="101"/>
      <c r="F84" s="101"/>
      <c r="G84" s="101"/>
      <c r="H84" s="101"/>
      <c r="I84" s="13" t="s">
        <v>101</v>
      </c>
      <c r="J84" s="29">
        <f ca="1">(IF(B78&gt;1,(H78/(B78+2)+J83),H78/4+J83))</f>
        <v>18.333333333333332</v>
      </c>
    </row>
    <row r="85" spans="1:10" ht="15.75" customHeight="1" x14ac:dyDescent="0.3">
      <c r="A85" s="89" t="s">
        <v>134</v>
      </c>
      <c r="B85" s="89" t="s">
        <v>127</v>
      </c>
      <c r="C85" s="42">
        <v>0</v>
      </c>
      <c r="D85" s="18">
        <f ca="1">((100/H78)*C85)/100</f>
        <v>0</v>
      </c>
      <c r="E85" s="101"/>
      <c r="F85" s="101"/>
      <c r="G85" s="101"/>
      <c r="H85" s="101"/>
      <c r="I85" s="13" t="s">
        <v>143</v>
      </c>
      <c r="J85" s="29">
        <f ca="1">(IF(B78&gt;1,(H78/(B78+2)+J84),0))</f>
        <v>27.5</v>
      </c>
    </row>
    <row r="86" spans="1:10" ht="15" customHeight="1" x14ac:dyDescent="0.3">
      <c r="A86" s="89" t="s">
        <v>132</v>
      </c>
      <c r="B86" s="89" t="s">
        <v>129</v>
      </c>
      <c r="C86" s="42">
        <v>0</v>
      </c>
      <c r="D86" s="18">
        <f ca="1">((100/(H78))*C86)/100</f>
        <v>0</v>
      </c>
      <c r="E86" s="101"/>
      <c r="F86" s="101"/>
      <c r="G86" s="101"/>
      <c r="H86" s="101"/>
      <c r="I86" s="13" t="s">
        <v>140</v>
      </c>
      <c r="J86" s="29">
        <f ca="1">(IF(B78&gt;2,(H78/(B78+2)+J85),0))</f>
        <v>36.666666666666664</v>
      </c>
    </row>
    <row r="87" spans="1:10" ht="15.75" customHeight="1" x14ac:dyDescent="0.3">
      <c r="A87" s="89" t="s">
        <v>128</v>
      </c>
      <c r="B87" s="89" t="s">
        <v>128</v>
      </c>
      <c r="C87" s="42">
        <v>0</v>
      </c>
      <c r="D87" s="18">
        <f ca="1">((100/H78)*C87)/100</f>
        <v>0</v>
      </c>
      <c r="E87" s="101"/>
      <c r="F87" s="101"/>
      <c r="G87" s="101"/>
      <c r="H87" s="101"/>
      <c r="I87" s="13" t="s">
        <v>141</v>
      </c>
      <c r="J87" s="30">
        <f ca="1">(IF(B78&gt;3,(H78/(B78+2)+J86),0))</f>
        <v>45.833333333333329</v>
      </c>
    </row>
    <row r="88" spans="1:10" ht="15.75" customHeight="1" x14ac:dyDescent="0.3">
      <c r="A88" s="89" t="s">
        <v>135</v>
      </c>
      <c r="B88" s="89"/>
      <c r="C88" s="42">
        <v>0</v>
      </c>
      <c r="D88" s="18">
        <f ca="1">((100/H78)*C88)/100</f>
        <v>0</v>
      </c>
      <c r="E88" s="101"/>
      <c r="F88" s="101"/>
      <c r="G88" s="101"/>
      <c r="H88" s="101"/>
      <c r="I88" s="13" t="s">
        <v>142</v>
      </c>
      <c r="J88" s="29">
        <f>(IF(B78&gt;4,(H78/(B78+2)+J87),0))</f>
        <v>0</v>
      </c>
    </row>
    <row r="89" spans="1:10" ht="15.75" customHeight="1" x14ac:dyDescent="0.3">
      <c r="A89" s="89" t="s">
        <v>130</v>
      </c>
      <c r="B89" s="89" t="s">
        <v>130</v>
      </c>
      <c r="C89" s="42">
        <v>0</v>
      </c>
      <c r="D89" s="18">
        <f ca="1">((100/(H78))*C89)/100</f>
        <v>0</v>
      </c>
      <c r="E89" s="101"/>
      <c r="F89" s="101"/>
      <c r="G89" s="101"/>
      <c r="H89" s="101"/>
      <c r="I89" s="13" t="s">
        <v>144</v>
      </c>
      <c r="J89" s="29">
        <f>(IF(B78=1,(H78/(B78+3)+J84),IF(B78=0,(H78/4+J84),IF(B78&gt;1,0))))</f>
        <v>0</v>
      </c>
    </row>
    <row r="90" spans="1:10" ht="16.2" thickBot="1" x14ac:dyDescent="0.35">
      <c r="A90" s="89" t="s">
        <v>131</v>
      </c>
      <c r="B90" s="89"/>
      <c r="C90" s="42">
        <v>0</v>
      </c>
      <c r="D90" s="18">
        <f ca="1">((100/(H78))*C90)/100</f>
        <v>0</v>
      </c>
      <c r="E90" s="101"/>
      <c r="F90" s="101"/>
      <c r="G90" s="101"/>
      <c r="H90" s="101"/>
      <c r="I90" s="14" t="s">
        <v>102</v>
      </c>
      <c r="J90" s="31">
        <f ca="1">(IF(B78&gt;1.5,(H78/(B78+2)+J84+MAX(0,J85-J84)+MAX(0,J86-J85)+MAX(0,J87-J86)+MAX(0,J88-J87)+MAX(0,J89-J88)),IF(B78=1,(H78/(B78+3)+J89),IF(B78=0,H78/4+J89))))</f>
        <v>55</v>
      </c>
    </row>
    <row r="91" spans="1:10" ht="32.25" customHeight="1" x14ac:dyDescent="0.3">
      <c r="A91" s="103" t="s">
        <v>137</v>
      </c>
      <c r="B91" s="103"/>
      <c r="C91" s="104" t="str">
        <f>D68</f>
        <v>Wing B = 4B + G + 1st to 22nd + Service Floor + Recreational Floor + 23rd to 55th Floor</v>
      </c>
      <c r="D91" s="104"/>
      <c r="E91" s="104"/>
      <c r="F91" s="104"/>
      <c r="G91" s="104"/>
      <c r="H91" s="104"/>
      <c r="I91" s="60" t="str">
        <f ca="1">IF(D104=100%,"All work Completed. Possession granted to the Building.",IF(D103=100%,"All work Completed, Waiting for OC",I92&amp;""&amp;I93&amp;""&amp;J92&amp;""&amp;J91&amp;" "&amp;J93))</f>
        <v>Excavation, Plinth Completed, RCC upto 1 Slab Completed</v>
      </c>
      <c r="J91" s="48" t="str">
        <f ca="1">(IF(C97=(D92+F92+H92),"",IF(C97&gt;0,", RCC upto "&amp;C97&amp;" Slab","")))&amp;(IF(C98=H92,"",IF(C98&gt;0,", Brickwork upto "&amp;C98&amp;" Floor","")))&amp;(IF(C99=H92,"",IF(C99&gt;0,", Internal Plaster upto "&amp;C99&amp;" Floor","")))&amp;(IF(C100=H92,"",IF(C100&gt;0,", External Plaster upto "&amp;C100&amp;" Floor","")))&amp;(IF(C101=H92,"",IF(C101&gt;0,", Flooring upto "&amp;C101&amp;" Floor","")))&amp;(IF(C102=H92,"",IF(C102&gt;0,", Painting upto "&amp;C102&amp;" Floor","")))&amp;(IF(C103=H92,"",IF(C103&gt;0,", Finishing upto "&amp;C103&amp;" Floor","")))&amp;(IF(C104=H92,"",IF(C104&gt;0,", Possession upto "&amp;C104&amp;" Floor","")))</f>
        <v>, RCC upto 1 Slab</v>
      </c>
    </row>
    <row r="92" spans="1:10" x14ac:dyDescent="0.3">
      <c r="A92" s="45" t="s">
        <v>139</v>
      </c>
      <c r="B92" s="45">
        <f>IF(AND(ISNUMBER(SEARCH("1B",C91))),1,IF(AND(ISNUMBER(SEARCH("2B",C91))),2,IF(AND(ISNUMBER(SEARCH("3B",C91))),3,IF(AND(ISNUMBER(SEARCH("4B",C91))),4,IF(ISNUMBER(SEARCH("5B",C91)),5,0)))))</f>
        <v>4</v>
      </c>
      <c r="C92" s="45" t="s">
        <v>73</v>
      </c>
      <c r="D92" s="45">
        <v>1</v>
      </c>
      <c r="E92" s="45" t="s">
        <v>72</v>
      </c>
      <c r="F92" s="45">
        <v>0</v>
      </c>
      <c r="G92" s="46" t="s">
        <v>81</v>
      </c>
      <c r="H92" s="45">
        <f ca="1">--TRIM(RIGHT(SUBSTITUTE(LEFT(C91,_xlfn.AGGREGATE(16,6,FIND({0,1,2,3,4,5,6,7,8,9},C91,ROW(INDIRECT("1:"&amp;LEN(C91)))),1))," ",REPT(" ",LEN(C91))),LEN(C91)))</f>
        <v>55</v>
      </c>
      <c r="I92" s="61" t="str">
        <f ca="1">IF(D95=100%,"Excavation","")&amp;IF(D96=100%,", Plinth","")&amp;IF(D97=100%,", RCC Slab","")&amp;IF(D98=100%,", Brickwork","")&amp;IF(D99=100%,", Internal Plaster","")&amp;IF(D100=100%,", External Plaster","")&amp;IF(D101=100%,", Flooring","")&amp;IF(D102=100%,", Painting","")&amp;IF(D103=100%,", Building common Amenities","")</f>
        <v>Excavation, Plinth</v>
      </c>
      <c r="J92" s="50" t="str">
        <f ca="1">(IF(C95=0,"Work not yet Started.",IF(D95=25%,"Piling work in process",IF(D95=50%,"Excavation work in process",IF(D95=100%,"","0")))))&amp;(IF(C96=0%,"",IF(C96=J97,", Footing work is process",IF(C96=J98,", Footing work Completed",IF(C96=J99,", 1st Basement Completed",IF(C96=J100,", 1st &amp; 2nd Basement Completed",IF(C96=J101,", 1st to 3rd Basement Completed",IF(C96=J102,", 1st to 4th Basement Completed",IF(C96=J103,", Plinth work is process",IF(C96=J104,"","0"))))))))))</f>
        <v/>
      </c>
    </row>
    <row r="93" spans="1:10" x14ac:dyDescent="0.3">
      <c r="A93" s="111" t="s">
        <v>91</v>
      </c>
      <c r="B93" s="111"/>
      <c r="C93" s="104" t="str">
        <f ca="1">I91</f>
        <v>Excavation, Plinth Completed, RCC upto 1 Slab Completed</v>
      </c>
      <c r="D93" s="104"/>
      <c r="E93" s="104"/>
      <c r="F93" s="104"/>
      <c r="G93" s="104"/>
      <c r="H93" s="104"/>
      <c r="I93" s="61" t="str">
        <f ca="1">IF(I92&lt;&gt;""," Completed","")</f>
        <v xml:space="preserve"> Completed</v>
      </c>
      <c r="J93" s="50" t="str">
        <f ca="1">IF(J91&lt;&gt;"","Completed","")</f>
        <v>Completed</v>
      </c>
    </row>
    <row r="94" spans="1:10" ht="15.75" customHeight="1" x14ac:dyDescent="0.3">
      <c r="A94" s="89" t="s">
        <v>49</v>
      </c>
      <c r="B94" s="89"/>
      <c r="C94" s="42" t="s">
        <v>136</v>
      </c>
      <c r="D94" s="42" t="s">
        <v>84</v>
      </c>
      <c r="E94" s="89" t="s">
        <v>86</v>
      </c>
      <c r="F94" s="89"/>
      <c r="G94" s="89" t="s">
        <v>85</v>
      </c>
      <c r="H94" s="89"/>
      <c r="I94" s="13" t="s">
        <v>138</v>
      </c>
      <c r="J94" s="27">
        <f ca="1">H92*25%</f>
        <v>13.75</v>
      </c>
    </row>
    <row r="95" spans="1:10" x14ac:dyDescent="0.3">
      <c r="A95" s="112" t="s">
        <v>125</v>
      </c>
      <c r="B95" s="89"/>
      <c r="C95" s="42">
        <f ca="1">J96</f>
        <v>55</v>
      </c>
      <c r="D95" s="18">
        <f ca="1">((100/H92)*C95)/100</f>
        <v>1</v>
      </c>
      <c r="E95" s="113">
        <f ca="1">(((C96/H92*10)+(40/(D92+F92+H92)*C97)+(7.5/(H92)*C98)+(7.5/(H92)*C99)+(10/H92*C100)+(10/H92*C101)+(5/H92*C102)+(5/H92*C103)+(5/H92*C104))/100)</f>
        <v>0.10714285714285714</v>
      </c>
      <c r="F95" s="114"/>
      <c r="G95" s="113">
        <f ca="1">((((C95/H92)*20)+((C96/H92)*25)+(30/(H92+F92+D92)*C97)+(5/H92*C98)+(5/H92*C99)+(5/H92*C100)+(5/H92*C101)+(0/H92*C102)+(0/H92*C103)+(5/H92*C104))/100)</f>
        <v>0.45535714285714285</v>
      </c>
      <c r="H95" s="119"/>
      <c r="I95" s="13" t="s">
        <v>98</v>
      </c>
      <c r="J95" s="28">
        <f ca="1">H92*50%</f>
        <v>27.5</v>
      </c>
    </row>
    <row r="96" spans="1:10" x14ac:dyDescent="0.3">
      <c r="A96" s="112" t="s">
        <v>50</v>
      </c>
      <c r="B96" s="89"/>
      <c r="C96" s="57">
        <f ca="1">J104</f>
        <v>55</v>
      </c>
      <c r="D96" s="18">
        <f ca="1">((100/H92)*C96)/100</f>
        <v>1</v>
      </c>
      <c r="E96" s="115"/>
      <c r="F96" s="116"/>
      <c r="G96" s="115"/>
      <c r="H96" s="120"/>
      <c r="I96" s="13" t="s">
        <v>99</v>
      </c>
      <c r="J96" s="28">
        <f ca="1">H92</f>
        <v>55</v>
      </c>
    </row>
    <row r="97" spans="1:10" ht="15.75" customHeight="1" x14ac:dyDescent="0.3">
      <c r="A97" s="112" t="s">
        <v>126</v>
      </c>
      <c r="B97" s="89"/>
      <c r="C97" s="42">
        <v>1</v>
      </c>
      <c r="D97" s="18">
        <f ca="1">((100/(D92+F92+H92))*C97)/100</f>
        <v>1.785714285714286E-2</v>
      </c>
      <c r="E97" s="115"/>
      <c r="F97" s="116"/>
      <c r="G97" s="115"/>
      <c r="H97" s="120"/>
      <c r="I97" s="13" t="s">
        <v>100</v>
      </c>
      <c r="J97" s="29">
        <f ca="1">(IF(B92&gt;1,(H92/(B92+2)),H92/4))</f>
        <v>9.1666666666666661</v>
      </c>
    </row>
    <row r="98" spans="1:10" ht="15.75" customHeight="1" x14ac:dyDescent="0.3">
      <c r="A98" s="112" t="s">
        <v>133</v>
      </c>
      <c r="B98" s="89" t="s">
        <v>127</v>
      </c>
      <c r="C98" s="42">
        <v>0</v>
      </c>
      <c r="D98" s="18">
        <f ca="1">((100/H92)*C98)/100</f>
        <v>0</v>
      </c>
      <c r="E98" s="115"/>
      <c r="F98" s="116"/>
      <c r="G98" s="115"/>
      <c r="H98" s="120"/>
      <c r="I98" s="13" t="s">
        <v>101</v>
      </c>
      <c r="J98" s="29">
        <f ca="1">(IF(B92&gt;1,(H92/(B92+2)+J97),H92/4+J97))</f>
        <v>18.333333333333332</v>
      </c>
    </row>
    <row r="99" spans="1:10" ht="15.75" customHeight="1" x14ac:dyDescent="0.3">
      <c r="A99" s="112" t="s">
        <v>134</v>
      </c>
      <c r="B99" s="89" t="s">
        <v>127</v>
      </c>
      <c r="C99" s="42">
        <v>0</v>
      </c>
      <c r="D99" s="18">
        <f ca="1">((100/H92)*C99)/100</f>
        <v>0</v>
      </c>
      <c r="E99" s="115"/>
      <c r="F99" s="116"/>
      <c r="G99" s="115"/>
      <c r="H99" s="120"/>
      <c r="I99" s="13" t="s">
        <v>143</v>
      </c>
      <c r="J99" s="29">
        <f ca="1">(IF(B92&gt;1,(H92/(B92+2)+J98),0))</f>
        <v>27.5</v>
      </c>
    </row>
    <row r="100" spans="1:10" ht="15" customHeight="1" x14ac:dyDescent="0.3">
      <c r="A100" s="112" t="s">
        <v>132</v>
      </c>
      <c r="B100" s="89" t="s">
        <v>129</v>
      </c>
      <c r="C100" s="42">
        <v>0</v>
      </c>
      <c r="D100" s="18">
        <f ca="1">((100/(H92))*C100)/100</f>
        <v>0</v>
      </c>
      <c r="E100" s="115"/>
      <c r="F100" s="116"/>
      <c r="G100" s="115"/>
      <c r="H100" s="120"/>
      <c r="I100" s="13" t="s">
        <v>140</v>
      </c>
      <c r="J100" s="29">
        <f ca="1">(IF(B92&gt;2,(H92/(B92+2)+J99),0))</f>
        <v>36.666666666666664</v>
      </c>
    </row>
    <row r="101" spans="1:10" ht="15.75" customHeight="1" x14ac:dyDescent="0.3">
      <c r="A101" s="112" t="s">
        <v>128</v>
      </c>
      <c r="B101" s="89" t="s">
        <v>128</v>
      </c>
      <c r="C101" s="42">
        <v>0</v>
      </c>
      <c r="D101" s="18">
        <f ca="1">((100/H92)*C101)/100</f>
        <v>0</v>
      </c>
      <c r="E101" s="115"/>
      <c r="F101" s="116"/>
      <c r="G101" s="115"/>
      <c r="H101" s="120"/>
      <c r="I101" s="13" t="s">
        <v>141</v>
      </c>
      <c r="J101" s="30">
        <f ca="1">(IF(B92&gt;3,(H92/(B92+2)+J100),0))</f>
        <v>45.833333333333329</v>
      </c>
    </row>
    <row r="102" spans="1:10" ht="15.75" customHeight="1" x14ac:dyDescent="0.3">
      <c r="A102" s="112" t="s">
        <v>135</v>
      </c>
      <c r="B102" s="89"/>
      <c r="C102" s="42">
        <v>0</v>
      </c>
      <c r="D102" s="18">
        <f ca="1">((100/H92)*C102)/100</f>
        <v>0</v>
      </c>
      <c r="E102" s="115"/>
      <c r="F102" s="116"/>
      <c r="G102" s="115"/>
      <c r="H102" s="120"/>
      <c r="I102" s="13" t="s">
        <v>142</v>
      </c>
      <c r="J102" s="29">
        <f>(IF(B92&gt;4,(H92/(B92+2)+J101),0))</f>
        <v>0</v>
      </c>
    </row>
    <row r="103" spans="1:10" ht="15.75" customHeight="1" x14ac:dyDescent="0.3">
      <c r="A103" s="112" t="s">
        <v>130</v>
      </c>
      <c r="B103" s="89" t="s">
        <v>130</v>
      </c>
      <c r="C103" s="42">
        <v>0</v>
      </c>
      <c r="D103" s="18">
        <f ca="1">((100/(H92))*C103)/100</f>
        <v>0</v>
      </c>
      <c r="E103" s="115"/>
      <c r="F103" s="116"/>
      <c r="G103" s="115"/>
      <c r="H103" s="120"/>
      <c r="I103" s="13" t="s">
        <v>144</v>
      </c>
      <c r="J103" s="29">
        <f>(IF(B92=1,(H92/(B92+3)+J98),IF(B92=0,(H92/4+J98),IF(B92&gt;1,0))))</f>
        <v>0</v>
      </c>
    </row>
    <row r="104" spans="1:10" ht="16.2" thickBot="1" x14ac:dyDescent="0.35">
      <c r="A104" s="188" t="s">
        <v>131</v>
      </c>
      <c r="B104" s="189"/>
      <c r="C104" s="56">
        <v>0</v>
      </c>
      <c r="D104" s="19">
        <f ca="1">((100/(H92))*C104)/100</f>
        <v>0</v>
      </c>
      <c r="E104" s="117"/>
      <c r="F104" s="118"/>
      <c r="G104" s="117"/>
      <c r="H104" s="121"/>
      <c r="I104" s="14" t="s">
        <v>102</v>
      </c>
      <c r="J104" s="31">
        <f ca="1">(IF(B92&gt;1.5,(H92/(B92+2)+J98+MAX(0,J99-J98)+MAX(0,J100-J99)+MAX(0,J101-J100)+MAX(0,J102-J101)+MAX(0,J103-J102)),IF(B92=1,(H92/(B92+3)+J103),IF(B92=0,H92/4+J103))))</f>
        <v>55</v>
      </c>
    </row>
    <row r="105" spans="1:10" ht="32.25" customHeight="1" x14ac:dyDescent="0.3">
      <c r="A105" s="139" t="s">
        <v>137</v>
      </c>
      <c r="B105" s="140"/>
      <c r="C105" s="190" t="str">
        <f>D69</f>
        <v>Wing C = 4B + G + 1st to 23rd + Service Floor + Recreational Floor + 24th to 55th Floor</v>
      </c>
      <c r="D105" s="191"/>
      <c r="E105" s="191"/>
      <c r="F105" s="191"/>
      <c r="G105" s="191"/>
      <c r="H105" s="192"/>
      <c r="I105" s="47" t="str">
        <f ca="1">IF(D118=100%,"All work Completed. Possession granted to the Building.",IF(D117=100%,"All work Completed, Waiting for OC",I106&amp;""&amp;I107&amp;""&amp;J106&amp;""&amp;J105&amp;" "&amp;J107))</f>
        <v>Excavation, Plinth Completed, RCC upto 1 Slab Completed</v>
      </c>
      <c r="J105" s="48" t="str">
        <f ca="1">(IF(C111=(D106+F106+H106),"",IF(C111&gt;0,", RCC upto "&amp;C111&amp;" Slab","")))&amp;(IF(C112=H106,"",IF(C112&gt;0,", Brickwork upto "&amp;C112&amp;" Floor","")))&amp;(IF(C113=H106,"",IF(C113&gt;0,", Internal Plaster upto "&amp;C113&amp;" Floor","")))&amp;(IF(C114=H106,"",IF(C114&gt;0,", External Plaster upto "&amp;C114&amp;" Floor","")))&amp;(IF(C115=H106,"",IF(C115&gt;0,", Flooring upto "&amp;C115&amp;" Floor","")))&amp;(IF(C116=H106,"",IF(C116&gt;0,", Painting upto "&amp;C116&amp;" Floor","")))&amp;(IF(C117=H106,"",IF(C117&gt;0,", Finishing upto "&amp;C117&amp;" Floor","")))&amp;(IF(C118=H106,"",IF(C118&gt;0,", Possession upto "&amp;C118&amp;" Floor","")))</f>
        <v>, RCC upto 1 Slab</v>
      </c>
    </row>
    <row r="106" spans="1:10" x14ac:dyDescent="0.3">
      <c r="A106" s="15" t="s">
        <v>139</v>
      </c>
      <c r="B106" s="45">
        <f>IF(AND(ISNUMBER(SEARCH("1B",C105))),1,IF(AND(ISNUMBER(SEARCH("2B",C105))),2,IF(AND(ISNUMBER(SEARCH("3B",C105))),3,IF(AND(ISNUMBER(SEARCH("4B",C105))),4,IF(ISNUMBER(SEARCH("5B",C105)),5,0)))))</f>
        <v>4</v>
      </c>
      <c r="C106" s="45" t="s">
        <v>73</v>
      </c>
      <c r="D106" s="45">
        <v>1</v>
      </c>
      <c r="E106" s="45" t="s">
        <v>72</v>
      </c>
      <c r="F106" s="45">
        <v>0</v>
      </c>
      <c r="G106" s="46" t="s">
        <v>81</v>
      </c>
      <c r="H106" s="16">
        <f ca="1">--TRIM(RIGHT(SUBSTITUTE(LEFT(C105,_xlfn.AGGREGATE(16,6,FIND({0,1,2,3,4,5,6,7,8,9},C105,ROW(INDIRECT("1:"&amp;LEN(C105)))),1))," ",REPT(" ",LEN(C105))),LEN(C105)))</f>
        <v>55</v>
      </c>
      <c r="I106" s="49" t="str">
        <f ca="1">IF(D109=100%,"Excavation","")&amp;IF(D110=100%,", Plinth","")&amp;IF(D111=100%,", RCC Slab","")&amp;IF(D112=100%,", Brickwork","")&amp;IF(D113=100%,", Internal Plaster","")&amp;IF(D114=100%,", External Plaster","")&amp;IF(D115=100%,", Flooring","")&amp;IF(D116=100%,", Painting","")&amp;IF(D117=100%,", Building common Amenities","")</f>
        <v>Excavation, Plinth</v>
      </c>
      <c r="J106" s="50" t="str">
        <f ca="1">(IF(C109=0,"Work not yet Started.",IF(D109=25%,"Piling work in process",IF(D109=50%,"Excavation work in process",IF(D109=100%,"","0")))))&amp;(IF(C110=0%,"",IF(C110=J111,", Footing work is process",IF(C110=J112,", Footing work Completed",IF(C110=J113,", 1st Basement Completed",IF(C110=J114,", 1st &amp; 2nd Basement Completed",IF(C110=J115,", 1st to 3rd Basement Completed",IF(C110=J116,", 1st to 4th Basement Completed",IF(C110=J117,", Plinth work is process",IF(C110=J118,"","0"))))))))))</f>
        <v/>
      </c>
    </row>
    <row r="107" spans="1:10" x14ac:dyDescent="0.3">
      <c r="A107" s="138" t="s">
        <v>91</v>
      </c>
      <c r="B107" s="111"/>
      <c r="C107" s="104" t="str">
        <f ca="1">I105</f>
        <v>Excavation, Plinth Completed, RCC upto 1 Slab Completed</v>
      </c>
      <c r="D107" s="104"/>
      <c r="E107" s="104"/>
      <c r="F107" s="104"/>
      <c r="G107" s="104"/>
      <c r="H107" s="144"/>
      <c r="I107" s="49" t="str">
        <f ca="1">IF(I106&lt;&gt;""," Completed","")</f>
        <v xml:space="preserve"> Completed</v>
      </c>
      <c r="J107" s="50" t="str">
        <f ca="1">IF(J105&lt;&gt;"","Completed","")</f>
        <v>Completed</v>
      </c>
    </row>
    <row r="108" spans="1:10" ht="15.75" customHeight="1" x14ac:dyDescent="0.3">
      <c r="A108" s="112" t="s">
        <v>49</v>
      </c>
      <c r="B108" s="89"/>
      <c r="C108" s="42" t="s">
        <v>136</v>
      </c>
      <c r="D108" s="42" t="s">
        <v>84</v>
      </c>
      <c r="E108" s="89" t="s">
        <v>86</v>
      </c>
      <c r="F108" s="89"/>
      <c r="G108" s="89" t="s">
        <v>85</v>
      </c>
      <c r="H108" s="110"/>
      <c r="I108" s="13" t="s">
        <v>138</v>
      </c>
      <c r="J108" s="27">
        <f ca="1">H106*25%</f>
        <v>13.75</v>
      </c>
    </row>
    <row r="109" spans="1:10" x14ac:dyDescent="0.3">
      <c r="A109" s="112" t="s">
        <v>125</v>
      </c>
      <c r="B109" s="89"/>
      <c r="C109" s="42">
        <f ca="1">J110</f>
        <v>55</v>
      </c>
      <c r="D109" s="18">
        <f ca="1">((100/H106)*C109)/100</f>
        <v>1</v>
      </c>
      <c r="E109" s="113">
        <f ca="1">(((C110/H106*10)+(40/(D106+F106+H106)*C111)+(7.5/(H106)*C112)+(7.5/(H106)*C113)+(10/H106*C114)+(10/H106*C115)+(5/H106*C116)+(5/H106*C117)+(5/H106*C118))/100)</f>
        <v>0.10714285714285714</v>
      </c>
      <c r="F109" s="114"/>
      <c r="G109" s="113">
        <f ca="1">((((C109/H106)*20)+((C110/H106)*25)+(30/(H106+F106+D106)*C111)+(5/H106*C112)+(5/H106*C113)+(5/H106*C114)+(5/H106*C115)+(0/H106*C116)+(0/H106*C117)+(5/H106*C118))/100)</f>
        <v>0.45535714285714285</v>
      </c>
      <c r="H109" s="119"/>
      <c r="I109" s="13" t="s">
        <v>98</v>
      </c>
      <c r="J109" s="28">
        <f ca="1">H106*50%</f>
        <v>27.5</v>
      </c>
    </row>
    <row r="110" spans="1:10" x14ac:dyDescent="0.3">
      <c r="A110" s="112" t="s">
        <v>50</v>
      </c>
      <c r="B110" s="89"/>
      <c r="C110" s="57">
        <f ca="1">J118</f>
        <v>55</v>
      </c>
      <c r="D110" s="18">
        <f ca="1">((100/H106)*C110)/100</f>
        <v>1</v>
      </c>
      <c r="E110" s="115"/>
      <c r="F110" s="116"/>
      <c r="G110" s="115"/>
      <c r="H110" s="120"/>
      <c r="I110" s="13" t="s">
        <v>99</v>
      </c>
      <c r="J110" s="28">
        <f ca="1">H106</f>
        <v>55</v>
      </c>
    </row>
    <row r="111" spans="1:10" ht="15.75" customHeight="1" x14ac:dyDescent="0.3">
      <c r="A111" s="112" t="s">
        <v>126</v>
      </c>
      <c r="B111" s="89"/>
      <c r="C111" s="42">
        <v>1</v>
      </c>
      <c r="D111" s="18">
        <f ca="1">((100/(D106+F106+H106))*C111)/100</f>
        <v>1.785714285714286E-2</v>
      </c>
      <c r="E111" s="115"/>
      <c r="F111" s="116"/>
      <c r="G111" s="115"/>
      <c r="H111" s="120"/>
      <c r="I111" s="13" t="s">
        <v>100</v>
      </c>
      <c r="J111" s="29">
        <f ca="1">(IF(B106&gt;1,(H106/(B106+2)),H106/4))</f>
        <v>9.1666666666666661</v>
      </c>
    </row>
    <row r="112" spans="1:10" ht="15.75" customHeight="1" x14ac:dyDescent="0.3">
      <c r="A112" s="112" t="s">
        <v>133</v>
      </c>
      <c r="B112" s="89" t="s">
        <v>127</v>
      </c>
      <c r="C112" s="42">
        <v>0</v>
      </c>
      <c r="D112" s="18">
        <f ca="1">((100/H106)*C112)/100</f>
        <v>0</v>
      </c>
      <c r="E112" s="115"/>
      <c r="F112" s="116"/>
      <c r="G112" s="115"/>
      <c r="H112" s="120"/>
      <c r="I112" s="13" t="s">
        <v>101</v>
      </c>
      <c r="J112" s="29">
        <f ca="1">(IF(B106&gt;1,(H106/(B106+2)+J111),H106/4+J111))</f>
        <v>18.333333333333332</v>
      </c>
    </row>
    <row r="113" spans="1:11" ht="15.75" customHeight="1" x14ac:dyDescent="0.3">
      <c r="A113" s="112" t="s">
        <v>134</v>
      </c>
      <c r="B113" s="89" t="s">
        <v>127</v>
      </c>
      <c r="C113" s="42">
        <v>0</v>
      </c>
      <c r="D113" s="18">
        <f ca="1">((100/H106)*C113)/100</f>
        <v>0</v>
      </c>
      <c r="E113" s="115"/>
      <c r="F113" s="116"/>
      <c r="G113" s="115"/>
      <c r="H113" s="120"/>
      <c r="I113" s="13" t="s">
        <v>143</v>
      </c>
      <c r="J113" s="29">
        <f ca="1">(IF(B106&gt;1,(H106/(B106+2)+J112),0))</f>
        <v>27.5</v>
      </c>
    </row>
    <row r="114" spans="1:11" ht="15" customHeight="1" x14ac:dyDescent="0.3">
      <c r="A114" s="112" t="s">
        <v>132</v>
      </c>
      <c r="B114" s="89" t="s">
        <v>129</v>
      </c>
      <c r="C114" s="42">
        <v>0</v>
      </c>
      <c r="D114" s="18">
        <f ca="1">((100/(H106))*C114)/100</f>
        <v>0</v>
      </c>
      <c r="E114" s="115"/>
      <c r="F114" s="116"/>
      <c r="G114" s="115"/>
      <c r="H114" s="120"/>
      <c r="I114" s="13" t="s">
        <v>140</v>
      </c>
      <c r="J114" s="29">
        <f ca="1">(IF(B106&gt;2,(H106/(B106+2)+J113),0))</f>
        <v>36.666666666666664</v>
      </c>
    </row>
    <row r="115" spans="1:11" ht="15.75" customHeight="1" x14ac:dyDescent="0.3">
      <c r="A115" s="112" t="s">
        <v>128</v>
      </c>
      <c r="B115" s="89" t="s">
        <v>128</v>
      </c>
      <c r="C115" s="42">
        <v>0</v>
      </c>
      <c r="D115" s="18">
        <f ca="1">((100/H106)*C115)/100</f>
        <v>0</v>
      </c>
      <c r="E115" s="115"/>
      <c r="F115" s="116"/>
      <c r="G115" s="115"/>
      <c r="H115" s="120"/>
      <c r="I115" s="13" t="s">
        <v>141</v>
      </c>
      <c r="J115" s="30">
        <f ca="1">(IF(B106&gt;3,(H106/(B106+2)+J114),0))</f>
        <v>45.833333333333329</v>
      </c>
    </row>
    <row r="116" spans="1:11" ht="15.75" customHeight="1" x14ac:dyDescent="0.3">
      <c r="A116" s="112" t="s">
        <v>135</v>
      </c>
      <c r="B116" s="89"/>
      <c r="C116" s="42">
        <v>0</v>
      </c>
      <c r="D116" s="18">
        <f ca="1">((100/H106)*C116)/100</f>
        <v>0</v>
      </c>
      <c r="E116" s="115"/>
      <c r="F116" s="116"/>
      <c r="G116" s="115"/>
      <c r="H116" s="120"/>
      <c r="I116" s="13" t="s">
        <v>142</v>
      </c>
      <c r="J116" s="29">
        <f>(IF(B106&gt;4,(H106/(B106+2)+J115),0))</f>
        <v>0</v>
      </c>
    </row>
    <row r="117" spans="1:11" ht="15.75" customHeight="1" x14ac:dyDescent="0.3">
      <c r="A117" s="112" t="s">
        <v>130</v>
      </c>
      <c r="B117" s="89" t="s">
        <v>130</v>
      </c>
      <c r="C117" s="42">
        <v>0</v>
      </c>
      <c r="D117" s="18">
        <f ca="1">((100/(H106))*C117)/100</f>
        <v>0</v>
      </c>
      <c r="E117" s="115"/>
      <c r="F117" s="116"/>
      <c r="G117" s="115"/>
      <c r="H117" s="120"/>
      <c r="I117" s="13" t="s">
        <v>144</v>
      </c>
      <c r="J117" s="29">
        <f>(IF(B106=1,(H106/(B106+3)+J112),IF(B106=0,(H106/4+J112),IF(B106&gt;1,0))))</f>
        <v>0</v>
      </c>
    </row>
    <row r="118" spans="1:11" ht="16.2" thickBot="1" x14ac:dyDescent="0.35">
      <c r="A118" s="188" t="s">
        <v>131</v>
      </c>
      <c r="B118" s="189"/>
      <c r="C118" s="56">
        <v>0</v>
      </c>
      <c r="D118" s="19">
        <f ca="1">((100/(H106))*C118)/100</f>
        <v>0</v>
      </c>
      <c r="E118" s="117"/>
      <c r="F118" s="118"/>
      <c r="G118" s="117"/>
      <c r="H118" s="121"/>
      <c r="I118" s="14" t="s">
        <v>102</v>
      </c>
      <c r="J118" s="31">
        <f ca="1">(IF(B106&gt;1.5,(H106/(B106+2)+J112+MAX(0,J113-J112)+MAX(0,J114-J113)+MAX(0,J115-J114)+MAX(0,J116-J115)+MAX(0,J117-J116)),IF(B106=1,(H106/(B106+3)+J117),IF(B106=0,H106/4+J117))))</f>
        <v>55</v>
      </c>
    </row>
    <row r="119" spans="1:11" x14ac:dyDescent="0.3">
      <c r="A119" s="83" t="s">
        <v>152</v>
      </c>
      <c r="B119" s="83"/>
      <c r="C119" s="83"/>
      <c r="D119" s="83"/>
      <c r="E119" s="83"/>
      <c r="F119" s="82" t="s">
        <v>157</v>
      </c>
      <c r="G119" s="82"/>
      <c r="H119" s="82"/>
    </row>
    <row r="120" spans="1:11" x14ac:dyDescent="0.3">
      <c r="A120" s="66" t="s">
        <v>155</v>
      </c>
      <c r="B120" s="66"/>
      <c r="C120" s="66"/>
      <c r="D120" s="66"/>
      <c r="E120" s="66"/>
      <c r="F120" s="90">
        <v>14000</v>
      </c>
      <c r="G120" s="90"/>
      <c r="H120" s="90"/>
    </row>
    <row r="121" spans="1:11" hidden="1" x14ac:dyDescent="0.3">
      <c r="A121" s="66" t="s">
        <v>154</v>
      </c>
      <c r="B121" s="66"/>
      <c r="C121" s="66"/>
      <c r="D121" s="66"/>
      <c r="E121" s="66"/>
      <c r="F121" s="64"/>
      <c r="G121" s="64"/>
      <c r="H121" s="64"/>
    </row>
    <row r="122" spans="1:11" hidden="1" x14ac:dyDescent="0.3">
      <c r="A122" s="66" t="s">
        <v>156</v>
      </c>
      <c r="B122" s="66"/>
      <c r="C122" s="66"/>
      <c r="D122" s="66"/>
      <c r="E122" s="66"/>
      <c r="F122" s="64"/>
      <c r="G122" s="64"/>
      <c r="H122" s="64"/>
    </row>
    <row r="123" spans="1:11" s="32" customFormat="1" hidden="1" x14ac:dyDescent="0.25">
      <c r="A123" s="66" t="s">
        <v>153</v>
      </c>
      <c r="B123" s="66"/>
      <c r="C123" s="66"/>
      <c r="D123" s="66"/>
      <c r="E123" s="66"/>
      <c r="F123" s="64"/>
      <c r="G123" s="64"/>
      <c r="H123" s="64"/>
    </row>
    <row r="124" spans="1:11" s="32" customFormat="1" x14ac:dyDescent="0.25">
      <c r="A124" s="66" t="s">
        <v>195</v>
      </c>
      <c r="B124" s="66"/>
      <c r="C124" s="66"/>
      <c r="D124" s="66"/>
      <c r="E124" s="66"/>
      <c r="F124" s="64">
        <v>700000</v>
      </c>
      <c r="G124" s="64"/>
      <c r="H124" s="64"/>
      <c r="I124" s="64">
        <v>1387301</v>
      </c>
      <c r="J124" s="64"/>
      <c r="K124" s="64"/>
    </row>
    <row r="125" spans="1:11" s="32" customFormat="1" x14ac:dyDescent="0.25">
      <c r="A125" s="66" t="s">
        <v>196</v>
      </c>
      <c r="B125" s="66"/>
      <c r="C125" s="66"/>
      <c r="D125" s="66"/>
      <c r="E125" s="66"/>
      <c r="F125" s="64">
        <v>50000</v>
      </c>
      <c r="G125" s="64"/>
      <c r="H125" s="64"/>
    </row>
    <row r="126" spans="1:11" s="32" customFormat="1" x14ac:dyDescent="0.25">
      <c r="A126" s="66" t="s">
        <v>97</v>
      </c>
      <c r="B126" s="66"/>
      <c r="C126" s="66"/>
      <c r="D126" s="66"/>
      <c r="E126" s="66"/>
      <c r="F126" s="64">
        <v>50000</v>
      </c>
      <c r="G126" s="64"/>
      <c r="H126" s="64"/>
    </row>
    <row r="127" spans="1:11" s="32" customFormat="1" hidden="1" x14ac:dyDescent="0.25">
      <c r="A127" s="66" t="s">
        <v>96</v>
      </c>
      <c r="B127" s="66"/>
      <c r="C127" s="66"/>
      <c r="D127" s="66"/>
      <c r="E127" s="66"/>
      <c r="F127" s="64"/>
      <c r="G127" s="64"/>
      <c r="H127" s="64"/>
    </row>
    <row r="128" spans="1:11" s="32" customFormat="1" x14ac:dyDescent="0.25">
      <c r="A128" s="66" t="s">
        <v>197</v>
      </c>
      <c r="B128" s="66"/>
      <c r="C128" s="66"/>
      <c r="D128" s="66"/>
      <c r="E128" s="66"/>
      <c r="F128" s="64">
        <v>150000</v>
      </c>
      <c r="G128" s="64"/>
      <c r="H128" s="64"/>
      <c r="I128" s="64">
        <v>173895</v>
      </c>
      <c r="J128" s="64"/>
      <c r="K128" s="64"/>
    </row>
    <row r="129" spans="1:11" s="32" customFormat="1" hidden="1" x14ac:dyDescent="0.25">
      <c r="A129" s="66" t="s">
        <v>97</v>
      </c>
      <c r="B129" s="66"/>
      <c r="C129" s="66"/>
      <c r="D129" s="66"/>
      <c r="E129" s="66"/>
      <c r="F129" s="64"/>
      <c r="G129" s="64"/>
      <c r="H129" s="64"/>
      <c r="I129" s="64"/>
      <c r="J129" s="64"/>
      <c r="K129" s="64"/>
    </row>
    <row r="130" spans="1:11" s="32" customFormat="1" x14ac:dyDescent="0.25">
      <c r="A130" s="66" t="s">
        <v>198</v>
      </c>
      <c r="B130" s="66"/>
      <c r="C130" s="66"/>
      <c r="D130" s="66"/>
      <c r="E130" s="66"/>
      <c r="F130" s="64">
        <v>350000</v>
      </c>
      <c r="G130" s="64"/>
      <c r="H130" s="64"/>
      <c r="I130" s="64">
        <v>649808</v>
      </c>
      <c r="J130" s="64"/>
      <c r="K130" s="64"/>
    </row>
    <row r="131" spans="1:11" x14ac:dyDescent="0.3">
      <c r="A131" s="66" t="s">
        <v>51</v>
      </c>
      <c r="B131" s="66"/>
      <c r="C131" s="66"/>
      <c r="D131" s="66"/>
      <c r="E131" s="66"/>
      <c r="F131" s="64">
        <v>600000</v>
      </c>
      <c r="G131" s="64"/>
      <c r="H131" s="64"/>
    </row>
    <row r="132" spans="1:11" s="33" customFormat="1" x14ac:dyDescent="0.3">
      <c r="A132" s="126" t="s">
        <v>52</v>
      </c>
      <c r="B132" s="126"/>
      <c r="C132" s="126"/>
      <c r="D132" s="126"/>
      <c r="E132" s="126"/>
      <c r="F132" s="64">
        <f>F120*0.8</f>
        <v>11200</v>
      </c>
      <c r="G132" s="64"/>
      <c r="H132" s="64"/>
      <c r="K132" s="33" t="s">
        <v>257</v>
      </c>
    </row>
    <row r="133" spans="1:11" s="34" customFormat="1" x14ac:dyDescent="0.3">
      <c r="A133" s="129" t="s">
        <v>71</v>
      </c>
      <c r="B133" s="129"/>
      <c r="C133" s="129"/>
      <c r="D133" s="129"/>
      <c r="E133" s="129"/>
      <c r="F133" s="129"/>
      <c r="G133" s="129"/>
      <c r="H133" s="129"/>
    </row>
    <row r="134" spans="1:11" s="34" customFormat="1" ht="15.75" customHeight="1" x14ac:dyDescent="0.3">
      <c r="A134" s="86" t="s">
        <v>53</v>
      </c>
      <c r="B134" s="86"/>
      <c r="C134" s="131" t="s">
        <v>79</v>
      </c>
      <c r="D134" s="131"/>
      <c r="E134" s="133" t="s">
        <v>54</v>
      </c>
      <c r="F134" s="133"/>
      <c r="G134" s="86" t="s">
        <v>55</v>
      </c>
      <c r="H134" s="86"/>
    </row>
    <row r="135" spans="1:11" s="34" customFormat="1" x14ac:dyDescent="0.3">
      <c r="A135" s="128" t="s">
        <v>179</v>
      </c>
      <c r="B135" s="128"/>
      <c r="C135" s="132">
        <f>COUNT(D149:D158)*43+COUNT(D161:D169)*9+COUNT(D172:D180)*2</f>
        <v>529</v>
      </c>
      <c r="D135" s="132"/>
      <c r="E135" s="107">
        <f>SUM(D149:D158)*43+SUM(D161:D169)*9+SUM(D172:D180)*2</f>
        <v>374321.42876699992</v>
      </c>
      <c r="F135" s="107"/>
      <c r="G135" s="107">
        <f>SUM(F149:F158)*43+SUM(F161:F169)*9+SUM(F172:F180)*2</f>
        <v>580198.21458885004</v>
      </c>
      <c r="H135" s="107"/>
    </row>
    <row r="136" spans="1:11" s="34" customFormat="1" x14ac:dyDescent="0.3">
      <c r="A136" s="128" t="s">
        <v>215</v>
      </c>
      <c r="B136" s="128"/>
      <c r="C136" s="132">
        <f>COUNT(D185:D194)*18+COUNT(D196:D199,D201:D205)*8+COUNT(D207:D210,D212:D216)*2+COUNT(D219:D228)*25</f>
        <v>520</v>
      </c>
      <c r="D136" s="132"/>
      <c r="E136" s="107">
        <f>SUM(D185:D194)*18+SUM(D196:D199,D201:D205)*8+SUM(D207:D210,D212:D216)*2+SUM(D219:D228)*25</f>
        <v>297863.94292199996</v>
      </c>
      <c r="F136" s="107"/>
      <c r="G136" s="107">
        <f>SUM(F185:F194)*18+SUM(F196:F199,F201:F205)*8+SUM(F207:F210,F212:F216)*2+SUM(F219:F228)*25</f>
        <v>461689.11152909999</v>
      </c>
      <c r="H136" s="107"/>
    </row>
    <row r="137" spans="1:11" s="34" customFormat="1" x14ac:dyDescent="0.3">
      <c r="A137" s="128" t="s">
        <v>225</v>
      </c>
      <c r="B137" s="128"/>
      <c r="C137" s="132">
        <f>COUNT(D234:D239)*18+COUNT(D241:D246)*8+COUNT(D248:D253)*2+COUNT(D256:D261)*25</f>
        <v>318</v>
      </c>
      <c r="D137" s="132"/>
      <c r="E137" s="107">
        <f>SUM(D234:D239)*18+SUM(D241:D246)*8+SUM(D248:D253)*2+SUM(D256:D261)*25</f>
        <v>275463.87970139994</v>
      </c>
      <c r="F137" s="107"/>
      <c r="G137" s="107">
        <f>SUM(F234:F239)*18+SUM(F241:F246)*8+SUM(F248:F253)*2+SUM(F256:F261)*25</f>
        <v>426969.01353716996</v>
      </c>
      <c r="H137" s="107"/>
    </row>
    <row r="138" spans="1:11" s="34" customFormat="1" x14ac:dyDescent="0.3">
      <c r="A138" s="129" t="s">
        <v>147</v>
      </c>
      <c r="B138" s="129"/>
      <c r="C138" s="159">
        <f>SUM(C135:D137)</f>
        <v>1367</v>
      </c>
      <c r="D138" s="131"/>
      <c r="E138" s="159">
        <f>SUM(E135:F137)</f>
        <v>947649.25139039988</v>
      </c>
      <c r="F138" s="131"/>
      <c r="G138" s="159">
        <f>SUM(G135:H137)</f>
        <v>1468856.3396551199</v>
      </c>
      <c r="H138" s="131"/>
    </row>
    <row r="139" spans="1:11" s="33" customFormat="1" x14ac:dyDescent="0.3">
      <c r="A139" s="97" t="s">
        <v>56</v>
      </c>
      <c r="B139" s="97"/>
      <c r="C139" s="97"/>
      <c r="D139" s="97"/>
      <c r="E139" s="97"/>
      <c r="F139" s="97"/>
      <c r="G139" s="97"/>
      <c r="H139" s="97"/>
    </row>
    <row r="140" spans="1:11" x14ac:dyDescent="0.3">
      <c r="A140" s="97" t="s">
        <v>57</v>
      </c>
      <c r="B140" s="97"/>
      <c r="C140" s="97"/>
      <c r="D140" s="97"/>
      <c r="E140" s="97"/>
      <c r="F140" s="97"/>
      <c r="G140" s="97"/>
      <c r="H140" s="97"/>
    </row>
    <row r="141" spans="1:11" ht="47.25" customHeight="1" x14ac:dyDescent="0.3">
      <c r="A141" s="87" t="s">
        <v>117</v>
      </c>
      <c r="B141" s="87" t="s">
        <v>118</v>
      </c>
      <c r="C141" s="87" t="s">
        <v>58</v>
      </c>
      <c r="D141" s="87" t="s">
        <v>59</v>
      </c>
      <c r="E141" s="88" t="s">
        <v>60</v>
      </c>
      <c r="F141" s="62" t="s">
        <v>146</v>
      </c>
      <c r="G141" s="87" t="s">
        <v>61</v>
      </c>
      <c r="H141" s="87"/>
      <c r="I141" s="35"/>
    </row>
    <row r="142" spans="1:11" s="36" customFormat="1" x14ac:dyDescent="0.3">
      <c r="A142" s="87"/>
      <c r="B142" s="87"/>
      <c r="C142" s="87"/>
      <c r="D142" s="87"/>
      <c r="E142" s="88"/>
      <c r="F142" s="63">
        <v>0.55000000000000004</v>
      </c>
      <c r="G142" s="87"/>
      <c r="H142" s="87"/>
      <c r="I142" s="35"/>
    </row>
    <row r="143" spans="1:11" s="36" customFormat="1" x14ac:dyDescent="0.3">
      <c r="A143" s="170" t="s">
        <v>214</v>
      </c>
      <c r="B143" s="171"/>
      <c r="C143" s="171"/>
      <c r="D143" s="171"/>
      <c r="E143" s="171"/>
      <c r="F143" s="171"/>
      <c r="G143" s="171"/>
      <c r="H143" s="172"/>
      <c r="J143" s="35"/>
    </row>
    <row r="144" spans="1:11" s="36" customFormat="1" x14ac:dyDescent="0.3">
      <c r="A144" s="167" t="s">
        <v>179</v>
      </c>
      <c r="B144" s="168"/>
      <c r="C144" s="168"/>
      <c r="D144" s="168"/>
      <c r="E144" s="168"/>
      <c r="F144" s="168"/>
      <c r="G144" s="168"/>
      <c r="H144" s="169"/>
      <c r="J144" s="35"/>
    </row>
    <row r="145" spans="1:14" s="36" customFormat="1" x14ac:dyDescent="0.3">
      <c r="A145" s="91" t="s">
        <v>181</v>
      </c>
      <c r="B145" s="92"/>
      <c r="C145" s="92"/>
      <c r="D145" s="92"/>
      <c r="E145" s="92"/>
      <c r="F145" s="92"/>
      <c r="G145" s="92"/>
      <c r="H145" s="93"/>
      <c r="J145" s="35"/>
    </row>
    <row r="146" spans="1:14" s="36" customFormat="1" x14ac:dyDescent="0.3">
      <c r="A146" s="91" t="s">
        <v>180</v>
      </c>
      <c r="B146" s="92"/>
      <c r="C146" s="92"/>
      <c r="D146" s="92"/>
      <c r="E146" s="92"/>
      <c r="F146" s="92"/>
      <c r="G146" s="92"/>
      <c r="H146" s="93"/>
      <c r="J146" s="35"/>
    </row>
    <row r="147" spans="1:14" s="36" customFormat="1" x14ac:dyDescent="0.3">
      <c r="A147" s="91" t="s">
        <v>182</v>
      </c>
      <c r="B147" s="92"/>
      <c r="C147" s="92"/>
      <c r="D147" s="92"/>
      <c r="E147" s="92"/>
      <c r="F147" s="92"/>
      <c r="G147" s="92"/>
      <c r="H147" s="93"/>
      <c r="J147" s="35"/>
      <c r="M147" s="54" t="s">
        <v>199</v>
      </c>
    </row>
    <row r="148" spans="1:14" s="36" customFormat="1" ht="34.5" customHeight="1" x14ac:dyDescent="0.3">
      <c r="A148" s="91" t="s">
        <v>183</v>
      </c>
      <c r="B148" s="92"/>
      <c r="C148" s="92"/>
      <c r="D148" s="92"/>
      <c r="E148" s="92"/>
      <c r="F148" s="92"/>
      <c r="G148" s="92"/>
      <c r="H148" s="93"/>
      <c r="J148" s="53" t="s">
        <v>192</v>
      </c>
      <c r="K148" s="54" t="s">
        <v>193</v>
      </c>
      <c r="M148" s="35">
        <f>14670125/F149</f>
        <v>13307.088323194101</v>
      </c>
    </row>
    <row r="149" spans="1:14" s="36" customFormat="1" ht="15.75" customHeight="1" x14ac:dyDescent="0.3">
      <c r="A149" s="105">
        <v>1</v>
      </c>
      <c r="B149" s="106"/>
      <c r="C149" s="41" t="s">
        <v>184</v>
      </c>
      <c r="D149" s="52">
        <f>(55.18+1.35*2.275+0.85*3.95+0.85*3.95+0.75*1.48)*(10.764)</f>
        <v>711.24475499999994</v>
      </c>
      <c r="E149" s="41">
        <v>0</v>
      </c>
      <c r="F149" s="41">
        <f t="shared" ref="F149:F158" si="0">D149*(($F$142)+1)+(IF(E149&lt;101,E149,IF(E149&lt;201,E149/2,IF(E149&lt;=301,E149/3,E149/4))))</f>
        <v>1102.4293702499999</v>
      </c>
      <c r="G149" s="161" t="str">
        <f>A148</f>
        <v>2nd to 6th, 8th to 11th, 13th to 16th, 18th to 21st, 23rd, 24th, 26th to 29th, 31st to 34th, 36th to 39th, 41st to 44th, 46th to 49th &amp; 51st to 54th Floor For Residential</v>
      </c>
      <c r="H149" s="162"/>
      <c r="I149" s="51">
        <f>5.5*3.05+2.2*3.5+3.35*3.05+3.65*3.05+2.25*1.375+2.275*1.35+1.145*1.35</f>
        <v>53.53575</v>
      </c>
      <c r="J149" s="35">
        <f>12800000/F149</f>
        <v>11610.721144972145</v>
      </c>
      <c r="K149" s="35">
        <f>12800000/F158</f>
        <v>12309.800245579989</v>
      </c>
      <c r="M149" s="35">
        <f>14670125/F158</f>
        <v>14108.305338100712</v>
      </c>
      <c r="N149" s="35"/>
    </row>
    <row r="150" spans="1:14" s="36" customFormat="1" ht="15.75" customHeight="1" x14ac:dyDescent="0.3">
      <c r="A150" s="105">
        <f t="shared" ref="A150:A158" si="1">A149+1</f>
        <v>2</v>
      </c>
      <c r="B150" s="106"/>
      <c r="C150" s="41" t="s">
        <v>184</v>
      </c>
      <c r="D150" s="52">
        <f>(60.1+2.275*1.44+0.65*3.05+0.75*3.05)*(10.764)</f>
        <v>728.14154399999995</v>
      </c>
      <c r="E150" s="41">
        <v>0</v>
      </c>
      <c r="F150" s="41">
        <f t="shared" si="0"/>
        <v>1128.6193931999999</v>
      </c>
      <c r="G150" s="163"/>
      <c r="H150" s="164"/>
      <c r="I150" s="35"/>
      <c r="K150" s="35">
        <f>13200000/F156</f>
        <v>12279.087358805082</v>
      </c>
      <c r="L150" s="160"/>
      <c r="M150" s="160"/>
      <c r="N150" s="35"/>
    </row>
    <row r="151" spans="1:14" s="36" customFormat="1" ht="15.75" customHeight="1" x14ac:dyDescent="0.3">
      <c r="A151" s="105">
        <f t="shared" si="1"/>
        <v>3</v>
      </c>
      <c r="B151" s="106"/>
      <c r="C151" s="41" t="s">
        <v>184</v>
      </c>
      <c r="D151" s="52">
        <f>(56.82+2.275*1.335+0.75*(3.05+3.05))*(10.764)</f>
        <v>693.5473935</v>
      </c>
      <c r="E151" s="41">
        <v>0</v>
      </c>
      <c r="F151" s="41">
        <f t="shared" si="0"/>
        <v>1074.9984599250001</v>
      </c>
      <c r="G151" s="163"/>
      <c r="H151" s="164"/>
      <c r="I151" s="35"/>
      <c r="K151" s="35">
        <f>14000000/F149</f>
        <v>12699.226252313283</v>
      </c>
      <c r="L151" s="160"/>
      <c r="M151" s="160"/>
      <c r="N151" s="35"/>
    </row>
    <row r="152" spans="1:14" s="36" customFormat="1" ht="15.75" customHeight="1" x14ac:dyDescent="0.3">
      <c r="A152" s="105">
        <f t="shared" si="1"/>
        <v>4</v>
      </c>
      <c r="B152" s="106"/>
      <c r="C152" s="41" t="s">
        <v>184</v>
      </c>
      <c r="D152" s="52">
        <f>(60.17+2.275*1.44+0.75*3.05+0.7*3.05)*(10.764)</f>
        <v>730.53653399999996</v>
      </c>
      <c r="E152" s="41">
        <v>0</v>
      </c>
      <c r="F152" s="41">
        <f t="shared" si="0"/>
        <v>1132.3316276999999</v>
      </c>
      <c r="G152" s="163"/>
      <c r="H152" s="164"/>
      <c r="I152" s="52">
        <f>10.764</f>
        <v>10.763999999999999</v>
      </c>
      <c r="K152" s="53">
        <f>AVERAGE(K149:K151)</f>
        <v>12429.371285566116</v>
      </c>
      <c r="L152" s="160"/>
      <c r="M152" s="160"/>
      <c r="N152" s="35"/>
    </row>
    <row r="153" spans="1:14" s="36" customFormat="1" x14ac:dyDescent="0.3">
      <c r="A153" s="105">
        <f t="shared" si="1"/>
        <v>5</v>
      </c>
      <c r="B153" s="106"/>
      <c r="C153" s="41" t="s">
        <v>184</v>
      </c>
      <c r="D153" s="52">
        <f>(55.18+1.35*2.275+0.75*(1.48+3.95))*(10.764)</f>
        <v>670.85284499999989</v>
      </c>
      <c r="E153" s="41">
        <v>0</v>
      </c>
      <c r="F153" s="41">
        <f t="shared" si="0"/>
        <v>1039.8219097499998</v>
      </c>
      <c r="G153" s="163"/>
      <c r="H153" s="164"/>
      <c r="I153" s="55" t="s">
        <v>194</v>
      </c>
      <c r="L153" s="160"/>
      <c r="M153" s="160"/>
      <c r="N153" s="35"/>
    </row>
    <row r="154" spans="1:14" s="36" customFormat="1" x14ac:dyDescent="0.3">
      <c r="A154" s="105">
        <f t="shared" si="1"/>
        <v>6</v>
      </c>
      <c r="B154" s="106"/>
      <c r="C154" s="41" t="s">
        <v>184</v>
      </c>
      <c r="D154" s="52">
        <f>(55.18+1.35*2.275+0.75*(1.48+3.95))*(10.764)</f>
        <v>670.85284499999989</v>
      </c>
      <c r="E154" s="41">
        <v>0</v>
      </c>
      <c r="F154" s="41">
        <f t="shared" si="0"/>
        <v>1039.8219097499998</v>
      </c>
      <c r="G154" s="163"/>
      <c r="H154" s="164"/>
      <c r="I154" s="35"/>
      <c r="L154" s="160"/>
      <c r="M154" s="160"/>
      <c r="N154" s="35"/>
    </row>
    <row r="155" spans="1:14" s="36" customFormat="1" x14ac:dyDescent="0.3">
      <c r="A155" s="105">
        <f t="shared" si="1"/>
        <v>7</v>
      </c>
      <c r="B155" s="106"/>
      <c r="C155" s="41" t="s">
        <v>184</v>
      </c>
      <c r="D155" s="52">
        <f>(60.29+2.275*1.44+0.75*(3.05+3.05))*(10.764)</f>
        <v>733.46972400000004</v>
      </c>
      <c r="E155" s="41">
        <v>0</v>
      </c>
      <c r="F155" s="41">
        <f t="shared" si="0"/>
        <v>1136.8780722000001</v>
      </c>
      <c r="G155" s="163"/>
      <c r="H155" s="164"/>
      <c r="I155" s="35"/>
      <c r="K155" s="36">
        <f>F155*10</f>
        <v>11368.780722000001</v>
      </c>
      <c r="L155" s="160"/>
      <c r="M155" s="160"/>
      <c r="N155" s="35"/>
    </row>
    <row r="156" spans="1:14" s="36" customFormat="1" x14ac:dyDescent="0.3">
      <c r="A156" s="105">
        <f t="shared" si="1"/>
        <v>8</v>
      </c>
      <c r="B156" s="106"/>
      <c r="C156" s="41" t="s">
        <v>184</v>
      </c>
      <c r="D156" s="52">
        <f>(56.82+2.275*1.335+0.75*(3.05+3.05))*(10.764)</f>
        <v>693.5473935</v>
      </c>
      <c r="E156" s="41">
        <v>0</v>
      </c>
      <c r="F156" s="41">
        <f t="shared" si="0"/>
        <v>1074.9984599250001</v>
      </c>
      <c r="G156" s="163"/>
      <c r="H156" s="164"/>
      <c r="I156" s="35"/>
      <c r="K156" s="36">
        <f>K155*24</f>
        <v>272850.73732800002</v>
      </c>
      <c r="L156" s="160"/>
      <c r="M156" s="160"/>
      <c r="N156" s="35"/>
    </row>
    <row r="157" spans="1:14" s="36" customFormat="1" x14ac:dyDescent="0.3">
      <c r="A157" s="105">
        <f t="shared" si="1"/>
        <v>9</v>
      </c>
      <c r="B157" s="106"/>
      <c r="C157" s="41" t="s">
        <v>184</v>
      </c>
      <c r="D157" s="52">
        <f>(60.1+2.275*1.44+0.75*(3.05+3.05))*(10.764)</f>
        <v>731.42456400000003</v>
      </c>
      <c r="E157" s="41">
        <v>0</v>
      </c>
      <c r="F157" s="41">
        <f t="shared" si="0"/>
        <v>1133.7080742000001</v>
      </c>
      <c r="G157" s="163"/>
      <c r="H157" s="164"/>
      <c r="I157" s="35"/>
      <c r="L157" s="160"/>
      <c r="M157" s="160"/>
      <c r="N157" s="35"/>
    </row>
    <row r="158" spans="1:14" s="36" customFormat="1" x14ac:dyDescent="0.3">
      <c r="A158" s="105">
        <f t="shared" si="1"/>
        <v>10</v>
      </c>
      <c r="B158" s="106"/>
      <c r="C158" s="41" t="s">
        <v>184</v>
      </c>
      <c r="D158" s="52">
        <f>(55.18+1.35*2.275+0.75*(1.48+3.95))*(10.764)</f>
        <v>670.85284499999989</v>
      </c>
      <c r="E158" s="41">
        <v>0</v>
      </c>
      <c r="F158" s="41">
        <f t="shared" si="0"/>
        <v>1039.8219097499998</v>
      </c>
      <c r="G158" s="165"/>
      <c r="H158" s="166"/>
      <c r="I158" s="35"/>
      <c r="L158" s="160"/>
      <c r="M158" s="160"/>
      <c r="N158" s="35"/>
    </row>
    <row r="159" spans="1:14" s="36" customFormat="1" x14ac:dyDescent="0.3">
      <c r="A159" s="127" t="s">
        <v>187</v>
      </c>
      <c r="B159" s="127"/>
      <c r="C159" s="127"/>
      <c r="D159" s="127"/>
      <c r="E159" s="127"/>
      <c r="F159" s="127"/>
      <c r="G159" s="127"/>
      <c r="H159" s="127"/>
      <c r="I159" s="35"/>
      <c r="L159" s="160"/>
      <c r="M159" s="160"/>
    </row>
    <row r="160" spans="1:14" s="36" customFormat="1" ht="15.75" customHeight="1" x14ac:dyDescent="0.3">
      <c r="A160" s="85">
        <v>1</v>
      </c>
      <c r="B160" s="85"/>
      <c r="C160" s="105" t="s">
        <v>188</v>
      </c>
      <c r="D160" s="174"/>
      <c r="E160" s="174"/>
      <c r="F160" s="106"/>
      <c r="G160" s="161" t="str">
        <f>A159</f>
        <v>7th, 12th, 17th, 30th, 35th, 40th, 45th, 50th, 55th Floor (Part Refuge Area)</v>
      </c>
      <c r="H160" s="162"/>
      <c r="I160" s="35"/>
      <c r="N160" s="35"/>
    </row>
    <row r="161" spans="1:14" s="36" customFormat="1" ht="15.75" customHeight="1" x14ac:dyDescent="0.3">
      <c r="A161" s="85">
        <f>A160+1</f>
        <v>2</v>
      </c>
      <c r="B161" s="85"/>
      <c r="C161" s="41" t="s">
        <v>189</v>
      </c>
      <c r="D161" s="52">
        <f>(78.51+2.275*1.44+0.75*(3.05+1.48))*(10.764)</f>
        <v>916.91519399999993</v>
      </c>
      <c r="E161" s="41">
        <v>0</v>
      </c>
      <c r="F161" s="41">
        <f>D161*(($F$142)+1)+(IF(E161&lt;101,E161,IF(E161&lt;201,E161/2,IF(E161&lt;=301,E161/3,E161/4))))</f>
        <v>1421.2185506999999</v>
      </c>
      <c r="G161" s="163"/>
      <c r="H161" s="164"/>
      <c r="I161" s="35">
        <f>3.05*6.035+1.2*1.36+3.65*3.05+2.25*1.375+1.35*2.25+3.05*3.95+2.2*2.595+1.8*1.5+1*2.4+3.05*3.35+1.35*2.275+0.9*1.35</f>
        <v>74.662750000000017</v>
      </c>
      <c r="N161" s="35"/>
    </row>
    <row r="162" spans="1:14" s="36" customFormat="1" ht="15.75" customHeight="1" x14ac:dyDescent="0.3">
      <c r="A162" s="85">
        <f>A161+1</f>
        <v>3</v>
      </c>
      <c r="B162" s="85"/>
      <c r="C162" s="41" t="s">
        <v>184</v>
      </c>
      <c r="D162" s="52">
        <f>(56.82+2.275*1.335+0.75*(3.05+3.05))*(10.764)</f>
        <v>693.5473935</v>
      </c>
      <c r="E162" s="41">
        <v>0</v>
      </c>
      <c r="F162" s="41">
        <f>D162*(($F$142)+1)+(IF(E162&lt;101,E162,IF(E162&lt;201,E162/2,IF(E162&lt;=301,E162/3,E162/4))))</f>
        <v>1074.9984599250001</v>
      </c>
      <c r="G162" s="163"/>
      <c r="H162" s="164"/>
      <c r="I162" s="35"/>
      <c r="N162" s="35"/>
    </row>
    <row r="163" spans="1:14" s="36" customFormat="1" ht="15.75" customHeight="1" x14ac:dyDescent="0.3">
      <c r="A163" s="85">
        <f>A162+1</f>
        <v>4</v>
      </c>
      <c r="B163" s="85"/>
      <c r="C163" s="41" t="s">
        <v>184</v>
      </c>
      <c r="D163" s="52">
        <f>(60.17+2.275*1.44+0.75*3.05+0.7*3.05)*(10.764)</f>
        <v>730.53653399999996</v>
      </c>
      <c r="E163" s="41">
        <v>0</v>
      </c>
      <c r="F163" s="41">
        <f>D163*(($F$142)+1)+(IF(E163&lt;101,E163,IF(E163&lt;201,E163/2,IF(E163&lt;=301,E163/3,E163/4))))</f>
        <v>1132.3316276999999</v>
      </c>
      <c r="G163" s="163"/>
      <c r="H163" s="164"/>
      <c r="I163" s="35"/>
      <c r="N163" s="35"/>
    </row>
    <row r="164" spans="1:14" s="36" customFormat="1" ht="15.75" customHeight="1" x14ac:dyDescent="0.3">
      <c r="A164" s="85">
        <f>A163+1</f>
        <v>5</v>
      </c>
      <c r="B164" s="85"/>
      <c r="C164" s="41" t="s">
        <v>184</v>
      </c>
      <c r="D164" s="52">
        <f>(55.18+1.35*2.275+0.75*(1.48+3.95))*(10.764)</f>
        <v>670.85284499999989</v>
      </c>
      <c r="E164" s="41">
        <v>0</v>
      </c>
      <c r="F164" s="41">
        <f>D164*(($F$142)+1)+(IF(E164&lt;101,E164,IF(E164&lt;201,E164/2,IF(E164&lt;=301,E164/3,E164/4))))</f>
        <v>1039.8219097499998</v>
      </c>
      <c r="G164" s="163"/>
      <c r="H164" s="164"/>
      <c r="I164" s="35"/>
      <c r="N164" s="35"/>
    </row>
    <row r="165" spans="1:14" s="36" customFormat="1" x14ac:dyDescent="0.3">
      <c r="A165" s="85">
        <f t="shared" ref="A165:A169" si="2">A164+1</f>
        <v>6</v>
      </c>
      <c r="B165" s="85"/>
      <c r="C165" s="41" t="s">
        <v>184</v>
      </c>
      <c r="D165" s="52">
        <f>(57.88+1.35*2.275+0.75*(1.48+1.9))*(10.764)</f>
        <v>683.36599499999988</v>
      </c>
      <c r="E165" s="41">
        <v>0</v>
      </c>
      <c r="F165" s="41">
        <f t="shared" ref="F165:F166" si="3">D165*(($F$142)+1)+(IF(E165&lt;101,E165,IF(E165&lt;201,E165/2,IF(E165&lt;=301,E165/3,E165/4))))</f>
        <v>1059.2172922499999</v>
      </c>
      <c r="G165" s="163"/>
      <c r="H165" s="164"/>
      <c r="I165" s="35"/>
      <c r="N165" s="35"/>
    </row>
    <row r="166" spans="1:14" s="36" customFormat="1" x14ac:dyDescent="0.3">
      <c r="A166" s="85">
        <f t="shared" si="2"/>
        <v>7</v>
      </c>
      <c r="B166" s="85"/>
      <c r="C166" s="41" t="s">
        <v>184</v>
      </c>
      <c r="D166" s="52">
        <f>(60.29+2.275*1.44+0.75*(3.05+3.05))*(10.764)</f>
        <v>733.46972400000004</v>
      </c>
      <c r="E166" s="41">
        <v>0</v>
      </c>
      <c r="F166" s="41">
        <f t="shared" si="3"/>
        <v>1136.8780722000001</v>
      </c>
      <c r="G166" s="163"/>
      <c r="H166" s="164"/>
      <c r="I166" s="35"/>
      <c r="N166" s="35"/>
    </row>
    <row r="167" spans="1:14" s="36" customFormat="1" x14ac:dyDescent="0.3">
      <c r="A167" s="85">
        <f t="shared" si="2"/>
        <v>8</v>
      </c>
      <c r="B167" s="85"/>
      <c r="C167" s="41" t="s">
        <v>184</v>
      </c>
      <c r="D167" s="52">
        <f>(59.74+2.275*1.335+0.75*(3.05+1))*(10.764)</f>
        <v>708.42862349999984</v>
      </c>
      <c r="E167" s="41">
        <v>0</v>
      </c>
      <c r="F167" s="41">
        <f>D167*(($F$142)+1)+(IF(E167&lt;101,E167,IF(E167&lt;201,E167/2,IF(E167&lt;=301,E167/3,E167/4))))</f>
        <v>1098.0643664249999</v>
      </c>
      <c r="G167" s="163"/>
      <c r="H167" s="164"/>
      <c r="I167" s="35"/>
      <c r="N167" s="35"/>
    </row>
    <row r="168" spans="1:14" s="36" customFormat="1" x14ac:dyDescent="0.3">
      <c r="A168" s="85">
        <f t="shared" si="2"/>
        <v>9</v>
      </c>
      <c r="B168" s="85"/>
      <c r="C168" s="41" t="s">
        <v>184</v>
      </c>
      <c r="D168" s="52">
        <f>(60.1+2.275*1.44+0.75*(3.05+3.05))*(10.764)</f>
        <v>731.42456400000003</v>
      </c>
      <c r="E168" s="41">
        <v>0</v>
      </c>
      <c r="F168" s="41">
        <f>D168*(($F$142)+1)+(IF(E168&lt;101,E168,IF(E168&lt;201,E168/2,IF(E168&lt;=301,E168/3,E168/4))))</f>
        <v>1133.7080742000001</v>
      </c>
      <c r="G168" s="163"/>
      <c r="H168" s="164"/>
      <c r="I168" s="35"/>
      <c r="N168" s="35"/>
    </row>
    <row r="169" spans="1:14" s="36" customFormat="1" x14ac:dyDescent="0.3">
      <c r="A169" s="85">
        <f t="shared" si="2"/>
        <v>10</v>
      </c>
      <c r="B169" s="85"/>
      <c r="C169" s="41" t="s">
        <v>184</v>
      </c>
      <c r="D169" s="52">
        <f>(55.18+1.35*2.275+0.75*(1.48+3.95))*(10.764)</f>
        <v>670.85284499999989</v>
      </c>
      <c r="E169" s="41">
        <v>0</v>
      </c>
      <c r="F169" s="41">
        <f>D169*(($F$142)+1)+(IF(E169&lt;101,E169,IF(E169&lt;201,E169/2,IF(E169&lt;=301,E169/3,E169/4))))</f>
        <v>1039.8219097499998</v>
      </c>
      <c r="G169" s="165"/>
      <c r="H169" s="166"/>
      <c r="I169" s="35"/>
      <c r="N169" s="35"/>
    </row>
    <row r="170" spans="1:14" s="36" customFormat="1" x14ac:dyDescent="0.3">
      <c r="A170" s="127" t="s">
        <v>186</v>
      </c>
      <c r="B170" s="127"/>
      <c r="C170" s="127"/>
      <c r="D170" s="127"/>
      <c r="E170" s="127"/>
      <c r="F170" s="127"/>
      <c r="G170" s="127"/>
      <c r="H170" s="127"/>
      <c r="I170" s="35"/>
      <c r="L170" s="160"/>
      <c r="M170" s="160"/>
    </row>
    <row r="171" spans="1:14" s="36" customFormat="1" ht="15.75" customHeight="1" x14ac:dyDescent="0.3">
      <c r="A171" s="85">
        <v>1</v>
      </c>
      <c r="B171" s="85"/>
      <c r="C171" s="85" t="s">
        <v>188</v>
      </c>
      <c r="D171" s="85"/>
      <c r="E171" s="85"/>
      <c r="F171" s="85"/>
      <c r="G171" s="85" t="str">
        <f>A170</f>
        <v>22nd &amp; 25th Floor</v>
      </c>
      <c r="H171" s="85"/>
      <c r="I171" s="35"/>
      <c r="N171" s="35"/>
    </row>
    <row r="172" spans="1:14" s="36" customFormat="1" ht="15.75" customHeight="1" x14ac:dyDescent="0.3">
      <c r="A172" s="85">
        <f>A171+1</f>
        <v>2</v>
      </c>
      <c r="B172" s="85"/>
      <c r="C172" s="41" t="s">
        <v>189</v>
      </c>
      <c r="D172" s="52">
        <f>(75.81+2.275*1.44+0.65*3.05+0.75*3.05)*(10.764)</f>
        <v>897.24398399999984</v>
      </c>
      <c r="E172" s="41">
        <v>0</v>
      </c>
      <c r="F172" s="41">
        <f>D172*(($F$142)+1)+(IF(E172&lt;101,E172,IF(E172&lt;201,E172/2,IF(E172&lt;=301,E172/3,E172/4))))</f>
        <v>1390.7281751999999</v>
      </c>
      <c r="G172" s="85"/>
      <c r="H172" s="85"/>
      <c r="I172" s="35"/>
      <c r="N172" s="35"/>
    </row>
    <row r="173" spans="1:14" s="36" customFormat="1" ht="15.75" customHeight="1" x14ac:dyDescent="0.3">
      <c r="A173" s="85">
        <f>A172+1</f>
        <v>3</v>
      </c>
      <c r="B173" s="85"/>
      <c r="C173" s="41" t="s">
        <v>184</v>
      </c>
      <c r="D173" s="52">
        <f>(56.82+2.275*1.335+0.75*(3.05+3.05))*(10.764)</f>
        <v>693.5473935</v>
      </c>
      <c r="E173" s="41">
        <v>0</v>
      </c>
      <c r="F173" s="41">
        <f>D173*(($F$142)+1)+(IF(E173&lt;101,E173,IF(E173&lt;201,E173/2,IF(E173&lt;=301,E173/3,E173/4))))</f>
        <v>1074.9984599250001</v>
      </c>
      <c r="G173" s="85"/>
      <c r="H173" s="85"/>
      <c r="I173" s="35"/>
      <c r="N173" s="35"/>
    </row>
    <row r="174" spans="1:14" s="36" customFormat="1" ht="15.75" customHeight="1" x14ac:dyDescent="0.3">
      <c r="A174" s="85">
        <f>A173+1</f>
        <v>4</v>
      </c>
      <c r="B174" s="85"/>
      <c r="C174" s="41" t="s">
        <v>184</v>
      </c>
      <c r="D174" s="52">
        <f>(60.17+2.275*1.44+0.75*3.05+0.7*3.05)*(10.764)</f>
        <v>730.53653399999996</v>
      </c>
      <c r="E174" s="41">
        <v>0</v>
      </c>
      <c r="F174" s="41">
        <f>D174*(($F$142)+1)+(IF(E174&lt;101,E174,IF(E174&lt;201,E174/2,IF(E174&lt;=301,E174/3,E174/4))))</f>
        <v>1132.3316276999999</v>
      </c>
      <c r="G174" s="85"/>
      <c r="H174" s="85"/>
      <c r="I174" s="35"/>
      <c r="N174" s="35"/>
    </row>
    <row r="175" spans="1:14" s="36" customFormat="1" ht="15.75" customHeight="1" x14ac:dyDescent="0.3">
      <c r="A175" s="85">
        <f>A174+1</f>
        <v>5</v>
      </c>
      <c r="B175" s="85"/>
      <c r="C175" s="41" t="s">
        <v>184</v>
      </c>
      <c r="D175" s="52">
        <f>(55.18+1.35*2.275+0.75*(1.48+3.95))*(10.764)</f>
        <v>670.85284499999989</v>
      </c>
      <c r="E175" s="41">
        <v>0</v>
      </c>
      <c r="F175" s="41">
        <f>D175*(($F$142)+1)+(IF(E175&lt;101,E175,IF(E175&lt;201,E175/2,IF(E175&lt;=301,E175/3,E175/4))))</f>
        <v>1039.8219097499998</v>
      </c>
      <c r="G175" s="85"/>
      <c r="H175" s="85"/>
      <c r="I175" s="35"/>
      <c r="N175" s="35"/>
    </row>
    <row r="176" spans="1:14" s="36" customFormat="1" x14ac:dyDescent="0.3">
      <c r="A176" s="85">
        <f t="shared" ref="A176:A180" si="4">A175+1</f>
        <v>6</v>
      </c>
      <c r="B176" s="85"/>
      <c r="C176" s="41" t="s">
        <v>184</v>
      </c>
      <c r="D176" s="52">
        <f>(55.18+1.35*2.275+0.75*(1.48+3.95))*(10.764)</f>
        <v>670.85284499999989</v>
      </c>
      <c r="E176" s="41">
        <v>0</v>
      </c>
      <c r="F176" s="41">
        <f t="shared" ref="F176:F177" si="5">D176*(($F$142)+1)+(IF(E176&lt;101,E176,IF(E176&lt;201,E176/2,IF(E176&lt;=301,E176/3,E176/4))))</f>
        <v>1039.8219097499998</v>
      </c>
      <c r="G176" s="85"/>
      <c r="H176" s="85"/>
      <c r="I176" s="35"/>
      <c r="N176" s="35"/>
    </row>
    <row r="177" spans="1:14" s="36" customFormat="1" x14ac:dyDescent="0.3">
      <c r="A177" s="85">
        <f t="shared" si="4"/>
        <v>7</v>
      </c>
      <c r="B177" s="85"/>
      <c r="C177" s="41" t="s">
        <v>184</v>
      </c>
      <c r="D177" s="52">
        <f>(60.29+2.275*1.44+0.75*(3.05+3.05))*(10.764)</f>
        <v>733.46972400000004</v>
      </c>
      <c r="E177" s="41">
        <v>0</v>
      </c>
      <c r="F177" s="41">
        <f t="shared" si="5"/>
        <v>1136.8780722000001</v>
      </c>
      <c r="G177" s="85"/>
      <c r="H177" s="85"/>
      <c r="I177" s="35"/>
      <c r="N177" s="35"/>
    </row>
    <row r="178" spans="1:14" s="36" customFormat="1" x14ac:dyDescent="0.3">
      <c r="A178" s="85">
        <f t="shared" si="4"/>
        <v>8</v>
      </c>
      <c r="B178" s="85"/>
      <c r="C178" s="41" t="s">
        <v>184</v>
      </c>
      <c r="D178" s="52">
        <f>(56.82+2.275*1.335+0.75*(3.05+3.05))*(10.764)</f>
        <v>693.5473935</v>
      </c>
      <c r="E178" s="41">
        <v>0</v>
      </c>
      <c r="F178" s="41">
        <f>D178*(($F$142)+1)+(IF(E178&lt;101,E178,IF(E178&lt;201,E178/2,IF(E178&lt;=301,E178/3,E178/4))))</f>
        <v>1074.9984599250001</v>
      </c>
      <c r="G178" s="85"/>
      <c r="H178" s="85"/>
      <c r="I178" s="35"/>
      <c r="N178" s="35"/>
    </row>
    <row r="179" spans="1:14" s="36" customFormat="1" x14ac:dyDescent="0.3">
      <c r="A179" s="85">
        <f t="shared" si="4"/>
        <v>9</v>
      </c>
      <c r="B179" s="85"/>
      <c r="C179" s="41" t="s">
        <v>184</v>
      </c>
      <c r="D179" s="52">
        <f>(60.1+2.275*1.44+0.75*(3.05+3.05))*(10.764)</f>
        <v>731.42456400000003</v>
      </c>
      <c r="E179" s="41">
        <v>0</v>
      </c>
      <c r="F179" s="41">
        <f>D179*(($F$142)+1)+(IF(E179&lt;101,E179,IF(E179&lt;201,E179/2,IF(E179&lt;=301,E179/3,E179/4))))</f>
        <v>1133.7080742000001</v>
      </c>
      <c r="G179" s="85"/>
      <c r="H179" s="85"/>
      <c r="I179" s="35"/>
      <c r="N179" s="35"/>
    </row>
    <row r="180" spans="1:14" s="36" customFormat="1" x14ac:dyDescent="0.3">
      <c r="A180" s="85">
        <f t="shared" si="4"/>
        <v>10</v>
      </c>
      <c r="B180" s="85"/>
      <c r="C180" s="41" t="s">
        <v>184</v>
      </c>
      <c r="D180" s="52">
        <f>(55.18+1.35*2.275+0.75*(1.48+3.95))*(10.764)</f>
        <v>670.85284499999989</v>
      </c>
      <c r="E180" s="41">
        <v>0</v>
      </c>
      <c r="F180" s="41">
        <f>D180*(($F$142)+1)+(IF(E180&lt;101,E180,IF(E180&lt;201,E180/2,IF(E180&lt;=301,E180/3,E180/4))))</f>
        <v>1039.8219097499998</v>
      </c>
      <c r="G180" s="85"/>
      <c r="H180" s="85"/>
      <c r="I180" s="35"/>
      <c r="N180" s="35"/>
    </row>
    <row r="181" spans="1:14" s="36" customFormat="1" x14ac:dyDescent="0.3">
      <c r="A181" s="193" t="s">
        <v>215</v>
      </c>
      <c r="B181" s="193"/>
      <c r="C181" s="193"/>
      <c r="D181" s="193"/>
      <c r="E181" s="193"/>
      <c r="F181" s="193"/>
      <c r="G181" s="193"/>
      <c r="H181" s="193"/>
      <c r="J181" s="35"/>
    </row>
    <row r="182" spans="1:14" s="36" customFormat="1" x14ac:dyDescent="0.3">
      <c r="A182" s="127" t="s">
        <v>254</v>
      </c>
      <c r="B182" s="127"/>
      <c r="C182" s="127"/>
      <c r="D182" s="127"/>
      <c r="E182" s="127"/>
      <c r="F182" s="127"/>
      <c r="G182" s="127"/>
      <c r="H182" s="127"/>
      <c r="J182" s="35"/>
    </row>
    <row r="183" spans="1:14" s="36" customFormat="1" x14ac:dyDescent="0.3">
      <c r="A183" s="127" t="s">
        <v>246</v>
      </c>
      <c r="B183" s="127"/>
      <c r="C183" s="127"/>
      <c r="D183" s="127"/>
      <c r="E183" s="127"/>
      <c r="F183" s="127"/>
      <c r="G183" s="127"/>
      <c r="H183" s="127"/>
      <c r="J183" s="35"/>
    </row>
    <row r="184" spans="1:14" s="36" customFormat="1" x14ac:dyDescent="0.3">
      <c r="A184" s="127" t="s">
        <v>220</v>
      </c>
      <c r="B184" s="127"/>
      <c r="C184" s="127"/>
      <c r="D184" s="127"/>
      <c r="E184" s="127"/>
      <c r="F184" s="127"/>
      <c r="G184" s="127"/>
      <c r="H184" s="127"/>
      <c r="I184" s="36">
        <f>6+4+4+4</f>
        <v>18</v>
      </c>
      <c r="J184" s="53"/>
      <c r="K184" s="54"/>
      <c r="M184" s="35"/>
    </row>
    <row r="185" spans="1:14" s="36" customFormat="1" ht="15.75" customHeight="1" x14ac:dyDescent="0.3">
      <c r="A185" s="85">
        <v>1</v>
      </c>
      <c r="B185" s="85"/>
      <c r="C185" s="41" t="s">
        <v>184</v>
      </c>
      <c r="D185" s="52">
        <f>(5.3*3.05+2.2*2.75+3.2*2.75+3.4*3.05+2.25*1.35+2.25*1.375+1.2*1.1+1.72*0.45+1.6*0.6+1.7*0.9)*10.764</f>
        <v>560.80709100000001</v>
      </c>
      <c r="E185" s="41">
        <v>0</v>
      </c>
      <c r="F185" s="41">
        <f t="shared" ref="F185:F194" si="6">D185*(($F$142)+1)+(IF(E185&lt;101,E185,IF(E185&lt;201,E185/2,IF(E185&lt;=301,E185/3,E185/4))))</f>
        <v>869.25099105000004</v>
      </c>
      <c r="G185" s="85" t="str">
        <f>A184</f>
        <v>1st to 6th, 8th to 11th, 13th to 16th &amp; 18th to 21st Floor For Residential</v>
      </c>
      <c r="H185" s="85"/>
      <c r="I185" s="51"/>
      <c r="J185" s="35"/>
      <c r="K185" s="35"/>
      <c r="M185" s="35"/>
      <c r="N185" s="35"/>
    </row>
    <row r="186" spans="1:14" s="36" customFormat="1" ht="15.75" customHeight="1" x14ac:dyDescent="0.3">
      <c r="A186" s="85">
        <f t="shared" ref="A186:A194" si="7">A185+1</f>
        <v>2</v>
      </c>
      <c r="B186" s="85"/>
      <c r="C186" s="41" t="s">
        <v>184</v>
      </c>
      <c r="D186" s="52">
        <f>(3.05*2.75+2.95*2.55+2.2*2.6+3.4*3.05+2.75*2.75+1.35*2.25+2.25*1.35+1.05*2.4+2.5*0.9+0.9*1.3+1.75*0.6+1.8*0.9)*10.764</f>
        <v>583.92008999999996</v>
      </c>
      <c r="E186" s="41">
        <v>0</v>
      </c>
      <c r="F186" s="41">
        <f t="shared" si="6"/>
        <v>905.07613949999995</v>
      </c>
      <c r="G186" s="85"/>
      <c r="H186" s="85"/>
      <c r="I186" s="35"/>
      <c r="K186" s="35"/>
      <c r="L186" s="160"/>
      <c r="M186" s="160"/>
      <c r="N186" s="35"/>
    </row>
    <row r="187" spans="1:14" s="36" customFormat="1" ht="15.75" customHeight="1" x14ac:dyDescent="0.3">
      <c r="A187" s="85">
        <f t="shared" si="7"/>
        <v>3</v>
      </c>
      <c r="B187" s="85"/>
      <c r="C187" s="41" t="s">
        <v>184</v>
      </c>
      <c r="D187" s="52">
        <f>(3.05*5+2.2*2.6+2.75*3.2+3.05*3.35+1.35*2.25+1.35*2.25+0.9*2.5+1.4*1.6+1.45*0.9)*10.764</f>
        <v>558.19412999999997</v>
      </c>
      <c r="E187" s="41">
        <v>0</v>
      </c>
      <c r="F187" s="41">
        <f t="shared" si="6"/>
        <v>865.20090149999999</v>
      </c>
      <c r="G187" s="85"/>
      <c r="H187" s="85"/>
      <c r="I187" s="35"/>
      <c r="K187" s="35"/>
      <c r="L187" s="160"/>
      <c r="M187" s="160"/>
      <c r="N187" s="35"/>
    </row>
    <row r="188" spans="1:14" s="36" customFormat="1" ht="15.75" customHeight="1" x14ac:dyDescent="0.3">
      <c r="A188" s="85">
        <f t="shared" si="7"/>
        <v>4</v>
      </c>
      <c r="B188" s="85"/>
      <c r="C188" s="41" t="s">
        <v>184</v>
      </c>
      <c r="D188" s="52">
        <f>(3.05*2.75+2.95*2.55+2.2*2.6+3.4*3.05+2.75*2.75+1.35*2.25+2.25*1.35+1.05*2.4+2.5*0.9+0.9*1.3+1.75*0.6+1.8*0.9)*10.764</f>
        <v>583.92008999999996</v>
      </c>
      <c r="E188" s="41">
        <v>0</v>
      </c>
      <c r="F188" s="41">
        <f t="shared" si="6"/>
        <v>905.07613949999995</v>
      </c>
      <c r="G188" s="85"/>
      <c r="H188" s="85"/>
      <c r="I188" s="35"/>
      <c r="K188" s="53"/>
      <c r="L188" s="160"/>
      <c r="M188" s="160"/>
      <c r="N188" s="35"/>
    </row>
    <row r="189" spans="1:14" s="36" customFormat="1" x14ac:dyDescent="0.3">
      <c r="A189" s="85">
        <f t="shared" si="7"/>
        <v>5</v>
      </c>
      <c r="B189" s="85"/>
      <c r="C189" s="41" t="s">
        <v>184</v>
      </c>
      <c r="D189" s="52">
        <f>(5.3*3.05+2.2*2.75+3.2*2.75+3.4*3.05+2.25*1.35+2.25*1.375+1.72*0.45+1.6*0.6+1.7*0.9+1.2*1.1)*10.764</f>
        <v>560.80709100000001</v>
      </c>
      <c r="E189" s="41">
        <v>0</v>
      </c>
      <c r="F189" s="41">
        <f t="shared" si="6"/>
        <v>869.25099105000004</v>
      </c>
      <c r="G189" s="85"/>
      <c r="H189" s="85"/>
      <c r="I189" s="58"/>
      <c r="L189" s="160"/>
      <c r="M189" s="160"/>
      <c r="N189" s="35"/>
    </row>
    <row r="190" spans="1:14" s="36" customFormat="1" x14ac:dyDescent="0.3">
      <c r="A190" s="85">
        <f t="shared" si="7"/>
        <v>6</v>
      </c>
      <c r="B190" s="85"/>
      <c r="C190" s="41" t="s">
        <v>184</v>
      </c>
      <c r="D190" s="52">
        <f>(5.3*3.05+2.2*2.75+3.2*2.75+3.4*3.05+2.25*1.35+2.25*1.375+1.72*0.45+1.6*0.6+1.7*0.9+1.2*1.1)*10.764</f>
        <v>560.80709100000001</v>
      </c>
      <c r="E190" s="41">
        <v>0</v>
      </c>
      <c r="F190" s="41">
        <f t="shared" si="6"/>
        <v>869.25099105000004</v>
      </c>
      <c r="G190" s="85"/>
      <c r="H190" s="85"/>
      <c r="I190" s="35"/>
      <c r="L190" s="160"/>
      <c r="M190" s="160"/>
      <c r="N190" s="35"/>
    </row>
    <row r="191" spans="1:14" s="36" customFormat="1" x14ac:dyDescent="0.3">
      <c r="A191" s="85">
        <f t="shared" si="7"/>
        <v>7</v>
      </c>
      <c r="B191" s="85"/>
      <c r="C191" s="41" t="s">
        <v>184</v>
      </c>
      <c r="D191" s="52">
        <f>(3.05*2.75+2.95*2.55+2.2*2.6+3.4*3.05+2.6*2.75+1.35*2.25+2.25*1.35+1.05*2.4+2.5*0.9+0.9*1.3+1.75*0.6+1.35*0.9)*10.764</f>
        <v>575.12052000000006</v>
      </c>
      <c r="E191" s="41">
        <v>0</v>
      </c>
      <c r="F191" s="41">
        <f t="shared" si="6"/>
        <v>891.43680600000016</v>
      </c>
      <c r="G191" s="85"/>
      <c r="H191" s="85"/>
      <c r="I191" s="35"/>
      <c r="L191" s="160"/>
      <c r="M191" s="160"/>
      <c r="N191" s="35"/>
    </row>
    <row r="192" spans="1:14" s="36" customFormat="1" x14ac:dyDescent="0.3">
      <c r="A192" s="85">
        <f t="shared" si="7"/>
        <v>8</v>
      </c>
      <c r="B192" s="85"/>
      <c r="C192" s="41" t="s">
        <v>184</v>
      </c>
      <c r="D192" s="52">
        <f>(3.05*5+2.2*2.6+2.75*3.2+3.05*3.35+1.35*2.25+1.35*2.25+0.9*2.5+1.4*1.6+1.45*0.9)*10.764</f>
        <v>558.19412999999997</v>
      </c>
      <c r="E192" s="41">
        <v>0</v>
      </c>
      <c r="F192" s="41">
        <f t="shared" si="6"/>
        <v>865.20090149999999</v>
      </c>
      <c r="G192" s="85"/>
      <c r="H192" s="85"/>
      <c r="I192" s="35"/>
      <c r="L192" s="160"/>
      <c r="M192" s="160"/>
      <c r="N192" s="35"/>
    </row>
    <row r="193" spans="1:14" s="36" customFormat="1" x14ac:dyDescent="0.3">
      <c r="A193" s="85">
        <f t="shared" si="7"/>
        <v>9</v>
      </c>
      <c r="B193" s="85"/>
      <c r="C193" s="41" t="s">
        <v>184</v>
      </c>
      <c r="D193" s="52">
        <f>(3.05*2.75+2.95*2.55+2.2*2.6+3.4*3.05+2.75*2.75+1.35*2.25+2.25*1.35+1.05*2.4+2.5*0.9+0.9*1.3+1.75*0.6+1.6*0.9)*10.764</f>
        <v>581.98257000000001</v>
      </c>
      <c r="E193" s="41">
        <v>0</v>
      </c>
      <c r="F193" s="41">
        <f t="shared" si="6"/>
        <v>902.07298350000008</v>
      </c>
      <c r="G193" s="85"/>
      <c r="H193" s="85"/>
      <c r="I193" s="35"/>
      <c r="L193" s="160"/>
      <c r="M193" s="160"/>
      <c r="N193" s="35"/>
    </row>
    <row r="194" spans="1:14" s="36" customFormat="1" x14ac:dyDescent="0.3">
      <c r="A194" s="85">
        <f t="shared" si="7"/>
        <v>10</v>
      </c>
      <c r="B194" s="85"/>
      <c r="C194" s="41" t="s">
        <v>184</v>
      </c>
      <c r="D194" s="52">
        <f>(5.3*3.05+2.2*2.75+3.2*2.75+3.4*3.05+2.25*1.35+2.25*1.375+1.2*1.1+1.72*0.45+1.6*0.6+1.7*0.9)*10.764</f>
        <v>560.80709100000001</v>
      </c>
      <c r="E194" s="41">
        <v>0</v>
      </c>
      <c r="F194" s="41">
        <f t="shared" si="6"/>
        <v>869.25099105000004</v>
      </c>
      <c r="G194" s="85"/>
      <c r="H194" s="85"/>
      <c r="I194" s="35"/>
      <c r="L194" s="160"/>
      <c r="M194" s="160"/>
      <c r="N194" s="35"/>
    </row>
    <row r="195" spans="1:14" s="36" customFormat="1" x14ac:dyDescent="0.3">
      <c r="A195" s="127" t="s">
        <v>221</v>
      </c>
      <c r="B195" s="127"/>
      <c r="C195" s="127"/>
      <c r="D195" s="127"/>
      <c r="E195" s="127"/>
      <c r="F195" s="127"/>
      <c r="G195" s="127"/>
      <c r="H195" s="127"/>
      <c r="I195" s="36">
        <f>8</f>
        <v>8</v>
      </c>
      <c r="J195" s="53"/>
      <c r="K195" s="54"/>
      <c r="M195" s="35"/>
    </row>
    <row r="196" spans="1:14" s="36" customFormat="1" ht="15.75" customHeight="1" x14ac:dyDescent="0.3">
      <c r="A196" s="85">
        <v>1</v>
      </c>
      <c r="B196" s="85"/>
      <c r="C196" s="41" t="s">
        <v>184</v>
      </c>
      <c r="D196" s="52">
        <f>(5.3*3.05+2.2*2.75+3.2*2.75+3.4*3.05+2.25*1.35+2.25*1.375+1.2*1.1+1.72*0.45+1.6*0.6+1.7*0.9)*10.764</f>
        <v>560.80709100000001</v>
      </c>
      <c r="E196" s="41">
        <v>0</v>
      </c>
      <c r="F196" s="41">
        <f>D196*(($F$142)+1)+(IF(E196&lt;101,E196,IF(E196&lt;201,E196/2,IF(E196&lt;=301,E196/3,E196/4))))</f>
        <v>869.25099105000004</v>
      </c>
      <c r="G196" s="85" t="str">
        <f>A195</f>
        <v>7th, 12th, 17th, 30th, 35th, 40th, 45th &amp; 50th Floor (Part Refuge Area)</v>
      </c>
      <c r="H196" s="85"/>
      <c r="I196" s="51"/>
      <c r="J196" s="35"/>
      <c r="K196" s="35"/>
      <c r="M196" s="35"/>
      <c r="N196" s="35"/>
    </row>
    <row r="197" spans="1:14" s="36" customFormat="1" ht="15.75" customHeight="1" x14ac:dyDescent="0.3">
      <c r="A197" s="85">
        <f t="shared" ref="A197:A205" si="8">A196+1</f>
        <v>2</v>
      </c>
      <c r="B197" s="85"/>
      <c r="C197" s="41" t="s">
        <v>184</v>
      </c>
      <c r="D197" s="52">
        <f>(3.05*2.75+2.95*2.55+2.2*2.6+3.4*3.05+2.75*2.75+1.35*2.25+2.25*1.35+1.05*2.4+2.5*0.9+0.9*1.3+1.75*0.6+1.8*0.9+1.8*1.5)*10.764</f>
        <v>612.98289</v>
      </c>
      <c r="E197" s="41">
        <v>0</v>
      </c>
      <c r="F197" s="41">
        <f>D197*(($F$142)+1)+(IF(E197&lt;101,E197,IF(E197&lt;201,E197/2,IF(E197&lt;=301,E197/3,E197/4))))</f>
        <v>950.12347950000003</v>
      </c>
      <c r="G197" s="85"/>
      <c r="H197" s="85"/>
      <c r="I197" s="35"/>
      <c r="K197" s="35"/>
      <c r="L197" s="160"/>
      <c r="M197" s="160"/>
      <c r="N197" s="35"/>
    </row>
    <row r="198" spans="1:14" s="36" customFormat="1" ht="15.75" customHeight="1" x14ac:dyDescent="0.3">
      <c r="A198" s="85">
        <f t="shared" si="8"/>
        <v>3</v>
      </c>
      <c r="B198" s="85"/>
      <c r="C198" s="41" t="s">
        <v>184</v>
      </c>
      <c r="D198" s="52">
        <f>(3.05*5+2.2*2.6+2.75*3.2+3.05*3.35+1.35*2.25+1.35*2.25+0.9*2.5+1.4*1.6+1.45*0.9)*10.764</f>
        <v>558.19412999999997</v>
      </c>
      <c r="E198" s="41">
        <v>0</v>
      </c>
      <c r="F198" s="41">
        <f>D198*(($F$142)+1)+(IF(E198&lt;101,E198,IF(E198&lt;201,E198/2,IF(E198&lt;=301,E198/3,E198/4))))</f>
        <v>865.20090149999999</v>
      </c>
      <c r="G198" s="85"/>
      <c r="H198" s="85"/>
      <c r="I198" s="35"/>
      <c r="K198" s="35"/>
      <c r="L198" s="160"/>
      <c r="M198" s="160"/>
      <c r="N198" s="35"/>
    </row>
    <row r="199" spans="1:14" s="36" customFormat="1" ht="15.75" customHeight="1" x14ac:dyDescent="0.3">
      <c r="A199" s="85">
        <f t="shared" si="8"/>
        <v>4</v>
      </c>
      <c r="B199" s="85"/>
      <c r="C199" s="41" t="s">
        <v>189</v>
      </c>
      <c r="D199" s="52">
        <f>(3.05*2.75+2.95*2.55+2.2*2.6+3.4*3.05+2.75*2.75+3.4*3.05+1.35*2.25+2.25*1.375+2.25*1.35+1.05*2.4+2.5*0.9+0.9*1.3+1.75*0.6+1.8*0.9)*10.764</f>
        <v>728.84389499999997</v>
      </c>
      <c r="E199" s="41">
        <v>0</v>
      </c>
      <c r="F199" s="41">
        <f>D199*(($F$142)+1)+(IF(E199&lt;101,E199,IF(E199&lt;201,E199/2,IF(E199&lt;=301,E199/3,E199/4))))</f>
        <v>1129.70803725</v>
      </c>
      <c r="G199" s="85"/>
      <c r="H199" s="85"/>
      <c r="I199" s="35"/>
      <c r="K199" s="53"/>
      <c r="L199" s="160"/>
      <c r="M199" s="160"/>
      <c r="N199" s="35"/>
    </row>
    <row r="200" spans="1:14" s="36" customFormat="1" x14ac:dyDescent="0.3">
      <c r="A200" s="85">
        <f t="shared" si="8"/>
        <v>5</v>
      </c>
      <c r="B200" s="85"/>
      <c r="C200" s="85"/>
      <c r="D200" s="85"/>
      <c r="E200" s="85"/>
      <c r="F200" s="85"/>
      <c r="G200" s="85"/>
      <c r="H200" s="85"/>
      <c r="I200" s="58"/>
      <c r="L200" s="160"/>
      <c r="M200" s="160"/>
      <c r="N200" s="35"/>
    </row>
    <row r="201" spans="1:14" s="36" customFormat="1" x14ac:dyDescent="0.3">
      <c r="A201" s="85">
        <f t="shared" si="8"/>
        <v>6</v>
      </c>
      <c r="B201" s="85"/>
      <c r="C201" s="41" t="s">
        <v>184</v>
      </c>
      <c r="D201" s="52">
        <f>(5.3*3.05+2.2*2.75+3.2*2.75+3.4*3.05+2.25*1.35+2.25*1.375+1.72*0.45+1.6*0.6+1.7*0.9+1.2*1.1+1.8*1.5)*10.764</f>
        <v>589.86989100000005</v>
      </c>
      <c r="E201" s="41">
        <v>0</v>
      </c>
      <c r="F201" s="41">
        <f>D201*(($F$142)+1)+(IF(E201&lt;101,E201,IF(E201&lt;201,E201/2,IF(E201&lt;=301,E201/3,E201/4))))</f>
        <v>914.29833105000012</v>
      </c>
      <c r="G201" s="85"/>
      <c r="H201" s="85"/>
      <c r="I201" s="35"/>
      <c r="L201" s="160"/>
      <c r="M201" s="160"/>
      <c r="N201" s="35"/>
    </row>
    <row r="202" spans="1:14" s="36" customFormat="1" x14ac:dyDescent="0.3">
      <c r="A202" s="85">
        <f t="shared" si="8"/>
        <v>7</v>
      </c>
      <c r="B202" s="85"/>
      <c r="C202" s="41" t="s">
        <v>184</v>
      </c>
      <c r="D202" s="52">
        <f>(3.05*2.75+2.95*2.55+2.2*2.6+3.4*3.05+2.6*2.75+1.35*2.25+2.25*1.35+1.05*2.4+2.5*0.9+0.9*1.3+1.75*0.6+1.8*0.9)*10.764</f>
        <v>579.47993999999994</v>
      </c>
      <c r="E202" s="41">
        <v>0</v>
      </c>
      <c r="F202" s="41">
        <f>D202*(($F$142)+1)+(IF(E202&lt;101,E202,IF(E202&lt;201,E202/2,IF(E202&lt;=301,E202/3,E202/4))))</f>
        <v>898.19390699999997</v>
      </c>
      <c r="G202" s="85"/>
      <c r="H202" s="85"/>
      <c r="I202" s="35"/>
      <c r="L202" s="160"/>
      <c r="M202" s="160"/>
      <c r="N202" s="35"/>
    </row>
    <row r="203" spans="1:14" s="36" customFormat="1" x14ac:dyDescent="0.3">
      <c r="A203" s="85">
        <f t="shared" si="8"/>
        <v>8</v>
      </c>
      <c r="B203" s="85"/>
      <c r="C203" s="41" t="s">
        <v>184</v>
      </c>
      <c r="D203" s="52">
        <f>(3.05*5+2.2*2.6+2.75*3.2+3.05*3.35+1.35*2.25+1.35*2.25+0.9*2.5+1.4*1.6+1.45*0.9+1.8*1.5)*10.764</f>
        <v>587.25693000000001</v>
      </c>
      <c r="E203" s="41">
        <v>0</v>
      </c>
      <c r="F203" s="41">
        <f>D203*(($F$142)+1)+(IF(E203&lt;101,E203,IF(E203&lt;201,E203/2,IF(E203&lt;=301,E203/3,E203/4))))</f>
        <v>910.24824150000006</v>
      </c>
      <c r="G203" s="85"/>
      <c r="H203" s="85"/>
      <c r="I203" s="35"/>
      <c r="L203" s="160"/>
      <c r="M203" s="160"/>
      <c r="N203" s="35"/>
    </row>
    <row r="204" spans="1:14" s="36" customFormat="1" x14ac:dyDescent="0.3">
      <c r="A204" s="85">
        <f t="shared" si="8"/>
        <v>9</v>
      </c>
      <c r="B204" s="85"/>
      <c r="C204" s="41" t="s">
        <v>184</v>
      </c>
      <c r="D204" s="52">
        <f>(3.05*2.75+2.95*2.55+2.2*2.6+3.4*3.05+2.75*2.75+1.35*2.25+2.25*1.35+1.05*2.4+2.5*0.9+0.9*1.3+1.75*0.6+1.6*0.9)*10.764</f>
        <v>581.98257000000001</v>
      </c>
      <c r="E204" s="41">
        <v>0</v>
      </c>
      <c r="F204" s="41">
        <f>D204*(($F$142)+1)+(IF(E204&lt;101,E204,IF(E204&lt;201,E204/2,IF(E204&lt;=301,E204/3,E204/4))))</f>
        <v>902.07298350000008</v>
      </c>
      <c r="G204" s="85"/>
      <c r="H204" s="85"/>
      <c r="I204" s="35"/>
      <c r="L204" s="160"/>
      <c r="M204" s="160"/>
      <c r="N204" s="35"/>
    </row>
    <row r="205" spans="1:14" s="36" customFormat="1" x14ac:dyDescent="0.3">
      <c r="A205" s="85">
        <f t="shared" si="8"/>
        <v>10</v>
      </c>
      <c r="B205" s="85"/>
      <c r="C205" s="41" t="s">
        <v>184</v>
      </c>
      <c r="D205" s="52">
        <f>(5.3*3.05+2.2*2.75+3.2*2.75+3.4*3.05+2.25*1.35+2.25*1.375+1.72*0.45+1.6*0.6+1.7*0.9+1.2*1.1)*10.764</f>
        <v>560.80709100000001</v>
      </c>
      <c r="E205" s="41">
        <v>0</v>
      </c>
      <c r="F205" s="41">
        <f>D205*(($F$142)+1)+(IF(E205&lt;101,E205,IF(E205&lt;201,E205/2,IF(E205&lt;=301,E205/3,E205/4))))</f>
        <v>869.25099105000004</v>
      </c>
      <c r="G205" s="85"/>
      <c r="H205" s="85"/>
      <c r="I205" s="35"/>
      <c r="L205" s="160"/>
      <c r="M205" s="160"/>
      <c r="N205" s="35"/>
    </row>
    <row r="206" spans="1:14" s="36" customFormat="1" x14ac:dyDescent="0.3">
      <c r="A206" s="127" t="s">
        <v>222</v>
      </c>
      <c r="B206" s="127"/>
      <c r="C206" s="127"/>
      <c r="D206" s="127"/>
      <c r="E206" s="127"/>
      <c r="F206" s="127"/>
      <c r="G206" s="127"/>
      <c r="H206" s="127"/>
      <c r="I206" s="36">
        <v>2</v>
      </c>
      <c r="J206" s="53"/>
      <c r="K206" s="54"/>
      <c r="M206" s="35"/>
    </row>
    <row r="207" spans="1:14" s="36" customFormat="1" ht="15.75" customHeight="1" x14ac:dyDescent="0.3">
      <c r="A207" s="85">
        <v>1</v>
      </c>
      <c r="B207" s="85"/>
      <c r="C207" s="41" t="s">
        <v>184</v>
      </c>
      <c r="D207" s="52">
        <f>(5.3*3.05+2.2*2.75+3.2*2.75+3.4*3.05+2.25*1.35+2.25*1.375+1.2*1.1+1.72*0.45+1.6*0.6+1.7*0.9)*10.764</f>
        <v>560.80709100000001</v>
      </c>
      <c r="E207" s="41">
        <v>0</v>
      </c>
      <c r="F207" s="41">
        <f t="shared" ref="F207:F210" si="9">D207*(($F$142)+1)+(IF(E207&lt;101,E207,IF(E207&lt;201,E207/2,IF(E207&lt;=301,E207/3,E207/4))))</f>
        <v>869.25099105000004</v>
      </c>
      <c r="G207" s="85" t="str">
        <f>A206</f>
        <v>22nd &amp; 25th Floor (Part Refuge Area)</v>
      </c>
      <c r="H207" s="85"/>
      <c r="I207" s="51"/>
      <c r="J207" s="35"/>
      <c r="K207" s="35"/>
      <c r="M207" s="35"/>
      <c r="N207" s="35"/>
    </row>
    <row r="208" spans="1:14" s="36" customFormat="1" ht="15.75" customHeight="1" x14ac:dyDescent="0.3">
      <c r="A208" s="85">
        <f t="shared" ref="A208:A216" si="10">A207+1</f>
        <v>2</v>
      </c>
      <c r="B208" s="85"/>
      <c r="C208" s="41" t="s">
        <v>184</v>
      </c>
      <c r="D208" s="52">
        <f>(3.05*2.75+2.95*2.55+2.2*2.6+3.4*3.05+2.75*2.75+1.35*2.25+2.25*1.35+1.05*2.4+2.5*0.9+0.9*1.3+1.75*0.6+1.8*0.9)*10.764</f>
        <v>583.92008999999996</v>
      </c>
      <c r="E208" s="41">
        <v>0</v>
      </c>
      <c r="F208" s="41">
        <f t="shared" si="9"/>
        <v>905.07613949999995</v>
      </c>
      <c r="G208" s="85"/>
      <c r="H208" s="85"/>
      <c r="I208" s="35"/>
      <c r="K208" s="35"/>
      <c r="L208" s="160"/>
      <c r="M208" s="160"/>
      <c r="N208" s="35"/>
    </row>
    <row r="209" spans="1:14" s="36" customFormat="1" ht="15.75" customHeight="1" x14ac:dyDescent="0.3">
      <c r="A209" s="85">
        <f t="shared" si="10"/>
        <v>3</v>
      </c>
      <c r="B209" s="85"/>
      <c r="C209" s="41" t="s">
        <v>184</v>
      </c>
      <c r="D209" s="52">
        <f>(3.05*5+2.2*2.6+2.75*3.2+3.05*3.35+1.35*2.25+1.35*2.25+0.9*2.5+1.4*1.6+1.45*0.9)*10.764</f>
        <v>558.19412999999997</v>
      </c>
      <c r="E209" s="41">
        <v>0</v>
      </c>
      <c r="F209" s="41">
        <f t="shared" si="9"/>
        <v>865.20090149999999</v>
      </c>
      <c r="G209" s="85"/>
      <c r="H209" s="85"/>
      <c r="I209" s="35"/>
      <c r="K209" s="35"/>
      <c r="L209" s="160"/>
      <c r="M209" s="160"/>
      <c r="N209" s="35"/>
    </row>
    <row r="210" spans="1:14" s="36" customFormat="1" ht="15.75" customHeight="1" x14ac:dyDescent="0.3">
      <c r="A210" s="85">
        <f t="shared" si="10"/>
        <v>4</v>
      </c>
      <c r="B210" s="85"/>
      <c r="C210" s="41" t="s">
        <v>189</v>
      </c>
      <c r="D210" s="52">
        <f>(3.05*2.75+2.95*2.55+2.2*2.6+3.4*3.05+2.75*2.75+3.4*3.05+1.35*2.25+2.25*1.375+2.25*1.35+1.05*2.4+2.5*0.9+0.9*1.3+1.75*0.6+1.8*0.9)*10.764</f>
        <v>728.84389499999997</v>
      </c>
      <c r="E210" s="41">
        <v>0</v>
      </c>
      <c r="F210" s="41">
        <f t="shared" si="9"/>
        <v>1129.70803725</v>
      </c>
      <c r="G210" s="85"/>
      <c r="H210" s="85"/>
      <c r="I210" s="35"/>
      <c r="K210" s="53"/>
      <c r="L210" s="160"/>
      <c r="M210" s="160"/>
      <c r="N210" s="35"/>
    </row>
    <row r="211" spans="1:14" s="36" customFormat="1" x14ac:dyDescent="0.3">
      <c r="A211" s="85">
        <f t="shared" si="10"/>
        <v>5</v>
      </c>
      <c r="B211" s="85"/>
      <c r="C211" s="85"/>
      <c r="D211" s="85"/>
      <c r="E211" s="85"/>
      <c r="F211" s="85"/>
      <c r="G211" s="85"/>
      <c r="H211" s="85"/>
      <c r="I211" s="58"/>
      <c r="L211" s="160"/>
      <c r="M211" s="160"/>
      <c r="N211" s="35"/>
    </row>
    <row r="212" spans="1:14" s="36" customFormat="1" x14ac:dyDescent="0.3">
      <c r="A212" s="85">
        <f t="shared" si="10"/>
        <v>6</v>
      </c>
      <c r="B212" s="85"/>
      <c r="C212" s="41" t="s">
        <v>184</v>
      </c>
      <c r="D212" s="52">
        <f>(5.3*3.05+2.2*2.75+3.2*2.75+3.4*3.05+2.25*1.35+2.25*1.375+1.72*0.45+1.6*0.6+1.7*0.9+1.2*1.1)*10.764</f>
        <v>560.80709100000001</v>
      </c>
      <c r="E212" s="41">
        <v>0</v>
      </c>
      <c r="F212" s="41">
        <f t="shared" ref="F212:F216" si="11">D212*(($F$142)+1)+(IF(E212&lt;101,E212,IF(E212&lt;201,E212/2,IF(E212&lt;=301,E212/3,E212/4))))</f>
        <v>869.25099105000004</v>
      </c>
      <c r="G212" s="85"/>
      <c r="H212" s="85"/>
      <c r="I212" s="35"/>
      <c r="L212" s="160"/>
      <c r="M212" s="160"/>
      <c r="N212" s="35"/>
    </row>
    <row r="213" spans="1:14" s="36" customFormat="1" x14ac:dyDescent="0.3">
      <c r="A213" s="85">
        <f t="shared" si="10"/>
        <v>7</v>
      </c>
      <c r="B213" s="85"/>
      <c r="C213" s="41" t="s">
        <v>184</v>
      </c>
      <c r="D213" s="52">
        <f>(3.05*2.75+2.95*2.55+2.2*2.6+3.4*3.05+2.6*2.75+1.35*2.25+2.25*1.35+1.05*2.4+2.5*0.9+0.9*1.3+1.75*0.6+1.8*0.9)*10.764</f>
        <v>579.47993999999994</v>
      </c>
      <c r="E213" s="41">
        <v>0</v>
      </c>
      <c r="F213" s="41">
        <f t="shared" si="11"/>
        <v>898.19390699999997</v>
      </c>
      <c r="G213" s="85"/>
      <c r="H213" s="85"/>
      <c r="I213" s="35"/>
      <c r="L213" s="160"/>
      <c r="M213" s="160"/>
      <c r="N213" s="35"/>
    </row>
    <row r="214" spans="1:14" s="36" customFormat="1" x14ac:dyDescent="0.3">
      <c r="A214" s="85">
        <f t="shared" si="10"/>
        <v>8</v>
      </c>
      <c r="B214" s="85"/>
      <c r="C214" s="41" t="s">
        <v>184</v>
      </c>
      <c r="D214" s="52">
        <f>(3.05*5+2.2*2.6+2.75*3.2+3.05*3.35+1.35*2.25+1.35*2.25+0.9*2.5+1.4*1.6+1.45*0.9)*10.764</f>
        <v>558.19412999999997</v>
      </c>
      <c r="E214" s="41">
        <v>0</v>
      </c>
      <c r="F214" s="41">
        <f t="shared" si="11"/>
        <v>865.20090149999999</v>
      </c>
      <c r="G214" s="85"/>
      <c r="H214" s="85"/>
      <c r="I214" s="35"/>
      <c r="L214" s="160"/>
      <c r="M214" s="160"/>
      <c r="N214" s="35"/>
    </row>
    <row r="215" spans="1:14" s="36" customFormat="1" x14ac:dyDescent="0.3">
      <c r="A215" s="85">
        <f t="shared" si="10"/>
        <v>9</v>
      </c>
      <c r="B215" s="85"/>
      <c r="C215" s="41" t="s">
        <v>184</v>
      </c>
      <c r="D215" s="52">
        <f>(3.05*2.75+2.95*2.55+2.2*2.6+3.4*3.05+2.75*2.75+1.35*2.25+2.25*1.35+1.05*2.4+2.5*0.9+0.9*1.3+1.75*0.6+1.6*0.9)*10.764</f>
        <v>581.98257000000001</v>
      </c>
      <c r="E215" s="41">
        <v>0</v>
      </c>
      <c r="F215" s="41">
        <f t="shared" si="11"/>
        <v>902.07298350000008</v>
      </c>
      <c r="G215" s="85"/>
      <c r="H215" s="85"/>
      <c r="I215" s="35"/>
      <c r="L215" s="160"/>
      <c r="M215" s="160"/>
      <c r="N215" s="35"/>
    </row>
    <row r="216" spans="1:14" s="36" customFormat="1" x14ac:dyDescent="0.3">
      <c r="A216" s="85">
        <f t="shared" si="10"/>
        <v>10</v>
      </c>
      <c r="B216" s="85"/>
      <c r="C216" s="41" t="s">
        <v>184</v>
      </c>
      <c r="D216" s="52">
        <f>(5.3*3.05+2.2*2.75+3.2*2.75+3.4*3.05+2.25*1.35+2.25*1.375+1.2*1.1+1.72*0.45+1.6*0.6+1.7*0.9)*10.764</f>
        <v>560.80709100000001</v>
      </c>
      <c r="E216" s="41">
        <v>0</v>
      </c>
      <c r="F216" s="41">
        <f t="shared" si="11"/>
        <v>869.25099105000004</v>
      </c>
      <c r="G216" s="85"/>
      <c r="H216" s="85"/>
      <c r="I216" s="35"/>
      <c r="L216" s="160"/>
      <c r="M216" s="160"/>
      <c r="N216" s="35"/>
    </row>
    <row r="217" spans="1:14" s="36" customFormat="1" x14ac:dyDescent="0.3">
      <c r="A217" s="127" t="s">
        <v>223</v>
      </c>
      <c r="B217" s="127"/>
      <c r="C217" s="127"/>
      <c r="D217" s="127"/>
      <c r="E217" s="127"/>
      <c r="F217" s="127"/>
      <c r="G217" s="127"/>
      <c r="H217" s="127"/>
      <c r="J217" s="53"/>
      <c r="K217" s="54"/>
      <c r="M217" s="35"/>
    </row>
    <row r="218" spans="1:14" s="36" customFormat="1" ht="41.25" customHeight="1" x14ac:dyDescent="0.3">
      <c r="A218" s="127" t="s">
        <v>224</v>
      </c>
      <c r="B218" s="127"/>
      <c r="C218" s="127"/>
      <c r="D218" s="127"/>
      <c r="E218" s="127"/>
      <c r="F218" s="127"/>
      <c r="G218" s="127"/>
      <c r="H218" s="127"/>
      <c r="I218" s="36">
        <f>1+1+4+4+4+4+4+3</f>
        <v>25</v>
      </c>
      <c r="J218" s="53"/>
      <c r="K218" s="54"/>
      <c r="M218" s="35"/>
    </row>
    <row r="219" spans="1:14" s="36" customFormat="1" ht="15.75" customHeight="1" x14ac:dyDescent="0.3">
      <c r="A219" s="85">
        <v>1</v>
      </c>
      <c r="B219" s="85"/>
      <c r="C219" s="41" t="s">
        <v>184</v>
      </c>
      <c r="D219" s="52">
        <f>(5.3*3.05+2.2*2.75+3.2*2.75+3.4*3.05+2.25*1.35+2.25*1.375+1.2*1.1+1.72*0.45+1.6*0.6+1.7*0.9)*10.764</f>
        <v>560.80709100000001</v>
      </c>
      <c r="E219" s="41">
        <v>0</v>
      </c>
      <c r="F219" s="41">
        <f t="shared" ref="F219:F228" si="12">D219*(($F$142)+1)+(IF(E219&lt;101,E219,IF(E219&lt;201,E219/2,IF(E219&lt;=301,E219/3,E219/4))))</f>
        <v>869.25099105000004</v>
      </c>
      <c r="G219" s="85" t="str">
        <f>A218</f>
        <v>23rd, 24th, 26th to 29th, 31st to 34th, 
36th to 39th, 41st to 44th, 46th to 49th, 51st to 53rd Floor</v>
      </c>
      <c r="H219" s="85"/>
      <c r="I219" s="51"/>
      <c r="J219" s="35"/>
      <c r="K219" s="35"/>
      <c r="M219" s="35"/>
      <c r="N219" s="35"/>
    </row>
    <row r="220" spans="1:14" s="36" customFormat="1" ht="15.75" customHeight="1" x14ac:dyDescent="0.3">
      <c r="A220" s="85">
        <f t="shared" ref="A220:A228" si="13">A219+1</f>
        <v>2</v>
      </c>
      <c r="B220" s="85"/>
      <c r="C220" s="41" t="s">
        <v>184</v>
      </c>
      <c r="D220" s="52">
        <f>(3.05*2.75+2.95*2.55+2.2*2.6+3.4*3.05+2.75*2.75+1.35*2.25+2.25*1.35+1.05*2.4+2.5*0.9+0.9*1.3+1.75*0.6+1.8*0.9)*10.764</f>
        <v>583.92008999999996</v>
      </c>
      <c r="E220" s="41">
        <v>0</v>
      </c>
      <c r="F220" s="41">
        <f>D220*(($F$142)+1)+(IF(E220&lt;101,E220,IF(E220&lt;201,E220/2,IF(E220&lt;=301,E220/3,E220/4))))</f>
        <v>905.07613949999995</v>
      </c>
      <c r="G220" s="85"/>
      <c r="H220" s="85"/>
      <c r="I220" s="35"/>
      <c r="K220" s="35"/>
      <c r="L220" s="160"/>
      <c r="M220" s="160"/>
      <c r="N220" s="35"/>
    </row>
    <row r="221" spans="1:14" s="36" customFormat="1" ht="15.75" customHeight="1" x14ac:dyDescent="0.3">
      <c r="A221" s="85">
        <f t="shared" si="13"/>
        <v>3</v>
      </c>
      <c r="B221" s="85"/>
      <c r="C221" s="41" t="s">
        <v>184</v>
      </c>
      <c r="D221" s="52">
        <f>(3.05*5+2.2*2.6+2.75*3.2+3.05*3.35+1.35*2.25+1.35*2.25+0.9*2.5+1.4*1.6+1.45*0.9)*10.764</f>
        <v>558.19412999999997</v>
      </c>
      <c r="E221" s="41">
        <v>0</v>
      </c>
      <c r="F221" s="41">
        <f t="shared" si="12"/>
        <v>865.20090149999999</v>
      </c>
      <c r="G221" s="85"/>
      <c r="H221" s="85"/>
      <c r="I221" s="35"/>
      <c r="K221" s="35"/>
      <c r="L221" s="160"/>
      <c r="M221" s="160"/>
      <c r="N221" s="35"/>
    </row>
    <row r="222" spans="1:14" s="36" customFormat="1" ht="15.75" customHeight="1" x14ac:dyDescent="0.3">
      <c r="A222" s="85">
        <f t="shared" si="13"/>
        <v>4</v>
      </c>
      <c r="B222" s="85"/>
      <c r="C222" s="41" t="s">
        <v>184</v>
      </c>
      <c r="D222" s="52">
        <f>(3.05*2.75+2.95*2.55+2.2*2.6+3.4*3.05+2.75*2.75+1.35*2.25+2.25*1.35+1.05*2.4+2.5*0.9+0.9*1.3+1.75*0.6+1.8*0.9)*10.764</f>
        <v>583.92008999999996</v>
      </c>
      <c r="E222" s="41">
        <v>0</v>
      </c>
      <c r="F222" s="41">
        <f t="shared" si="12"/>
        <v>905.07613949999995</v>
      </c>
      <c r="G222" s="85"/>
      <c r="H222" s="85"/>
      <c r="I222" s="35"/>
      <c r="K222" s="53"/>
      <c r="L222" s="160"/>
      <c r="M222" s="160"/>
      <c r="N222" s="35"/>
    </row>
    <row r="223" spans="1:14" s="36" customFormat="1" x14ac:dyDescent="0.3">
      <c r="A223" s="85">
        <f t="shared" si="13"/>
        <v>5</v>
      </c>
      <c r="B223" s="85"/>
      <c r="C223" s="41" t="s">
        <v>184</v>
      </c>
      <c r="D223" s="52">
        <f>(5.3*3.05+2.2*2.75+3.2*2.75+3.4*3.05+2.25*1.35+2.25*1.375+1.72*0.45+1.6*0.6+1.7*0.9+1.2*1.1)*10.764</f>
        <v>560.80709100000001</v>
      </c>
      <c r="E223" s="41">
        <v>0</v>
      </c>
      <c r="F223" s="41">
        <f t="shared" si="12"/>
        <v>869.25099105000004</v>
      </c>
      <c r="G223" s="85"/>
      <c r="H223" s="85"/>
      <c r="I223" s="58"/>
      <c r="L223" s="160"/>
      <c r="M223" s="160"/>
      <c r="N223" s="35"/>
    </row>
    <row r="224" spans="1:14" s="36" customFormat="1" x14ac:dyDescent="0.3">
      <c r="A224" s="85">
        <f t="shared" si="13"/>
        <v>6</v>
      </c>
      <c r="B224" s="85"/>
      <c r="C224" s="41" t="s">
        <v>184</v>
      </c>
      <c r="D224" s="52">
        <f>(5.3*3.05+2.2*2.75+3.2*2.75+3.4*3.05+2.25*1.35+2.25*1.375+1.72*0.45+1.6*0.6+1.7*0.9+1.2*1.1)*10.764</f>
        <v>560.80709100000001</v>
      </c>
      <c r="E224" s="41">
        <v>0</v>
      </c>
      <c r="F224" s="41">
        <f t="shared" si="12"/>
        <v>869.25099105000004</v>
      </c>
      <c r="G224" s="85"/>
      <c r="H224" s="85"/>
      <c r="I224" s="35"/>
      <c r="L224" s="160"/>
      <c r="M224" s="160"/>
      <c r="N224" s="35"/>
    </row>
    <row r="225" spans="1:14" s="36" customFormat="1" x14ac:dyDescent="0.3">
      <c r="A225" s="85">
        <f t="shared" si="13"/>
        <v>7</v>
      </c>
      <c r="B225" s="85"/>
      <c r="C225" s="41" t="s">
        <v>184</v>
      </c>
      <c r="D225" s="52">
        <f>(3.05*2.75+2.95*2.55+2.2*2.6+3.4*3.05+2.6*2.75+1.35*2.25+2.25*1.35+1.05*2.4+2.5*0.9+0.9*1.3+1.75*0.6+1.35*0.9)*10.764</f>
        <v>575.12052000000006</v>
      </c>
      <c r="E225" s="41">
        <v>0</v>
      </c>
      <c r="F225" s="41">
        <f t="shared" si="12"/>
        <v>891.43680600000016</v>
      </c>
      <c r="G225" s="85"/>
      <c r="H225" s="85"/>
      <c r="I225" s="35"/>
      <c r="L225" s="160"/>
      <c r="M225" s="160"/>
      <c r="N225" s="35"/>
    </row>
    <row r="226" spans="1:14" s="36" customFormat="1" x14ac:dyDescent="0.3">
      <c r="A226" s="85">
        <f t="shared" si="13"/>
        <v>8</v>
      </c>
      <c r="B226" s="85"/>
      <c r="C226" s="41" t="s">
        <v>184</v>
      </c>
      <c r="D226" s="52">
        <f>(3.05*5+2.2*2.6+2.75*3.2+3.05*3.35+1.35*2.25+1.35*2.25+0.9*2.5+1.4*1.6+1.45*0.9)*10.764</f>
        <v>558.19412999999997</v>
      </c>
      <c r="E226" s="41">
        <v>0</v>
      </c>
      <c r="F226" s="41">
        <f t="shared" si="12"/>
        <v>865.20090149999999</v>
      </c>
      <c r="G226" s="85"/>
      <c r="H226" s="85"/>
      <c r="I226" s="35"/>
      <c r="L226" s="160"/>
      <c r="M226" s="160"/>
      <c r="N226" s="35"/>
    </row>
    <row r="227" spans="1:14" s="36" customFormat="1" x14ac:dyDescent="0.3">
      <c r="A227" s="85">
        <f t="shared" si="13"/>
        <v>9</v>
      </c>
      <c r="B227" s="85"/>
      <c r="C227" s="41" t="s">
        <v>184</v>
      </c>
      <c r="D227" s="52">
        <f>(3.05*2.75+2.95*2.55+2.2*2.6+3.4*3.05+2.75*2.75+1.35*2.25+2.25*1.35+1.05*2.4+2.5*0.9+0.9*1.3+1.75*0.6+1.6*0.9)*10.764</f>
        <v>581.98257000000001</v>
      </c>
      <c r="E227" s="41">
        <v>0</v>
      </c>
      <c r="F227" s="41">
        <f t="shared" si="12"/>
        <v>902.07298350000008</v>
      </c>
      <c r="G227" s="85"/>
      <c r="H227" s="85"/>
      <c r="I227" s="35"/>
      <c r="L227" s="160"/>
      <c r="M227" s="160"/>
      <c r="N227" s="35"/>
    </row>
    <row r="228" spans="1:14" s="36" customFormat="1" x14ac:dyDescent="0.3">
      <c r="A228" s="85">
        <f t="shared" si="13"/>
        <v>10</v>
      </c>
      <c r="B228" s="85"/>
      <c r="C228" s="41" t="s">
        <v>184</v>
      </c>
      <c r="D228" s="52">
        <f>(5.3*3.05+2.2*2.75+3.2*2.75+3.4*3.05+2.25*1.35+2.25*1.375+1.2*1.1+1.72*0.45+1.6*0.6+1.7*0.9)*10.764</f>
        <v>560.80709100000001</v>
      </c>
      <c r="E228" s="41">
        <v>0</v>
      </c>
      <c r="F228" s="41">
        <f t="shared" si="12"/>
        <v>869.25099105000004</v>
      </c>
      <c r="G228" s="85"/>
      <c r="H228" s="85"/>
      <c r="I228" s="35"/>
      <c r="L228" s="160"/>
      <c r="M228" s="160"/>
      <c r="N228" s="35"/>
    </row>
    <row r="229" spans="1:14" s="36" customFormat="1" x14ac:dyDescent="0.3">
      <c r="A229" s="193" t="s">
        <v>225</v>
      </c>
      <c r="B229" s="193"/>
      <c r="C229" s="193"/>
      <c r="D229" s="193"/>
      <c r="E229" s="193"/>
      <c r="F229" s="193"/>
      <c r="G229" s="193"/>
      <c r="H229" s="193"/>
      <c r="J229" s="35"/>
    </row>
    <row r="230" spans="1:14" s="36" customFormat="1" ht="15.75" customHeight="1" x14ac:dyDescent="0.3">
      <c r="A230" s="127" t="s">
        <v>254</v>
      </c>
      <c r="B230" s="127"/>
      <c r="C230" s="127"/>
      <c r="D230" s="127"/>
      <c r="E230" s="127"/>
      <c r="F230" s="127"/>
      <c r="G230" s="127"/>
      <c r="H230" s="127"/>
      <c r="J230" s="35"/>
    </row>
    <row r="231" spans="1:14" s="36" customFormat="1" x14ac:dyDescent="0.3">
      <c r="A231" s="127" t="s">
        <v>226</v>
      </c>
      <c r="B231" s="127"/>
      <c r="C231" s="127"/>
      <c r="D231" s="127"/>
      <c r="E231" s="127"/>
      <c r="F231" s="127"/>
      <c r="G231" s="127"/>
      <c r="H231" s="127"/>
      <c r="J231" s="35"/>
    </row>
    <row r="232" spans="1:14" s="36" customFormat="1" x14ac:dyDescent="0.3">
      <c r="A232" s="127" t="s">
        <v>227</v>
      </c>
      <c r="B232" s="127"/>
      <c r="C232" s="127"/>
      <c r="D232" s="127"/>
      <c r="E232" s="127"/>
      <c r="F232" s="127"/>
      <c r="G232" s="127"/>
      <c r="H232" s="127"/>
      <c r="J232" s="35"/>
    </row>
    <row r="233" spans="1:14" s="36" customFormat="1" x14ac:dyDescent="0.3">
      <c r="A233" s="127" t="s">
        <v>228</v>
      </c>
      <c r="B233" s="127"/>
      <c r="C233" s="127"/>
      <c r="D233" s="127"/>
      <c r="E233" s="127"/>
      <c r="F233" s="127"/>
      <c r="G233" s="127"/>
      <c r="H233" s="127"/>
      <c r="I233" s="36">
        <f>6+4+4+4</f>
        <v>18</v>
      </c>
      <c r="J233" s="53"/>
      <c r="K233" s="54"/>
      <c r="M233" s="35"/>
    </row>
    <row r="234" spans="1:14" s="36" customFormat="1" ht="15.75" customHeight="1" x14ac:dyDescent="0.3">
      <c r="A234" s="85">
        <v>1</v>
      </c>
      <c r="B234" s="85"/>
      <c r="C234" s="41" t="s">
        <v>189</v>
      </c>
      <c r="D234" s="52">
        <f>(6.175*3.05+3.05*1.625+2.2*3.22+3.35*3.05+3.95*3.05+3.05*3.65+2.25*1.35+1.35*2.28+2.25*1.35+1.5*1.9+1.6*0.9+1.5*0.6+1.2*1.6+1.375*2.25)*10.764</f>
        <v>900.1744829999999</v>
      </c>
      <c r="E234" s="41">
        <v>0</v>
      </c>
      <c r="F234" s="41">
        <f t="shared" ref="F234:F239" si="14">D234*(($F$142)+1)+(IF(E234&lt;101,E234,IF(E234&lt;201,E234/2,IF(E234&lt;=301,E234/3,E234/4))))</f>
        <v>1395.2704486499999</v>
      </c>
      <c r="G234" s="85" t="str">
        <f>A233</f>
        <v>2nd to 7th, 9th to 12th, 14th to 17th &amp; 19th to 22nd Floor For Residential</v>
      </c>
      <c r="H234" s="85"/>
      <c r="I234" s="51"/>
      <c r="J234" s="35"/>
      <c r="K234" s="35"/>
      <c r="M234" s="35"/>
      <c r="N234" s="35"/>
    </row>
    <row r="235" spans="1:14" s="36" customFormat="1" ht="15.75" customHeight="1" x14ac:dyDescent="0.3">
      <c r="A235" s="85">
        <f t="shared" ref="A235:A239" si="15">A234+1</f>
        <v>2</v>
      </c>
      <c r="B235" s="85"/>
      <c r="C235" s="41" t="s">
        <v>189</v>
      </c>
      <c r="D235" s="52">
        <f>(3.05*6.12+2.2*2.75+3.05*3.05+1.6*1.8+3.05*3.12+3.05*4.12+1.85*1.5+1.35*2.25+1.35*2.25+1.35*2.25+0.9*2.5+1.8*1.09+2.28*1.22)*10.764</f>
        <v>838.10226239999986</v>
      </c>
      <c r="E235" s="41">
        <v>0</v>
      </c>
      <c r="F235" s="41">
        <f t="shared" si="14"/>
        <v>1299.0585067199997</v>
      </c>
      <c r="G235" s="85"/>
      <c r="H235" s="85"/>
      <c r="I235" s="35"/>
      <c r="K235" s="35"/>
      <c r="L235" s="160"/>
      <c r="M235" s="160"/>
      <c r="N235" s="35"/>
    </row>
    <row r="236" spans="1:14" s="36" customFormat="1" ht="15.75" customHeight="1" x14ac:dyDescent="0.3">
      <c r="A236" s="85">
        <f t="shared" si="15"/>
        <v>3</v>
      </c>
      <c r="B236" s="85"/>
      <c r="C236" s="41" t="s">
        <v>189</v>
      </c>
      <c r="D236" s="52">
        <f>(6.175*3.05+3.05*1.625+2.2*3.22+3.35*3.05+3.05*3.65+3.95*3.05+2.25*1.35+2.25*1.35+1.35*2.28+1.5*0.6+1.6*0.9+1.5*1.5+1.2*1.6+1.375*2.25)*10.764</f>
        <v>893.71608299999991</v>
      </c>
      <c r="E236" s="41">
        <v>0</v>
      </c>
      <c r="F236" s="41">
        <f t="shared" si="14"/>
        <v>1385.2599286499999</v>
      </c>
      <c r="G236" s="85"/>
      <c r="H236" s="85"/>
      <c r="I236" s="35"/>
      <c r="K236" s="35"/>
      <c r="L236" s="160"/>
      <c r="M236" s="160"/>
      <c r="N236" s="35"/>
    </row>
    <row r="237" spans="1:14" s="36" customFormat="1" ht="15.75" customHeight="1" x14ac:dyDescent="0.3">
      <c r="A237" s="85">
        <f t="shared" si="15"/>
        <v>4</v>
      </c>
      <c r="B237" s="85"/>
      <c r="C237" s="41" t="s">
        <v>189</v>
      </c>
      <c r="D237" s="52">
        <f>(6.175*3.05+3.05*1.625+2.2*3.22+3.35*3.05+3.05*3.65+3.95*3.05+2.25*1.35+2.25*1.35+1.35*2.28+1.5*0.6+1.6*0.9+1.5*1.5+1.2*1.6+1.375*2.25)*10.764</f>
        <v>893.71608299999991</v>
      </c>
      <c r="E237" s="41">
        <v>0</v>
      </c>
      <c r="F237" s="41">
        <f t="shared" si="14"/>
        <v>1385.2599286499999</v>
      </c>
      <c r="G237" s="85"/>
      <c r="H237" s="85"/>
      <c r="I237" s="35"/>
      <c r="K237" s="53"/>
      <c r="L237" s="160"/>
      <c r="M237" s="160"/>
      <c r="N237" s="35"/>
    </row>
    <row r="238" spans="1:14" s="36" customFormat="1" x14ac:dyDescent="0.3">
      <c r="A238" s="85">
        <f t="shared" si="15"/>
        <v>5</v>
      </c>
      <c r="B238" s="85"/>
      <c r="C238" s="41" t="s">
        <v>189</v>
      </c>
      <c r="D238" s="52">
        <f>(3.05*6.12+2.2*2.75+3.05*3.05+1.6*1.8+3.05*3.12+3.05*4.12+1.85*1.5+1.35*2.25+1.35*2.25+1.35*2.25+0.9*2.5+1.8*1.09+2.28*1.22)*10.764</f>
        <v>838.10226239999986</v>
      </c>
      <c r="E238" s="41">
        <v>0</v>
      </c>
      <c r="F238" s="41">
        <f t="shared" si="14"/>
        <v>1299.0585067199997</v>
      </c>
      <c r="G238" s="85"/>
      <c r="H238" s="85"/>
      <c r="I238" s="58"/>
      <c r="L238" s="160"/>
      <c r="M238" s="160"/>
      <c r="N238" s="35"/>
    </row>
    <row r="239" spans="1:14" s="36" customFormat="1" x14ac:dyDescent="0.3">
      <c r="A239" s="85">
        <f t="shared" si="15"/>
        <v>6</v>
      </c>
      <c r="B239" s="85"/>
      <c r="C239" s="41" t="s">
        <v>189</v>
      </c>
      <c r="D239" s="52">
        <f>(2.92*6.1+1.43*3.05+2.2*3.65+3.35*3.05+3.5*3.05+3.05*3.9+1.45*2.07+1.35*2.25+2.25*1.42+0.9*2.4+1.5*1.5+1.45*1.45+2.4*1.35)*10.764</f>
        <v>882.40580999999975</v>
      </c>
      <c r="E239" s="41">
        <v>0</v>
      </c>
      <c r="F239" s="41">
        <f t="shared" si="14"/>
        <v>1367.7290054999996</v>
      </c>
      <c r="G239" s="85"/>
      <c r="H239" s="85"/>
      <c r="I239" s="35"/>
      <c r="L239" s="160"/>
      <c r="M239" s="160"/>
      <c r="N239" s="35"/>
    </row>
    <row r="240" spans="1:14" s="36" customFormat="1" x14ac:dyDescent="0.3">
      <c r="A240" s="127" t="s">
        <v>229</v>
      </c>
      <c r="B240" s="127"/>
      <c r="C240" s="127"/>
      <c r="D240" s="127"/>
      <c r="E240" s="127"/>
      <c r="F240" s="127"/>
      <c r="G240" s="127"/>
      <c r="H240" s="127"/>
      <c r="I240" s="36">
        <f>8</f>
        <v>8</v>
      </c>
      <c r="J240" s="53"/>
      <c r="K240" s="54"/>
      <c r="M240" s="35"/>
    </row>
    <row r="241" spans="1:14" s="36" customFormat="1" ht="15.75" customHeight="1" x14ac:dyDescent="0.3">
      <c r="A241" s="85">
        <v>1</v>
      </c>
      <c r="B241" s="85"/>
      <c r="C241" s="41" t="s">
        <v>189</v>
      </c>
      <c r="D241" s="52">
        <f>(6.175*3.05+3.05*1.625+2.2*3.22+3.35*3.05+3.95*3.05+3.05*3.65+2.25*1.35+1.35*2.28+2.25*1.35+1.5*1.9+1.6*0.9+1.5*0.6+1.2*1.6+1.375*2.25)*10.764</f>
        <v>900.1744829999999</v>
      </c>
      <c r="E241" s="41">
        <v>0</v>
      </c>
      <c r="F241" s="41">
        <f t="shared" ref="F241:F246" si="16">D241*(($F$142)+1)+(IF(E241&lt;101,E241,IF(E241&lt;201,E241/2,IF(E241&lt;=301,E241/3,E241/4))))</f>
        <v>1395.2704486499999</v>
      </c>
      <c r="G241" s="85" t="str">
        <f>A240</f>
        <v>8th, 13th, 18th, 31st, 36th, 41st, 46th &amp; 51st Floor (Part Refuge Area)</v>
      </c>
      <c r="H241" s="85"/>
      <c r="I241" s="51"/>
      <c r="J241" s="35"/>
      <c r="K241" s="35"/>
      <c r="M241" s="35"/>
      <c r="N241" s="35"/>
    </row>
    <row r="242" spans="1:14" s="36" customFormat="1" ht="15.75" customHeight="1" x14ac:dyDescent="0.3">
      <c r="A242" s="85">
        <f t="shared" ref="A242:A246" si="17">A241+1</f>
        <v>2</v>
      </c>
      <c r="B242" s="85"/>
      <c r="C242" s="41" t="s">
        <v>184</v>
      </c>
      <c r="D242" s="52">
        <f>(3.05*6.12+2.2*2.75+3.05*3.05+1.6*1.8+3.05*3.12+1.35*2.25+1.35*2.25+1.35*2.25+1.4*0.9+1.8*1.09+2.28*1.22)*10.764</f>
        <v>662.31537839999999</v>
      </c>
      <c r="E242" s="41">
        <v>0</v>
      </c>
      <c r="F242" s="41">
        <f t="shared" si="16"/>
        <v>1026.5888365200001</v>
      </c>
      <c r="G242" s="85"/>
      <c r="H242" s="85"/>
      <c r="I242" s="35"/>
      <c r="K242" s="35"/>
      <c r="L242" s="160"/>
      <c r="M242" s="160"/>
      <c r="N242" s="35"/>
    </row>
    <row r="243" spans="1:14" s="36" customFormat="1" ht="15.75" customHeight="1" x14ac:dyDescent="0.3">
      <c r="A243" s="85">
        <f t="shared" si="17"/>
        <v>3</v>
      </c>
      <c r="B243" s="85"/>
      <c r="C243" s="41" t="s">
        <v>184</v>
      </c>
      <c r="D243" s="52">
        <f>(6.175*3.05+3.05*1.625+2.2*3.22+3.35*3.05+3.95*3.05+2.25*1.35+1.35*2.28+1.5*0.6+1.6*0.9+1.5*1.5+1.2*1.6+1.375*2.25)*10.764</f>
        <v>741.19020299999988</v>
      </c>
      <c r="E243" s="41">
        <v>0</v>
      </c>
      <c r="F243" s="41">
        <f t="shared" si="16"/>
        <v>1148.8448146499998</v>
      </c>
      <c r="G243" s="85"/>
      <c r="H243" s="85"/>
      <c r="I243" s="35"/>
      <c r="K243" s="35"/>
      <c r="L243" s="160"/>
      <c r="M243" s="160"/>
      <c r="N243" s="35"/>
    </row>
    <row r="244" spans="1:14" s="36" customFormat="1" ht="15.75" customHeight="1" x14ac:dyDescent="0.3">
      <c r="A244" s="85">
        <f t="shared" si="17"/>
        <v>4</v>
      </c>
      <c r="B244" s="85"/>
      <c r="C244" s="41" t="s">
        <v>189</v>
      </c>
      <c r="D244" s="52">
        <f>(6.175*3.05+3.05*1.625+2.2*3.22+3.35*3.05+3.05*3.65+3.95*3.05+2.25*1.35+2.25*1.35+1.35*2.28+1.5*0.6+1.6*0.9+1.5*1.5+1.2*1.6+1.375*2.25+1.5*1.8)*10.764</f>
        <v>922.77888299999995</v>
      </c>
      <c r="E244" s="41">
        <v>0</v>
      </c>
      <c r="F244" s="41">
        <f t="shared" si="16"/>
        <v>1430.30726865</v>
      </c>
      <c r="G244" s="85"/>
      <c r="H244" s="85"/>
      <c r="I244" s="35"/>
      <c r="K244" s="53"/>
      <c r="L244" s="160"/>
      <c r="M244" s="160"/>
      <c r="N244" s="35"/>
    </row>
    <row r="245" spans="1:14" s="36" customFormat="1" x14ac:dyDescent="0.3">
      <c r="A245" s="85">
        <f t="shared" si="17"/>
        <v>5</v>
      </c>
      <c r="B245" s="85"/>
      <c r="C245" s="41" t="s">
        <v>189</v>
      </c>
      <c r="D245" s="52">
        <f>(3.05*6.12+2.2*2.75+3.05*3.05+1.6*1.8+3.05*3.12+3.05*4.12+1.85*1.5+1.35*2.25+1.35*2.25+1.35*2.25+0.9*2.5+1.8*1.09+2.28*1.22+1.8*1.5)*10.764</f>
        <v>867.1650623999999</v>
      </c>
      <c r="E245" s="41">
        <v>0</v>
      </c>
      <c r="F245" s="41">
        <f t="shared" si="16"/>
        <v>1344.1058467199998</v>
      </c>
      <c r="G245" s="85"/>
      <c r="H245" s="85"/>
      <c r="I245" s="58"/>
      <c r="L245" s="160"/>
      <c r="M245" s="160"/>
      <c r="N245" s="35"/>
    </row>
    <row r="246" spans="1:14" s="36" customFormat="1" x14ac:dyDescent="0.3">
      <c r="A246" s="85">
        <f t="shared" si="17"/>
        <v>6</v>
      </c>
      <c r="B246" s="85"/>
      <c r="C246" s="41" t="s">
        <v>189</v>
      </c>
      <c r="D246" s="52">
        <f>(2.92*6.1+1.43*3.05+2.2*3.65+3.35*3.05+3.5*3.05+3.05*3.9+1.45*2.07+1.35*2.25+2.25*1.42+0.9*2.4+1.5*1.5+1.45*1.45+2.4*1.35+1.8*1.5)*10.764</f>
        <v>911.46860999999979</v>
      </c>
      <c r="E246" s="41">
        <v>0</v>
      </c>
      <c r="F246" s="41">
        <f t="shared" si="16"/>
        <v>1412.7763454999997</v>
      </c>
      <c r="G246" s="85"/>
      <c r="H246" s="85"/>
      <c r="I246" s="35"/>
      <c r="L246" s="160"/>
      <c r="M246" s="160"/>
      <c r="N246" s="35"/>
    </row>
    <row r="247" spans="1:14" s="36" customFormat="1" x14ac:dyDescent="0.3">
      <c r="A247" s="127" t="s">
        <v>230</v>
      </c>
      <c r="B247" s="127"/>
      <c r="C247" s="127"/>
      <c r="D247" s="127"/>
      <c r="E247" s="127"/>
      <c r="F247" s="127"/>
      <c r="G247" s="127"/>
      <c r="H247" s="127"/>
      <c r="I247" s="36">
        <v>2</v>
      </c>
      <c r="J247" s="53"/>
      <c r="K247" s="54"/>
      <c r="M247" s="35"/>
    </row>
    <row r="248" spans="1:14" s="36" customFormat="1" ht="15.75" customHeight="1" x14ac:dyDescent="0.3">
      <c r="A248" s="85">
        <v>1</v>
      </c>
      <c r="B248" s="85"/>
      <c r="C248" s="41" t="s">
        <v>189</v>
      </c>
      <c r="D248" s="52">
        <f>(6.175*3.05+3.05*1.625+2.2*3.22+3.35*3.05+3.95*3.05+3.05*3.65+2.25*1.35+1.35*2.28+2.25*1.35+1.5*1.9+1.6*0.9+1.5*0.6+1.2*1.6+1.375*2.25)*10.764</f>
        <v>900.1744829999999</v>
      </c>
      <c r="E248" s="41">
        <v>0</v>
      </c>
      <c r="F248" s="41">
        <f t="shared" ref="F248:F251" si="18">D248*(($F$142)+1)+(IF(E248&lt;101,E248,IF(E248&lt;201,E248/2,IF(E248&lt;=301,E248/3,E248/4))))</f>
        <v>1395.2704486499999</v>
      </c>
      <c r="G248" s="85" t="str">
        <f>A247</f>
        <v>23rd &amp; 26th Floor (Part Refuge Area)</v>
      </c>
      <c r="H248" s="85"/>
      <c r="I248" s="51"/>
      <c r="J248" s="35"/>
      <c r="K248" s="35"/>
      <c r="M248" s="35"/>
      <c r="N248" s="35"/>
    </row>
    <row r="249" spans="1:14" s="36" customFormat="1" ht="15.75" customHeight="1" x14ac:dyDescent="0.3">
      <c r="A249" s="85">
        <f t="shared" ref="A249:A253" si="19">A248+1</f>
        <v>2</v>
      </c>
      <c r="B249" s="85"/>
      <c r="C249" s="41" t="s">
        <v>184</v>
      </c>
      <c r="D249" s="52">
        <f>(3.05*6.12+2.2*2.75+3.05*3.05+1.6*1.8+3.05*3.12+1.35*2.25+1.35*2.25+1.35*2.25+1.4*0.9+1.8*1.09+2.28*1.22)*10.764</f>
        <v>662.31537839999999</v>
      </c>
      <c r="E249" s="41">
        <v>0</v>
      </c>
      <c r="F249" s="41">
        <f t="shared" si="18"/>
        <v>1026.5888365200001</v>
      </c>
      <c r="G249" s="85"/>
      <c r="H249" s="85"/>
      <c r="I249" s="35"/>
      <c r="K249" s="35"/>
      <c r="L249" s="160"/>
      <c r="M249" s="160"/>
      <c r="N249" s="35"/>
    </row>
    <row r="250" spans="1:14" s="36" customFormat="1" ht="15.75" customHeight="1" x14ac:dyDescent="0.3">
      <c r="A250" s="85">
        <f t="shared" si="19"/>
        <v>3</v>
      </c>
      <c r="B250" s="85"/>
      <c r="C250" s="41" t="s">
        <v>184</v>
      </c>
      <c r="D250" s="52">
        <f>(6.175*3.05+3.05*1.625+2.2*3.22+3.35*3.05+3.95*3.05+2.25*1.35+1.35*2.28+1.5*0.6+1.6*0.9+1.5*1.5+1.2*1.6+1.375*2.25)*10.764</f>
        <v>741.19020299999988</v>
      </c>
      <c r="E250" s="41">
        <v>0</v>
      </c>
      <c r="F250" s="41">
        <f t="shared" si="18"/>
        <v>1148.8448146499998</v>
      </c>
      <c r="G250" s="85"/>
      <c r="H250" s="85"/>
      <c r="I250" s="35"/>
      <c r="K250" s="35"/>
      <c r="L250" s="160"/>
      <c r="M250" s="160"/>
      <c r="N250" s="35"/>
    </row>
    <row r="251" spans="1:14" s="36" customFormat="1" ht="15.75" customHeight="1" x14ac:dyDescent="0.3">
      <c r="A251" s="85">
        <f t="shared" si="19"/>
        <v>4</v>
      </c>
      <c r="B251" s="85"/>
      <c r="C251" s="41" t="s">
        <v>189</v>
      </c>
      <c r="D251" s="52">
        <f>(6.175*3.05+3.05*1.625+2.2*3.22+3.35*3.05+3.05*3.65+3.95*3.05+2.25*1.35+2.25*1.35+1.35*2.28+1.5*0.6+1.6*0.9+1.5*1.5+1.2*1.6+1.375*2.25)*10.764</f>
        <v>893.71608299999991</v>
      </c>
      <c r="E251" s="41">
        <v>0</v>
      </c>
      <c r="F251" s="41">
        <f t="shared" si="18"/>
        <v>1385.2599286499999</v>
      </c>
      <c r="G251" s="85"/>
      <c r="H251" s="85"/>
      <c r="I251" s="35"/>
      <c r="K251" s="53"/>
      <c r="L251" s="160"/>
      <c r="M251" s="160"/>
      <c r="N251" s="35"/>
    </row>
    <row r="252" spans="1:14" s="36" customFormat="1" x14ac:dyDescent="0.3">
      <c r="A252" s="85">
        <f t="shared" si="19"/>
        <v>5</v>
      </c>
      <c r="B252" s="85"/>
      <c r="C252" s="41" t="s">
        <v>189</v>
      </c>
      <c r="D252" s="52">
        <f>(3.05*6.12+2.2*2.75+3.05*3.05+1.6*1.8+3.05*3.12+3.05*4.12+1.85*1.5+1.35*2.25+1.35*2.25+1.35*2.25+0.9*2.5+1.8*1.09+2.28*1.22)*10.764</f>
        <v>838.10226239999986</v>
      </c>
      <c r="E252" s="41">
        <v>0</v>
      </c>
      <c r="F252" s="41">
        <f t="shared" ref="F252" si="20">D252*(($F$142)+1)+(IF(E252&lt;101,E252,IF(E252&lt;201,E252/2,IF(E252&lt;=301,E252/3,E252/4))))</f>
        <v>1299.0585067199997</v>
      </c>
      <c r="G252" s="85"/>
      <c r="H252" s="85"/>
      <c r="I252" s="58"/>
      <c r="L252" s="160"/>
      <c r="M252" s="160"/>
      <c r="N252" s="35"/>
    </row>
    <row r="253" spans="1:14" s="36" customFormat="1" x14ac:dyDescent="0.3">
      <c r="A253" s="85">
        <f t="shared" si="19"/>
        <v>6</v>
      </c>
      <c r="B253" s="85"/>
      <c r="C253" s="41" t="s">
        <v>189</v>
      </c>
      <c r="D253" s="52">
        <f>(2.92*6.1+1.43*3.05+2.2*3.65+3.35*3.05+3.5*3.05+3.05*3.9+1.45*2.07+1.35*2.25+2.25*1.42+0.9*2.4+1.5*1.5+1.45*1.45+2.4*1.35)*10.764</f>
        <v>882.40580999999975</v>
      </c>
      <c r="E253" s="41">
        <v>0</v>
      </c>
      <c r="F253" s="41">
        <f>D253*(($F$142)+1)+(IF(E253&lt;101,E253,IF(E253&lt;201,E253/2,IF(E253&lt;=301,E253/3,E253/4))))</f>
        <v>1367.7290054999996</v>
      </c>
      <c r="G253" s="85"/>
      <c r="H253" s="85"/>
      <c r="I253" s="35"/>
      <c r="L253" s="160"/>
      <c r="M253" s="160"/>
      <c r="N253" s="35"/>
    </row>
    <row r="254" spans="1:14" s="36" customFormat="1" x14ac:dyDescent="0.3">
      <c r="A254" s="127" t="s">
        <v>231</v>
      </c>
      <c r="B254" s="127"/>
      <c r="C254" s="127"/>
      <c r="D254" s="127"/>
      <c r="E254" s="127"/>
      <c r="F254" s="127"/>
      <c r="G254" s="127"/>
      <c r="H254" s="127"/>
      <c r="J254" s="53"/>
      <c r="K254" s="54"/>
      <c r="M254" s="35"/>
    </row>
    <row r="255" spans="1:14" s="36" customFormat="1" x14ac:dyDescent="0.3">
      <c r="A255" s="127" t="s">
        <v>232</v>
      </c>
      <c r="B255" s="127"/>
      <c r="C255" s="127"/>
      <c r="D255" s="127"/>
      <c r="E255" s="127"/>
      <c r="F255" s="127"/>
      <c r="G255" s="127"/>
      <c r="H255" s="127"/>
      <c r="I255" s="36">
        <f>1+1+4+4+4+4+4+3</f>
        <v>25</v>
      </c>
      <c r="J255" s="53"/>
      <c r="K255" s="54"/>
      <c r="M255" s="35"/>
    </row>
    <row r="256" spans="1:14" s="36" customFormat="1" ht="15.75" customHeight="1" x14ac:dyDescent="0.3">
      <c r="A256" s="85">
        <v>1</v>
      </c>
      <c r="B256" s="85"/>
      <c r="C256" s="41" t="s">
        <v>189</v>
      </c>
      <c r="D256" s="52">
        <f>(6.175*3.05+3.05*1.625+2.2*3.22+3.35*3.05+3.95*3.05+3.05*3.65+2.25*1.35+1.35*2.28+2.25*1.35+1.5*1.9+1.6*0.9+1.5*0.6+1.2*1.6+1.375*2.25)*10.764</f>
        <v>900.1744829999999</v>
      </c>
      <c r="E256" s="41">
        <v>0</v>
      </c>
      <c r="F256" s="41">
        <f t="shared" ref="F256:F261" si="21">D256*(($F$142)+1)+(IF(E256&lt;101,E256,IF(E256&lt;201,E256/2,IF(E256&lt;=301,E256/3,E256/4))))</f>
        <v>1395.2704486499999</v>
      </c>
      <c r="G256" s="85" t="str">
        <f>A255</f>
        <v>24th, 25th, 27th to 30th, 32nd to 35th, 37th to 40th, 42nd to 45th, 47th to 50th &amp; 52nd to 54th Floor</v>
      </c>
      <c r="H256" s="85"/>
      <c r="I256" s="51"/>
      <c r="J256" s="35"/>
      <c r="K256" s="35"/>
      <c r="M256" s="35"/>
      <c r="N256" s="35"/>
    </row>
    <row r="257" spans="1:14" s="36" customFormat="1" ht="15.75" customHeight="1" x14ac:dyDescent="0.3">
      <c r="A257" s="85">
        <f t="shared" ref="A257:A261" si="22">A256+1</f>
        <v>2</v>
      </c>
      <c r="B257" s="85"/>
      <c r="C257" s="41" t="s">
        <v>189</v>
      </c>
      <c r="D257" s="52">
        <f>(3.05*6.12+2.2*2.75+3.05*3.05+1.6*1.8+3.05*3.12+3.05*4.12+1.85*1.5+1.35*2.25+1.35*2.25+1.35*2.25+0.9*2.5+1.8*1.09+2.28*1.22)*10.764</f>
        <v>838.10226239999986</v>
      </c>
      <c r="E257" s="41">
        <v>0</v>
      </c>
      <c r="F257" s="41">
        <f t="shared" si="21"/>
        <v>1299.0585067199997</v>
      </c>
      <c r="G257" s="85"/>
      <c r="H257" s="85"/>
      <c r="I257" s="35"/>
      <c r="K257" s="35"/>
      <c r="L257" s="160"/>
      <c r="M257" s="160"/>
      <c r="N257" s="35"/>
    </row>
    <row r="258" spans="1:14" s="36" customFormat="1" ht="15.75" customHeight="1" x14ac:dyDescent="0.3">
      <c r="A258" s="85">
        <f t="shared" si="22"/>
        <v>3</v>
      </c>
      <c r="B258" s="85"/>
      <c r="C258" s="41" t="s">
        <v>189</v>
      </c>
      <c r="D258" s="52">
        <f>(6.175*3.05+3.05*1.625+2.2*3.22+3.35*3.05+3.05*3.65+3.95*3.05+2.25*1.35+2.25*1.35+1.35*2.28+1.5*0.6+1.6*0.9+1.5*1.5+1.2*1.6+1.375*2.25)*10.764</f>
        <v>893.71608299999991</v>
      </c>
      <c r="E258" s="41">
        <v>0</v>
      </c>
      <c r="F258" s="41">
        <f t="shared" si="21"/>
        <v>1385.2599286499999</v>
      </c>
      <c r="G258" s="85"/>
      <c r="H258" s="85"/>
      <c r="I258" s="35"/>
      <c r="K258" s="35"/>
      <c r="L258" s="160"/>
      <c r="M258" s="160"/>
      <c r="N258" s="35"/>
    </row>
    <row r="259" spans="1:14" s="36" customFormat="1" ht="15.75" customHeight="1" x14ac:dyDescent="0.3">
      <c r="A259" s="85">
        <f t="shared" si="22"/>
        <v>4</v>
      </c>
      <c r="B259" s="85"/>
      <c r="C259" s="41" t="s">
        <v>189</v>
      </c>
      <c r="D259" s="52">
        <f>(6.175*3.05+3.05*1.625+2.2*3.22+3.35*3.05+3.05*3.65+3.95*3.05+2.25*1.35+2.25*1.35+1.35*2.28+1.5*0.6+1.6*0.9+1.5*1.5+1.2*1.6+1.375*2.25)*10.764</f>
        <v>893.71608299999991</v>
      </c>
      <c r="E259" s="41">
        <v>0</v>
      </c>
      <c r="F259" s="41">
        <f t="shared" si="21"/>
        <v>1385.2599286499999</v>
      </c>
      <c r="G259" s="85"/>
      <c r="H259" s="85"/>
      <c r="I259" s="35"/>
      <c r="K259" s="53"/>
      <c r="L259" s="160"/>
      <c r="M259" s="160"/>
      <c r="N259" s="35"/>
    </row>
    <row r="260" spans="1:14" s="36" customFormat="1" x14ac:dyDescent="0.3">
      <c r="A260" s="85">
        <f t="shared" si="22"/>
        <v>5</v>
      </c>
      <c r="B260" s="85"/>
      <c r="C260" s="41" t="s">
        <v>189</v>
      </c>
      <c r="D260" s="52">
        <f>(3.05*6.12+2.2*2.75+3.05*3.05+1.6*1.8+3.05*3.12+3.05*4.12+1.85*1.5+1.35*2.25+1.35*2.25+1.35*2.25+0.9*2.5+1.8*1.09+2.28*1.22)*10.764</f>
        <v>838.10226239999986</v>
      </c>
      <c r="E260" s="41">
        <v>0</v>
      </c>
      <c r="F260" s="41">
        <f t="shared" si="21"/>
        <v>1299.0585067199997</v>
      </c>
      <c r="G260" s="85"/>
      <c r="H260" s="85"/>
      <c r="I260" s="58"/>
      <c r="L260" s="160"/>
      <c r="M260" s="160"/>
      <c r="N260" s="35"/>
    </row>
    <row r="261" spans="1:14" s="36" customFormat="1" x14ac:dyDescent="0.3">
      <c r="A261" s="85">
        <f t="shared" si="22"/>
        <v>6</v>
      </c>
      <c r="B261" s="85"/>
      <c r="C261" s="41" t="s">
        <v>189</v>
      </c>
      <c r="D261" s="52">
        <f>(2.92*6.1+1.43*3.05+2.2*3.65+3.35*3.05+3.5*3.05+3.05*3.9+1.45*2.07+1.35*2.25+2.25*1.42+0.9*2.4+1.5*1.5+1.45*1.45+2.4*1.35)*10.764</f>
        <v>882.40580999999975</v>
      </c>
      <c r="E261" s="41">
        <v>0</v>
      </c>
      <c r="F261" s="41">
        <f t="shared" si="21"/>
        <v>1367.7290054999996</v>
      </c>
      <c r="G261" s="85"/>
      <c r="H261" s="85"/>
      <c r="I261" s="35"/>
      <c r="L261" s="160"/>
      <c r="M261" s="160"/>
      <c r="N261" s="35"/>
    </row>
    <row r="262" spans="1:14" s="34" customFormat="1" x14ac:dyDescent="0.3">
      <c r="A262" s="175" t="s">
        <v>69</v>
      </c>
      <c r="B262" s="175"/>
      <c r="C262" s="175"/>
      <c r="D262" s="175"/>
      <c r="E262" s="175"/>
      <c r="F262" s="175"/>
      <c r="G262" s="175"/>
      <c r="H262" s="175"/>
    </row>
    <row r="263" spans="1:14" s="34" customFormat="1" x14ac:dyDescent="0.3">
      <c r="A263" s="44" t="s">
        <v>150</v>
      </c>
      <c r="B263" s="98" t="s">
        <v>261</v>
      </c>
      <c r="C263" s="99"/>
      <c r="D263" s="99"/>
      <c r="E263" s="99"/>
      <c r="F263" s="99"/>
      <c r="G263" s="99"/>
      <c r="H263" s="100"/>
    </row>
    <row r="264" spans="1:14" s="34" customFormat="1" x14ac:dyDescent="0.3">
      <c r="A264" s="44" t="s">
        <v>150</v>
      </c>
      <c r="B264" s="98" t="str">
        <f>(IF(F141="Saleable area Loading :","We have considered Saleable area of Flats as per our Calculation.","We considered Saleable area of Flat as per Builder area Sheet."))</f>
        <v>We have considered Saleable area of Flats as per our Calculation.</v>
      </c>
      <c r="C264" s="99"/>
      <c r="D264" s="99"/>
      <c r="E264" s="99"/>
      <c r="F264" s="99"/>
      <c r="G264" s="99"/>
      <c r="H264" s="100"/>
    </row>
    <row r="265" spans="1:14" s="34" customFormat="1" x14ac:dyDescent="0.3">
      <c r="A265" s="44" t="s">
        <v>150</v>
      </c>
      <c r="B265" s="94" t="s">
        <v>120</v>
      </c>
      <c r="C265" s="95"/>
      <c r="D265" s="95"/>
      <c r="E265" s="95"/>
      <c r="F265" s="95"/>
      <c r="G265" s="95"/>
      <c r="H265" s="96"/>
      <c r="I265" s="194" t="s">
        <v>251</v>
      </c>
      <c r="J265" s="195"/>
      <c r="K265" s="195"/>
      <c r="L265" s="195"/>
    </row>
    <row r="266" spans="1:14" s="34" customFormat="1" x14ac:dyDescent="0.3">
      <c r="A266" s="44" t="s">
        <v>150</v>
      </c>
      <c r="B266" s="94" t="s">
        <v>249</v>
      </c>
      <c r="C266" s="95"/>
      <c r="D266" s="95"/>
      <c r="E266" s="95"/>
      <c r="F266" s="95"/>
      <c r="G266" s="95"/>
      <c r="H266" s="96"/>
      <c r="I266" s="194" t="s">
        <v>250</v>
      </c>
      <c r="J266" s="195"/>
      <c r="K266" s="195"/>
      <c r="L266" s="195"/>
    </row>
    <row r="267" spans="1:14" s="34" customFormat="1" x14ac:dyDescent="0.3">
      <c r="A267" s="44" t="s">
        <v>150</v>
      </c>
      <c r="B267" s="94" t="s">
        <v>149</v>
      </c>
      <c r="C267" s="95"/>
      <c r="D267" s="95"/>
      <c r="E267" s="95"/>
      <c r="F267" s="95"/>
      <c r="G267" s="95"/>
      <c r="H267" s="96"/>
    </row>
    <row r="268" spans="1:14" s="34" customFormat="1" x14ac:dyDescent="0.3">
      <c r="A268" s="44" t="s">
        <v>150</v>
      </c>
      <c r="B268" s="94" t="s">
        <v>121</v>
      </c>
      <c r="C268" s="95"/>
      <c r="D268" s="95"/>
      <c r="E268" s="95"/>
      <c r="F268" s="95"/>
      <c r="G268" s="95"/>
      <c r="H268" s="96"/>
    </row>
    <row r="269" spans="1:14" s="34" customFormat="1" ht="34.5" customHeight="1" x14ac:dyDescent="0.3">
      <c r="A269" s="44" t="s">
        <v>150</v>
      </c>
      <c r="B269" s="94" t="s">
        <v>151</v>
      </c>
      <c r="C269" s="95"/>
      <c r="D269" s="95"/>
      <c r="E269" s="95"/>
      <c r="F269" s="95"/>
      <c r="G269" s="95"/>
      <c r="H269" s="96"/>
    </row>
    <row r="270" spans="1:14" s="34" customFormat="1" x14ac:dyDescent="0.3">
      <c r="A270" s="44" t="s">
        <v>150</v>
      </c>
      <c r="B270" s="94" t="s">
        <v>122</v>
      </c>
      <c r="C270" s="95"/>
      <c r="D270" s="95"/>
      <c r="E270" s="95"/>
      <c r="F270" s="95"/>
      <c r="G270" s="95"/>
      <c r="H270" s="96"/>
    </row>
    <row r="271" spans="1:14" s="34" customFormat="1" x14ac:dyDescent="0.3">
      <c r="A271" s="44" t="s">
        <v>150</v>
      </c>
      <c r="B271" s="94" t="s">
        <v>247</v>
      </c>
      <c r="C271" s="95"/>
      <c r="D271" s="95"/>
      <c r="E271" s="95"/>
      <c r="F271" s="95"/>
      <c r="G271" s="95"/>
      <c r="H271" s="96"/>
      <c r="I271" s="59"/>
    </row>
    <row r="272" spans="1:14" s="34" customFormat="1" ht="33" customHeight="1" x14ac:dyDescent="0.3">
      <c r="A272" s="44" t="s">
        <v>150</v>
      </c>
      <c r="B272" s="94" t="s">
        <v>248</v>
      </c>
      <c r="C272" s="95"/>
      <c r="D272" s="95"/>
      <c r="E272" s="95"/>
      <c r="F272" s="95"/>
      <c r="G272" s="95"/>
      <c r="H272" s="96"/>
      <c r="I272" s="59"/>
    </row>
    <row r="273" spans="1:9" s="34" customFormat="1" x14ac:dyDescent="0.3">
      <c r="A273" s="44" t="s">
        <v>150</v>
      </c>
      <c r="B273" s="94" t="s">
        <v>244</v>
      </c>
      <c r="C273" s="95"/>
      <c r="D273" s="95"/>
      <c r="E273" s="95"/>
      <c r="F273" s="95"/>
      <c r="G273" s="95"/>
      <c r="H273" s="96"/>
      <c r="I273" s="59" t="s">
        <v>245</v>
      </c>
    </row>
    <row r="274" spans="1:9" s="34" customFormat="1" x14ac:dyDescent="0.3">
      <c r="A274" s="44" t="s">
        <v>150</v>
      </c>
      <c r="B274" s="94" t="s">
        <v>256</v>
      </c>
      <c r="C274" s="95"/>
      <c r="D274" s="95"/>
      <c r="E274" s="95"/>
      <c r="F274" s="95"/>
      <c r="G274" s="95"/>
      <c r="H274" s="96"/>
      <c r="I274" s="59"/>
    </row>
    <row r="275" spans="1:9" s="34" customFormat="1" x14ac:dyDescent="0.3">
      <c r="A275" s="44" t="s">
        <v>150</v>
      </c>
      <c r="B275" s="94" t="s">
        <v>258</v>
      </c>
      <c r="C275" s="95"/>
      <c r="D275" s="95"/>
      <c r="E275" s="95"/>
      <c r="F275" s="95"/>
      <c r="G275" s="95"/>
      <c r="H275" s="96"/>
      <c r="I275" s="59"/>
    </row>
    <row r="276" spans="1:9" x14ac:dyDescent="0.3">
      <c r="A276" s="130" t="s">
        <v>62</v>
      </c>
      <c r="B276" s="130"/>
      <c r="C276" s="130"/>
      <c r="D276" s="130"/>
      <c r="E276" s="130"/>
      <c r="F276" s="130"/>
      <c r="G276" s="130"/>
      <c r="H276" s="130"/>
    </row>
    <row r="277" spans="1:9" x14ac:dyDescent="0.3">
      <c r="A277" s="66" t="s">
        <v>63</v>
      </c>
      <c r="B277" s="66"/>
      <c r="C277" s="66"/>
      <c r="D277" s="66"/>
      <c r="E277" s="66"/>
      <c r="F277" s="66"/>
      <c r="G277" s="66"/>
      <c r="H277" s="66"/>
    </row>
    <row r="278" spans="1:9" ht="15.75" customHeight="1" x14ac:dyDescent="0.3">
      <c r="A278" s="84" t="s">
        <v>64</v>
      </c>
      <c r="B278" s="84"/>
      <c r="C278" s="84"/>
      <c r="D278" s="84"/>
      <c r="E278" s="84"/>
      <c r="F278" s="84"/>
      <c r="G278" s="84"/>
      <c r="H278" s="84"/>
    </row>
    <row r="279" spans="1:9" x14ac:dyDescent="0.3">
      <c r="A279" s="66" t="s">
        <v>65</v>
      </c>
      <c r="B279" s="66"/>
      <c r="C279" s="66"/>
      <c r="D279" s="66"/>
      <c r="E279" s="66"/>
      <c r="F279" s="66"/>
      <c r="G279" s="66"/>
      <c r="H279" s="66"/>
    </row>
    <row r="280" spans="1:9" x14ac:dyDescent="0.3">
      <c r="A280" s="66" t="s">
        <v>66</v>
      </c>
      <c r="B280" s="66"/>
      <c r="C280" s="66"/>
      <c r="D280" s="66"/>
      <c r="E280" s="66"/>
      <c r="F280" s="66"/>
      <c r="G280" s="66"/>
      <c r="H280" s="66"/>
    </row>
    <row r="281" spans="1:9" x14ac:dyDescent="0.3">
      <c r="A281" s="66" t="s">
        <v>123</v>
      </c>
      <c r="B281" s="66"/>
      <c r="C281" s="66"/>
      <c r="D281" s="66"/>
      <c r="E281" s="66"/>
      <c r="F281" s="66"/>
      <c r="G281" s="66"/>
      <c r="H281" s="66"/>
    </row>
    <row r="282" spans="1:9" x14ac:dyDescent="0.3">
      <c r="A282" s="81" t="s">
        <v>124</v>
      </c>
      <c r="B282" s="81"/>
      <c r="C282" s="81"/>
      <c r="D282" s="81"/>
      <c r="E282" s="81"/>
      <c r="F282" s="81"/>
      <c r="G282" s="81"/>
      <c r="H282" s="81"/>
    </row>
    <row r="283" spans="1:9" x14ac:dyDescent="0.3">
      <c r="A283" s="125" t="s">
        <v>78</v>
      </c>
      <c r="B283" s="125"/>
      <c r="C283" s="125" t="s">
        <v>177</v>
      </c>
      <c r="D283" s="125"/>
      <c r="E283" s="125" t="s">
        <v>104</v>
      </c>
      <c r="F283" s="125"/>
      <c r="G283" s="125" t="s">
        <v>262</v>
      </c>
      <c r="H283" s="125"/>
    </row>
    <row r="284" spans="1:9" x14ac:dyDescent="0.3">
      <c r="A284" s="124" t="s">
        <v>80</v>
      </c>
      <c r="B284" s="124"/>
      <c r="C284" s="124"/>
      <c r="D284" s="124"/>
      <c r="E284" s="124"/>
      <c r="F284" s="124"/>
      <c r="G284" s="124"/>
      <c r="H284" s="124"/>
    </row>
    <row r="285" spans="1:9" x14ac:dyDescent="0.3">
      <c r="A285" s="124"/>
      <c r="B285" s="124"/>
      <c r="C285" s="124"/>
      <c r="D285" s="124"/>
      <c r="E285" s="124"/>
      <c r="F285" s="124"/>
      <c r="G285" s="124"/>
      <c r="H285" s="124"/>
    </row>
    <row r="286" spans="1:9" x14ac:dyDescent="0.3">
      <c r="A286" s="124"/>
      <c r="B286" s="124"/>
      <c r="C286" s="124"/>
      <c r="D286" s="124"/>
      <c r="E286" s="124"/>
      <c r="F286" s="124"/>
      <c r="G286" s="124"/>
      <c r="H286" s="124"/>
    </row>
    <row r="287" spans="1:9" x14ac:dyDescent="0.3">
      <c r="A287" s="124"/>
      <c r="B287" s="124"/>
      <c r="C287" s="124"/>
      <c r="D287" s="124"/>
      <c r="E287" s="124"/>
      <c r="F287" s="124"/>
      <c r="G287" s="124"/>
      <c r="H287" s="124"/>
    </row>
    <row r="288" spans="1:9" x14ac:dyDescent="0.3">
      <c r="A288" s="37" t="s">
        <v>67</v>
      </c>
      <c r="B288" s="38"/>
      <c r="C288" s="38"/>
      <c r="D288" s="37" t="str">
        <f>E8</f>
        <v>Rustomjee La Vie Wing A, B &amp; C</v>
      </c>
      <c r="F288" s="38"/>
      <c r="G288" s="38"/>
      <c r="H288" s="38"/>
    </row>
    <row r="289" spans="1:8" x14ac:dyDescent="0.3">
      <c r="A289" s="38"/>
      <c r="B289" s="38"/>
      <c r="C289" s="38"/>
      <c r="D289" s="38"/>
      <c r="E289" s="38"/>
      <c r="F289" s="38"/>
      <c r="G289" s="38"/>
      <c r="H289" s="38"/>
    </row>
    <row r="290" spans="1:8" x14ac:dyDescent="0.3">
      <c r="A290" s="38"/>
      <c r="B290" s="38"/>
      <c r="C290" s="38"/>
      <c r="D290" s="38"/>
      <c r="E290" s="38"/>
      <c r="F290" s="38"/>
      <c r="G290" s="38"/>
      <c r="H290" s="38"/>
    </row>
    <row r="291" spans="1:8" ht="15" customHeight="1" x14ac:dyDescent="0.3"/>
    <row r="328" spans="1:1" x14ac:dyDescent="0.3">
      <c r="A328" s="40" t="s">
        <v>160</v>
      </c>
    </row>
    <row r="367" spans="1:1" x14ac:dyDescent="0.3">
      <c r="A367" s="40" t="s">
        <v>68</v>
      </c>
    </row>
  </sheetData>
  <mergeCells count="505">
    <mergeCell ref="B273:H273"/>
    <mergeCell ref="B274:H274"/>
    <mergeCell ref="B272:H272"/>
    <mergeCell ref="B271:H271"/>
    <mergeCell ref="I266:L266"/>
    <mergeCell ref="I265:L265"/>
    <mergeCell ref="A232:H232"/>
    <mergeCell ref="A58:B59"/>
    <mergeCell ref="C58:E58"/>
    <mergeCell ref="G58:H58"/>
    <mergeCell ref="C59:H59"/>
    <mergeCell ref="A60:B61"/>
    <mergeCell ref="C60:E60"/>
    <mergeCell ref="G60:H60"/>
    <mergeCell ref="C61:H61"/>
    <mergeCell ref="A254:H254"/>
    <mergeCell ref="A255:H255"/>
    <mergeCell ref="A256:B256"/>
    <mergeCell ref="G256:H261"/>
    <mergeCell ref="A257:B257"/>
    <mergeCell ref="L257:M257"/>
    <mergeCell ref="A258:B258"/>
    <mergeCell ref="L258:M258"/>
    <mergeCell ref="A259:B259"/>
    <mergeCell ref="L259:M259"/>
    <mergeCell ref="A260:B260"/>
    <mergeCell ref="L260:M260"/>
    <mergeCell ref="A261:B261"/>
    <mergeCell ref="L261:M261"/>
    <mergeCell ref="A247:H247"/>
    <mergeCell ref="A248:B248"/>
    <mergeCell ref="G248:H253"/>
    <mergeCell ref="A249:B249"/>
    <mergeCell ref="L249:M249"/>
    <mergeCell ref="A250:B250"/>
    <mergeCell ref="L250:M250"/>
    <mergeCell ref="A251:B251"/>
    <mergeCell ref="L251:M251"/>
    <mergeCell ref="A252:B252"/>
    <mergeCell ref="L252:M252"/>
    <mergeCell ref="A253:B253"/>
    <mergeCell ref="L253:M253"/>
    <mergeCell ref="A240:H240"/>
    <mergeCell ref="A241:B241"/>
    <mergeCell ref="G241:H246"/>
    <mergeCell ref="A242:B242"/>
    <mergeCell ref="L242:M242"/>
    <mergeCell ref="A243:B243"/>
    <mergeCell ref="L243:M243"/>
    <mergeCell ref="A244:B244"/>
    <mergeCell ref="L244:M244"/>
    <mergeCell ref="A245:B245"/>
    <mergeCell ref="L245:M245"/>
    <mergeCell ref="A246:B246"/>
    <mergeCell ref="L246:M246"/>
    <mergeCell ref="A229:H229"/>
    <mergeCell ref="A230:H230"/>
    <mergeCell ref="A231:H231"/>
    <mergeCell ref="A233:H233"/>
    <mergeCell ref="A234:B234"/>
    <mergeCell ref="G234:H239"/>
    <mergeCell ref="A235:B235"/>
    <mergeCell ref="L235:M235"/>
    <mergeCell ref="A236:B236"/>
    <mergeCell ref="L236:M236"/>
    <mergeCell ref="A237:B237"/>
    <mergeCell ref="L237:M237"/>
    <mergeCell ref="A238:B238"/>
    <mergeCell ref="L238:M238"/>
    <mergeCell ref="A239:B239"/>
    <mergeCell ref="L239:M239"/>
    <mergeCell ref="L215:M215"/>
    <mergeCell ref="A216:B216"/>
    <mergeCell ref="L216:M216"/>
    <mergeCell ref="A217:H217"/>
    <mergeCell ref="A218:H218"/>
    <mergeCell ref="A219:B219"/>
    <mergeCell ref="G219:H228"/>
    <mergeCell ref="A220:B220"/>
    <mergeCell ref="L220:M220"/>
    <mergeCell ref="A221:B221"/>
    <mergeCell ref="L221:M221"/>
    <mergeCell ref="A222:B222"/>
    <mergeCell ref="L222:M222"/>
    <mergeCell ref="A223:B223"/>
    <mergeCell ref="L223:M223"/>
    <mergeCell ref="A224:B224"/>
    <mergeCell ref="L224:M224"/>
    <mergeCell ref="A225:B225"/>
    <mergeCell ref="L225:M225"/>
    <mergeCell ref="A226:B226"/>
    <mergeCell ref="L226:M226"/>
    <mergeCell ref="A227:B227"/>
    <mergeCell ref="L227:M227"/>
    <mergeCell ref="A228:B228"/>
    <mergeCell ref="L228:M228"/>
    <mergeCell ref="A204:B204"/>
    <mergeCell ref="L204:M204"/>
    <mergeCell ref="A205:B205"/>
    <mergeCell ref="L205:M205"/>
    <mergeCell ref="C200:F200"/>
    <mergeCell ref="A206:H206"/>
    <mergeCell ref="A207:B207"/>
    <mergeCell ref="G207:H216"/>
    <mergeCell ref="A208:B208"/>
    <mergeCell ref="L208:M208"/>
    <mergeCell ref="A209:B209"/>
    <mergeCell ref="L209:M209"/>
    <mergeCell ref="A210:B210"/>
    <mergeCell ref="L210:M210"/>
    <mergeCell ref="A211:B211"/>
    <mergeCell ref="C211:F211"/>
    <mergeCell ref="L211:M211"/>
    <mergeCell ref="A212:B212"/>
    <mergeCell ref="L212:M212"/>
    <mergeCell ref="A213:B213"/>
    <mergeCell ref="L213:M213"/>
    <mergeCell ref="A214:B214"/>
    <mergeCell ref="L214:M214"/>
    <mergeCell ref="A215:B215"/>
    <mergeCell ref="L191:M191"/>
    <mergeCell ref="A192:B192"/>
    <mergeCell ref="L192:M192"/>
    <mergeCell ref="A193:B193"/>
    <mergeCell ref="L193:M193"/>
    <mergeCell ref="A194:B194"/>
    <mergeCell ref="L194:M194"/>
    <mergeCell ref="A195:H195"/>
    <mergeCell ref="A196:B196"/>
    <mergeCell ref="G196:H205"/>
    <mergeCell ref="A197:B197"/>
    <mergeCell ref="L197:M197"/>
    <mergeCell ref="A198:B198"/>
    <mergeCell ref="L198:M198"/>
    <mergeCell ref="A199:B199"/>
    <mergeCell ref="L199:M199"/>
    <mergeCell ref="A200:B200"/>
    <mergeCell ref="L200:M200"/>
    <mergeCell ref="A201:B201"/>
    <mergeCell ref="L201:M201"/>
    <mergeCell ref="A202:B202"/>
    <mergeCell ref="L202:M202"/>
    <mergeCell ref="A203:B203"/>
    <mergeCell ref="L203:M203"/>
    <mergeCell ref="L186:M186"/>
    <mergeCell ref="A187:B187"/>
    <mergeCell ref="L187:M187"/>
    <mergeCell ref="A188:B188"/>
    <mergeCell ref="L188:M188"/>
    <mergeCell ref="A189:B189"/>
    <mergeCell ref="L189:M189"/>
    <mergeCell ref="A190:B190"/>
    <mergeCell ref="L190:M190"/>
    <mergeCell ref="A181:H181"/>
    <mergeCell ref="A182:H182"/>
    <mergeCell ref="A183:H183"/>
    <mergeCell ref="A184:H184"/>
    <mergeCell ref="A185:B185"/>
    <mergeCell ref="G185:H194"/>
    <mergeCell ref="A186:B186"/>
    <mergeCell ref="A191:B191"/>
    <mergeCell ref="A163:B163"/>
    <mergeCell ref="A172:B172"/>
    <mergeCell ref="A178:B178"/>
    <mergeCell ref="A179:B179"/>
    <mergeCell ref="A180:B180"/>
    <mergeCell ref="A174:B174"/>
    <mergeCell ref="A175:B175"/>
    <mergeCell ref="A176:B176"/>
    <mergeCell ref="A177:B177"/>
    <mergeCell ref="A109:B109"/>
    <mergeCell ref="E109:F118"/>
    <mergeCell ref="G109:H118"/>
    <mergeCell ref="A110:B110"/>
    <mergeCell ref="A111:B111"/>
    <mergeCell ref="A112:B112"/>
    <mergeCell ref="A113:B113"/>
    <mergeCell ref="A114:B114"/>
    <mergeCell ref="A115:B115"/>
    <mergeCell ref="A116:B116"/>
    <mergeCell ref="A117:B117"/>
    <mergeCell ref="A118:B118"/>
    <mergeCell ref="A56:B57"/>
    <mergeCell ref="C56:E56"/>
    <mergeCell ref="G56:H56"/>
    <mergeCell ref="C57:H57"/>
    <mergeCell ref="D68:H68"/>
    <mergeCell ref="D69:H69"/>
    <mergeCell ref="A67:C69"/>
    <mergeCell ref="A48:H48"/>
    <mergeCell ref="A54:H54"/>
    <mergeCell ref="A49:B49"/>
    <mergeCell ref="C49:E49"/>
    <mergeCell ref="G49:H49"/>
    <mergeCell ref="A55:B55"/>
    <mergeCell ref="C55:E55"/>
    <mergeCell ref="G55:H55"/>
    <mergeCell ref="A63:H63"/>
    <mergeCell ref="A64:C64"/>
    <mergeCell ref="A65:C65"/>
    <mergeCell ref="A51:B51"/>
    <mergeCell ref="A38:B38"/>
    <mergeCell ref="C38:H38"/>
    <mergeCell ref="B269:H269"/>
    <mergeCell ref="A47:B47"/>
    <mergeCell ref="C47:H47"/>
    <mergeCell ref="B267:H267"/>
    <mergeCell ref="F121:H121"/>
    <mergeCell ref="A121:E121"/>
    <mergeCell ref="A123:E123"/>
    <mergeCell ref="G171:H180"/>
    <mergeCell ref="C160:F160"/>
    <mergeCell ref="C171:F171"/>
    <mergeCell ref="G160:H169"/>
    <mergeCell ref="F125:H125"/>
    <mergeCell ref="A126:E126"/>
    <mergeCell ref="A128:E128"/>
    <mergeCell ref="F122:H122"/>
    <mergeCell ref="A127:E127"/>
    <mergeCell ref="A122:E122"/>
    <mergeCell ref="B265:H265"/>
    <mergeCell ref="B266:H266"/>
    <mergeCell ref="A262:H262"/>
    <mergeCell ref="B141:B142"/>
    <mergeCell ref="A152:B152"/>
    <mergeCell ref="A162:B162"/>
    <mergeCell ref="A130:E130"/>
    <mergeCell ref="G138:H138"/>
    <mergeCell ref="F129:H129"/>
    <mergeCell ref="A150:B150"/>
    <mergeCell ref="A151:B151"/>
    <mergeCell ref="A158:B158"/>
    <mergeCell ref="A141:A142"/>
    <mergeCell ref="A138:B138"/>
    <mergeCell ref="A143:H143"/>
    <mergeCell ref="A136:B136"/>
    <mergeCell ref="C136:D136"/>
    <mergeCell ref="E136:F136"/>
    <mergeCell ref="G136:H136"/>
    <mergeCell ref="A137:B137"/>
    <mergeCell ref="C137:D137"/>
    <mergeCell ref="E137:F137"/>
    <mergeCell ref="G137:H137"/>
    <mergeCell ref="L152:M152"/>
    <mergeCell ref="L153:M153"/>
    <mergeCell ref="L154:M154"/>
    <mergeCell ref="L150:M150"/>
    <mergeCell ref="L151:M151"/>
    <mergeCell ref="L158:M158"/>
    <mergeCell ref="G149:H158"/>
    <mergeCell ref="A173:B173"/>
    <mergeCell ref="L155:M155"/>
    <mergeCell ref="A156:B156"/>
    <mergeCell ref="L156:M156"/>
    <mergeCell ref="A157:B157"/>
    <mergeCell ref="L157:M157"/>
    <mergeCell ref="A149:B149"/>
    <mergeCell ref="L170:M170"/>
    <mergeCell ref="L159:M159"/>
    <mergeCell ref="A165:B165"/>
    <mergeCell ref="A166:B166"/>
    <mergeCell ref="A167:B167"/>
    <mergeCell ref="A155:B155"/>
    <mergeCell ref="A171:B171"/>
    <mergeCell ref="A168:B168"/>
    <mergeCell ref="A169:B169"/>
    <mergeCell ref="A170:H170"/>
    <mergeCell ref="A36:H36"/>
    <mergeCell ref="A35:B35"/>
    <mergeCell ref="C35:E35"/>
    <mergeCell ref="A40:D40"/>
    <mergeCell ref="E40:H40"/>
    <mergeCell ref="F32:H32"/>
    <mergeCell ref="F33:H33"/>
    <mergeCell ref="A39:H39"/>
    <mergeCell ref="A70:C70"/>
    <mergeCell ref="D70:H70"/>
    <mergeCell ref="A42:D42"/>
    <mergeCell ref="E42:H42"/>
    <mergeCell ref="E43:H43"/>
    <mergeCell ref="E44:H44"/>
    <mergeCell ref="E45:H45"/>
    <mergeCell ref="A37:B37"/>
    <mergeCell ref="C37:H37"/>
    <mergeCell ref="A44:D44"/>
    <mergeCell ref="A43:D43"/>
    <mergeCell ref="F35:H35"/>
    <mergeCell ref="A45:D45"/>
    <mergeCell ref="A46:H46"/>
    <mergeCell ref="D66:H66"/>
    <mergeCell ref="A66:C66"/>
    <mergeCell ref="E25:H25"/>
    <mergeCell ref="A27:D27"/>
    <mergeCell ref="E27:H27"/>
    <mergeCell ref="A24:D24"/>
    <mergeCell ref="E24:H24"/>
    <mergeCell ref="A28:D28"/>
    <mergeCell ref="E28:H28"/>
    <mergeCell ref="A25:D25"/>
    <mergeCell ref="A34:B34"/>
    <mergeCell ref="C34:E34"/>
    <mergeCell ref="A29:D29"/>
    <mergeCell ref="E29:H29"/>
    <mergeCell ref="A30:D30"/>
    <mergeCell ref="E30:H30"/>
    <mergeCell ref="A26:D26"/>
    <mergeCell ref="E26:H26"/>
    <mergeCell ref="C31:E31"/>
    <mergeCell ref="F34:H34"/>
    <mergeCell ref="F31:H31"/>
    <mergeCell ref="A32:B32"/>
    <mergeCell ref="A31:B31"/>
    <mergeCell ref="C32:E32"/>
    <mergeCell ref="A33:B33"/>
    <mergeCell ref="C33:E33"/>
    <mergeCell ref="A23:D23"/>
    <mergeCell ref="E23:H23"/>
    <mergeCell ref="A17:B17"/>
    <mergeCell ref="C17:D17"/>
    <mergeCell ref="E17:F17"/>
    <mergeCell ref="G17:H17"/>
    <mergeCell ref="A18:B18"/>
    <mergeCell ref="C18:D18"/>
    <mergeCell ref="E18:F18"/>
    <mergeCell ref="G18:H18"/>
    <mergeCell ref="A19:B19"/>
    <mergeCell ref="C19:D19"/>
    <mergeCell ref="E19:F19"/>
    <mergeCell ref="G19:H19"/>
    <mergeCell ref="A20:B20"/>
    <mergeCell ref="C20:D20"/>
    <mergeCell ref="E20:F20"/>
    <mergeCell ref="G20:H20"/>
    <mergeCell ref="E13:H13"/>
    <mergeCell ref="A14:B14"/>
    <mergeCell ref="C14:H14"/>
    <mergeCell ref="C15:H15"/>
    <mergeCell ref="A16:B16"/>
    <mergeCell ref="C16:H16"/>
    <mergeCell ref="A11:D11"/>
    <mergeCell ref="E11:H11"/>
    <mergeCell ref="A15:B15"/>
    <mergeCell ref="A12:D12"/>
    <mergeCell ref="E12:H12"/>
    <mergeCell ref="A13:D13"/>
    <mergeCell ref="A1:H1"/>
    <mergeCell ref="A2:H2"/>
    <mergeCell ref="A3:D3"/>
    <mergeCell ref="E3:H3"/>
    <mergeCell ref="A4:D4"/>
    <mergeCell ref="A8:D8"/>
    <mergeCell ref="E8:H8"/>
    <mergeCell ref="A9:D9"/>
    <mergeCell ref="E9:H9"/>
    <mergeCell ref="E4:H4"/>
    <mergeCell ref="A5:D5"/>
    <mergeCell ref="E5:H5"/>
    <mergeCell ref="A6:D6"/>
    <mergeCell ref="E6:H6"/>
    <mergeCell ref="A7:D7"/>
    <mergeCell ref="E7:H7"/>
    <mergeCell ref="A10:D10"/>
    <mergeCell ref="E10:H10"/>
    <mergeCell ref="A21:D22"/>
    <mergeCell ref="E21:H22"/>
    <mergeCell ref="A154:B154"/>
    <mergeCell ref="A277:H277"/>
    <mergeCell ref="E134:F134"/>
    <mergeCell ref="B270:H270"/>
    <mergeCell ref="G51:H51"/>
    <mergeCell ref="A52:B53"/>
    <mergeCell ref="A87:B87"/>
    <mergeCell ref="A80:B80"/>
    <mergeCell ref="A83:B83"/>
    <mergeCell ref="A79:B79"/>
    <mergeCell ref="A77:B77"/>
    <mergeCell ref="C77:H77"/>
    <mergeCell ref="A85:B85"/>
    <mergeCell ref="A72:C72"/>
    <mergeCell ref="D72:H72"/>
    <mergeCell ref="C79:H79"/>
    <mergeCell ref="A82:B82"/>
    <mergeCell ref="A84:B84"/>
    <mergeCell ref="E80:F80"/>
    <mergeCell ref="A73:C73"/>
    <mergeCell ref="A284:H287"/>
    <mergeCell ref="A283:B283"/>
    <mergeCell ref="E283:F283"/>
    <mergeCell ref="C283:D283"/>
    <mergeCell ref="G283:H283"/>
    <mergeCell ref="A131:E131"/>
    <mergeCell ref="F131:H131"/>
    <mergeCell ref="A132:E132"/>
    <mergeCell ref="F132:H132"/>
    <mergeCell ref="A159:H159"/>
    <mergeCell ref="A135:B135"/>
    <mergeCell ref="A279:H279"/>
    <mergeCell ref="A133:H133"/>
    <mergeCell ref="A282:H282"/>
    <mergeCell ref="A280:H280"/>
    <mergeCell ref="A276:H276"/>
    <mergeCell ref="C134:D134"/>
    <mergeCell ref="G134:H134"/>
    <mergeCell ref="C135:D135"/>
    <mergeCell ref="E138:F138"/>
    <mergeCell ref="A144:H144"/>
    <mergeCell ref="C138:D138"/>
    <mergeCell ref="A164:B164"/>
    <mergeCell ref="A161:B161"/>
    <mergeCell ref="A153:B153"/>
    <mergeCell ref="C141:C142"/>
    <mergeCell ref="E135:F135"/>
    <mergeCell ref="G135:H135"/>
    <mergeCell ref="A75:C75"/>
    <mergeCell ref="D75:H75"/>
    <mergeCell ref="A81:B81"/>
    <mergeCell ref="G80:H80"/>
    <mergeCell ref="A93:B93"/>
    <mergeCell ref="C93:H93"/>
    <mergeCell ref="A94:B94"/>
    <mergeCell ref="E94:F94"/>
    <mergeCell ref="G94:H94"/>
    <mergeCell ref="A95:B95"/>
    <mergeCell ref="E95:F104"/>
    <mergeCell ref="G95:H104"/>
    <mergeCell ref="F123:H123"/>
    <mergeCell ref="A76:C76"/>
    <mergeCell ref="D76:H76"/>
    <mergeCell ref="A96:B96"/>
    <mergeCell ref="A124:E124"/>
    <mergeCell ref="A97:B97"/>
    <mergeCell ref="A98:B98"/>
    <mergeCell ref="A99:B99"/>
    <mergeCell ref="E81:F90"/>
    <mergeCell ref="G81:H90"/>
    <mergeCell ref="A89:B89"/>
    <mergeCell ref="A90:B90"/>
    <mergeCell ref="D71:H71"/>
    <mergeCell ref="A88:B88"/>
    <mergeCell ref="A91:B91"/>
    <mergeCell ref="C91:H91"/>
    <mergeCell ref="A148:H148"/>
    <mergeCell ref="A147:H147"/>
    <mergeCell ref="D73:H73"/>
    <mergeCell ref="A74:C74"/>
    <mergeCell ref="A100:B100"/>
    <mergeCell ref="A101:B101"/>
    <mergeCell ref="A102:B102"/>
    <mergeCell ref="A103:B103"/>
    <mergeCell ref="A104:B104"/>
    <mergeCell ref="A105:B105"/>
    <mergeCell ref="C105:H105"/>
    <mergeCell ref="A107:B107"/>
    <mergeCell ref="C107:H107"/>
    <mergeCell ref="A108:B108"/>
    <mergeCell ref="E108:F108"/>
    <mergeCell ref="G108:H108"/>
    <mergeCell ref="A281:H281"/>
    <mergeCell ref="A278:H278"/>
    <mergeCell ref="A160:B160"/>
    <mergeCell ref="A134:B134"/>
    <mergeCell ref="D141:D142"/>
    <mergeCell ref="E141:E142"/>
    <mergeCell ref="G141:H142"/>
    <mergeCell ref="A86:B86"/>
    <mergeCell ref="F120:H120"/>
    <mergeCell ref="A145:H145"/>
    <mergeCell ref="A146:H146"/>
    <mergeCell ref="F127:H127"/>
    <mergeCell ref="F126:H126"/>
    <mergeCell ref="A120:E120"/>
    <mergeCell ref="A125:E125"/>
    <mergeCell ref="B268:H268"/>
    <mergeCell ref="A139:H139"/>
    <mergeCell ref="B263:H263"/>
    <mergeCell ref="B264:H264"/>
    <mergeCell ref="F130:H130"/>
    <mergeCell ref="F128:H128"/>
    <mergeCell ref="A140:H140"/>
    <mergeCell ref="A129:E129"/>
    <mergeCell ref="B275:H275"/>
    <mergeCell ref="I128:K128"/>
    <mergeCell ref="I129:K129"/>
    <mergeCell ref="I130:K130"/>
    <mergeCell ref="I124:K124"/>
    <mergeCell ref="E41:H41"/>
    <mergeCell ref="A41:D41"/>
    <mergeCell ref="A50:B50"/>
    <mergeCell ref="C50:E50"/>
    <mergeCell ref="G50:H50"/>
    <mergeCell ref="G52:H52"/>
    <mergeCell ref="D64:H64"/>
    <mergeCell ref="C52:E52"/>
    <mergeCell ref="D67:H67"/>
    <mergeCell ref="C51:E51"/>
    <mergeCell ref="A62:B62"/>
    <mergeCell ref="C62:E62"/>
    <mergeCell ref="D65:H65"/>
    <mergeCell ref="G62:H62"/>
    <mergeCell ref="C53:H53"/>
    <mergeCell ref="D74:H74"/>
    <mergeCell ref="F119:H119"/>
    <mergeCell ref="F124:H124"/>
    <mergeCell ref="A119:E119"/>
    <mergeCell ref="A71:C71"/>
  </mergeCells>
  <hyperlinks>
    <hyperlink ref="C38" r:id="rId1" xr:uid="{00000000-0004-0000-0000-000000000000}"/>
    <hyperlink ref="I153" r:id="rId2" xr:uid="{00000000-0004-0000-0000-000001000000}"/>
  </hyperlinks>
  <printOptions horizontalCentered="1"/>
  <pageMargins left="0.39370078740157483" right="0.39370078740157483" top="0.82677165354330717" bottom="0.78740157480314965" header="0.15748031496062992" footer="0.19685039370078741"/>
  <pageSetup paperSize="2" fitToHeight="0" orientation="portrait" r:id="rId3"/>
  <headerFooter>
    <oddHeader>&amp;C&amp;G</oddHeader>
    <oddFooter>&amp;L&amp;"Times New Roman,Bold"&amp;12Ref No: &amp;F&amp;C&amp;G&amp;R&amp;"Times New Roman,Bold"&amp;12&amp;P</oddFooter>
  </headerFooter>
  <rowBreaks count="4" manualBreakCount="4">
    <brk id="90" max="16383" man="1"/>
    <brk id="287" max="16383" man="1"/>
    <brk id="327" max="16383" man="1"/>
    <brk id="366" max="16383" man="1"/>
  </rowBreaks>
  <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L3" sqref="L3"/>
    </sheetView>
  </sheetViews>
  <sheetFormatPr defaultColWidth="8.77734375" defaultRowHeight="14.4" x14ac:dyDescent="0.3"/>
  <cols>
    <col min="1" max="1" width="8.77734375" style="1"/>
    <col min="2" max="2" width="22.21875" style="1" customWidth="1"/>
    <col min="3" max="3" width="37" style="1" customWidth="1"/>
    <col min="4" max="5" width="11.44140625" style="1" customWidth="1"/>
    <col min="6" max="6" width="14" style="1" customWidth="1"/>
    <col min="7" max="7" width="20" style="1" customWidth="1"/>
    <col min="8" max="8" width="16.44140625" style="1" customWidth="1"/>
    <col min="9" max="16384" width="8.77734375" style="1"/>
  </cols>
  <sheetData>
    <row r="1" spans="1:9" ht="15" customHeight="1" x14ac:dyDescent="0.3"/>
    <row r="2" spans="1:9" ht="15" customHeight="1" x14ac:dyDescent="0.3">
      <c r="A2" s="2"/>
      <c r="B2" s="2"/>
      <c r="C2" s="2"/>
      <c r="D2" s="2"/>
      <c r="E2" s="2"/>
      <c r="F2" s="2"/>
      <c r="G2" s="2"/>
      <c r="H2" s="2"/>
    </row>
    <row r="3" spans="1:9" ht="15.75" customHeight="1" x14ac:dyDescent="0.3">
      <c r="A3" s="2"/>
      <c r="B3" s="196" t="s">
        <v>105</v>
      </c>
      <c r="C3" s="196"/>
      <c r="D3" s="196"/>
      <c r="E3" s="196"/>
      <c r="F3" s="196"/>
      <c r="G3" s="196"/>
      <c r="H3" s="196"/>
    </row>
    <row r="4" spans="1:9" x14ac:dyDescent="0.3">
      <c r="A4" s="2"/>
      <c r="B4" s="3" t="s">
        <v>106</v>
      </c>
      <c r="C4" s="3" t="s">
        <v>107</v>
      </c>
      <c r="D4" s="3" t="s">
        <v>70</v>
      </c>
      <c r="E4" s="3" t="s">
        <v>108</v>
      </c>
      <c r="F4" s="3" t="s">
        <v>114</v>
      </c>
      <c r="G4" s="3" t="s">
        <v>115</v>
      </c>
      <c r="H4" s="3" t="s">
        <v>109</v>
      </c>
    </row>
    <row r="5" spans="1:9" ht="15" customHeight="1" x14ac:dyDescent="0.3">
      <c r="A5" s="2"/>
      <c r="B5" s="5" t="s">
        <v>110</v>
      </c>
      <c r="C5" s="6"/>
      <c r="D5" s="5"/>
      <c r="E5" s="5"/>
      <c r="F5" s="7">
        <f>E5*1.6</f>
        <v>0</v>
      </c>
      <c r="G5" s="7" t="e">
        <f>H5/F5</f>
        <v>#DIV/0!</v>
      </c>
      <c r="H5" s="8"/>
    </row>
    <row r="6" spans="1:9" x14ac:dyDescent="0.3">
      <c r="A6" s="2"/>
      <c r="B6" s="5" t="s">
        <v>110</v>
      </c>
      <c r="C6" s="9"/>
      <c r="D6" s="5"/>
      <c r="E6" s="5"/>
      <c r="F6" s="7">
        <f t="shared" ref="F6:F11" si="0">E6*1.6</f>
        <v>0</v>
      </c>
      <c r="G6" s="7" t="e">
        <f t="shared" ref="G6:G11" si="1">H6/F6</f>
        <v>#DIV/0!</v>
      </c>
      <c r="H6" s="8"/>
    </row>
    <row r="7" spans="1:9" ht="15" customHeight="1" x14ac:dyDescent="0.3">
      <c r="A7" s="2"/>
      <c r="B7" s="5" t="s">
        <v>110</v>
      </c>
      <c r="C7" s="6"/>
      <c r="D7" s="5"/>
      <c r="E7" s="5"/>
      <c r="F7" s="7">
        <f t="shared" si="0"/>
        <v>0</v>
      </c>
      <c r="G7" s="7" t="e">
        <f t="shared" si="1"/>
        <v>#DIV/0!</v>
      </c>
      <c r="H7" s="8"/>
    </row>
    <row r="8" spans="1:9" x14ac:dyDescent="0.3">
      <c r="A8" s="2"/>
      <c r="B8" s="5" t="s">
        <v>110</v>
      </c>
      <c r="C8" s="9"/>
      <c r="D8" s="5"/>
      <c r="E8" s="5"/>
      <c r="F8" s="7">
        <f t="shared" si="0"/>
        <v>0</v>
      </c>
      <c r="G8" s="7" t="e">
        <f t="shared" si="1"/>
        <v>#DIV/0!</v>
      </c>
      <c r="H8" s="8"/>
    </row>
    <row r="9" spans="1:9" ht="15" customHeight="1" x14ac:dyDescent="0.3">
      <c r="A9" s="2"/>
      <c r="B9" s="5" t="s">
        <v>110</v>
      </c>
      <c r="C9" s="9"/>
      <c r="D9" s="5"/>
      <c r="E9" s="5"/>
      <c r="F9" s="7">
        <f t="shared" si="0"/>
        <v>0</v>
      </c>
      <c r="G9" s="7" t="e">
        <f t="shared" si="1"/>
        <v>#DIV/0!</v>
      </c>
      <c r="H9" s="8"/>
    </row>
    <row r="10" spans="1:9" ht="15" customHeight="1" x14ac:dyDescent="0.3">
      <c r="A10" s="2"/>
      <c r="B10" s="5" t="s">
        <v>111</v>
      </c>
      <c r="C10" s="6"/>
      <c r="D10" s="5"/>
      <c r="E10" s="5"/>
      <c r="F10" s="7">
        <f t="shared" si="0"/>
        <v>0</v>
      </c>
      <c r="G10" s="7" t="e">
        <f t="shared" si="1"/>
        <v>#DIV/0!</v>
      </c>
      <c r="H10" s="8"/>
    </row>
    <row r="11" spans="1:9" ht="15" customHeight="1" x14ac:dyDescent="0.3">
      <c r="A11" s="2"/>
      <c r="B11" s="5" t="s">
        <v>111</v>
      </c>
      <c r="C11" s="6"/>
      <c r="D11" s="5"/>
      <c r="E11" s="5"/>
      <c r="F11" s="7">
        <f t="shared" si="0"/>
        <v>0</v>
      </c>
      <c r="G11" s="7" t="e">
        <f t="shared" si="1"/>
        <v>#DIV/0!</v>
      </c>
      <c r="H11" s="8"/>
    </row>
    <row r="12" spans="1:9" ht="15" customHeight="1" x14ac:dyDescent="0.3">
      <c r="A12" s="2"/>
      <c r="B12" s="10" t="s">
        <v>112</v>
      </c>
      <c r="C12" s="5"/>
      <c r="D12" s="5"/>
      <c r="E12" s="5"/>
      <c r="F12" s="5"/>
      <c r="G12" s="11" t="e">
        <f>AVERAGE(G5:G11)</f>
        <v>#DIV/0!</v>
      </c>
      <c r="H12" s="5"/>
    </row>
    <row r="13" spans="1:9" ht="15" customHeight="1" x14ac:dyDescent="0.3">
      <c r="B13" s="10" t="s">
        <v>113</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zoomScale="70" zoomScaleNormal="70" workbookViewId="0">
      <selection activeCell="E24" sqref="E24"/>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Report</vt:lpstr>
      <vt:lpstr>valuation</vt:lpstr>
      <vt:lpstr>Note</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Kunal Kadam</cp:lastModifiedBy>
  <cp:lastPrinted>2025-07-09T13:13:19Z</cp:lastPrinted>
  <dcterms:created xsi:type="dcterms:W3CDTF">2019-07-16T09:29:46Z</dcterms:created>
  <dcterms:modified xsi:type="dcterms:W3CDTF">2025-07-09T13:14:18Z</dcterms:modified>
</cp:coreProperties>
</file>