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83F671DD-6CAA-4DD8-A39D-13BAF3948355}" xr6:coauthVersionLast="47" xr6:coauthVersionMax="47" xr10:uidLastSave="{00000000-0000-0000-0000-000000000000}"/>
  <bookViews>
    <workbookView xWindow="-108" yWindow="-108" windowWidth="23256" windowHeight="12456" tabRatio="772" xr2:uid="{00000000-000D-0000-FFFF-FFFF00000000}"/>
  </bookViews>
  <sheets>
    <sheet name="Report" sheetId="1" r:id="rId1"/>
    <sheet name="C%" sheetId="6" r:id="rId2"/>
    <sheet name="Flat detail" sheetId="3" r:id="rId3"/>
    <sheet name="Note" sheetId="4" r:id="rId4"/>
    <sheet name="valuation" sheetId="5" r:id="rId5"/>
  </sheets>
  <definedNames>
    <definedName name="_xlnm.Print_Area" localSheetId="0">Report!$A$1:$H$384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6" i="1" l="1"/>
  <c r="A237" i="1" s="1"/>
  <c r="A238" i="1" s="1"/>
  <c r="A239" i="1" s="1"/>
  <c r="A240" i="1" s="1"/>
  <c r="A241" i="1" s="1"/>
  <c r="A242" i="1" s="1"/>
  <c r="A243" i="1" s="1"/>
  <c r="A244" i="1" s="1"/>
  <c r="D169" i="1"/>
  <c r="F169" i="1" s="1"/>
  <c r="D168" i="1"/>
  <c r="F168" i="1" s="1"/>
  <c r="D167" i="1"/>
  <c r="F167" i="1" s="1"/>
  <c r="D233" i="1"/>
  <c r="F233" i="1" s="1"/>
  <c r="D232" i="1"/>
  <c r="F232" i="1" s="1"/>
  <c r="D231" i="1"/>
  <c r="F231" i="1" s="1"/>
  <c r="I96" i="1"/>
  <c r="I95" i="1"/>
  <c r="D230" i="1"/>
  <c r="F230" i="1" s="1"/>
  <c r="U229" i="1"/>
  <c r="U230" i="1" s="1"/>
  <c r="U231" i="1" s="1"/>
  <c r="U232" i="1" s="1"/>
  <c r="U233" i="1" s="1"/>
  <c r="D229" i="1"/>
  <c r="F229" i="1" s="1"/>
  <c r="G228" i="1"/>
  <c r="D228" i="1"/>
  <c r="F228" i="1" s="1"/>
  <c r="V227" i="1"/>
  <c r="D226" i="1"/>
  <c r="F226" i="1" s="1"/>
  <c r="D225" i="1"/>
  <c r="F225" i="1" s="1"/>
  <c r="D224" i="1"/>
  <c r="F224" i="1" s="1"/>
  <c r="D223" i="1"/>
  <c r="F223" i="1" s="1"/>
  <c r="U222" i="1"/>
  <c r="U223" i="1" s="1"/>
  <c r="U224" i="1" s="1"/>
  <c r="U225" i="1" s="1"/>
  <c r="U226" i="1" s="1"/>
  <c r="D222" i="1"/>
  <c r="F222" i="1" s="1"/>
  <c r="G221" i="1"/>
  <c r="D221" i="1"/>
  <c r="F221" i="1" s="1"/>
  <c r="V220" i="1"/>
  <c r="D216" i="1"/>
  <c r="D215" i="1"/>
  <c r="D214" i="1"/>
  <c r="D217" i="1"/>
  <c r="D218" i="1"/>
  <c r="D219" i="1"/>
  <c r="D212" i="1"/>
  <c r="D211" i="1"/>
  <c r="D210" i="1"/>
  <c r="D208" i="1"/>
  <c r="D209" i="1"/>
  <c r="D207" i="1"/>
  <c r="D205" i="1"/>
  <c r="D204" i="1"/>
  <c r="D203" i="1"/>
  <c r="D201" i="1"/>
  <c r="D202" i="1"/>
  <c r="D200" i="1"/>
  <c r="D198" i="1"/>
  <c r="D197" i="1"/>
  <c r="D196" i="1"/>
  <c r="D194" i="1"/>
  <c r="D195" i="1"/>
  <c r="D193" i="1"/>
  <c r="D189" i="1"/>
  <c r="D188" i="1"/>
  <c r="D187" i="1"/>
  <c r="D186" i="1"/>
  <c r="D172" i="1"/>
  <c r="D182" i="1"/>
  <c r="D180" i="1"/>
  <c r="D181" i="1"/>
  <c r="D179" i="1"/>
  <c r="D175" i="1"/>
  <c r="D174" i="1"/>
  <c r="D173" i="1"/>
  <c r="I152" i="1"/>
  <c r="I134" i="1"/>
  <c r="U166" i="1"/>
  <c r="U167" i="1" s="1"/>
  <c r="U168" i="1" s="1"/>
  <c r="U169" i="1" s="1"/>
  <c r="D166" i="1"/>
  <c r="F166" i="1" s="1"/>
  <c r="G165" i="1"/>
  <c r="D165" i="1"/>
  <c r="F165" i="1" s="1"/>
  <c r="W164" i="1"/>
  <c r="W227" i="1"/>
  <c r="V228" i="1"/>
  <c r="V221" i="1"/>
  <c r="E96" i="1" l="1"/>
  <c r="C96" i="1"/>
  <c r="V229" i="1"/>
  <c r="V222" i="1"/>
  <c r="S221" i="1"/>
  <c r="V164" i="1"/>
  <c r="D163" i="1"/>
  <c r="F163" i="1" s="1"/>
  <c r="D162" i="1"/>
  <c r="F162" i="1" s="1"/>
  <c r="D161" i="1"/>
  <c r="F161" i="1" s="1"/>
  <c r="U160" i="1"/>
  <c r="U161" i="1" s="1"/>
  <c r="U162" i="1" s="1"/>
  <c r="U163" i="1" s="1"/>
  <c r="G159" i="1"/>
  <c r="V158" i="1"/>
  <c r="D150" i="1"/>
  <c r="D149" i="1"/>
  <c r="D156" i="1"/>
  <c r="D155" i="1"/>
  <c r="D157" i="1"/>
  <c r="D154" i="1"/>
  <c r="D153" i="1"/>
  <c r="D144" i="1"/>
  <c r="D143" i="1"/>
  <c r="D139" i="1"/>
  <c r="D138" i="1"/>
  <c r="D137" i="1"/>
  <c r="D136" i="1"/>
  <c r="D135" i="1"/>
  <c r="D133" i="1"/>
  <c r="D130" i="1"/>
  <c r="D129" i="1"/>
  <c r="D124" i="1"/>
  <c r="D123" i="1"/>
  <c r="D127" i="1"/>
  <c r="D121" i="1"/>
  <c r="D118" i="1"/>
  <c r="F118" i="1" s="1"/>
  <c r="D117" i="1"/>
  <c r="D114" i="1"/>
  <c r="D113" i="1"/>
  <c r="D112" i="1"/>
  <c r="D111" i="1"/>
  <c r="D110" i="1"/>
  <c r="D109" i="1"/>
  <c r="D108" i="1"/>
  <c r="D107" i="1"/>
  <c r="D106" i="1"/>
  <c r="V159" i="1"/>
  <c r="W228" i="1"/>
  <c r="W165" i="1"/>
  <c r="V165" i="1"/>
  <c r="C95" i="1" l="1"/>
  <c r="E95" i="1"/>
  <c r="W166" i="1"/>
  <c r="W167" i="1" s="1"/>
  <c r="W168" i="1" s="1"/>
  <c r="W169" i="1" s="1"/>
  <c r="C92" i="1"/>
  <c r="W229" i="1"/>
  <c r="W230" i="1" s="1"/>
  <c r="W231" i="1" s="1"/>
  <c r="W232" i="1" s="1"/>
  <c r="W233" i="1" s="1"/>
  <c r="S228" i="1"/>
  <c r="V230" i="1"/>
  <c r="V223" i="1"/>
  <c r="S222" i="1"/>
  <c r="V166" i="1"/>
  <c r="S165" i="1"/>
  <c r="V160" i="1"/>
  <c r="S159" i="1"/>
  <c r="C67" i="1"/>
  <c r="S229" i="1" l="1"/>
  <c r="S230" i="1"/>
  <c r="V231" i="1"/>
  <c r="V224" i="1"/>
  <c r="S223" i="1"/>
  <c r="S166" i="1"/>
  <c r="V167" i="1"/>
  <c r="V161" i="1"/>
  <c r="S160" i="1"/>
  <c r="C14" i="1"/>
  <c r="V232" i="1" l="1"/>
  <c r="S231" i="1"/>
  <c r="V225" i="1"/>
  <c r="S224" i="1"/>
  <c r="V168" i="1"/>
  <c r="S167" i="1"/>
  <c r="V162" i="1"/>
  <c r="S161" i="1"/>
  <c r="E3" i="1"/>
  <c r="S232" i="1" l="1"/>
  <c r="V233" i="1"/>
  <c r="S233" i="1" s="1"/>
  <c r="V226" i="1"/>
  <c r="S226" i="1" s="1"/>
  <c r="S225" i="1"/>
  <c r="S168" i="1"/>
  <c r="V169" i="1"/>
  <c r="S169" i="1" s="1"/>
  <c r="V163" i="1"/>
  <c r="S163" i="1" s="1"/>
  <c r="S162" i="1"/>
  <c r="U136" i="1"/>
  <c r="U137" i="1" s="1"/>
  <c r="U138" i="1" s="1"/>
  <c r="U139" i="1" s="1"/>
  <c r="V134" i="1"/>
  <c r="W134" i="1"/>
  <c r="V135" i="1"/>
  <c r="V136" i="1" l="1"/>
  <c r="W135" i="1"/>
  <c r="W136" i="1" l="1"/>
  <c r="W137" i="1" s="1"/>
  <c r="W138" i="1" s="1"/>
  <c r="W139" i="1" s="1"/>
  <c r="S135" i="1"/>
  <c r="V137" i="1"/>
  <c r="S136" i="1" l="1"/>
  <c r="V138" i="1"/>
  <c r="S137" i="1"/>
  <c r="V139" i="1" l="1"/>
  <c r="S139" i="1" s="1"/>
  <c r="S138" i="1"/>
  <c r="U142" i="1" l="1"/>
  <c r="U143" i="1" s="1"/>
  <c r="U144" i="1" s="1"/>
  <c r="U145" i="1" s="1"/>
  <c r="V140" i="1"/>
  <c r="U194" i="1"/>
  <c r="U195" i="1" s="1"/>
  <c r="U196" i="1" s="1"/>
  <c r="U197" i="1" s="1"/>
  <c r="U198" i="1" s="1"/>
  <c r="V192" i="1"/>
  <c r="F205" i="1"/>
  <c r="F204" i="1"/>
  <c r="F203" i="1"/>
  <c r="F202" i="1"/>
  <c r="U201" i="1"/>
  <c r="U202" i="1" s="1"/>
  <c r="U203" i="1" s="1"/>
  <c r="U204" i="1" s="1"/>
  <c r="U205" i="1" s="1"/>
  <c r="F201" i="1"/>
  <c r="G200" i="1"/>
  <c r="F200" i="1"/>
  <c r="V199" i="1"/>
  <c r="F144" i="1"/>
  <c r="F143" i="1"/>
  <c r="G141" i="1"/>
  <c r="W192" i="1"/>
  <c r="V141" i="1"/>
  <c r="V200" i="1"/>
  <c r="V193" i="1"/>
  <c r="V142" i="1" l="1"/>
  <c r="S141" i="1"/>
  <c r="V194" i="1"/>
  <c r="V201" i="1"/>
  <c r="V202" i="1" s="1"/>
  <c r="V203" i="1" s="1"/>
  <c r="V204" i="1" s="1"/>
  <c r="V205" i="1" s="1"/>
  <c r="S200" i="1"/>
  <c r="C60" i="1"/>
  <c r="J71" i="1"/>
  <c r="J70" i="1"/>
  <c r="W193" i="1"/>
  <c r="H61" i="1"/>
  <c r="V143" i="1" l="1"/>
  <c r="S142" i="1"/>
  <c r="W194" i="1"/>
  <c r="W195" i="1" s="1"/>
  <c r="W196" i="1" s="1"/>
  <c r="W197" i="1" s="1"/>
  <c r="W198" i="1" s="1"/>
  <c r="S193" i="1"/>
  <c r="V195" i="1"/>
  <c r="S201" i="1"/>
  <c r="D73" i="1"/>
  <c r="D72" i="1"/>
  <c r="D68" i="1"/>
  <c r="D71" i="1"/>
  <c r="D67" i="1"/>
  <c r="J66" i="1"/>
  <c r="D66" i="1"/>
  <c r="J65" i="1"/>
  <c r="C64" i="1" s="1"/>
  <c r="J64" i="1"/>
  <c r="D70" i="1"/>
  <c r="D69" i="1"/>
  <c r="J63" i="1"/>
  <c r="S143" i="1" l="1"/>
  <c r="V144" i="1"/>
  <c r="S194" i="1"/>
  <c r="V196" i="1"/>
  <c r="S195" i="1"/>
  <c r="S202" i="1"/>
  <c r="S203" i="1"/>
  <c r="J67" i="1"/>
  <c r="J68" i="1" s="1"/>
  <c r="D64" i="1"/>
  <c r="J69" i="1" l="1"/>
  <c r="V145" i="1"/>
  <c r="S145" i="1" s="1"/>
  <c r="S144" i="1"/>
  <c r="V197" i="1"/>
  <c r="S196" i="1"/>
  <c r="S204" i="1"/>
  <c r="S205" i="1"/>
  <c r="J72" i="1"/>
  <c r="J73" i="1" s="1"/>
  <c r="C65" i="1" s="1"/>
  <c r="V198" i="1" l="1"/>
  <c r="S198" i="1" s="1"/>
  <c r="S197" i="1"/>
  <c r="E64" i="1"/>
  <c r="D65" i="1"/>
  <c r="G64" i="1"/>
  <c r="I60" i="1" l="1"/>
  <c r="C62" i="1" s="1"/>
  <c r="F219" i="1"/>
  <c r="F218" i="1"/>
  <c r="F217" i="1"/>
  <c r="F216" i="1"/>
  <c r="F215" i="1"/>
  <c r="U215" i="1"/>
  <c r="U216" i="1" s="1"/>
  <c r="U217" i="1" s="1"/>
  <c r="U218" i="1" s="1"/>
  <c r="U219" i="1" s="1"/>
  <c r="G214" i="1"/>
  <c r="V213" i="1"/>
  <c r="F150" i="1"/>
  <c r="F149" i="1"/>
  <c r="U148" i="1"/>
  <c r="U149" i="1" s="1"/>
  <c r="U150" i="1" s="1"/>
  <c r="U151" i="1" s="1"/>
  <c r="G147" i="1"/>
  <c r="V146" i="1"/>
  <c r="F157" i="1"/>
  <c r="F156" i="1"/>
  <c r="F155" i="1"/>
  <c r="F154" i="1"/>
  <c r="F153" i="1"/>
  <c r="U154" i="1"/>
  <c r="U155" i="1" s="1"/>
  <c r="U156" i="1" s="1"/>
  <c r="U157" i="1" s="1"/>
  <c r="G153" i="1"/>
  <c r="V152" i="1"/>
  <c r="V206" i="1"/>
  <c r="F198" i="1"/>
  <c r="F197" i="1"/>
  <c r="F196" i="1"/>
  <c r="F195" i="1"/>
  <c r="F194" i="1"/>
  <c r="G193" i="1"/>
  <c r="F193" i="1"/>
  <c r="F138" i="1"/>
  <c r="F137" i="1"/>
  <c r="F139" i="1"/>
  <c r="F136" i="1"/>
  <c r="G135" i="1"/>
  <c r="F135" i="1"/>
  <c r="F133" i="1"/>
  <c r="U130" i="1"/>
  <c r="F130" i="1"/>
  <c r="G129" i="1"/>
  <c r="F129" i="1"/>
  <c r="V128" i="1"/>
  <c r="F189" i="1"/>
  <c r="F188" i="1"/>
  <c r="U187" i="1"/>
  <c r="U189" i="1" s="1"/>
  <c r="U190" i="1" s="1"/>
  <c r="U191" i="1" s="1"/>
  <c r="F187" i="1"/>
  <c r="G186" i="1"/>
  <c r="F186" i="1"/>
  <c r="V185" i="1"/>
  <c r="F127" i="1"/>
  <c r="U124" i="1"/>
  <c r="F124" i="1"/>
  <c r="G123" i="1"/>
  <c r="F123" i="1"/>
  <c r="V122" i="1"/>
  <c r="F182" i="1"/>
  <c r="F181" i="1"/>
  <c r="U180" i="1"/>
  <c r="U182" i="1" s="1"/>
  <c r="U183" i="1" s="1"/>
  <c r="U184" i="1" s="1"/>
  <c r="F180" i="1"/>
  <c r="G179" i="1"/>
  <c r="F179" i="1"/>
  <c r="V178" i="1"/>
  <c r="F175" i="1"/>
  <c r="F174" i="1"/>
  <c r="F173" i="1"/>
  <c r="F172" i="1"/>
  <c r="U173" i="1"/>
  <c r="U175" i="1" s="1"/>
  <c r="U176" i="1" s="1"/>
  <c r="U177" i="1" s="1"/>
  <c r="G172" i="1"/>
  <c r="V171" i="1"/>
  <c r="F112" i="1"/>
  <c r="F111" i="1"/>
  <c r="F110" i="1"/>
  <c r="F109" i="1"/>
  <c r="F108" i="1"/>
  <c r="F107" i="1"/>
  <c r="F106" i="1"/>
  <c r="F114" i="1"/>
  <c r="A107" i="1"/>
  <c r="A108" i="1" s="1"/>
  <c r="A109" i="1" s="1"/>
  <c r="A110" i="1" s="1"/>
  <c r="A111" i="1" s="1"/>
  <c r="A112" i="1" s="1"/>
  <c r="A113" i="1" s="1"/>
  <c r="A114" i="1" s="1"/>
  <c r="G107" i="1"/>
  <c r="G108" i="1" s="1"/>
  <c r="G109" i="1" s="1"/>
  <c r="G110" i="1" s="1"/>
  <c r="G111" i="1" s="1"/>
  <c r="G112" i="1" s="1"/>
  <c r="V214" i="1"/>
  <c r="W213" i="1"/>
  <c r="V147" i="1"/>
  <c r="W152" i="1"/>
  <c r="V129" i="1"/>
  <c r="V172" i="1"/>
  <c r="W146" i="1"/>
  <c r="V186" i="1"/>
  <c r="V179" i="1"/>
  <c r="V123" i="1"/>
  <c r="V153" i="1"/>
  <c r="U133" i="1" l="1"/>
  <c r="U131" i="1"/>
  <c r="U132" i="1" s="1"/>
  <c r="U127" i="1"/>
  <c r="U125" i="1"/>
  <c r="U126" i="1" s="1"/>
  <c r="F113" i="1"/>
  <c r="G92" i="1" s="1"/>
  <c r="E92" i="1"/>
  <c r="F214" i="1"/>
  <c r="E97" i="1"/>
  <c r="V215" i="1"/>
  <c r="V148" i="1"/>
  <c r="V154" i="1"/>
  <c r="U188" i="1"/>
  <c r="S129" i="1"/>
  <c r="V130" i="1"/>
  <c r="V131" i="1" s="1"/>
  <c r="S186" i="1"/>
  <c r="V187" i="1"/>
  <c r="U181" i="1"/>
  <c r="S123" i="1"/>
  <c r="V124" i="1"/>
  <c r="V125" i="1" s="1"/>
  <c r="S179" i="1"/>
  <c r="V180" i="1"/>
  <c r="U174" i="1"/>
  <c r="S172" i="1"/>
  <c r="V173" i="1"/>
  <c r="V174" i="1" s="1"/>
  <c r="S174" i="1" s="1"/>
  <c r="D11" i="6"/>
  <c r="D10" i="6"/>
  <c r="D9" i="6"/>
  <c r="D8" i="6"/>
  <c r="D7" i="6"/>
  <c r="D6" i="6"/>
  <c r="G5" i="6"/>
  <c r="G13" i="6" s="1"/>
  <c r="D5" i="6"/>
  <c r="I1" i="6"/>
  <c r="C3" i="6" s="1"/>
  <c r="E5" i="6" s="1"/>
  <c r="E13" i="6" s="1"/>
  <c r="W214" i="1"/>
  <c r="W153" i="1"/>
  <c r="W147" i="1"/>
  <c r="V132" i="1" l="1"/>
  <c r="S132" i="1" s="1"/>
  <c r="S131" i="1"/>
  <c r="V126" i="1"/>
  <c r="S126" i="1" s="1"/>
  <c r="S125" i="1"/>
  <c r="C97" i="1"/>
  <c r="W215" i="1"/>
  <c r="W216" i="1" s="1"/>
  <c r="W217" i="1" s="1"/>
  <c r="W218" i="1" s="1"/>
  <c r="W219" i="1" s="1"/>
  <c r="S214" i="1"/>
  <c r="V216" i="1"/>
  <c r="W148" i="1"/>
  <c r="W149" i="1" s="1"/>
  <c r="W150" i="1" s="1"/>
  <c r="W151" i="1" s="1"/>
  <c r="S147" i="1"/>
  <c r="V149" i="1"/>
  <c r="W154" i="1"/>
  <c r="W155" i="1" s="1"/>
  <c r="W156" i="1" s="1"/>
  <c r="W157" i="1" s="1"/>
  <c r="S153" i="1"/>
  <c r="V155" i="1"/>
  <c r="V133" i="1"/>
  <c r="S133" i="1" s="1"/>
  <c r="S130" i="1"/>
  <c r="V189" i="1"/>
  <c r="V188" i="1"/>
  <c r="S188" i="1" s="1"/>
  <c r="S187" i="1"/>
  <c r="V127" i="1"/>
  <c r="S127" i="1" s="1"/>
  <c r="S124" i="1"/>
  <c r="V182" i="1"/>
  <c r="S180" i="1"/>
  <c r="V181" i="1"/>
  <c r="S181" i="1" s="1"/>
  <c r="V175" i="1"/>
  <c r="S173" i="1"/>
  <c r="S189" i="1" l="1"/>
  <c r="V190" i="1"/>
  <c r="S182" i="1"/>
  <c r="V183" i="1"/>
  <c r="S175" i="1"/>
  <c r="V176" i="1"/>
  <c r="S215" i="1"/>
  <c r="V217" i="1"/>
  <c r="S216" i="1"/>
  <c r="S148" i="1"/>
  <c r="V150" i="1"/>
  <c r="S149" i="1"/>
  <c r="S154" i="1"/>
  <c r="V156" i="1"/>
  <c r="S155" i="1"/>
  <c r="G47" i="1"/>
  <c r="E41" i="1"/>
  <c r="E42" i="1" s="1"/>
  <c r="V191" i="1" l="1"/>
  <c r="S191" i="1" s="1"/>
  <c r="S190" i="1"/>
  <c r="S183" i="1"/>
  <c r="V184" i="1"/>
  <c r="S184" i="1" s="1"/>
  <c r="V177" i="1"/>
  <c r="S177" i="1" s="1"/>
  <c r="S176" i="1"/>
  <c r="V218" i="1"/>
  <c r="S217" i="1"/>
  <c r="V151" i="1"/>
  <c r="S151" i="1" s="1"/>
  <c r="S150" i="1"/>
  <c r="V157" i="1"/>
  <c r="S157" i="1" s="1"/>
  <c r="S156" i="1"/>
  <c r="F212" i="1"/>
  <c r="F211" i="1"/>
  <c r="F210" i="1"/>
  <c r="F209" i="1"/>
  <c r="F208" i="1"/>
  <c r="F207" i="1"/>
  <c r="F121" i="1"/>
  <c r="F117" i="1"/>
  <c r="G95" i="1" s="1"/>
  <c r="W206" i="1"/>
  <c r="V207" i="1"/>
  <c r="G96" i="1" l="1"/>
  <c r="V219" i="1"/>
  <c r="S219" i="1" s="1"/>
  <c r="S218" i="1"/>
  <c r="U208" i="1"/>
  <c r="U209" i="1" s="1"/>
  <c r="U210" i="1" s="1"/>
  <c r="U211" i="1" s="1"/>
  <c r="U212" i="1" s="1"/>
  <c r="V208" i="1"/>
  <c r="W207" i="1"/>
  <c r="G97" i="1" l="1"/>
  <c r="W208" i="1"/>
  <c r="W209" i="1" s="1"/>
  <c r="W210" i="1" s="1"/>
  <c r="W211" i="1" s="1"/>
  <c r="W212" i="1" s="1"/>
  <c r="S207" i="1"/>
  <c r="V209" i="1"/>
  <c r="U118" i="1"/>
  <c r="G207" i="1"/>
  <c r="V116" i="1"/>
  <c r="G117" i="1"/>
  <c r="E25" i="1"/>
  <c r="E23" i="1"/>
  <c r="V117" i="1"/>
  <c r="U121" i="1" l="1"/>
  <c r="U119" i="1"/>
  <c r="U120" i="1" s="1"/>
  <c r="S209" i="1"/>
  <c r="S208" i="1"/>
  <c r="V210" i="1"/>
  <c r="S117" i="1"/>
  <c r="V118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S118" i="1" l="1"/>
  <c r="V119" i="1"/>
  <c r="S210" i="1"/>
  <c r="V211" i="1"/>
  <c r="S211" i="1" s="1"/>
  <c r="V121" i="1"/>
  <c r="S121" i="1" s="1"/>
  <c r="G12" i="5"/>
  <c r="V120" i="1" l="1"/>
  <c r="S120" i="1" s="1"/>
  <c r="S119" i="1"/>
  <c r="V212" i="1"/>
  <c r="S212" i="1" s="1"/>
  <c r="E7" i="1" l="1"/>
  <c r="D257" i="1" l="1"/>
  <c r="F89" i="1"/>
  <c r="C47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<sst xmlns="http://schemas.openxmlformats.org/spreadsheetml/2006/main" count="456" uniqueCount="286">
  <si>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</si>
  <si>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</si>
  <si>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</si>
  <si>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</si>
  <si>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</si>
  <si>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</si>
  <si>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</si>
  <si>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</si>
  <si>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</si>
  <si>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</si>
  <si>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</si>
  <si>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</si>
  <si>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</si>
  <si>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</si>
  <si>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</si>
  <si>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</si>
  <si>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</si>
  <si>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</si>
  <si>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</si>
  <si>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</si>
  <si>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</si>
  <si>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</si>
  <si>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</si>
  <si>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</si>
  <si>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</si>
  <si>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</si>
  <si>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</si>
  <si>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</si>
  <si>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</si>
  <si>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</si>
  <si>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</si>
  <si>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</si>
  <si>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</si>
  <si>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</si>
  <si>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</si>
  <si>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</si>
  <si>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</si>
  <si>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</si>
  <si>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</si>
  <si>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</si>
  <si>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</si>
  <si>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</si>
  <si>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</si>
  <si>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</si>
  <si>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</si>
  <si>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</si>
  <si>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</si>
  <si>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</si>
  <si>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</si>
  <si>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</si>
  <si>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</si>
  <si>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</si>
  <si>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</si>
  <si>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Brick</t>
  </si>
  <si>
    <t>Plaster</t>
  </si>
  <si>
    <t>Flooring</t>
  </si>
  <si>
    <t>Painting &amp; Wooden Work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</si>
  <si>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</si>
  <si>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</si>
  <si>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</si>
  <si>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</si>
  <si>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</si>
  <si>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</si>
  <si>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</si>
  <si>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</si>
  <si>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</si>
  <si>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</si>
  <si>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</si>
  <si>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</si>
  <si>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</si>
  <si>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</si>
  <si>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</si>
  <si>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</si>
  <si>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</si>
  <si>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</si>
  <si>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</si>
  <si>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</si>
  <si>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</si>
  <si>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</si>
  <si>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</si>
  <si>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</si>
  <si>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</si>
  <si>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</si>
  <si>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</si>
  <si>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</si>
  <si>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</si>
  <si>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</si>
  <si>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</si>
  <si>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</si>
  <si>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</si>
  <si>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</si>
  <si>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</si>
  <si>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</si>
  <si>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</si>
  <si>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</si>
  <si>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</si>
  <si>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</si>
  <si>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</si>
  <si>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</si>
  <si>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</si>
  <si>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</si>
  <si>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</si>
  <si>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</si>
  <si>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</si>
  <si>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</si>
  <si>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</si>
  <si>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</si>
  <si>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</si>
  <si>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</si>
  <si>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</si>
  <si>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</si>
  <si>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</si>
  <si>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</si>
  <si>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</si>
  <si>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</si>
  <si>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</si>
  <si>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</si>
  <si>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</si>
  <si>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</si>
  <si>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</si>
  <si>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</si>
  <si>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</si>
  <si>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Completed Slab/Floor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</si>
  <si>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</si>
  <si>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</si>
  <si>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</si>
  <si>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</si>
  <si>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</si>
  <si>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</si>
  <si>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</si>
  <si>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</si>
  <si>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</si>
  <si>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</si>
  <si>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</si>
  <si>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</si>
  <si>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</si>
  <si>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</si>
  <si>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Club Charges</t>
  </si>
  <si>
    <t>Legal Services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</si>
  <si>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</si>
  <si>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</si>
  <si>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</si>
  <si>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</si>
  <si>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</si>
  <si>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</si>
  <si>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</si>
  <si>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</si>
  <si>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RCC Slab</t>
  </si>
  <si>
    <t>All work Completed. Wait For OC.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</si>
  <si>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</si>
  <si>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</si>
  <si>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</si>
  <si>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</si>
  <si>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</si>
  <si>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</si>
  <si>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</si>
  <si>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</si>
  <si>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</si>
  <si>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</si>
  <si>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</si>
  <si>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</si>
  <si>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</si>
  <si>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</si>
  <si>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</si>
  <si>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</si>
  <si>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</si>
  <si>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</si>
  <si>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,..,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</si>
  <si>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</si>
  <si>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</si>
  <si>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r>
      <t xml:space="preserve">Construction details: </t>
    </r>
    <r>
      <rPr>
        <b/>
        <sz val="12"/>
        <color rgb="FFFF0000"/>
        <rFont val="Times New Roman"/>
        <family val="1"/>
      </rPr>
      <t>Building No.  =</t>
    </r>
  </si>
  <si>
    <t>Contact Details ( Name &amp; Contact No.)</t>
  </si>
  <si>
    <t>Nearby Landmark</t>
  </si>
  <si>
    <t>Transcon Triumph Tower 2</t>
  </si>
  <si>
    <t>Axis Goregaon</t>
  </si>
  <si>
    <t>Andheri</t>
  </si>
  <si>
    <t>Mumbai</t>
  </si>
  <si>
    <t>Veera Desai Road</t>
  </si>
  <si>
    <t>SRA/DDTP/633/KW/PL/AP</t>
  </si>
  <si>
    <t>Oberoi Springs</t>
  </si>
  <si>
    <t>1BHK</t>
  </si>
  <si>
    <t>2BHK</t>
  </si>
  <si>
    <t>Refuge Floor</t>
  </si>
  <si>
    <t>CTS No</t>
  </si>
  <si>
    <t>Oshiwara</t>
  </si>
  <si>
    <t>Peninsula Park</t>
  </si>
  <si>
    <t>Hanuman Mandir Road</t>
  </si>
  <si>
    <t>Tower 3</t>
  </si>
  <si>
    <t>Dhananjay Apartment</t>
  </si>
  <si>
    <t>Jogeshwari West</t>
  </si>
  <si>
    <t>Sale Tower 2</t>
  </si>
  <si>
    <t>Water, Electricity, Gas Charges</t>
  </si>
  <si>
    <t>1,00,000/-</t>
  </si>
  <si>
    <t>Approved Plans, CC, Sale Plans, Cost Sheet</t>
  </si>
  <si>
    <t>Shop</t>
  </si>
  <si>
    <t>Ground Floor/P1 level Floor</t>
  </si>
  <si>
    <t>P1 + P2 + P3 Level Floor</t>
  </si>
  <si>
    <t>A &amp; B Wing</t>
  </si>
  <si>
    <t>A Wing</t>
  </si>
  <si>
    <t>4th &amp; 5th Podium Floor for Residential &amp; Parking</t>
  </si>
  <si>
    <t>B Wing</t>
  </si>
  <si>
    <t>7th Podium Floor for Residential &amp; Below Entrance Lobby</t>
  </si>
  <si>
    <t>7th Floor for Residential &amp; Below Entrance Lobby</t>
  </si>
  <si>
    <t>Commercial Area Details :</t>
  </si>
  <si>
    <t>2.8KM from Jogeshwari Railway Station</t>
  </si>
  <si>
    <t>Advance Maintenance Charges for 24 Months</t>
  </si>
  <si>
    <t>Construction details:</t>
  </si>
  <si>
    <t>Slab/Floor</t>
  </si>
  <si>
    <t>Excavation</t>
  </si>
  <si>
    <t>RCC (Including podiums)</t>
  </si>
  <si>
    <t>Brickwork</t>
  </si>
  <si>
    <t>Brickwork &amp; Internal Plaster</t>
  </si>
  <si>
    <t>Internal Plaster</t>
  </si>
  <si>
    <t>Ext. Plaster &amp; Plumbing</t>
  </si>
  <si>
    <t>External Plaster &amp; Plumbing</t>
  </si>
  <si>
    <t>Flooring &amp; Fitting</t>
  </si>
  <si>
    <t>Painting &amp; Wooden</t>
  </si>
  <si>
    <t>Building Common Amenities</t>
  </si>
  <si>
    <t>Possession</t>
  </si>
  <si>
    <t>02 Wings</t>
  </si>
  <si>
    <t>Basement</t>
  </si>
  <si>
    <t>Piling Work in process</t>
  </si>
  <si>
    <t>Basement 1</t>
  </si>
  <si>
    <t>Basement 2</t>
  </si>
  <si>
    <t>Basement 3</t>
  </si>
  <si>
    <t>Basement 4</t>
  </si>
  <si>
    <t>Cement, Aggregate, Steel, etc</t>
  </si>
  <si>
    <t>Under Construction</t>
  </si>
  <si>
    <t>4,00,000/-</t>
  </si>
  <si>
    <t>Infra &amp; Development Charges</t>
  </si>
  <si>
    <t>1st &amp; 2nd Basement Floor for Parking</t>
  </si>
  <si>
    <t>Duplex Shop</t>
  </si>
  <si>
    <t>8th, 9th, 11th to 16th Floor</t>
  </si>
  <si>
    <t>10th Floor</t>
  </si>
  <si>
    <t>20000 to 23000</t>
  </si>
  <si>
    <t xml:space="preserve">Sanket </t>
  </si>
  <si>
    <t>Cost sheet</t>
  </si>
  <si>
    <t>Location Link</t>
  </si>
  <si>
    <t>Latitude, Longitude</t>
  </si>
  <si>
    <t>Mr.Nishant Pandi - 9930937192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</si>
  <si>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</si>
  <si>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Site Person ( Name &amp; Contact No.)</t>
  </si>
  <si>
    <t>As per RERA - 30/06/2026</t>
  </si>
  <si>
    <t>Valid Up to: This CC is further extended from 31st to 35th upper floor (including OHWT &amp; LMR) (i.e. full CC) for Tower 2 of sale bldg u/r as per approved amended plan dtd 13/04/2023.</t>
  </si>
  <si>
    <t>As per Layout</t>
  </si>
  <si>
    <t>Layout :</t>
  </si>
  <si>
    <t>693/1, 695, 702, 704, 704/1 to 79, 705(pt), 705/2, 720/A/5, 720//84 to 160, 725, 725/7 to 70, 728, 729, 730, 731, 731/1, 732(pt), 732/1 to 15(pt), 737/8/1 &amp; 732/8/2(pt)</t>
  </si>
  <si>
    <t>Other Plot</t>
  </si>
  <si>
    <t>13.40M Wide Existing Road</t>
  </si>
  <si>
    <t>31st Floor (Part Refuge Area)</t>
  </si>
  <si>
    <t>31st Floor</t>
  </si>
  <si>
    <t>Refuge Area</t>
  </si>
  <si>
    <t>33rd to 35th Floor</t>
  </si>
  <si>
    <t>18th to 23rd, 25th to 30th &amp; 32nd Floor</t>
  </si>
  <si>
    <t>17th, 24th  Floor</t>
  </si>
  <si>
    <t>19.138006,72.835608</t>
  </si>
  <si>
    <t>https://maps.app.goo.gl/oaPnXpda2USUoNjD7</t>
  </si>
  <si>
    <t>Sale Tower 2 (Wing A &amp; B)</t>
  </si>
  <si>
    <t>Tower 2 (A &amp; B Wing) = 2B + Gr. (P1) + P2 to P6 + 7th to 35th Floor</t>
  </si>
  <si>
    <t>Ground Floor/P1 level Floor + P3 Level Floor</t>
  </si>
  <si>
    <t>Parking</t>
  </si>
  <si>
    <t>1.5BHK</t>
  </si>
  <si>
    <t>Double Heighted Entrance Lobby</t>
  </si>
  <si>
    <t>6th Podium Floor for Residential &amp; Entrance Lobby (ECO Deck Floor)</t>
  </si>
  <si>
    <t>10th Floor (Part Refuge Area)</t>
  </si>
  <si>
    <t>17th, 24th Floor  (Part Refuge Area)</t>
  </si>
  <si>
    <t>Flats - 325, Shops - 09</t>
  </si>
  <si>
    <t>20000 to 25000</t>
  </si>
  <si>
    <t>Bhargav</t>
  </si>
  <si>
    <t>Index2</t>
  </si>
  <si>
    <t>13,00,000/-</t>
  </si>
  <si>
    <t>2,50,000/-</t>
  </si>
  <si>
    <t>Construction work is in process at the time of Visit. Internal photographs was not allowed.</t>
  </si>
  <si>
    <t>We considered  Saleable area  as per our calculation.</t>
  </si>
  <si>
    <t>We considered Carpet area as per Approved Plan.</t>
  </si>
  <si>
    <t>We considered Gross carpet area = Net carpet + Deck Area.</t>
  </si>
  <si>
    <t>We have considered rate by verifying it from market inquire.</t>
  </si>
  <si>
    <t>Car parking is subjected to authentic documentation.</t>
  </si>
  <si>
    <t>We have updated revised approved plans (on 30/09/2024).</t>
  </si>
  <si>
    <t>We have updated latest CC from Rera (On 06/08/2024).</t>
  </si>
  <si>
    <t>Recommended Rates/Other Charges of the Property have been revised on 28/12/2022 &amp; 30/09/2024</t>
  </si>
  <si>
    <t>Construction stage percentage has been reduced to due change in approved and proposed number of floors.</t>
  </si>
  <si>
    <t>P51800027978</t>
  </si>
  <si>
    <t>M/s.Transcon Triumph Phase 2 Private Limited</t>
  </si>
  <si>
    <t>Tushar Bhuwad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</si>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</sst>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10">
    <xf numFmtId="0" fontId="0" fillId="0" borderId="0" xfId="0"/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15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wrapText="1"/>
      <protection locked="0"/>
    </xf>
    <xf numFmtId="1" fontId="15" fillId="0" borderId="1" xfId="1" applyNumberFormat="1" applyFont="1" applyBorder="1" applyAlignment="1" applyProtection="1">
      <alignment horizontal="center" wrapText="1"/>
      <protection locked="0"/>
    </xf>
    <xf numFmtId="0" fontId="15" fillId="0" borderId="8" xfId="1" applyFont="1" applyBorder="1" applyAlignment="1" applyProtection="1">
      <alignment horizontal="center" vertical="top"/>
      <protection locked="0"/>
    </xf>
    <xf numFmtId="0" fontId="15" fillId="0" borderId="10" xfId="1" applyFont="1" applyBorder="1" applyAlignment="1" applyProtection="1">
      <alignment horizontal="center" wrapText="1"/>
      <protection locked="0"/>
    </xf>
    <xf numFmtId="0" fontId="7" fillId="0" borderId="13" xfId="1" applyFont="1" applyBorder="1" applyProtection="1">
      <protection hidden="1"/>
    </xf>
    <xf numFmtId="0" fontId="7" fillId="0" borderId="14" xfId="1" applyFont="1" applyBorder="1" applyProtection="1">
      <protection hidden="1"/>
    </xf>
    <xf numFmtId="0" fontId="7" fillId="0" borderId="15" xfId="1" applyFont="1" applyBorder="1" applyProtection="1">
      <protection hidden="1"/>
    </xf>
    <xf numFmtId="0" fontId="7" fillId="0" borderId="16" xfId="1" applyFont="1" applyBorder="1" applyProtection="1">
      <protection hidden="1"/>
    </xf>
    <xf numFmtId="0" fontId="7" fillId="0" borderId="0" xfId="1" applyFont="1" applyProtection="1">
      <protection hidden="1"/>
    </xf>
    <xf numFmtId="0" fontId="7" fillId="0" borderId="17" xfId="1" applyFont="1" applyBorder="1" applyProtection="1">
      <protection hidden="1"/>
    </xf>
    <xf numFmtId="0" fontId="7" fillId="0" borderId="0" xfId="1" applyFont="1"/>
    <xf numFmtId="0" fontId="7" fillId="0" borderId="17" xfId="1" applyFont="1" applyBorder="1"/>
    <xf numFmtId="0" fontId="7" fillId="0" borderId="16" xfId="1" applyFont="1" applyBorder="1"/>
    <xf numFmtId="0" fontId="18" fillId="0" borderId="16" xfId="0" applyFont="1" applyBorder="1" applyProtection="1">
      <protection hidden="1"/>
    </xf>
    <xf numFmtId="9" fontId="18" fillId="0" borderId="0" xfId="0" applyNumberFormat="1" applyFont="1" applyProtection="1">
      <protection hidden="1"/>
    </xf>
    <xf numFmtId="9" fontId="18" fillId="0" borderId="17" xfId="0" applyNumberFormat="1" applyFont="1" applyBorder="1" applyProtection="1">
      <protection hidden="1"/>
    </xf>
    <xf numFmtId="0" fontId="18" fillId="0" borderId="18" xfId="0" applyFont="1" applyBorder="1" applyProtection="1">
      <protection hidden="1"/>
    </xf>
    <xf numFmtId="9" fontId="18" fillId="0" borderId="19" xfId="0" applyNumberFormat="1" applyFont="1" applyBorder="1" applyProtection="1">
      <protection hidden="1"/>
    </xf>
    <xf numFmtId="9" fontId="18" fillId="0" borderId="20" xfId="0" applyNumberFormat="1" applyFont="1" applyBorder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24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0" xfId="1" applyNumberFormat="1" applyFont="1" applyFill="1" applyBorder="1" applyAlignment="1" applyProtection="1">
      <alignment horizontal="center" vertical="center" wrapText="1"/>
      <protection hidden="1"/>
    </xf>
    <xf numFmtId="9" fontId="9" fillId="0" borderId="0" xfId="0" applyNumberFormat="1" applyFont="1" applyAlignment="1">
      <alignment horizontal="center"/>
    </xf>
    <xf numFmtId="9" fontId="0" fillId="0" borderId="0" xfId="0" applyNumberFormat="1"/>
    <xf numFmtId="0" fontId="7" fillId="0" borderId="0" xfId="1" applyFont="1" applyAlignment="1" applyProtection="1">
      <alignment horizontal="center" vertical="top" wrapText="1"/>
      <protection locked="0"/>
    </xf>
    <xf numFmtId="0" fontId="15" fillId="0" borderId="0" xfId="1" applyFont="1" applyAlignment="1" applyProtection="1">
      <alignment horizontal="center" wrapText="1"/>
      <protection locked="0"/>
    </xf>
    <xf numFmtId="9" fontId="7" fillId="2" borderId="0" xfId="1" applyNumberFormat="1" applyFont="1" applyFill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8" fillId="0" borderId="19" xfId="0" applyFont="1" applyBorder="1" applyProtection="1">
      <protection hidden="1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0" fontId="12" fillId="0" borderId="1" xfId="1" applyFont="1" applyBorder="1" applyAlignment="1" applyProtection="1">
      <alignment horizontal="center" wrapText="1"/>
      <protection locked="0"/>
    </xf>
    <xf numFmtId="0" fontId="18" fillId="0" borderId="17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7" xfId="0" applyNumberFormat="1" applyBorder="1"/>
    <xf numFmtId="2" fontId="0" fillId="0" borderId="0" xfId="0" applyNumberFormat="1"/>
    <xf numFmtId="165" fontId="0" fillId="0" borderId="0" xfId="0" applyNumberFormat="1"/>
    <xf numFmtId="2" fontId="18" fillId="0" borderId="0" xfId="0" applyNumberFormat="1" applyFont="1" applyProtection="1">
      <protection hidden="1"/>
    </xf>
    <xf numFmtId="1" fontId="0" fillId="0" borderId="17" xfId="0" applyNumberFormat="1" applyBorder="1" applyAlignment="1">
      <alignment horizontal="right"/>
    </xf>
    <xf numFmtId="1" fontId="0" fillId="0" borderId="2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0" applyFont="1"/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3" borderId="0" xfId="1" applyFont="1" applyFill="1"/>
    <xf numFmtId="14" fontId="7" fillId="3" borderId="0" xfId="1" applyNumberFormat="1" applyFont="1" applyFill="1"/>
    <xf numFmtId="14" fontId="7" fillId="0" borderId="0" xfId="1" applyNumberFormat="1" applyFont="1"/>
    <xf numFmtId="0" fontId="13" fillId="0" borderId="1" xfId="2" applyFont="1" applyBorder="1" applyAlignment="1" applyProtection="1">
      <alignment horizontal="center" vertical="center" wrapText="1"/>
      <protection locked="0"/>
    </xf>
    <xf numFmtId="0" fontId="13" fillId="4" borderId="1" xfId="2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1" fontId="6" fillId="0" borderId="32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37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5" fillId="0" borderId="11" xfId="9" applyBorder="1" applyAlignment="1" applyProtection="1">
      <alignment horizontal="left"/>
      <protection locked="0"/>
    </xf>
    <xf numFmtId="0" fontId="7" fillId="0" borderId="29" xfId="1" applyFont="1" applyBorder="1" applyAlignment="1" applyProtection="1">
      <alignment horizontal="left"/>
      <protection locked="0"/>
    </xf>
    <xf numFmtId="0" fontId="7" fillId="0" borderId="12" xfId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8" fillId="0" borderId="25" xfId="1" applyNumberFormat="1" applyFont="1" applyBorder="1" applyAlignment="1" applyProtection="1">
      <alignment horizontal="center" vertical="top" wrapText="1"/>
      <protection locked="0"/>
    </xf>
    <xf numFmtId="1" fontId="8" fillId="0" borderId="27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center" wrapText="1"/>
      <protection locked="0"/>
    </xf>
    <xf numFmtId="1" fontId="8" fillId="0" borderId="29" xfId="1" applyNumberFormat="1" applyFont="1" applyBorder="1" applyAlignment="1" applyProtection="1">
      <alignment horizontal="center" vertical="center" wrapText="1"/>
      <protection locked="0"/>
    </xf>
    <xf numFmtId="1" fontId="8" fillId="0" borderId="12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24" xfId="1" applyNumberFormat="1" applyFont="1" applyBorder="1" applyAlignment="1" applyProtection="1">
      <alignment horizontal="center" vertical="top" wrapText="1"/>
      <protection locked="0"/>
    </xf>
    <xf numFmtId="1" fontId="8" fillId="0" borderId="26" xfId="1" applyNumberFormat="1" applyFont="1" applyBorder="1" applyAlignment="1" applyProtection="1">
      <alignment horizontal="center" vertical="top" wrapText="1"/>
      <protection locked="0"/>
    </xf>
    <xf numFmtId="1" fontId="8" fillId="0" borderId="28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24" xfId="1" applyNumberFormat="1" applyFont="1" applyBorder="1" applyAlignment="1" applyProtection="1">
      <alignment horizontal="center" vertical="top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vertical="top"/>
      <protection locked="0"/>
    </xf>
    <xf numFmtId="0" fontId="6" fillId="0" borderId="29" xfId="1" applyFont="1" applyBorder="1" applyAlignment="1" applyProtection="1">
      <alignment vertical="top"/>
      <protection locked="0"/>
    </xf>
    <xf numFmtId="0" fontId="6" fillId="0" borderId="12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horizontal="left" vertical="top"/>
      <protection locked="0"/>
    </xf>
    <xf numFmtId="0" fontId="6" fillId="0" borderId="29" xfId="1" applyFont="1" applyBorder="1" applyAlignment="1" applyProtection="1">
      <alignment horizontal="left" vertical="top"/>
      <protection locked="0"/>
    </xf>
    <xf numFmtId="0" fontId="6" fillId="0" borderId="12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1" xfId="1" applyFont="1" applyBorder="1" applyAlignment="1" applyProtection="1">
      <alignment horizontal="center" vertical="top" wrapText="1"/>
      <protection locked="0"/>
    </xf>
    <xf numFmtId="0" fontId="14" fillId="0" borderId="12" xfId="1" applyFont="1" applyBorder="1" applyAlignment="1" applyProtection="1">
      <alignment horizontal="center" vertical="top" wrapText="1"/>
      <protection locked="0"/>
    </xf>
    <xf numFmtId="0" fontId="16" fillId="0" borderId="11" xfId="1" applyFont="1" applyBorder="1" applyAlignment="1" applyProtection="1">
      <alignment horizontal="center" vertical="top" wrapText="1"/>
      <protection locked="0"/>
    </xf>
    <xf numFmtId="0" fontId="16" fillId="0" borderId="12" xfId="1" applyFont="1" applyBorder="1" applyAlignment="1" applyProtection="1">
      <alignment horizontal="center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29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13" fillId="0" borderId="35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13" fillId="4" borderId="1" xfId="2" applyFont="1" applyFill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2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6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3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4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0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0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9" xfId="1" applyFont="1" applyBorder="1" applyAlignment="1" applyProtection="1">
      <alignment horizontal="center" vertical="top" wrapText="1"/>
      <protection locked="0"/>
    </xf>
    <xf numFmtId="0" fontId="7" fillId="0" borderId="10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center" vertical="top"/>
      <protection locked="0"/>
    </xf>
    <xf numFmtId="0" fontId="6" fillId="0" borderId="12" xfId="1" applyFont="1" applyBorder="1" applyAlignment="1" applyProtection="1">
      <alignment horizontal="center" vertical="top"/>
      <protection locked="0"/>
    </xf>
    <xf numFmtId="0" fontId="15" fillId="0" borderId="11" xfId="1" applyFont="1" applyBorder="1" applyAlignment="1" applyProtection="1">
      <alignment horizontal="center" vertical="top"/>
      <protection locked="0"/>
    </xf>
    <xf numFmtId="0" fontId="15" fillId="0" borderId="12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1085850</xdr:colOff>
      <xdr:row>103</xdr:row>
      <xdr:rowOff>180975</xdr:rowOff>
    </xdr:from>
    <xdr:to>
      <xdr:col>13</xdr:col>
      <xdr:colOff>361500</xdr:colOff>
      <xdr:row>116</xdr:row>
      <xdr:rowOff>75696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1900" y="23326725"/>
          <a:ext cx="3600000" cy="40285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244778</xdr:colOff>
      <xdr:row>343</xdr:row>
      <xdr:rowOff>104775</xdr:rowOff>
    </xdr:from>
    <xdr:to>
      <xdr:col>6</xdr:col>
      <xdr:colOff>556928</xdr:colOff>
      <xdr:row>360</xdr:row>
      <xdr:rowOff>124350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3453" y="70675500"/>
          <a:ext cx="4446000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590550</xdr:colOff>
      <xdr:row>362</xdr:row>
      <xdr:rowOff>75789</xdr:rowOff>
    </xdr:from>
    <xdr:to>
      <xdr:col>7</xdr:col>
      <xdr:colOff>323175</xdr:colOff>
      <xdr:row>380</xdr:row>
      <xdr:rowOff>75339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590550" y="75993849"/>
          <a:ext cx="5554305" cy="3565710"/>
          <a:chOff x="1483322" y="4528015"/>
          <a:chExt cx="4216400" cy="2870200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483322" y="4528015"/>
            <a:ext cx="4216400" cy="28702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3536950" y="5581650"/>
            <a:ext cx="546100" cy="285750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0" name="TextBox 73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483322" y="4538067"/>
            <a:ext cx="2135008" cy="307777"/>
          </a:xfrm>
          <a:prstGeom prst="rect">
            <a:avLst/>
          </a:prstGeom>
          <a:solidFill>
            <a:srgbClr val="F6F6F6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Transcon Triumph Tower 2</a:t>
            </a:r>
            <a:endParaRPr lang="en-IN" sz="1400" b="1"/>
          </a:p>
        </xdr:txBody>
      </xdr:sp>
      <xdr:cxnSp macro="">
        <xdr:nvCxnSpPr>
          <xdr:cNvPr id="21" name="Straight Arrow Connector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>
            <a:endCxn id="19" idx="1"/>
          </xdr:cNvCxnSpPr>
        </xdr:nvCxnSpPr>
        <xdr:spPr>
          <a:xfrm>
            <a:off x="2550826" y="4855896"/>
            <a:ext cx="986124" cy="868629"/>
          </a:xfrm>
          <a:prstGeom prst="straightConnector1">
            <a:avLst/>
          </a:prstGeom>
          <a:ln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419100</xdr:colOff>
      <xdr:row>301</xdr:row>
      <xdr:rowOff>9525</xdr:rowOff>
    </xdr:from>
    <xdr:to>
      <xdr:col>7</xdr:col>
      <xdr:colOff>527050</xdr:colOff>
      <xdr:row>319</xdr:row>
      <xdr:rowOff>106363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419100" y="63842265"/>
          <a:ext cx="5929630" cy="3662998"/>
          <a:chOff x="673099" y="2690813"/>
          <a:chExt cx="5775325" cy="3697288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4363" b="1730"/>
          <a:stretch/>
        </xdr:blipFill>
        <xdr:spPr>
          <a:xfrm>
            <a:off x="673099" y="2690813"/>
            <a:ext cx="5775325" cy="369728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4287996" y="2967381"/>
            <a:ext cx="1088037" cy="63942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6" name="TextBox 87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4446940" y="3575593"/>
            <a:ext cx="770147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Tower 2</a:t>
            </a:r>
            <a:endParaRPr lang="en-IN" sz="1400" b="1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2260600" y="3492500"/>
            <a:ext cx="1231900" cy="1343422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8" name="TextBox 89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2409653" y="3240501"/>
            <a:ext cx="770147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Tower 1</a:t>
            </a:r>
            <a:endParaRPr lang="en-IN" sz="1400" b="1"/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3983194" y="4591050"/>
            <a:ext cx="1231900" cy="8636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0" name="TextBox 91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4200315" y="4264222"/>
            <a:ext cx="770147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Tower 3</a:t>
            </a:r>
            <a:endParaRPr lang="en-IN" sz="1400" b="1"/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2067279" y="5022850"/>
            <a:ext cx="910871" cy="81915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2" name="TextBox 93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1581347" y="4775498"/>
            <a:ext cx="770147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Tower 4</a:t>
            </a:r>
            <a:endParaRPr lang="en-IN" sz="1400" b="1"/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3000562" y="4929386"/>
            <a:ext cx="910871" cy="81915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4" name="TextBox 95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3026314" y="5763022"/>
            <a:ext cx="115185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Rehab Bldg 1</a:t>
            </a:r>
            <a:endParaRPr lang="en-IN" sz="1400" b="1"/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 rot="20293306">
            <a:off x="5413640" y="5240504"/>
            <a:ext cx="910871" cy="867331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6" name="TextBox 97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 rot="20503439">
            <a:off x="5248953" y="4948593"/>
            <a:ext cx="770147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Tower 5</a:t>
            </a:r>
            <a:endParaRPr lang="en-IN" sz="1400" b="1"/>
          </a:p>
        </xdr:txBody>
      </xdr:sp>
    </xdr:grpSp>
    <xdr:clientData/>
  </xdr:twoCellAnchor>
  <xdr:twoCellAnchor editAs="oneCell">
    <xdr:from>
      <xdr:col>2</xdr:col>
      <xdr:colOff>381228</xdr:colOff>
      <xdr:row>320</xdr:row>
      <xdr:rowOff>198041</xdr:rowOff>
    </xdr:from>
    <xdr:to>
      <xdr:col>4</xdr:col>
      <xdr:colOff>750528</xdr:colOff>
      <xdr:row>339</xdr:row>
      <xdr:rowOff>131655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8578" y="66168191"/>
          <a:ext cx="2160000" cy="37340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990600</xdr:colOff>
      <xdr:row>117</xdr:row>
      <xdr:rowOff>142875</xdr:rowOff>
    </xdr:from>
    <xdr:to>
      <xdr:col>21</xdr:col>
      <xdr:colOff>113243</xdr:colOff>
      <xdr:row>143</xdr:row>
      <xdr:rowOff>56511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86650" y="27622500"/>
          <a:ext cx="8457143" cy="5114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981075</xdr:colOff>
      <xdr:row>171</xdr:row>
      <xdr:rowOff>152400</xdr:rowOff>
    </xdr:from>
    <xdr:to>
      <xdr:col>22</xdr:col>
      <xdr:colOff>132200</xdr:colOff>
      <xdr:row>197</xdr:row>
      <xdr:rowOff>132702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77125" y="37233225"/>
          <a:ext cx="9200000" cy="51809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123825</xdr:colOff>
      <xdr:row>40</xdr:row>
      <xdr:rowOff>142875</xdr:rowOff>
    </xdr:from>
    <xdr:to>
      <xdr:col>12</xdr:col>
      <xdr:colOff>466240</xdr:colOff>
      <xdr:row>48</xdr:row>
      <xdr:rowOff>171246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19875" y="9829800"/>
          <a:ext cx="3876190" cy="16285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104775</xdr:colOff>
      <xdr:row>48</xdr:row>
      <xdr:rowOff>304800</xdr:rowOff>
    </xdr:from>
    <xdr:to>
      <xdr:col>14</xdr:col>
      <xdr:colOff>380349</xdr:colOff>
      <xdr:row>57</xdr:row>
      <xdr:rowOff>101295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00825" y="11591925"/>
          <a:ext cx="5209524" cy="24380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1221740</xdr:colOff>
      <xdr:row>258</xdr:row>
      <xdr:rowOff>172720</xdr:rowOff>
    </xdr:from>
    <xdr:to>
      <xdr:col>17</xdr:col>
      <xdr:colOff>570171</xdr:colOff>
      <xdr:row>290</xdr:row>
      <xdr:rowOff>111716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896860" y="55493920"/>
          <a:ext cx="6297871" cy="6271216"/>
          <a:chOff x="177800" y="55403750"/>
          <a:chExt cx="6400741" cy="6231846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60791" y="59475596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4767" y="5540375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96572" y="59475596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59475596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7750" y="5540375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320040</xdr:colOff>
      <xdr:row>258</xdr:row>
      <xdr:rowOff>30480</xdr:rowOff>
    </xdr:from>
    <xdr:to>
      <xdr:col>7</xdr:col>
      <xdr:colOff>418637</xdr:colOff>
      <xdr:row>291</xdr:row>
      <xdr:rowOff>49464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72809CF-01BD-01D6-29A8-B9B0463FE2D6}"/>
            </a:ext>
          </a:extLst>
        </xdr:cNvPr>
        <xdr:cNvGrpSpPr/>
      </xdr:nvGrpSpPr>
      <xdr:grpSpPr>
        <a:xfrm>
          <a:off x="320040" y="55351680"/>
          <a:ext cx="5920277" cy="6549324"/>
          <a:chOff x="323408" y="197074"/>
          <a:chExt cx="5920277" cy="6549324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ECCC972-EB61-0ADF-7C57-550976714A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6033" y="4226398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FAA3FDC2-D21F-8F81-43A6-038135B698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3408" y="197075"/>
            <a:ext cx="2880000" cy="38453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4C3312D0-EEA3-6E79-947D-F8063F9DF5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63685" y="197074"/>
            <a:ext cx="2880000" cy="38453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C49DC0C2-1673-7AA6-4A23-418F562C57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63685" y="4226398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oaPnXpda2USUoNjD7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342"/>
  <sheetViews>
    <sheetView tabSelected="1" view="pageBreakPreview" zoomScaleNormal="100" zoomScaleSheetLayoutView="100" workbookViewId="0">
      <selection activeCell="K7" sqref="K7"/>
    </sheetView>
  </sheetViews>
  <sheetFormatPr defaultColWidth="9.109375" defaultRowHeight="15.6" x14ac:dyDescent="0.3"/>
  <cols>
    <col min="1" max="2" width="12.44140625" style="77" customWidth="1"/>
    <col min="3" max="3" width="12.6640625" style="77" customWidth="1"/>
    <col min="4" max="4" width="14.109375" style="77" customWidth="1"/>
    <col min="5" max="5" width="11.6640625" style="77" customWidth="1"/>
    <col min="6" max="6" width="11" style="77" customWidth="1"/>
    <col min="7" max="7" width="10.5546875" style="77" customWidth="1"/>
    <col min="8" max="8" width="12.44140625" style="77" customWidth="1"/>
    <col min="9" max="9" width="20.44140625" style="18" customWidth="1"/>
    <col min="10" max="10" width="9.88671875" style="18" bestFit="1" customWidth="1"/>
    <col min="11" max="11" width="10.5546875" style="18" bestFit="1" customWidth="1"/>
    <col min="12" max="12" width="12.109375" style="18" customWidth="1"/>
    <col min="13" max="13" width="11.88671875" style="18" bestFit="1" customWidth="1"/>
    <col min="14" max="18" width="9.109375" style="18"/>
    <col min="19" max="19" width="11.109375" style="18" customWidth="1"/>
    <col min="20" max="21" width="9.109375" style="18" customWidth="1"/>
    <col min="22" max="22" width="10.6640625" style="18" customWidth="1"/>
    <col min="23" max="23" width="13.44140625" style="18" customWidth="1"/>
    <col min="24" max="254" width="9.109375" style="18"/>
    <col min="255" max="255" width="8.6640625" style="18" customWidth="1"/>
    <col min="256" max="256" width="9.88671875" style="18" customWidth="1"/>
    <col min="257" max="257" width="14.44140625" style="18" customWidth="1"/>
    <col min="258" max="258" width="7.33203125" style="18" customWidth="1"/>
    <col min="259" max="259" width="5.5546875" style="18" customWidth="1"/>
    <col min="260" max="260" width="9" style="18" customWidth="1"/>
    <col min="261" max="262" width="9.88671875" style="18" customWidth="1"/>
    <col min="263" max="263" width="11.109375" style="18" customWidth="1"/>
    <col min="264" max="264" width="2.88671875" style="18" customWidth="1"/>
    <col min="265" max="265" width="3.5546875" style="18" customWidth="1"/>
    <col min="266" max="510" width="9.109375" style="18"/>
    <col min="511" max="511" width="8.6640625" style="18" customWidth="1"/>
    <col min="512" max="512" width="9.88671875" style="18" customWidth="1"/>
    <col min="513" max="513" width="14.44140625" style="18" customWidth="1"/>
    <col min="514" max="514" width="7.33203125" style="18" customWidth="1"/>
    <col min="515" max="515" width="5.5546875" style="18" customWidth="1"/>
    <col min="516" max="516" width="9" style="18" customWidth="1"/>
    <col min="517" max="518" width="9.88671875" style="18" customWidth="1"/>
    <col min="519" max="519" width="11.109375" style="18" customWidth="1"/>
    <col min="520" max="520" width="2.88671875" style="18" customWidth="1"/>
    <col min="521" max="521" width="3.5546875" style="18" customWidth="1"/>
    <col min="522" max="766" width="9.109375" style="18"/>
    <col min="767" max="767" width="8.6640625" style="18" customWidth="1"/>
    <col min="768" max="768" width="9.88671875" style="18" customWidth="1"/>
    <col min="769" max="769" width="14.44140625" style="18" customWidth="1"/>
    <col min="770" max="770" width="7.33203125" style="18" customWidth="1"/>
    <col min="771" max="771" width="5.5546875" style="18" customWidth="1"/>
    <col min="772" max="772" width="9" style="18" customWidth="1"/>
    <col min="773" max="774" width="9.88671875" style="18" customWidth="1"/>
    <col min="775" max="775" width="11.109375" style="18" customWidth="1"/>
    <col min="776" max="776" width="2.88671875" style="18" customWidth="1"/>
    <col min="777" max="777" width="3.5546875" style="18" customWidth="1"/>
    <col min="778" max="1022" width="9.109375" style="18"/>
    <col min="1023" max="1023" width="8.6640625" style="18" customWidth="1"/>
    <col min="1024" max="1024" width="9.88671875" style="18" customWidth="1"/>
    <col min="1025" max="1025" width="14.44140625" style="18" customWidth="1"/>
    <col min="1026" max="1026" width="7.33203125" style="18" customWidth="1"/>
    <col min="1027" max="1027" width="5.5546875" style="18" customWidth="1"/>
    <col min="1028" max="1028" width="9" style="18" customWidth="1"/>
    <col min="1029" max="1030" width="9.88671875" style="18" customWidth="1"/>
    <col min="1031" max="1031" width="11.109375" style="18" customWidth="1"/>
    <col min="1032" max="1032" width="2.88671875" style="18" customWidth="1"/>
    <col min="1033" max="1033" width="3.5546875" style="18" customWidth="1"/>
    <col min="1034" max="1278" width="9.109375" style="18"/>
    <col min="1279" max="1279" width="8.6640625" style="18" customWidth="1"/>
    <col min="1280" max="1280" width="9.88671875" style="18" customWidth="1"/>
    <col min="1281" max="1281" width="14.44140625" style="18" customWidth="1"/>
    <col min="1282" max="1282" width="7.33203125" style="18" customWidth="1"/>
    <col min="1283" max="1283" width="5.5546875" style="18" customWidth="1"/>
    <col min="1284" max="1284" width="9" style="18" customWidth="1"/>
    <col min="1285" max="1286" width="9.88671875" style="18" customWidth="1"/>
    <col min="1287" max="1287" width="11.109375" style="18" customWidth="1"/>
    <col min="1288" max="1288" width="2.88671875" style="18" customWidth="1"/>
    <col min="1289" max="1289" width="3.5546875" style="18" customWidth="1"/>
    <col min="1290" max="1534" width="9.109375" style="18"/>
    <col min="1535" max="1535" width="8.6640625" style="18" customWidth="1"/>
    <col min="1536" max="1536" width="9.88671875" style="18" customWidth="1"/>
    <col min="1537" max="1537" width="14.44140625" style="18" customWidth="1"/>
    <col min="1538" max="1538" width="7.33203125" style="18" customWidth="1"/>
    <col min="1539" max="1539" width="5.5546875" style="18" customWidth="1"/>
    <col min="1540" max="1540" width="9" style="18" customWidth="1"/>
    <col min="1541" max="1542" width="9.88671875" style="18" customWidth="1"/>
    <col min="1543" max="1543" width="11.109375" style="18" customWidth="1"/>
    <col min="1544" max="1544" width="2.88671875" style="18" customWidth="1"/>
    <col min="1545" max="1545" width="3.5546875" style="18" customWidth="1"/>
    <col min="1546" max="1790" width="9.109375" style="18"/>
    <col min="1791" max="1791" width="8.6640625" style="18" customWidth="1"/>
    <col min="1792" max="1792" width="9.88671875" style="18" customWidth="1"/>
    <col min="1793" max="1793" width="14.44140625" style="18" customWidth="1"/>
    <col min="1794" max="1794" width="7.33203125" style="18" customWidth="1"/>
    <col min="1795" max="1795" width="5.5546875" style="18" customWidth="1"/>
    <col min="1796" max="1796" width="9" style="18" customWidth="1"/>
    <col min="1797" max="1798" width="9.88671875" style="18" customWidth="1"/>
    <col min="1799" max="1799" width="11.109375" style="18" customWidth="1"/>
    <col min="1800" max="1800" width="2.88671875" style="18" customWidth="1"/>
    <col min="1801" max="1801" width="3.5546875" style="18" customWidth="1"/>
    <col min="1802" max="2046" width="9.109375" style="18"/>
    <col min="2047" max="2047" width="8.6640625" style="18" customWidth="1"/>
    <col min="2048" max="2048" width="9.88671875" style="18" customWidth="1"/>
    <col min="2049" max="2049" width="14.44140625" style="18" customWidth="1"/>
    <col min="2050" max="2050" width="7.33203125" style="18" customWidth="1"/>
    <col min="2051" max="2051" width="5.5546875" style="18" customWidth="1"/>
    <col min="2052" max="2052" width="9" style="18" customWidth="1"/>
    <col min="2053" max="2054" width="9.88671875" style="18" customWidth="1"/>
    <col min="2055" max="2055" width="11.109375" style="18" customWidth="1"/>
    <col min="2056" max="2056" width="2.88671875" style="18" customWidth="1"/>
    <col min="2057" max="2057" width="3.5546875" style="18" customWidth="1"/>
    <col min="2058" max="2302" width="9.109375" style="18"/>
    <col min="2303" max="2303" width="8.6640625" style="18" customWidth="1"/>
    <col min="2304" max="2304" width="9.88671875" style="18" customWidth="1"/>
    <col min="2305" max="2305" width="14.44140625" style="18" customWidth="1"/>
    <col min="2306" max="2306" width="7.33203125" style="18" customWidth="1"/>
    <col min="2307" max="2307" width="5.5546875" style="18" customWidth="1"/>
    <col min="2308" max="2308" width="9" style="18" customWidth="1"/>
    <col min="2309" max="2310" width="9.88671875" style="18" customWidth="1"/>
    <col min="2311" max="2311" width="11.109375" style="18" customWidth="1"/>
    <col min="2312" max="2312" width="2.88671875" style="18" customWidth="1"/>
    <col min="2313" max="2313" width="3.5546875" style="18" customWidth="1"/>
    <col min="2314" max="2558" width="9.109375" style="18"/>
    <col min="2559" max="2559" width="8.6640625" style="18" customWidth="1"/>
    <col min="2560" max="2560" width="9.88671875" style="18" customWidth="1"/>
    <col min="2561" max="2561" width="14.44140625" style="18" customWidth="1"/>
    <col min="2562" max="2562" width="7.33203125" style="18" customWidth="1"/>
    <col min="2563" max="2563" width="5.5546875" style="18" customWidth="1"/>
    <col min="2564" max="2564" width="9" style="18" customWidth="1"/>
    <col min="2565" max="2566" width="9.88671875" style="18" customWidth="1"/>
    <col min="2567" max="2567" width="11.109375" style="18" customWidth="1"/>
    <col min="2568" max="2568" width="2.88671875" style="18" customWidth="1"/>
    <col min="2569" max="2569" width="3.5546875" style="18" customWidth="1"/>
    <col min="2570" max="2814" width="9.109375" style="18"/>
    <col min="2815" max="2815" width="8.6640625" style="18" customWidth="1"/>
    <col min="2816" max="2816" width="9.88671875" style="18" customWidth="1"/>
    <col min="2817" max="2817" width="14.44140625" style="18" customWidth="1"/>
    <col min="2818" max="2818" width="7.33203125" style="18" customWidth="1"/>
    <col min="2819" max="2819" width="5.5546875" style="18" customWidth="1"/>
    <col min="2820" max="2820" width="9" style="18" customWidth="1"/>
    <col min="2821" max="2822" width="9.88671875" style="18" customWidth="1"/>
    <col min="2823" max="2823" width="11.109375" style="18" customWidth="1"/>
    <col min="2824" max="2824" width="2.88671875" style="18" customWidth="1"/>
    <col min="2825" max="2825" width="3.5546875" style="18" customWidth="1"/>
    <col min="2826" max="3070" width="9.109375" style="18"/>
    <col min="3071" max="3071" width="8.6640625" style="18" customWidth="1"/>
    <col min="3072" max="3072" width="9.88671875" style="18" customWidth="1"/>
    <col min="3073" max="3073" width="14.44140625" style="18" customWidth="1"/>
    <col min="3074" max="3074" width="7.33203125" style="18" customWidth="1"/>
    <col min="3075" max="3075" width="5.5546875" style="18" customWidth="1"/>
    <col min="3076" max="3076" width="9" style="18" customWidth="1"/>
    <col min="3077" max="3078" width="9.88671875" style="18" customWidth="1"/>
    <col min="3079" max="3079" width="11.109375" style="18" customWidth="1"/>
    <col min="3080" max="3080" width="2.88671875" style="18" customWidth="1"/>
    <col min="3081" max="3081" width="3.5546875" style="18" customWidth="1"/>
    <col min="3082" max="3326" width="9.109375" style="18"/>
    <col min="3327" max="3327" width="8.6640625" style="18" customWidth="1"/>
    <col min="3328" max="3328" width="9.88671875" style="18" customWidth="1"/>
    <col min="3329" max="3329" width="14.44140625" style="18" customWidth="1"/>
    <col min="3330" max="3330" width="7.33203125" style="18" customWidth="1"/>
    <col min="3331" max="3331" width="5.5546875" style="18" customWidth="1"/>
    <col min="3332" max="3332" width="9" style="18" customWidth="1"/>
    <col min="3333" max="3334" width="9.88671875" style="18" customWidth="1"/>
    <col min="3335" max="3335" width="11.109375" style="18" customWidth="1"/>
    <col min="3336" max="3336" width="2.88671875" style="18" customWidth="1"/>
    <col min="3337" max="3337" width="3.5546875" style="18" customWidth="1"/>
    <col min="3338" max="3582" width="9.109375" style="18"/>
    <col min="3583" max="3583" width="8.6640625" style="18" customWidth="1"/>
    <col min="3584" max="3584" width="9.88671875" style="18" customWidth="1"/>
    <col min="3585" max="3585" width="14.44140625" style="18" customWidth="1"/>
    <col min="3586" max="3586" width="7.33203125" style="18" customWidth="1"/>
    <col min="3587" max="3587" width="5.5546875" style="18" customWidth="1"/>
    <col min="3588" max="3588" width="9" style="18" customWidth="1"/>
    <col min="3589" max="3590" width="9.88671875" style="18" customWidth="1"/>
    <col min="3591" max="3591" width="11.109375" style="18" customWidth="1"/>
    <col min="3592" max="3592" width="2.88671875" style="18" customWidth="1"/>
    <col min="3593" max="3593" width="3.5546875" style="18" customWidth="1"/>
    <col min="3594" max="3838" width="9.109375" style="18"/>
    <col min="3839" max="3839" width="8.6640625" style="18" customWidth="1"/>
    <col min="3840" max="3840" width="9.88671875" style="18" customWidth="1"/>
    <col min="3841" max="3841" width="14.44140625" style="18" customWidth="1"/>
    <col min="3842" max="3842" width="7.33203125" style="18" customWidth="1"/>
    <col min="3843" max="3843" width="5.5546875" style="18" customWidth="1"/>
    <col min="3844" max="3844" width="9" style="18" customWidth="1"/>
    <col min="3845" max="3846" width="9.88671875" style="18" customWidth="1"/>
    <col min="3847" max="3847" width="11.109375" style="18" customWidth="1"/>
    <col min="3848" max="3848" width="2.88671875" style="18" customWidth="1"/>
    <col min="3849" max="3849" width="3.5546875" style="18" customWidth="1"/>
    <col min="3850" max="4094" width="9.109375" style="18"/>
    <col min="4095" max="4095" width="8.6640625" style="18" customWidth="1"/>
    <col min="4096" max="4096" width="9.88671875" style="18" customWidth="1"/>
    <col min="4097" max="4097" width="14.44140625" style="18" customWidth="1"/>
    <col min="4098" max="4098" width="7.33203125" style="18" customWidth="1"/>
    <col min="4099" max="4099" width="5.5546875" style="18" customWidth="1"/>
    <col min="4100" max="4100" width="9" style="18" customWidth="1"/>
    <col min="4101" max="4102" width="9.88671875" style="18" customWidth="1"/>
    <col min="4103" max="4103" width="11.109375" style="18" customWidth="1"/>
    <col min="4104" max="4104" width="2.88671875" style="18" customWidth="1"/>
    <col min="4105" max="4105" width="3.5546875" style="18" customWidth="1"/>
    <col min="4106" max="4350" width="9.109375" style="18"/>
    <col min="4351" max="4351" width="8.6640625" style="18" customWidth="1"/>
    <col min="4352" max="4352" width="9.88671875" style="18" customWidth="1"/>
    <col min="4353" max="4353" width="14.44140625" style="18" customWidth="1"/>
    <col min="4354" max="4354" width="7.33203125" style="18" customWidth="1"/>
    <col min="4355" max="4355" width="5.5546875" style="18" customWidth="1"/>
    <col min="4356" max="4356" width="9" style="18" customWidth="1"/>
    <col min="4357" max="4358" width="9.88671875" style="18" customWidth="1"/>
    <col min="4359" max="4359" width="11.109375" style="18" customWidth="1"/>
    <col min="4360" max="4360" width="2.88671875" style="18" customWidth="1"/>
    <col min="4361" max="4361" width="3.5546875" style="18" customWidth="1"/>
    <col min="4362" max="4606" width="9.109375" style="18"/>
    <col min="4607" max="4607" width="8.6640625" style="18" customWidth="1"/>
    <col min="4608" max="4608" width="9.88671875" style="18" customWidth="1"/>
    <col min="4609" max="4609" width="14.44140625" style="18" customWidth="1"/>
    <col min="4610" max="4610" width="7.33203125" style="18" customWidth="1"/>
    <col min="4611" max="4611" width="5.5546875" style="18" customWidth="1"/>
    <col min="4612" max="4612" width="9" style="18" customWidth="1"/>
    <col min="4613" max="4614" width="9.88671875" style="18" customWidth="1"/>
    <col min="4615" max="4615" width="11.109375" style="18" customWidth="1"/>
    <col min="4616" max="4616" width="2.88671875" style="18" customWidth="1"/>
    <col min="4617" max="4617" width="3.5546875" style="18" customWidth="1"/>
    <col min="4618" max="4862" width="9.109375" style="18"/>
    <col min="4863" max="4863" width="8.6640625" style="18" customWidth="1"/>
    <col min="4864" max="4864" width="9.88671875" style="18" customWidth="1"/>
    <col min="4865" max="4865" width="14.44140625" style="18" customWidth="1"/>
    <col min="4866" max="4866" width="7.33203125" style="18" customWidth="1"/>
    <col min="4867" max="4867" width="5.5546875" style="18" customWidth="1"/>
    <col min="4868" max="4868" width="9" style="18" customWidth="1"/>
    <col min="4869" max="4870" width="9.88671875" style="18" customWidth="1"/>
    <col min="4871" max="4871" width="11.109375" style="18" customWidth="1"/>
    <col min="4872" max="4872" width="2.88671875" style="18" customWidth="1"/>
    <col min="4873" max="4873" width="3.5546875" style="18" customWidth="1"/>
    <col min="4874" max="5118" width="9.109375" style="18"/>
    <col min="5119" max="5119" width="8.6640625" style="18" customWidth="1"/>
    <col min="5120" max="5120" width="9.88671875" style="18" customWidth="1"/>
    <col min="5121" max="5121" width="14.44140625" style="18" customWidth="1"/>
    <col min="5122" max="5122" width="7.33203125" style="18" customWidth="1"/>
    <col min="5123" max="5123" width="5.5546875" style="18" customWidth="1"/>
    <col min="5124" max="5124" width="9" style="18" customWidth="1"/>
    <col min="5125" max="5126" width="9.88671875" style="18" customWidth="1"/>
    <col min="5127" max="5127" width="11.109375" style="18" customWidth="1"/>
    <col min="5128" max="5128" width="2.88671875" style="18" customWidth="1"/>
    <col min="5129" max="5129" width="3.5546875" style="18" customWidth="1"/>
    <col min="5130" max="5374" width="9.109375" style="18"/>
    <col min="5375" max="5375" width="8.6640625" style="18" customWidth="1"/>
    <col min="5376" max="5376" width="9.88671875" style="18" customWidth="1"/>
    <col min="5377" max="5377" width="14.44140625" style="18" customWidth="1"/>
    <col min="5378" max="5378" width="7.33203125" style="18" customWidth="1"/>
    <col min="5379" max="5379" width="5.5546875" style="18" customWidth="1"/>
    <col min="5380" max="5380" width="9" style="18" customWidth="1"/>
    <col min="5381" max="5382" width="9.88671875" style="18" customWidth="1"/>
    <col min="5383" max="5383" width="11.109375" style="18" customWidth="1"/>
    <col min="5384" max="5384" width="2.88671875" style="18" customWidth="1"/>
    <col min="5385" max="5385" width="3.5546875" style="18" customWidth="1"/>
    <col min="5386" max="5630" width="9.109375" style="18"/>
    <col min="5631" max="5631" width="8.6640625" style="18" customWidth="1"/>
    <col min="5632" max="5632" width="9.88671875" style="18" customWidth="1"/>
    <col min="5633" max="5633" width="14.44140625" style="18" customWidth="1"/>
    <col min="5634" max="5634" width="7.33203125" style="18" customWidth="1"/>
    <col min="5635" max="5635" width="5.5546875" style="18" customWidth="1"/>
    <col min="5636" max="5636" width="9" style="18" customWidth="1"/>
    <col min="5637" max="5638" width="9.88671875" style="18" customWidth="1"/>
    <col min="5639" max="5639" width="11.109375" style="18" customWidth="1"/>
    <col min="5640" max="5640" width="2.88671875" style="18" customWidth="1"/>
    <col min="5641" max="5641" width="3.5546875" style="18" customWidth="1"/>
    <col min="5642" max="5886" width="9.109375" style="18"/>
    <col min="5887" max="5887" width="8.6640625" style="18" customWidth="1"/>
    <col min="5888" max="5888" width="9.88671875" style="18" customWidth="1"/>
    <col min="5889" max="5889" width="14.44140625" style="18" customWidth="1"/>
    <col min="5890" max="5890" width="7.33203125" style="18" customWidth="1"/>
    <col min="5891" max="5891" width="5.5546875" style="18" customWidth="1"/>
    <col min="5892" max="5892" width="9" style="18" customWidth="1"/>
    <col min="5893" max="5894" width="9.88671875" style="18" customWidth="1"/>
    <col min="5895" max="5895" width="11.109375" style="18" customWidth="1"/>
    <col min="5896" max="5896" width="2.88671875" style="18" customWidth="1"/>
    <col min="5897" max="5897" width="3.5546875" style="18" customWidth="1"/>
    <col min="5898" max="6142" width="9.109375" style="18"/>
    <col min="6143" max="6143" width="8.6640625" style="18" customWidth="1"/>
    <col min="6144" max="6144" width="9.88671875" style="18" customWidth="1"/>
    <col min="6145" max="6145" width="14.44140625" style="18" customWidth="1"/>
    <col min="6146" max="6146" width="7.33203125" style="18" customWidth="1"/>
    <col min="6147" max="6147" width="5.5546875" style="18" customWidth="1"/>
    <col min="6148" max="6148" width="9" style="18" customWidth="1"/>
    <col min="6149" max="6150" width="9.88671875" style="18" customWidth="1"/>
    <col min="6151" max="6151" width="11.109375" style="18" customWidth="1"/>
    <col min="6152" max="6152" width="2.88671875" style="18" customWidth="1"/>
    <col min="6153" max="6153" width="3.5546875" style="18" customWidth="1"/>
    <col min="6154" max="6398" width="9.109375" style="18"/>
    <col min="6399" max="6399" width="8.6640625" style="18" customWidth="1"/>
    <col min="6400" max="6400" width="9.88671875" style="18" customWidth="1"/>
    <col min="6401" max="6401" width="14.44140625" style="18" customWidth="1"/>
    <col min="6402" max="6402" width="7.33203125" style="18" customWidth="1"/>
    <col min="6403" max="6403" width="5.5546875" style="18" customWidth="1"/>
    <col min="6404" max="6404" width="9" style="18" customWidth="1"/>
    <col min="6405" max="6406" width="9.88671875" style="18" customWidth="1"/>
    <col min="6407" max="6407" width="11.109375" style="18" customWidth="1"/>
    <col min="6408" max="6408" width="2.88671875" style="18" customWidth="1"/>
    <col min="6409" max="6409" width="3.5546875" style="18" customWidth="1"/>
    <col min="6410" max="6654" width="9.109375" style="18"/>
    <col min="6655" max="6655" width="8.6640625" style="18" customWidth="1"/>
    <col min="6656" max="6656" width="9.88671875" style="18" customWidth="1"/>
    <col min="6657" max="6657" width="14.44140625" style="18" customWidth="1"/>
    <col min="6658" max="6658" width="7.33203125" style="18" customWidth="1"/>
    <col min="6659" max="6659" width="5.5546875" style="18" customWidth="1"/>
    <col min="6660" max="6660" width="9" style="18" customWidth="1"/>
    <col min="6661" max="6662" width="9.88671875" style="18" customWidth="1"/>
    <col min="6663" max="6663" width="11.109375" style="18" customWidth="1"/>
    <col min="6664" max="6664" width="2.88671875" style="18" customWidth="1"/>
    <col min="6665" max="6665" width="3.5546875" style="18" customWidth="1"/>
    <col min="6666" max="6910" width="9.109375" style="18"/>
    <col min="6911" max="6911" width="8.6640625" style="18" customWidth="1"/>
    <col min="6912" max="6912" width="9.88671875" style="18" customWidth="1"/>
    <col min="6913" max="6913" width="14.44140625" style="18" customWidth="1"/>
    <col min="6914" max="6914" width="7.33203125" style="18" customWidth="1"/>
    <col min="6915" max="6915" width="5.5546875" style="18" customWidth="1"/>
    <col min="6916" max="6916" width="9" style="18" customWidth="1"/>
    <col min="6917" max="6918" width="9.88671875" style="18" customWidth="1"/>
    <col min="6919" max="6919" width="11.109375" style="18" customWidth="1"/>
    <col min="6920" max="6920" width="2.88671875" style="18" customWidth="1"/>
    <col min="6921" max="6921" width="3.5546875" style="18" customWidth="1"/>
    <col min="6922" max="7166" width="9.109375" style="18"/>
    <col min="7167" max="7167" width="8.6640625" style="18" customWidth="1"/>
    <col min="7168" max="7168" width="9.88671875" style="18" customWidth="1"/>
    <col min="7169" max="7169" width="14.44140625" style="18" customWidth="1"/>
    <col min="7170" max="7170" width="7.33203125" style="18" customWidth="1"/>
    <col min="7171" max="7171" width="5.5546875" style="18" customWidth="1"/>
    <col min="7172" max="7172" width="9" style="18" customWidth="1"/>
    <col min="7173" max="7174" width="9.88671875" style="18" customWidth="1"/>
    <col min="7175" max="7175" width="11.109375" style="18" customWidth="1"/>
    <col min="7176" max="7176" width="2.88671875" style="18" customWidth="1"/>
    <col min="7177" max="7177" width="3.5546875" style="18" customWidth="1"/>
    <col min="7178" max="7422" width="9.109375" style="18"/>
    <col min="7423" max="7423" width="8.6640625" style="18" customWidth="1"/>
    <col min="7424" max="7424" width="9.88671875" style="18" customWidth="1"/>
    <col min="7425" max="7425" width="14.44140625" style="18" customWidth="1"/>
    <col min="7426" max="7426" width="7.33203125" style="18" customWidth="1"/>
    <col min="7427" max="7427" width="5.5546875" style="18" customWidth="1"/>
    <col min="7428" max="7428" width="9" style="18" customWidth="1"/>
    <col min="7429" max="7430" width="9.88671875" style="18" customWidth="1"/>
    <col min="7431" max="7431" width="11.109375" style="18" customWidth="1"/>
    <col min="7432" max="7432" width="2.88671875" style="18" customWidth="1"/>
    <col min="7433" max="7433" width="3.5546875" style="18" customWidth="1"/>
    <col min="7434" max="7678" width="9.109375" style="18"/>
    <col min="7679" max="7679" width="8.6640625" style="18" customWidth="1"/>
    <col min="7680" max="7680" width="9.88671875" style="18" customWidth="1"/>
    <col min="7681" max="7681" width="14.44140625" style="18" customWidth="1"/>
    <col min="7682" max="7682" width="7.33203125" style="18" customWidth="1"/>
    <col min="7683" max="7683" width="5.5546875" style="18" customWidth="1"/>
    <col min="7684" max="7684" width="9" style="18" customWidth="1"/>
    <col min="7685" max="7686" width="9.88671875" style="18" customWidth="1"/>
    <col min="7687" max="7687" width="11.109375" style="18" customWidth="1"/>
    <col min="7688" max="7688" width="2.88671875" style="18" customWidth="1"/>
    <col min="7689" max="7689" width="3.5546875" style="18" customWidth="1"/>
    <col min="7690" max="7934" width="9.109375" style="18"/>
    <col min="7935" max="7935" width="8.6640625" style="18" customWidth="1"/>
    <col min="7936" max="7936" width="9.88671875" style="18" customWidth="1"/>
    <col min="7937" max="7937" width="14.44140625" style="18" customWidth="1"/>
    <col min="7938" max="7938" width="7.33203125" style="18" customWidth="1"/>
    <col min="7939" max="7939" width="5.5546875" style="18" customWidth="1"/>
    <col min="7940" max="7940" width="9" style="18" customWidth="1"/>
    <col min="7941" max="7942" width="9.88671875" style="18" customWidth="1"/>
    <col min="7943" max="7943" width="11.109375" style="18" customWidth="1"/>
    <col min="7944" max="7944" width="2.88671875" style="18" customWidth="1"/>
    <col min="7945" max="7945" width="3.5546875" style="18" customWidth="1"/>
    <col min="7946" max="8190" width="9.109375" style="18"/>
    <col min="8191" max="8191" width="8.6640625" style="18" customWidth="1"/>
    <col min="8192" max="8192" width="9.88671875" style="18" customWidth="1"/>
    <col min="8193" max="8193" width="14.44140625" style="18" customWidth="1"/>
    <col min="8194" max="8194" width="7.33203125" style="18" customWidth="1"/>
    <col min="8195" max="8195" width="5.5546875" style="18" customWidth="1"/>
    <col min="8196" max="8196" width="9" style="18" customWidth="1"/>
    <col min="8197" max="8198" width="9.88671875" style="18" customWidth="1"/>
    <col min="8199" max="8199" width="11.109375" style="18" customWidth="1"/>
    <col min="8200" max="8200" width="2.88671875" style="18" customWidth="1"/>
    <col min="8201" max="8201" width="3.5546875" style="18" customWidth="1"/>
    <col min="8202" max="8446" width="9.109375" style="18"/>
    <col min="8447" max="8447" width="8.6640625" style="18" customWidth="1"/>
    <col min="8448" max="8448" width="9.88671875" style="18" customWidth="1"/>
    <col min="8449" max="8449" width="14.44140625" style="18" customWidth="1"/>
    <col min="8450" max="8450" width="7.33203125" style="18" customWidth="1"/>
    <col min="8451" max="8451" width="5.5546875" style="18" customWidth="1"/>
    <col min="8452" max="8452" width="9" style="18" customWidth="1"/>
    <col min="8453" max="8454" width="9.88671875" style="18" customWidth="1"/>
    <col min="8455" max="8455" width="11.109375" style="18" customWidth="1"/>
    <col min="8456" max="8456" width="2.88671875" style="18" customWidth="1"/>
    <col min="8457" max="8457" width="3.5546875" style="18" customWidth="1"/>
    <col min="8458" max="8702" width="9.109375" style="18"/>
    <col min="8703" max="8703" width="8.6640625" style="18" customWidth="1"/>
    <col min="8704" max="8704" width="9.88671875" style="18" customWidth="1"/>
    <col min="8705" max="8705" width="14.44140625" style="18" customWidth="1"/>
    <col min="8706" max="8706" width="7.33203125" style="18" customWidth="1"/>
    <col min="8707" max="8707" width="5.5546875" style="18" customWidth="1"/>
    <col min="8708" max="8708" width="9" style="18" customWidth="1"/>
    <col min="8709" max="8710" width="9.88671875" style="18" customWidth="1"/>
    <col min="8711" max="8711" width="11.109375" style="18" customWidth="1"/>
    <col min="8712" max="8712" width="2.88671875" style="18" customWidth="1"/>
    <col min="8713" max="8713" width="3.5546875" style="18" customWidth="1"/>
    <col min="8714" max="8958" width="9.109375" style="18"/>
    <col min="8959" max="8959" width="8.6640625" style="18" customWidth="1"/>
    <col min="8960" max="8960" width="9.88671875" style="18" customWidth="1"/>
    <col min="8961" max="8961" width="14.44140625" style="18" customWidth="1"/>
    <col min="8962" max="8962" width="7.33203125" style="18" customWidth="1"/>
    <col min="8963" max="8963" width="5.5546875" style="18" customWidth="1"/>
    <col min="8964" max="8964" width="9" style="18" customWidth="1"/>
    <col min="8965" max="8966" width="9.88671875" style="18" customWidth="1"/>
    <col min="8967" max="8967" width="11.109375" style="18" customWidth="1"/>
    <col min="8968" max="8968" width="2.88671875" style="18" customWidth="1"/>
    <col min="8969" max="8969" width="3.5546875" style="18" customWidth="1"/>
    <col min="8970" max="9214" width="9.109375" style="18"/>
    <col min="9215" max="9215" width="8.6640625" style="18" customWidth="1"/>
    <col min="9216" max="9216" width="9.88671875" style="18" customWidth="1"/>
    <col min="9217" max="9217" width="14.44140625" style="18" customWidth="1"/>
    <col min="9218" max="9218" width="7.33203125" style="18" customWidth="1"/>
    <col min="9219" max="9219" width="5.5546875" style="18" customWidth="1"/>
    <col min="9220" max="9220" width="9" style="18" customWidth="1"/>
    <col min="9221" max="9222" width="9.88671875" style="18" customWidth="1"/>
    <col min="9223" max="9223" width="11.109375" style="18" customWidth="1"/>
    <col min="9224" max="9224" width="2.88671875" style="18" customWidth="1"/>
    <col min="9225" max="9225" width="3.5546875" style="18" customWidth="1"/>
    <col min="9226" max="9470" width="9.109375" style="18"/>
    <col min="9471" max="9471" width="8.6640625" style="18" customWidth="1"/>
    <col min="9472" max="9472" width="9.88671875" style="18" customWidth="1"/>
    <col min="9473" max="9473" width="14.44140625" style="18" customWidth="1"/>
    <col min="9474" max="9474" width="7.33203125" style="18" customWidth="1"/>
    <col min="9475" max="9475" width="5.5546875" style="18" customWidth="1"/>
    <col min="9476" max="9476" width="9" style="18" customWidth="1"/>
    <col min="9477" max="9478" width="9.88671875" style="18" customWidth="1"/>
    <col min="9479" max="9479" width="11.109375" style="18" customWidth="1"/>
    <col min="9480" max="9480" width="2.88671875" style="18" customWidth="1"/>
    <col min="9481" max="9481" width="3.5546875" style="18" customWidth="1"/>
    <col min="9482" max="9726" width="9.109375" style="18"/>
    <col min="9727" max="9727" width="8.6640625" style="18" customWidth="1"/>
    <col min="9728" max="9728" width="9.88671875" style="18" customWidth="1"/>
    <col min="9729" max="9729" width="14.44140625" style="18" customWidth="1"/>
    <col min="9730" max="9730" width="7.33203125" style="18" customWidth="1"/>
    <col min="9731" max="9731" width="5.5546875" style="18" customWidth="1"/>
    <col min="9732" max="9732" width="9" style="18" customWidth="1"/>
    <col min="9733" max="9734" width="9.88671875" style="18" customWidth="1"/>
    <col min="9735" max="9735" width="11.109375" style="18" customWidth="1"/>
    <col min="9736" max="9736" width="2.88671875" style="18" customWidth="1"/>
    <col min="9737" max="9737" width="3.5546875" style="18" customWidth="1"/>
    <col min="9738" max="9982" width="9.109375" style="18"/>
    <col min="9983" max="9983" width="8.6640625" style="18" customWidth="1"/>
    <col min="9984" max="9984" width="9.88671875" style="18" customWidth="1"/>
    <col min="9985" max="9985" width="14.44140625" style="18" customWidth="1"/>
    <col min="9986" max="9986" width="7.33203125" style="18" customWidth="1"/>
    <col min="9987" max="9987" width="5.5546875" style="18" customWidth="1"/>
    <col min="9988" max="9988" width="9" style="18" customWidth="1"/>
    <col min="9989" max="9990" width="9.88671875" style="18" customWidth="1"/>
    <col min="9991" max="9991" width="11.109375" style="18" customWidth="1"/>
    <col min="9992" max="9992" width="2.88671875" style="18" customWidth="1"/>
    <col min="9993" max="9993" width="3.5546875" style="18" customWidth="1"/>
    <col min="9994" max="10238" width="9.109375" style="18"/>
    <col min="10239" max="10239" width="8.6640625" style="18" customWidth="1"/>
    <col min="10240" max="10240" width="9.88671875" style="18" customWidth="1"/>
    <col min="10241" max="10241" width="14.44140625" style="18" customWidth="1"/>
    <col min="10242" max="10242" width="7.33203125" style="18" customWidth="1"/>
    <col min="10243" max="10243" width="5.5546875" style="18" customWidth="1"/>
    <col min="10244" max="10244" width="9" style="18" customWidth="1"/>
    <col min="10245" max="10246" width="9.88671875" style="18" customWidth="1"/>
    <col min="10247" max="10247" width="11.109375" style="18" customWidth="1"/>
    <col min="10248" max="10248" width="2.88671875" style="18" customWidth="1"/>
    <col min="10249" max="10249" width="3.5546875" style="18" customWidth="1"/>
    <col min="10250" max="10494" width="9.109375" style="18"/>
    <col min="10495" max="10495" width="8.6640625" style="18" customWidth="1"/>
    <col min="10496" max="10496" width="9.88671875" style="18" customWidth="1"/>
    <col min="10497" max="10497" width="14.44140625" style="18" customWidth="1"/>
    <col min="10498" max="10498" width="7.33203125" style="18" customWidth="1"/>
    <col min="10499" max="10499" width="5.5546875" style="18" customWidth="1"/>
    <col min="10500" max="10500" width="9" style="18" customWidth="1"/>
    <col min="10501" max="10502" width="9.88671875" style="18" customWidth="1"/>
    <col min="10503" max="10503" width="11.109375" style="18" customWidth="1"/>
    <col min="10504" max="10504" width="2.88671875" style="18" customWidth="1"/>
    <col min="10505" max="10505" width="3.5546875" style="18" customWidth="1"/>
    <col min="10506" max="10750" width="9.109375" style="18"/>
    <col min="10751" max="10751" width="8.6640625" style="18" customWidth="1"/>
    <col min="10752" max="10752" width="9.88671875" style="18" customWidth="1"/>
    <col min="10753" max="10753" width="14.44140625" style="18" customWidth="1"/>
    <col min="10754" max="10754" width="7.33203125" style="18" customWidth="1"/>
    <col min="10755" max="10755" width="5.5546875" style="18" customWidth="1"/>
    <col min="10756" max="10756" width="9" style="18" customWidth="1"/>
    <col min="10757" max="10758" width="9.88671875" style="18" customWidth="1"/>
    <col min="10759" max="10759" width="11.109375" style="18" customWidth="1"/>
    <col min="10760" max="10760" width="2.88671875" style="18" customWidth="1"/>
    <col min="10761" max="10761" width="3.5546875" style="18" customWidth="1"/>
    <col min="10762" max="11006" width="9.109375" style="18"/>
    <col min="11007" max="11007" width="8.6640625" style="18" customWidth="1"/>
    <col min="11008" max="11008" width="9.88671875" style="18" customWidth="1"/>
    <col min="11009" max="11009" width="14.44140625" style="18" customWidth="1"/>
    <col min="11010" max="11010" width="7.33203125" style="18" customWidth="1"/>
    <col min="11011" max="11011" width="5.5546875" style="18" customWidth="1"/>
    <col min="11012" max="11012" width="9" style="18" customWidth="1"/>
    <col min="11013" max="11014" width="9.88671875" style="18" customWidth="1"/>
    <col min="11015" max="11015" width="11.109375" style="18" customWidth="1"/>
    <col min="11016" max="11016" width="2.88671875" style="18" customWidth="1"/>
    <col min="11017" max="11017" width="3.5546875" style="18" customWidth="1"/>
    <col min="11018" max="11262" width="9.109375" style="18"/>
    <col min="11263" max="11263" width="8.6640625" style="18" customWidth="1"/>
    <col min="11264" max="11264" width="9.88671875" style="18" customWidth="1"/>
    <col min="11265" max="11265" width="14.44140625" style="18" customWidth="1"/>
    <col min="11266" max="11266" width="7.33203125" style="18" customWidth="1"/>
    <col min="11267" max="11267" width="5.5546875" style="18" customWidth="1"/>
    <col min="11268" max="11268" width="9" style="18" customWidth="1"/>
    <col min="11269" max="11270" width="9.88671875" style="18" customWidth="1"/>
    <col min="11271" max="11271" width="11.109375" style="18" customWidth="1"/>
    <col min="11272" max="11272" width="2.88671875" style="18" customWidth="1"/>
    <col min="11273" max="11273" width="3.5546875" style="18" customWidth="1"/>
    <col min="11274" max="11518" width="9.109375" style="18"/>
    <col min="11519" max="11519" width="8.6640625" style="18" customWidth="1"/>
    <col min="11520" max="11520" width="9.88671875" style="18" customWidth="1"/>
    <col min="11521" max="11521" width="14.44140625" style="18" customWidth="1"/>
    <col min="11522" max="11522" width="7.33203125" style="18" customWidth="1"/>
    <col min="11523" max="11523" width="5.5546875" style="18" customWidth="1"/>
    <col min="11524" max="11524" width="9" style="18" customWidth="1"/>
    <col min="11525" max="11526" width="9.88671875" style="18" customWidth="1"/>
    <col min="11527" max="11527" width="11.109375" style="18" customWidth="1"/>
    <col min="11528" max="11528" width="2.88671875" style="18" customWidth="1"/>
    <col min="11529" max="11529" width="3.5546875" style="18" customWidth="1"/>
    <col min="11530" max="11774" width="9.109375" style="18"/>
    <col min="11775" max="11775" width="8.6640625" style="18" customWidth="1"/>
    <col min="11776" max="11776" width="9.88671875" style="18" customWidth="1"/>
    <col min="11777" max="11777" width="14.44140625" style="18" customWidth="1"/>
    <col min="11778" max="11778" width="7.33203125" style="18" customWidth="1"/>
    <col min="11779" max="11779" width="5.5546875" style="18" customWidth="1"/>
    <col min="11780" max="11780" width="9" style="18" customWidth="1"/>
    <col min="11781" max="11782" width="9.88671875" style="18" customWidth="1"/>
    <col min="11783" max="11783" width="11.109375" style="18" customWidth="1"/>
    <col min="11784" max="11784" width="2.88671875" style="18" customWidth="1"/>
    <col min="11785" max="11785" width="3.5546875" style="18" customWidth="1"/>
    <col min="11786" max="12030" width="9.109375" style="18"/>
    <col min="12031" max="12031" width="8.6640625" style="18" customWidth="1"/>
    <col min="12032" max="12032" width="9.88671875" style="18" customWidth="1"/>
    <col min="12033" max="12033" width="14.44140625" style="18" customWidth="1"/>
    <col min="12034" max="12034" width="7.33203125" style="18" customWidth="1"/>
    <col min="12035" max="12035" width="5.5546875" style="18" customWidth="1"/>
    <col min="12036" max="12036" width="9" style="18" customWidth="1"/>
    <col min="12037" max="12038" width="9.88671875" style="18" customWidth="1"/>
    <col min="12039" max="12039" width="11.109375" style="18" customWidth="1"/>
    <col min="12040" max="12040" width="2.88671875" style="18" customWidth="1"/>
    <col min="12041" max="12041" width="3.5546875" style="18" customWidth="1"/>
    <col min="12042" max="12286" width="9.109375" style="18"/>
    <col min="12287" max="12287" width="8.6640625" style="18" customWidth="1"/>
    <col min="12288" max="12288" width="9.88671875" style="18" customWidth="1"/>
    <col min="12289" max="12289" width="14.44140625" style="18" customWidth="1"/>
    <col min="12290" max="12290" width="7.33203125" style="18" customWidth="1"/>
    <col min="12291" max="12291" width="5.5546875" style="18" customWidth="1"/>
    <col min="12292" max="12292" width="9" style="18" customWidth="1"/>
    <col min="12293" max="12294" width="9.88671875" style="18" customWidth="1"/>
    <col min="12295" max="12295" width="11.109375" style="18" customWidth="1"/>
    <col min="12296" max="12296" width="2.88671875" style="18" customWidth="1"/>
    <col min="12297" max="12297" width="3.5546875" style="18" customWidth="1"/>
    <col min="12298" max="12542" width="9.109375" style="18"/>
    <col min="12543" max="12543" width="8.6640625" style="18" customWidth="1"/>
    <col min="12544" max="12544" width="9.88671875" style="18" customWidth="1"/>
    <col min="12545" max="12545" width="14.44140625" style="18" customWidth="1"/>
    <col min="12546" max="12546" width="7.33203125" style="18" customWidth="1"/>
    <col min="12547" max="12547" width="5.5546875" style="18" customWidth="1"/>
    <col min="12548" max="12548" width="9" style="18" customWidth="1"/>
    <col min="12549" max="12550" width="9.88671875" style="18" customWidth="1"/>
    <col min="12551" max="12551" width="11.109375" style="18" customWidth="1"/>
    <col min="12552" max="12552" width="2.88671875" style="18" customWidth="1"/>
    <col min="12553" max="12553" width="3.5546875" style="18" customWidth="1"/>
    <col min="12554" max="12798" width="9.109375" style="18"/>
    <col min="12799" max="12799" width="8.6640625" style="18" customWidth="1"/>
    <col min="12800" max="12800" width="9.88671875" style="18" customWidth="1"/>
    <col min="12801" max="12801" width="14.44140625" style="18" customWidth="1"/>
    <col min="12802" max="12802" width="7.33203125" style="18" customWidth="1"/>
    <col min="12803" max="12803" width="5.5546875" style="18" customWidth="1"/>
    <col min="12804" max="12804" width="9" style="18" customWidth="1"/>
    <col min="12805" max="12806" width="9.88671875" style="18" customWidth="1"/>
    <col min="12807" max="12807" width="11.109375" style="18" customWidth="1"/>
    <col min="12808" max="12808" width="2.88671875" style="18" customWidth="1"/>
    <col min="12809" max="12809" width="3.5546875" style="18" customWidth="1"/>
    <col min="12810" max="13054" width="9.109375" style="18"/>
    <col min="13055" max="13055" width="8.6640625" style="18" customWidth="1"/>
    <col min="13056" max="13056" width="9.88671875" style="18" customWidth="1"/>
    <col min="13057" max="13057" width="14.44140625" style="18" customWidth="1"/>
    <col min="13058" max="13058" width="7.33203125" style="18" customWidth="1"/>
    <col min="13059" max="13059" width="5.5546875" style="18" customWidth="1"/>
    <col min="13060" max="13060" width="9" style="18" customWidth="1"/>
    <col min="13061" max="13062" width="9.88671875" style="18" customWidth="1"/>
    <col min="13063" max="13063" width="11.109375" style="18" customWidth="1"/>
    <col min="13064" max="13064" width="2.88671875" style="18" customWidth="1"/>
    <col min="13065" max="13065" width="3.5546875" style="18" customWidth="1"/>
    <col min="13066" max="13310" width="9.109375" style="18"/>
    <col min="13311" max="13311" width="8.6640625" style="18" customWidth="1"/>
    <col min="13312" max="13312" width="9.88671875" style="18" customWidth="1"/>
    <col min="13313" max="13313" width="14.44140625" style="18" customWidth="1"/>
    <col min="13314" max="13314" width="7.33203125" style="18" customWidth="1"/>
    <col min="13315" max="13315" width="5.5546875" style="18" customWidth="1"/>
    <col min="13316" max="13316" width="9" style="18" customWidth="1"/>
    <col min="13317" max="13318" width="9.88671875" style="18" customWidth="1"/>
    <col min="13319" max="13319" width="11.109375" style="18" customWidth="1"/>
    <col min="13320" max="13320" width="2.88671875" style="18" customWidth="1"/>
    <col min="13321" max="13321" width="3.5546875" style="18" customWidth="1"/>
    <col min="13322" max="13566" width="9.109375" style="18"/>
    <col min="13567" max="13567" width="8.6640625" style="18" customWidth="1"/>
    <col min="13568" max="13568" width="9.88671875" style="18" customWidth="1"/>
    <col min="13569" max="13569" width="14.44140625" style="18" customWidth="1"/>
    <col min="13570" max="13570" width="7.33203125" style="18" customWidth="1"/>
    <col min="13571" max="13571" width="5.5546875" style="18" customWidth="1"/>
    <col min="13572" max="13572" width="9" style="18" customWidth="1"/>
    <col min="13573" max="13574" width="9.88671875" style="18" customWidth="1"/>
    <col min="13575" max="13575" width="11.109375" style="18" customWidth="1"/>
    <col min="13576" max="13576" width="2.88671875" style="18" customWidth="1"/>
    <col min="13577" max="13577" width="3.5546875" style="18" customWidth="1"/>
    <col min="13578" max="13822" width="9.109375" style="18"/>
    <col min="13823" max="13823" width="8.6640625" style="18" customWidth="1"/>
    <col min="13824" max="13824" width="9.88671875" style="18" customWidth="1"/>
    <col min="13825" max="13825" width="14.44140625" style="18" customWidth="1"/>
    <col min="13826" max="13826" width="7.33203125" style="18" customWidth="1"/>
    <col min="13827" max="13827" width="5.5546875" style="18" customWidth="1"/>
    <col min="13828" max="13828" width="9" style="18" customWidth="1"/>
    <col min="13829" max="13830" width="9.88671875" style="18" customWidth="1"/>
    <col min="13831" max="13831" width="11.109375" style="18" customWidth="1"/>
    <col min="13832" max="13832" width="2.88671875" style="18" customWidth="1"/>
    <col min="13833" max="13833" width="3.5546875" style="18" customWidth="1"/>
    <col min="13834" max="14078" width="9.109375" style="18"/>
    <col min="14079" max="14079" width="8.6640625" style="18" customWidth="1"/>
    <col min="14080" max="14080" width="9.88671875" style="18" customWidth="1"/>
    <col min="14081" max="14081" width="14.44140625" style="18" customWidth="1"/>
    <col min="14082" max="14082" width="7.33203125" style="18" customWidth="1"/>
    <col min="14083" max="14083" width="5.5546875" style="18" customWidth="1"/>
    <col min="14084" max="14084" width="9" style="18" customWidth="1"/>
    <col min="14085" max="14086" width="9.88671875" style="18" customWidth="1"/>
    <col min="14087" max="14087" width="11.109375" style="18" customWidth="1"/>
    <col min="14088" max="14088" width="2.88671875" style="18" customWidth="1"/>
    <col min="14089" max="14089" width="3.5546875" style="18" customWidth="1"/>
    <col min="14090" max="14334" width="9.109375" style="18"/>
    <col min="14335" max="14335" width="8.6640625" style="18" customWidth="1"/>
    <col min="14336" max="14336" width="9.88671875" style="18" customWidth="1"/>
    <col min="14337" max="14337" width="14.44140625" style="18" customWidth="1"/>
    <col min="14338" max="14338" width="7.33203125" style="18" customWidth="1"/>
    <col min="14339" max="14339" width="5.5546875" style="18" customWidth="1"/>
    <col min="14340" max="14340" width="9" style="18" customWidth="1"/>
    <col min="14341" max="14342" width="9.88671875" style="18" customWidth="1"/>
    <col min="14343" max="14343" width="11.109375" style="18" customWidth="1"/>
    <col min="14344" max="14344" width="2.88671875" style="18" customWidth="1"/>
    <col min="14345" max="14345" width="3.5546875" style="18" customWidth="1"/>
    <col min="14346" max="14590" width="9.109375" style="18"/>
    <col min="14591" max="14591" width="8.6640625" style="18" customWidth="1"/>
    <col min="14592" max="14592" width="9.88671875" style="18" customWidth="1"/>
    <col min="14593" max="14593" width="14.44140625" style="18" customWidth="1"/>
    <col min="14594" max="14594" width="7.33203125" style="18" customWidth="1"/>
    <col min="14595" max="14595" width="5.5546875" style="18" customWidth="1"/>
    <col min="14596" max="14596" width="9" style="18" customWidth="1"/>
    <col min="14597" max="14598" width="9.88671875" style="18" customWidth="1"/>
    <col min="14599" max="14599" width="11.109375" style="18" customWidth="1"/>
    <col min="14600" max="14600" width="2.88671875" style="18" customWidth="1"/>
    <col min="14601" max="14601" width="3.5546875" style="18" customWidth="1"/>
    <col min="14602" max="14846" width="9.109375" style="18"/>
    <col min="14847" max="14847" width="8.6640625" style="18" customWidth="1"/>
    <col min="14848" max="14848" width="9.88671875" style="18" customWidth="1"/>
    <col min="14849" max="14849" width="14.44140625" style="18" customWidth="1"/>
    <col min="14850" max="14850" width="7.33203125" style="18" customWidth="1"/>
    <col min="14851" max="14851" width="5.5546875" style="18" customWidth="1"/>
    <col min="14852" max="14852" width="9" style="18" customWidth="1"/>
    <col min="14853" max="14854" width="9.88671875" style="18" customWidth="1"/>
    <col min="14855" max="14855" width="11.109375" style="18" customWidth="1"/>
    <col min="14856" max="14856" width="2.88671875" style="18" customWidth="1"/>
    <col min="14857" max="14857" width="3.5546875" style="18" customWidth="1"/>
    <col min="14858" max="15102" width="9.109375" style="18"/>
    <col min="15103" max="15103" width="8.6640625" style="18" customWidth="1"/>
    <col min="15104" max="15104" width="9.88671875" style="18" customWidth="1"/>
    <col min="15105" max="15105" width="14.44140625" style="18" customWidth="1"/>
    <col min="15106" max="15106" width="7.33203125" style="18" customWidth="1"/>
    <col min="15107" max="15107" width="5.5546875" style="18" customWidth="1"/>
    <col min="15108" max="15108" width="9" style="18" customWidth="1"/>
    <col min="15109" max="15110" width="9.88671875" style="18" customWidth="1"/>
    <col min="15111" max="15111" width="11.109375" style="18" customWidth="1"/>
    <col min="15112" max="15112" width="2.88671875" style="18" customWidth="1"/>
    <col min="15113" max="15113" width="3.5546875" style="18" customWidth="1"/>
    <col min="15114" max="15358" width="9.109375" style="18"/>
    <col min="15359" max="15359" width="8.6640625" style="18" customWidth="1"/>
    <col min="15360" max="15360" width="9.88671875" style="18" customWidth="1"/>
    <col min="15361" max="15361" width="14.44140625" style="18" customWidth="1"/>
    <col min="15362" max="15362" width="7.33203125" style="18" customWidth="1"/>
    <col min="15363" max="15363" width="5.5546875" style="18" customWidth="1"/>
    <col min="15364" max="15364" width="9" style="18" customWidth="1"/>
    <col min="15365" max="15366" width="9.88671875" style="18" customWidth="1"/>
    <col min="15367" max="15367" width="11.109375" style="18" customWidth="1"/>
    <col min="15368" max="15368" width="2.88671875" style="18" customWidth="1"/>
    <col min="15369" max="15369" width="3.5546875" style="18" customWidth="1"/>
    <col min="15370" max="15614" width="9.109375" style="18"/>
    <col min="15615" max="15615" width="8.6640625" style="18" customWidth="1"/>
    <col min="15616" max="15616" width="9.88671875" style="18" customWidth="1"/>
    <col min="15617" max="15617" width="14.44140625" style="18" customWidth="1"/>
    <col min="15618" max="15618" width="7.33203125" style="18" customWidth="1"/>
    <col min="15619" max="15619" width="5.5546875" style="18" customWidth="1"/>
    <col min="15620" max="15620" width="9" style="18" customWidth="1"/>
    <col min="15621" max="15622" width="9.88671875" style="18" customWidth="1"/>
    <col min="15623" max="15623" width="11.109375" style="18" customWidth="1"/>
    <col min="15624" max="15624" width="2.88671875" style="18" customWidth="1"/>
    <col min="15625" max="15625" width="3.5546875" style="18" customWidth="1"/>
    <col min="15626" max="15870" width="9.109375" style="18"/>
    <col min="15871" max="15871" width="8.6640625" style="18" customWidth="1"/>
    <col min="15872" max="15872" width="9.88671875" style="18" customWidth="1"/>
    <col min="15873" max="15873" width="14.44140625" style="18" customWidth="1"/>
    <col min="15874" max="15874" width="7.33203125" style="18" customWidth="1"/>
    <col min="15875" max="15875" width="5.5546875" style="18" customWidth="1"/>
    <col min="15876" max="15876" width="9" style="18" customWidth="1"/>
    <col min="15877" max="15878" width="9.88671875" style="18" customWidth="1"/>
    <col min="15879" max="15879" width="11.109375" style="18" customWidth="1"/>
    <col min="15880" max="15880" width="2.88671875" style="18" customWidth="1"/>
    <col min="15881" max="15881" width="3.5546875" style="18" customWidth="1"/>
    <col min="15882" max="16126" width="9.109375" style="18"/>
    <col min="16127" max="16127" width="8.6640625" style="18" customWidth="1"/>
    <col min="16128" max="16128" width="9.88671875" style="18" customWidth="1"/>
    <col min="16129" max="16129" width="14.44140625" style="18" customWidth="1"/>
    <col min="16130" max="16130" width="7.33203125" style="18" customWidth="1"/>
    <col min="16131" max="16131" width="5.5546875" style="18" customWidth="1"/>
    <col min="16132" max="16132" width="9" style="18" customWidth="1"/>
    <col min="16133" max="16134" width="9.88671875" style="18" customWidth="1"/>
    <col min="16135" max="16135" width="11.109375" style="18" customWidth="1"/>
    <col min="16136" max="16136" width="2.88671875" style="18" customWidth="1"/>
    <col min="16137" max="16137" width="3.5546875" style="18" customWidth="1"/>
    <col min="16138" max="16384" width="9.109375" style="18"/>
  </cols>
  <sheetData>
    <row r="1" spans="1:8" ht="46.5" customHeight="1" x14ac:dyDescent="0.3">
      <c r="A1" s="160" t="s">
        <v>240</v>
      </c>
      <c r="B1" s="160"/>
      <c r="C1" s="160"/>
      <c r="D1" s="160"/>
      <c r="E1" s="160"/>
      <c r="F1" s="160"/>
      <c r="G1" s="160"/>
      <c r="H1" s="160"/>
    </row>
    <row r="2" spans="1:8" ht="16.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</row>
    <row r="3" spans="1:8" x14ac:dyDescent="0.3">
      <c r="A3" s="131" t="s">
        <v>1</v>
      </c>
      <c r="B3" s="131"/>
      <c r="C3" s="131"/>
      <c r="D3" s="131"/>
      <c r="E3" s="161" t="str">
        <f ca="1">TEXT(TODAY(),"DD/MM/YYYY")</f>
        <v>14/07/2025</v>
      </c>
      <c r="F3" s="161"/>
      <c r="G3" s="161"/>
      <c r="H3" s="161"/>
    </row>
    <row r="4" spans="1:8" ht="15" customHeight="1" x14ac:dyDescent="0.3">
      <c r="A4" s="131" t="s">
        <v>2</v>
      </c>
      <c r="B4" s="131"/>
      <c r="C4" s="131"/>
      <c r="D4" s="131"/>
      <c r="E4" s="156" t="s">
        <v>174</v>
      </c>
      <c r="F4" s="156"/>
      <c r="G4" s="156"/>
      <c r="H4" s="156"/>
    </row>
    <row r="5" spans="1:8" x14ac:dyDescent="0.3">
      <c r="A5" s="131" t="s">
        <v>3</v>
      </c>
      <c r="B5" s="131"/>
      <c r="C5" s="131"/>
      <c r="D5" s="131"/>
      <c r="E5" s="162">
        <v>45847</v>
      </c>
      <c r="F5" s="162"/>
      <c r="G5" s="162"/>
      <c r="H5" s="162"/>
    </row>
    <row r="6" spans="1:8" ht="16.5" customHeight="1" x14ac:dyDescent="0.3">
      <c r="A6" s="131" t="s">
        <v>4</v>
      </c>
      <c r="B6" s="131"/>
      <c r="C6" s="131"/>
      <c r="D6" s="131"/>
      <c r="E6" s="126" t="s">
        <v>283</v>
      </c>
      <c r="F6" s="126"/>
      <c r="G6" s="126"/>
      <c r="H6" s="126"/>
    </row>
    <row r="7" spans="1:8" ht="15" customHeight="1" x14ac:dyDescent="0.3">
      <c r="A7" s="131" t="s">
        <v>5</v>
      </c>
      <c r="B7" s="131"/>
      <c r="C7" s="131"/>
      <c r="D7" s="131"/>
      <c r="E7" s="126" t="str">
        <f>E6</f>
        <v>M/s.Transcon Triumph Phase 2 Private Limited</v>
      </c>
      <c r="F7" s="126"/>
      <c r="G7" s="126"/>
      <c r="H7" s="126"/>
    </row>
    <row r="8" spans="1:8" x14ac:dyDescent="0.3">
      <c r="A8" s="131" t="s">
        <v>6</v>
      </c>
      <c r="B8" s="131"/>
      <c r="C8" s="131"/>
      <c r="D8" s="131"/>
      <c r="E8" s="138" t="s">
        <v>173</v>
      </c>
      <c r="F8" s="138"/>
      <c r="G8" s="138"/>
      <c r="H8" s="138"/>
    </row>
    <row r="9" spans="1:8" x14ac:dyDescent="0.3">
      <c r="A9" s="131" t="s">
        <v>171</v>
      </c>
      <c r="B9" s="131"/>
      <c r="C9" s="131"/>
      <c r="D9" s="131"/>
      <c r="E9" s="132" t="s">
        <v>239</v>
      </c>
      <c r="F9" s="132"/>
      <c r="G9" s="132"/>
      <c r="H9" s="132"/>
    </row>
    <row r="10" spans="1:8" x14ac:dyDescent="0.3">
      <c r="A10" s="131" t="s">
        <v>241</v>
      </c>
      <c r="B10" s="131"/>
      <c r="C10" s="131"/>
      <c r="D10" s="131"/>
      <c r="E10" s="132">
        <v>8237060198</v>
      </c>
      <c r="F10" s="132"/>
      <c r="G10" s="132"/>
      <c r="H10" s="132"/>
    </row>
    <row r="11" spans="1:8" x14ac:dyDescent="0.3">
      <c r="A11" s="132" t="s">
        <v>7</v>
      </c>
      <c r="B11" s="132"/>
      <c r="C11" s="132"/>
      <c r="D11" s="132"/>
      <c r="E11" s="128" t="s">
        <v>257</v>
      </c>
      <c r="F11" s="128"/>
      <c r="G11" s="128"/>
      <c r="H11" s="128"/>
    </row>
    <row r="12" spans="1:8" x14ac:dyDescent="0.3">
      <c r="A12" s="131" t="s">
        <v>8</v>
      </c>
      <c r="B12" s="131"/>
      <c r="C12" s="131"/>
      <c r="D12" s="131"/>
      <c r="E12" s="126" t="s">
        <v>193</v>
      </c>
      <c r="F12" s="126"/>
      <c r="G12" s="126"/>
      <c r="H12" s="126"/>
    </row>
    <row r="13" spans="1:8" x14ac:dyDescent="0.3">
      <c r="A13" s="131" t="s">
        <v>9</v>
      </c>
      <c r="B13" s="131"/>
      <c r="C13" s="131"/>
      <c r="D13" s="131"/>
      <c r="E13" s="126" t="s">
        <v>282</v>
      </c>
      <c r="F13" s="132"/>
      <c r="G13" s="132"/>
      <c r="H13" s="132"/>
    </row>
    <row r="14" spans="1:8" ht="66" customHeight="1" x14ac:dyDescent="0.3">
      <c r="A14" s="139" t="s">
        <v>10</v>
      </c>
      <c r="B14" s="139"/>
      <c r="C14" s="139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Transcon Triumph Tower 2, CTS No.693/1, 695, 702, 704, 704/1 to 79, 705(pt), 705/2, 720/A/5, 720//84 to 160, 725, 725/7 to 70, 728, 729, 730, 731, 731/1, 732(pt), 732/1 to 15(pt), 737/8/1 &amp; 732/8/2(pt), near Oberoi Springs, Veera Desai Road, Oshiwara, Jogeshwari West, Andheri, Mumbai - 400053.</v>
      </c>
      <c r="D14" s="139"/>
      <c r="E14" s="139"/>
      <c r="F14" s="139"/>
      <c r="G14" s="139"/>
      <c r="H14" s="139"/>
    </row>
    <row r="15" spans="1:8" ht="50.25" customHeight="1" x14ac:dyDescent="0.3">
      <c r="A15" s="126" t="s">
        <v>183</v>
      </c>
      <c r="B15" s="126"/>
      <c r="C15" s="127" t="s">
        <v>246</v>
      </c>
      <c r="D15" s="127"/>
      <c r="E15" s="127"/>
      <c r="F15" s="127"/>
      <c r="G15" s="127"/>
      <c r="H15" s="127"/>
    </row>
    <row r="16" spans="1:8" ht="15.75" customHeight="1" x14ac:dyDescent="0.3">
      <c r="A16" s="139" t="s">
        <v>11</v>
      </c>
      <c r="B16" s="139"/>
      <c r="C16" s="132" t="s">
        <v>177</v>
      </c>
      <c r="D16" s="132"/>
      <c r="E16" s="139" t="s">
        <v>108</v>
      </c>
      <c r="F16" s="139"/>
      <c r="G16" s="126" t="s">
        <v>184</v>
      </c>
      <c r="H16" s="126"/>
    </row>
    <row r="17" spans="1:8" x14ac:dyDescent="0.3">
      <c r="A17" s="131" t="s">
        <v>13</v>
      </c>
      <c r="B17" s="131"/>
      <c r="C17" s="126" t="s">
        <v>189</v>
      </c>
      <c r="D17" s="126"/>
      <c r="E17" s="139" t="s">
        <v>12</v>
      </c>
      <c r="F17" s="139"/>
      <c r="G17" s="159" t="s">
        <v>176</v>
      </c>
      <c r="H17" s="159"/>
    </row>
    <row r="18" spans="1:8" x14ac:dyDescent="0.3">
      <c r="A18" s="131" t="s">
        <v>109</v>
      </c>
      <c r="B18" s="131"/>
      <c r="C18" s="126" t="s">
        <v>175</v>
      </c>
      <c r="D18" s="126"/>
      <c r="E18" s="139" t="s">
        <v>14</v>
      </c>
      <c r="F18" s="139"/>
      <c r="G18" s="126">
        <v>400053</v>
      </c>
      <c r="H18" s="126"/>
    </row>
    <row r="19" spans="1:8" ht="32.25" customHeight="1" x14ac:dyDescent="0.3">
      <c r="A19" s="131" t="s">
        <v>172</v>
      </c>
      <c r="B19" s="131"/>
      <c r="C19" s="139" t="s">
        <v>179</v>
      </c>
      <c r="D19" s="139"/>
      <c r="E19" s="139" t="s">
        <v>15</v>
      </c>
      <c r="F19" s="139"/>
      <c r="G19" s="126" t="s">
        <v>204</v>
      </c>
      <c r="H19" s="126"/>
    </row>
    <row r="20" spans="1:8" ht="15" customHeight="1" x14ac:dyDescent="0.3">
      <c r="A20" s="139" t="s">
        <v>113</v>
      </c>
      <c r="B20" s="139"/>
      <c r="C20" s="139"/>
      <c r="D20" s="139"/>
      <c r="E20" s="132" t="s">
        <v>16</v>
      </c>
      <c r="F20" s="132"/>
      <c r="G20" s="132"/>
      <c r="H20" s="132"/>
    </row>
    <row r="21" spans="1:8" ht="18.75" customHeight="1" x14ac:dyDescent="0.3">
      <c r="A21" s="139"/>
      <c r="B21" s="139"/>
      <c r="C21" s="139"/>
      <c r="D21" s="139"/>
      <c r="E21" s="132"/>
      <c r="F21" s="132"/>
      <c r="G21" s="132"/>
      <c r="H21" s="132"/>
    </row>
    <row r="22" spans="1:8" ht="15" customHeight="1" x14ac:dyDescent="0.3">
      <c r="A22" s="139" t="s">
        <v>17</v>
      </c>
      <c r="B22" s="139"/>
      <c r="C22" s="139"/>
      <c r="D22" s="139"/>
      <c r="E22" s="126" t="s">
        <v>18</v>
      </c>
      <c r="F22" s="126"/>
      <c r="G22" s="126"/>
      <c r="H22" s="126"/>
    </row>
    <row r="23" spans="1:8" x14ac:dyDescent="0.3">
      <c r="A23" s="131" t="s">
        <v>19</v>
      </c>
      <c r="B23" s="131"/>
      <c r="C23" s="131"/>
      <c r="D23" s="131"/>
      <c r="E23" s="126" t="str">
        <f>IF(AND(G17="Mumbai"),"Upper Class","Middle Class")</f>
        <v>Upper Class</v>
      </c>
      <c r="F23" s="126"/>
      <c r="G23" s="126"/>
      <c r="H23" s="126"/>
    </row>
    <row r="24" spans="1:8" x14ac:dyDescent="0.3">
      <c r="A24" s="131" t="s">
        <v>20</v>
      </c>
      <c r="B24" s="131"/>
      <c r="C24" s="131"/>
      <c r="D24" s="131"/>
      <c r="E24" s="126" t="s">
        <v>21</v>
      </c>
      <c r="F24" s="126"/>
      <c r="G24" s="126"/>
      <c r="H24" s="126"/>
    </row>
    <row r="25" spans="1:8" ht="15.75" customHeight="1" x14ac:dyDescent="0.3">
      <c r="A25" s="131" t="s">
        <v>22</v>
      </c>
      <c r="B25" s="131"/>
      <c r="C25" s="131"/>
      <c r="D25" s="131"/>
      <c r="E25" s="126" t="str">
        <f>IF(AND(G17="Mumbai"),"Developed","Developing")</f>
        <v>Developed</v>
      </c>
      <c r="F25" s="126"/>
      <c r="G25" s="126"/>
      <c r="H25" s="126"/>
    </row>
    <row r="26" spans="1:8" x14ac:dyDescent="0.3">
      <c r="A26" s="131" t="s">
        <v>23</v>
      </c>
      <c r="B26" s="131"/>
      <c r="C26" s="131"/>
      <c r="D26" s="131"/>
      <c r="E26" s="126" t="s">
        <v>24</v>
      </c>
      <c r="F26" s="126"/>
      <c r="G26" s="126"/>
      <c r="H26" s="126"/>
    </row>
    <row r="27" spans="1:8" x14ac:dyDescent="0.3">
      <c r="A27" s="131" t="s">
        <v>120</v>
      </c>
      <c r="B27" s="131"/>
      <c r="C27" s="131"/>
      <c r="D27" s="131"/>
      <c r="E27" s="126" t="s">
        <v>121</v>
      </c>
      <c r="F27" s="126"/>
      <c r="G27" s="126"/>
      <c r="H27" s="126"/>
    </row>
    <row r="28" spans="1:8" ht="15" customHeight="1" x14ac:dyDescent="0.3">
      <c r="A28" s="126" t="s">
        <v>32</v>
      </c>
      <c r="B28" s="126"/>
      <c r="C28" s="126"/>
      <c r="D28" s="126"/>
      <c r="E28" s="156" t="s">
        <v>117</v>
      </c>
      <c r="F28" s="156"/>
      <c r="G28" s="156"/>
      <c r="H28" s="156"/>
    </row>
    <row r="29" spans="1:8" x14ac:dyDescent="0.3">
      <c r="A29" s="126" t="s">
        <v>134</v>
      </c>
      <c r="B29" s="126"/>
      <c r="C29" s="126"/>
      <c r="D29" s="126"/>
      <c r="E29" s="126" t="s">
        <v>33</v>
      </c>
      <c r="F29" s="126"/>
      <c r="G29" s="126"/>
      <c r="H29" s="126"/>
    </row>
    <row r="30" spans="1:8" s="57" customFormat="1" x14ac:dyDescent="0.3">
      <c r="A30" s="164" t="s">
        <v>135</v>
      </c>
      <c r="B30" s="164"/>
      <c r="C30" s="158" t="s">
        <v>244</v>
      </c>
      <c r="D30" s="158"/>
      <c r="E30" s="158"/>
      <c r="F30" s="163" t="s">
        <v>30</v>
      </c>
      <c r="G30" s="163"/>
      <c r="H30" s="163"/>
    </row>
    <row r="31" spans="1:8" s="57" customFormat="1" x14ac:dyDescent="0.3">
      <c r="A31" s="144" t="s">
        <v>25</v>
      </c>
      <c r="B31" s="144" t="s">
        <v>29</v>
      </c>
      <c r="C31" s="125" t="s">
        <v>248</v>
      </c>
      <c r="D31" s="125"/>
      <c r="E31" s="125"/>
      <c r="F31" s="125" t="s">
        <v>186</v>
      </c>
      <c r="G31" s="125"/>
      <c r="H31" s="125"/>
    </row>
    <row r="32" spans="1:8" x14ac:dyDescent="0.3">
      <c r="A32" s="144" t="s">
        <v>26</v>
      </c>
      <c r="B32" s="144" t="s">
        <v>29</v>
      </c>
      <c r="C32" s="125" t="s">
        <v>247</v>
      </c>
      <c r="D32" s="125"/>
      <c r="E32" s="125"/>
      <c r="F32" s="125" t="s">
        <v>185</v>
      </c>
      <c r="G32" s="125"/>
      <c r="H32" s="125"/>
    </row>
    <row r="33" spans="1:8" s="57" customFormat="1" x14ac:dyDescent="0.3">
      <c r="A33" s="144" t="s">
        <v>28</v>
      </c>
      <c r="B33" s="144" t="s">
        <v>29</v>
      </c>
      <c r="C33" s="125" t="s">
        <v>247</v>
      </c>
      <c r="D33" s="125"/>
      <c r="E33" s="125"/>
      <c r="F33" s="125" t="s">
        <v>187</v>
      </c>
      <c r="G33" s="125"/>
      <c r="H33" s="125"/>
    </row>
    <row r="34" spans="1:8" x14ac:dyDescent="0.3">
      <c r="A34" s="144" t="s">
        <v>27</v>
      </c>
      <c r="B34" s="144" t="s">
        <v>29</v>
      </c>
      <c r="C34" s="125" t="s">
        <v>247</v>
      </c>
      <c r="D34" s="125"/>
      <c r="E34" s="125"/>
      <c r="F34" s="125" t="s">
        <v>188</v>
      </c>
      <c r="G34" s="125"/>
      <c r="H34" s="125"/>
    </row>
    <row r="35" spans="1:8" x14ac:dyDescent="0.3">
      <c r="A35" s="131" t="s">
        <v>31</v>
      </c>
      <c r="B35" s="131"/>
      <c r="C35" s="131"/>
      <c r="D35" s="131"/>
      <c r="E35" s="131"/>
      <c r="F35" s="131"/>
      <c r="G35" s="131"/>
      <c r="H35" s="131"/>
    </row>
    <row r="36" spans="1:8" ht="15.75" customHeight="1" x14ac:dyDescent="0.3">
      <c r="A36" s="96" t="s">
        <v>238</v>
      </c>
      <c r="B36" s="96"/>
      <c r="C36" s="165" t="s">
        <v>255</v>
      </c>
      <c r="D36" s="165"/>
      <c r="E36" s="165"/>
      <c r="F36" s="165"/>
      <c r="G36" s="165"/>
      <c r="H36" s="165"/>
    </row>
    <row r="37" spans="1:8" ht="15.75" customHeight="1" x14ac:dyDescent="0.3">
      <c r="A37" s="96" t="s">
        <v>237</v>
      </c>
      <c r="B37" s="96"/>
      <c r="C37" s="97" t="s">
        <v>256</v>
      </c>
      <c r="D37" s="98"/>
      <c r="E37" s="98"/>
      <c r="F37" s="98"/>
      <c r="G37" s="98"/>
      <c r="H37" s="99"/>
    </row>
    <row r="38" spans="1:8" x14ac:dyDescent="0.3">
      <c r="A38" s="96" t="s">
        <v>34</v>
      </c>
      <c r="B38" s="96"/>
      <c r="C38" s="96"/>
      <c r="D38" s="96"/>
      <c r="E38" s="96"/>
      <c r="F38" s="96"/>
      <c r="G38" s="96"/>
      <c r="H38" s="96"/>
    </row>
    <row r="39" spans="1:8" x14ac:dyDescent="0.3">
      <c r="A39" s="131" t="s">
        <v>35</v>
      </c>
      <c r="B39" s="131"/>
      <c r="C39" s="131"/>
      <c r="D39" s="131"/>
      <c r="E39" s="157">
        <v>24444.59</v>
      </c>
      <c r="F39" s="157"/>
      <c r="G39" s="157"/>
      <c r="H39" s="157"/>
    </row>
    <row r="40" spans="1:8" x14ac:dyDescent="0.3">
      <c r="A40" s="131" t="s">
        <v>36</v>
      </c>
      <c r="B40" s="131"/>
      <c r="C40" s="131"/>
      <c r="D40" s="131"/>
      <c r="E40" s="142">
        <v>3</v>
      </c>
      <c r="F40" s="142"/>
      <c r="G40" s="142"/>
      <c r="H40" s="142"/>
    </row>
    <row r="41" spans="1:8" x14ac:dyDescent="0.3">
      <c r="A41" s="131" t="s">
        <v>37</v>
      </c>
      <c r="B41" s="131"/>
      <c r="C41" s="131"/>
      <c r="D41" s="131"/>
      <c r="E41" s="142">
        <f>E43/E39-E40</f>
        <v>0.39859330837620943</v>
      </c>
      <c r="F41" s="142"/>
      <c r="G41" s="142"/>
      <c r="H41" s="142"/>
    </row>
    <row r="42" spans="1:8" x14ac:dyDescent="0.3">
      <c r="A42" s="131" t="s">
        <v>38</v>
      </c>
      <c r="B42" s="131"/>
      <c r="C42" s="131"/>
      <c r="D42" s="131"/>
      <c r="E42" s="142">
        <f>E40+E41</f>
        <v>3.3985933083762094</v>
      </c>
      <c r="F42" s="142"/>
      <c r="G42" s="142"/>
      <c r="H42" s="142"/>
    </row>
    <row r="43" spans="1:8" x14ac:dyDescent="0.3">
      <c r="A43" s="131" t="s">
        <v>133</v>
      </c>
      <c r="B43" s="131"/>
      <c r="C43" s="131"/>
      <c r="D43" s="131"/>
      <c r="E43" s="143">
        <v>83077.22</v>
      </c>
      <c r="F43" s="143"/>
      <c r="G43" s="143"/>
      <c r="H43" s="143"/>
    </row>
    <row r="44" spans="1:8" x14ac:dyDescent="0.3">
      <c r="A44" s="132" t="s">
        <v>39</v>
      </c>
      <c r="B44" s="132"/>
      <c r="C44" s="132"/>
      <c r="D44" s="132"/>
      <c r="E44" s="128" t="s">
        <v>219</v>
      </c>
      <c r="F44" s="128"/>
      <c r="G44" s="128"/>
      <c r="H44" s="128"/>
    </row>
    <row r="45" spans="1:8" x14ac:dyDescent="0.3">
      <c r="A45" s="96" t="s">
        <v>40</v>
      </c>
      <c r="B45" s="96"/>
      <c r="C45" s="96"/>
      <c r="D45" s="96"/>
      <c r="E45" s="96"/>
      <c r="F45" s="96"/>
      <c r="G45" s="96"/>
      <c r="H45" s="96"/>
    </row>
    <row r="46" spans="1:8" x14ac:dyDescent="0.3">
      <c r="A46" s="126" t="s">
        <v>41</v>
      </c>
      <c r="B46" s="126"/>
      <c r="C46" s="127" t="s">
        <v>178</v>
      </c>
      <c r="D46" s="128"/>
      <c r="E46" s="128"/>
      <c r="F46" s="54" t="s">
        <v>42</v>
      </c>
      <c r="G46" s="141">
        <v>45461</v>
      </c>
      <c r="H46" s="141"/>
    </row>
    <row r="47" spans="1:8" x14ac:dyDescent="0.3">
      <c r="A47" s="132" t="s">
        <v>43</v>
      </c>
      <c r="B47" s="132"/>
      <c r="C47" s="127" t="str">
        <f>C46</f>
        <v>SRA/DDTP/633/KW/PL/AP</v>
      </c>
      <c r="D47" s="127"/>
      <c r="E47" s="127"/>
      <c r="F47" s="54" t="s">
        <v>42</v>
      </c>
      <c r="G47" s="141">
        <f>G46</f>
        <v>45461</v>
      </c>
      <c r="H47" s="141"/>
    </row>
    <row r="48" spans="1:8" s="59" customFormat="1" x14ac:dyDescent="0.3">
      <c r="A48" s="126" t="s">
        <v>44</v>
      </c>
      <c r="B48" s="126"/>
      <c r="C48" s="126" t="s">
        <v>178</v>
      </c>
      <c r="D48" s="132"/>
      <c r="E48" s="132"/>
      <c r="F48" s="58" t="s">
        <v>42</v>
      </c>
      <c r="G48" s="149">
        <v>45356</v>
      </c>
      <c r="H48" s="149"/>
    </row>
    <row r="49" spans="1:11" s="59" customFormat="1" ht="49.05" customHeight="1" x14ac:dyDescent="0.3">
      <c r="A49" s="126"/>
      <c r="B49" s="126"/>
      <c r="C49" s="151" t="s">
        <v>243</v>
      </c>
      <c r="D49" s="152"/>
      <c r="E49" s="152"/>
      <c r="F49" s="152"/>
      <c r="G49" s="152"/>
      <c r="H49" s="153"/>
    </row>
    <row r="50" spans="1:11" x14ac:dyDescent="0.3">
      <c r="A50" s="137" t="s">
        <v>45</v>
      </c>
      <c r="B50" s="137"/>
      <c r="C50" s="137" t="s">
        <v>150</v>
      </c>
      <c r="D50" s="138"/>
      <c r="E50" s="138" t="s">
        <v>46</v>
      </c>
      <c r="F50" s="53" t="s">
        <v>42</v>
      </c>
      <c r="G50" s="150" t="s">
        <v>29</v>
      </c>
      <c r="H50" s="150"/>
    </row>
    <row r="51" spans="1:11" x14ac:dyDescent="0.3">
      <c r="A51" s="140" t="s">
        <v>48</v>
      </c>
      <c r="B51" s="140"/>
      <c r="C51" s="140"/>
      <c r="D51" s="140"/>
      <c r="E51" s="140"/>
      <c r="F51" s="140"/>
      <c r="G51" s="140"/>
      <c r="H51" s="140"/>
    </row>
    <row r="52" spans="1:11" x14ac:dyDescent="0.3">
      <c r="A52" s="139" t="s">
        <v>132</v>
      </c>
      <c r="B52" s="139"/>
      <c r="C52" s="139"/>
      <c r="D52" s="128">
        <v>20584.189999999999</v>
      </c>
      <c r="E52" s="128"/>
      <c r="F52" s="128"/>
      <c r="G52" s="128"/>
      <c r="H52" s="128"/>
    </row>
    <row r="53" spans="1:11" x14ac:dyDescent="0.3">
      <c r="A53" s="126" t="s">
        <v>49</v>
      </c>
      <c r="B53" s="132"/>
      <c r="C53" s="132"/>
      <c r="D53" s="132" t="s">
        <v>266</v>
      </c>
      <c r="E53" s="132"/>
      <c r="F53" s="132"/>
      <c r="G53" s="132"/>
      <c r="H53" s="132"/>
    </row>
    <row r="54" spans="1:11" ht="32.25" customHeight="1" x14ac:dyDescent="0.3">
      <c r="A54" s="126" t="s">
        <v>50</v>
      </c>
      <c r="B54" s="132"/>
      <c r="C54" s="132"/>
      <c r="D54" s="127" t="s">
        <v>258</v>
      </c>
      <c r="E54" s="127"/>
      <c r="F54" s="127"/>
      <c r="G54" s="127"/>
      <c r="H54" s="127"/>
    </row>
    <row r="55" spans="1:11" ht="32.25" customHeight="1" x14ac:dyDescent="0.3">
      <c r="A55" s="126" t="s">
        <v>130</v>
      </c>
      <c r="B55" s="132"/>
      <c r="C55" s="132"/>
      <c r="D55" s="126" t="s">
        <v>258</v>
      </c>
      <c r="E55" s="126"/>
      <c r="F55" s="126"/>
      <c r="G55" s="126"/>
      <c r="H55" s="126"/>
    </row>
    <row r="56" spans="1:11" ht="15.75" customHeight="1" x14ac:dyDescent="0.3">
      <c r="A56" s="131" t="s">
        <v>47</v>
      </c>
      <c r="B56" s="131"/>
      <c r="C56" s="131"/>
      <c r="D56" s="139" t="s">
        <v>242</v>
      </c>
      <c r="E56" s="139"/>
      <c r="F56" s="139"/>
      <c r="G56" s="139"/>
      <c r="H56" s="139"/>
    </row>
    <row r="57" spans="1:11" ht="15.75" customHeight="1" x14ac:dyDescent="0.3">
      <c r="A57" s="131" t="s">
        <v>127</v>
      </c>
      <c r="B57" s="131"/>
      <c r="C57" s="131"/>
      <c r="D57" s="139" t="s">
        <v>128</v>
      </c>
      <c r="E57" s="139"/>
      <c r="F57" s="139"/>
      <c r="G57" s="139"/>
      <c r="H57" s="139"/>
    </row>
    <row r="58" spans="1:11" ht="15.75" customHeight="1" x14ac:dyDescent="0.3">
      <c r="A58" s="131" t="s">
        <v>129</v>
      </c>
      <c r="B58" s="131"/>
      <c r="C58" s="131"/>
      <c r="D58" s="139" t="s">
        <v>24</v>
      </c>
      <c r="E58" s="139"/>
      <c r="F58" s="139"/>
      <c r="G58" s="139"/>
      <c r="H58" s="139"/>
      <c r="J58" s="16"/>
      <c r="K58" s="16"/>
    </row>
    <row r="59" spans="1:11" ht="15.75" customHeight="1" thickBot="1" x14ac:dyDescent="0.35">
      <c r="A59" s="154" t="s">
        <v>126</v>
      </c>
      <c r="B59" s="154"/>
      <c r="C59" s="154"/>
      <c r="D59" s="155" t="s">
        <v>226</v>
      </c>
      <c r="E59" s="155"/>
      <c r="F59" s="155"/>
      <c r="G59" s="155"/>
      <c r="H59" s="155"/>
      <c r="J59" s="16"/>
      <c r="K59" s="16"/>
    </row>
    <row r="60" spans="1:11" customFormat="1" x14ac:dyDescent="0.3">
      <c r="A60" s="178" t="s">
        <v>206</v>
      </c>
      <c r="B60" s="179"/>
      <c r="C60" s="145" t="str">
        <f>D55</f>
        <v>Tower 2 (A &amp; B Wing) = 2B + Gr. (P1) + P2 to P6 + 7th to 35th Floor</v>
      </c>
      <c r="D60" s="146"/>
      <c r="E60" s="146"/>
      <c r="F60" s="146"/>
      <c r="G60" s="146"/>
      <c r="H60" s="147"/>
      <c r="I60" s="13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Excavation work Completed. Plinth work completed, RCC Slab, Brickwork, Internal Plaster upto 33 Floor, External Plaster upto 33 Floor, Flooring upto 26 Floor Completed</v>
      </c>
      <c r="J60" s="14"/>
    </row>
    <row r="61" spans="1:11" customFormat="1" x14ac:dyDescent="0.3">
      <c r="A61" s="51" t="s">
        <v>220</v>
      </c>
      <c r="B61" s="40">
        <v>2</v>
      </c>
      <c r="C61" s="40" t="s">
        <v>107</v>
      </c>
      <c r="D61" s="40">
        <v>1</v>
      </c>
      <c r="E61" s="40" t="s">
        <v>106</v>
      </c>
      <c r="F61" s="40">
        <v>0</v>
      </c>
      <c r="G61" s="40" t="s">
        <v>119</v>
      </c>
      <c r="H61" s="50">
        <f ca="1">--TRIM(RIGHT(SUBSTITUTE(LEFT(C60,_xlfn.AGGREGATE(16,6,FIND({0,1,2,3,4,5,6,7,8,9},C60,ROW(INDIRECT("1:"&amp;LEN(C60)))),1))," ",REPT(" ",LEN(C60))),LEN(C60)))</f>
        <v>35</v>
      </c>
      <c r="I61" s="16"/>
      <c r="J61" s="17"/>
    </row>
    <row r="62" spans="1:11" customFormat="1" ht="49.5" customHeight="1" x14ac:dyDescent="0.3">
      <c r="A62" s="138" t="s">
        <v>131</v>
      </c>
      <c r="B62" s="138"/>
      <c r="C62" s="137" t="str">
        <f ca="1">I60</f>
        <v>Excavation work Completed. Plinth work completed, RCC Slab, Brickwork, Internal Plaster upto 33 Floor, External Plaster upto 33 Floor, Flooring upto 26 Floor Completed</v>
      </c>
      <c r="D62" s="137"/>
      <c r="E62" s="137"/>
      <c r="F62" s="137"/>
      <c r="G62" s="137"/>
      <c r="H62" s="137"/>
      <c r="I62" s="16" t="s">
        <v>149</v>
      </c>
      <c r="J62" s="17"/>
    </row>
    <row r="63" spans="1:11" customFormat="1" x14ac:dyDescent="0.3">
      <c r="A63" s="148" t="s">
        <v>51</v>
      </c>
      <c r="B63" s="148"/>
      <c r="C63" s="84" t="s">
        <v>207</v>
      </c>
      <c r="D63" s="84" t="s">
        <v>123</v>
      </c>
      <c r="E63" s="148" t="s">
        <v>125</v>
      </c>
      <c r="F63" s="148"/>
      <c r="G63" s="148" t="s">
        <v>124</v>
      </c>
      <c r="H63" s="148"/>
      <c r="I63" s="49" t="s">
        <v>221</v>
      </c>
      <c r="J63" s="19">
        <f ca="1">H61*25%</f>
        <v>8.75</v>
      </c>
    </row>
    <row r="64" spans="1:11" customFormat="1" x14ac:dyDescent="0.3">
      <c r="A64" s="148" t="s">
        <v>208</v>
      </c>
      <c r="B64" s="148"/>
      <c r="C64" s="60">
        <f ca="1">J65</f>
        <v>35</v>
      </c>
      <c r="D64" s="85">
        <f ca="1">((100/H61)*C64)/100</f>
        <v>1</v>
      </c>
      <c r="E64" s="180">
        <f ca="1">(((C65/H61*10)+(40/(D61+F61+H61)*C66)+(7.5/(H61)*C67)+(7.5/(H61)*C68)+(10/H61*C69)+(10/H61*C70)+(5/H61*C71)+(5/H61*C72)+(5/H61*C73))/100)</f>
        <v>0.81428571428571428</v>
      </c>
      <c r="F64" s="180"/>
      <c r="G64" s="180">
        <f ca="1">((((C64/H61)*20)+((C65/H61)*25)+(30/(H61+F61+D61)*C66)+(5/H61*C67)+(5/H61*C68)+(5/H61*C69)+(5/H61*C70)+(0/H61*C71)+(0/H61*C72)+(5/H61*C73))/100)</f>
        <v>0.93142857142857127</v>
      </c>
      <c r="H64" s="180"/>
      <c r="I64" s="49" t="s">
        <v>141</v>
      </c>
      <c r="J64" s="61">
        <f ca="1">H61*50%</f>
        <v>17.5</v>
      </c>
    </row>
    <row r="65" spans="1:14" customFormat="1" x14ac:dyDescent="0.3">
      <c r="A65" s="148" t="s">
        <v>52</v>
      </c>
      <c r="B65" s="148"/>
      <c r="C65" s="62">
        <f ca="1">J73</f>
        <v>35</v>
      </c>
      <c r="D65" s="85">
        <f ca="1">((100/H61)*C65)/100</f>
        <v>1</v>
      </c>
      <c r="E65" s="180"/>
      <c r="F65" s="180"/>
      <c r="G65" s="180"/>
      <c r="H65" s="180"/>
      <c r="I65" s="49" t="s">
        <v>142</v>
      </c>
      <c r="J65" s="61">
        <f ca="1">H61</f>
        <v>35</v>
      </c>
    </row>
    <row r="66" spans="1:14" customFormat="1" x14ac:dyDescent="0.3">
      <c r="A66" s="148" t="s">
        <v>209</v>
      </c>
      <c r="B66" s="148"/>
      <c r="C66" s="62">
        <v>36</v>
      </c>
      <c r="D66" s="85">
        <f ca="1">((100/(D61+F61+H61))*C66)/100</f>
        <v>1</v>
      </c>
      <c r="E66" s="180"/>
      <c r="F66" s="180"/>
      <c r="G66" s="180"/>
      <c r="H66" s="180"/>
      <c r="I66" s="49" t="s">
        <v>143</v>
      </c>
      <c r="J66" s="63">
        <f ca="1">(IF(B61&gt;1,(H61/(B61+2)),H61/4))</f>
        <v>8.75</v>
      </c>
      <c r="L66" s="64"/>
    </row>
    <row r="67" spans="1:14" customFormat="1" ht="15.75" customHeight="1" x14ac:dyDescent="0.3">
      <c r="A67" s="148" t="s">
        <v>210</v>
      </c>
      <c r="B67" s="148" t="s">
        <v>211</v>
      </c>
      <c r="C67" s="62">
        <f>C66-1</f>
        <v>35</v>
      </c>
      <c r="D67" s="85">
        <f ca="1">((100/H61)*C67)/100</f>
        <v>1</v>
      </c>
      <c r="E67" s="180"/>
      <c r="F67" s="180"/>
      <c r="G67" s="180"/>
      <c r="H67" s="180"/>
      <c r="I67" s="49" t="s">
        <v>144</v>
      </c>
      <c r="J67" s="63">
        <f ca="1">(IF(B61&gt;1,(H61/(B61+2)+J66),H61/4+J66))</f>
        <v>17.5</v>
      </c>
      <c r="L67" s="64"/>
    </row>
    <row r="68" spans="1:14" customFormat="1" ht="15.75" customHeight="1" x14ac:dyDescent="0.3">
      <c r="A68" s="148" t="s">
        <v>212</v>
      </c>
      <c r="B68" s="148" t="s">
        <v>211</v>
      </c>
      <c r="C68" s="62">
        <v>33</v>
      </c>
      <c r="D68" s="85">
        <f ca="1">((100/H61)*C68)/100</f>
        <v>0.94285714285714295</v>
      </c>
      <c r="E68" s="180"/>
      <c r="F68" s="180"/>
      <c r="G68" s="180"/>
      <c r="H68" s="180"/>
      <c r="I68" s="49" t="s">
        <v>222</v>
      </c>
      <c r="J68" s="63">
        <f ca="1">(IF(B61&gt;1,(H61/(B61+2)+J67),0))</f>
        <v>26.25</v>
      </c>
      <c r="L68" s="65"/>
      <c r="N68" s="64"/>
    </row>
    <row r="69" spans="1:14" customFormat="1" ht="15.75" customHeight="1" x14ac:dyDescent="0.3">
      <c r="A69" s="148" t="s">
        <v>213</v>
      </c>
      <c r="B69" s="148" t="s">
        <v>214</v>
      </c>
      <c r="C69" s="62">
        <v>33</v>
      </c>
      <c r="D69" s="85">
        <f ca="1">((100/(H61))*C69)/100</f>
        <v>0.94285714285714295</v>
      </c>
      <c r="E69" s="180"/>
      <c r="F69" s="180"/>
      <c r="G69" s="180"/>
      <c r="H69" s="180"/>
      <c r="I69" s="49" t="s">
        <v>223</v>
      </c>
      <c r="J69" s="63">
        <f>(IF(B61&gt;2,(H61/(B61+2)+J68),0))</f>
        <v>0</v>
      </c>
      <c r="K69" s="66"/>
      <c r="L69" s="65"/>
    </row>
    <row r="70" spans="1:14" customFormat="1" ht="15.75" customHeight="1" x14ac:dyDescent="0.3">
      <c r="A70" s="148" t="s">
        <v>215</v>
      </c>
      <c r="B70" s="148" t="s">
        <v>215</v>
      </c>
      <c r="C70" s="60">
        <v>26</v>
      </c>
      <c r="D70" s="85">
        <f ca="1">((100/H61)*C70)/100</f>
        <v>0.74285714285714288</v>
      </c>
      <c r="E70" s="180"/>
      <c r="F70" s="180"/>
      <c r="G70" s="180"/>
      <c r="H70" s="180"/>
      <c r="I70" s="49" t="s">
        <v>224</v>
      </c>
      <c r="J70" s="67">
        <f>(IF(B61&gt;3,(H61/(B61+2)+J69),0))</f>
        <v>0</v>
      </c>
      <c r="K70" s="66"/>
      <c r="L70" s="65"/>
    </row>
    <row r="71" spans="1:14" customFormat="1" ht="15.75" customHeight="1" x14ac:dyDescent="0.3">
      <c r="A71" s="148" t="s">
        <v>216</v>
      </c>
      <c r="B71" s="148"/>
      <c r="C71" s="60">
        <v>0</v>
      </c>
      <c r="D71" s="85">
        <f ca="1">((100/H61)*C71)/100</f>
        <v>0</v>
      </c>
      <c r="E71" s="180"/>
      <c r="F71" s="180"/>
      <c r="G71" s="180"/>
      <c r="H71" s="180"/>
      <c r="I71" s="49" t="s">
        <v>225</v>
      </c>
      <c r="J71" s="63">
        <f>(IF(B61&gt;4,(H61/(B61+2)+J70),0))</f>
        <v>0</v>
      </c>
      <c r="K71" s="64"/>
      <c r="L71" s="65"/>
    </row>
    <row r="72" spans="1:14" customFormat="1" ht="15.75" customHeight="1" x14ac:dyDescent="0.3">
      <c r="A72" s="148" t="s">
        <v>217</v>
      </c>
      <c r="B72" s="148" t="s">
        <v>217</v>
      </c>
      <c r="C72" s="60">
        <v>0</v>
      </c>
      <c r="D72" s="85">
        <f ca="1">((100/(H61))*C72)/100</f>
        <v>0</v>
      </c>
      <c r="E72" s="180"/>
      <c r="F72" s="180"/>
      <c r="G72" s="180"/>
      <c r="H72" s="180"/>
      <c r="I72" s="49" t="s">
        <v>145</v>
      </c>
      <c r="J72" s="63">
        <f>(IF(B61=1,(H61/(B61+3)+J67),IF(B61=0,(H61/4+J67),IF(B61&gt;1,0))))</f>
        <v>0</v>
      </c>
      <c r="K72" s="66"/>
      <c r="L72" s="65"/>
    </row>
    <row r="73" spans="1:14" customFormat="1" ht="16.2" thickBot="1" x14ac:dyDescent="0.35">
      <c r="A73" s="148" t="s">
        <v>218</v>
      </c>
      <c r="B73" s="148"/>
      <c r="C73" s="60">
        <v>0</v>
      </c>
      <c r="D73" s="85">
        <f ca="1">((100/(H61))*C73)/100</f>
        <v>0</v>
      </c>
      <c r="E73" s="180"/>
      <c r="F73" s="180"/>
      <c r="G73" s="180"/>
      <c r="H73" s="180"/>
      <c r="I73" s="52" t="s">
        <v>146</v>
      </c>
      <c r="J73" s="68">
        <f ca="1">(IF(B61&gt;1.5,(H61/(B61+2)+J67+MAX(0,J68-J67)+MAX(0,J69-J68)+MAX(0,J70-J69)+MAX(0,J71-J70)+MAX(0,J72-J71)),IF(B61=1,(H61/(B61+3)+J72),IF(B61=0,H61/4+J72))))</f>
        <v>35</v>
      </c>
      <c r="K73" s="66"/>
      <c r="L73" s="65"/>
    </row>
    <row r="74" spans="1:14" x14ac:dyDescent="0.3">
      <c r="A74" s="175" t="s">
        <v>165</v>
      </c>
      <c r="B74" s="176"/>
      <c r="C74" s="176"/>
      <c r="D74" s="176"/>
      <c r="E74" s="177"/>
      <c r="F74" s="175" t="s">
        <v>227</v>
      </c>
      <c r="G74" s="176"/>
      <c r="H74" s="177"/>
    </row>
    <row r="75" spans="1:14" x14ac:dyDescent="0.3">
      <c r="A75" s="131" t="s">
        <v>58</v>
      </c>
      <c r="B75" s="131"/>
      <c r="C75" s="131"/>
      <c r="D75" s="131"/>
      <c r="E75" s="131"/>
      <c r="F75" s="131"/>
      <c r="G75" s="131"/>
      <c r="H75" s="131"/>
    </row>
    <row r="76" spans="1:14" ht="15" customHeight="1" x14ac:dyDescent="0.3">
      <c r="A76" s="138" t="s">
        <v>110</v>
      </c>
      <c r="B76" s="138"/>
      <c r="C76" s="137" t="s">
        <v>111</v>
      </c>
      <c r="D76" s="137"/>
      <c r="E76" s="137"/>
      <c r="F76" s="137"/>
      <c r="G76" s="137"/>
      <c r="H76" s="137"/>
    </row>
    <row r="77" spans="1:14" x14ac:dyDescent="0.3">
      <c r="A77" s="96" t="s">
        <v>59</v>
      </c>
      <c r="B77" s="96"/>
      <c r="C77" s="96"/>
      <c r="D77" s="96"/>
      <c r="E77" s="96"/>
      <c r="F77" s="96"/>
      <c r="G77" s="96"/>
      <c r="H77" s="96"/>
    </row>
    <row r="78" spans="1:14" x14ac:dyDescent="0.3">
      <c r="A78" s="131" t="s">
        <v>112</v>
      </c>
      <c r="B78" s="131"/>
      <c r="C78" s="131"/>
      <c r="D78" s="131"/>
      <c r="E78" s="131"/>
      <c r="F78" s="138">
        <v>25000</v>
      </c>
      <c r="G78" s="138"/>
      <c r="H78" s="138"/>
      <c r="I78" s="79" t="s">
        <v>234</v>
      </c>
      <c r="J78" s="79" t="s">
        <v>235</v>
      </c>
      <c r="K78" s="79" t="s">
        <v>236</v>
      </c>
      <c r="L78" s="80">
        <v>44923</v>
      </c>
    </row>
    <row r="79" spans="1:14" x14ac:dyDescent="0.3">
      <c r="A79" s="131" t="s">
        <v>118</v>
      </c>
      <c r="B79" s="131"/>
      <c r="C79" s="131"/>
      <c r="D79" s="131"/>
      <c r="E79" s="131"/>
      <c r="F79" s="132">
        <v>30000</v>
      </c>
      <c r="G79" s="132"/>
      <c r="H79" s="132"/>
      <c r="I79" s="79" t="s">
        <v>267</v>
      </c>
      <c r="J79" s="79" t="s">
        <v>268</v>
      </c>
      <c r="K79" s="79" t="s">
        <v>269</v>
      </c>
      <c r="L79" s="80">
        <v>45565</v>
      </c>
    </row>
    <row r="80" spans="1:14" s="69" customFormat="1" hidden="1" x14ac:dyDescent="0.25">
      <c r="A80" s="131" t="s">
        <v>136</v>
      </c>
      <c r="B80" s="131"/>
      <c r="C80" s="131"/>
      <c r="D80" s="131"/>
      <c r="E80" s="131"/>
      <c r="F80" s="132" t="s">
        <v>29</v>
      </c>
      <c r="G80" s="132"/>
      <c r="H80" s="132"/>
    </row>
    <row r="81" spans="1:9" s="69" customFormat="1" x14ac:dyDescent="0.25">
      <c r="A81" s="131" t="s">
        <v>229</v>
      </c>
      <c r="B81" s="131"/>
      <c r="C81" s="131"/>
      <c r="D81" s="131"/>
      <c r="E81" s="131"/>
      <c r="F81" s="132" t="s">
        <v>228</v>
      </c>
      <c r="G81" s="132"/>
      <c r="H81" s="132"/>
    </row>
    <row r="82" spans="1:9" s="69" customFormat="1" hidden="1" x14ac:dyDescent="0.25">
      <c r="A82" s="131" t="s">
        <v>137</v>
      </c>
      <c r="B82" s="131"/>
      <c r="C82" s="131"/>
      <c r="D82" s="131"/>
      <c r="E82" s="131"/>
      <c r="F82" s="132" t="s">
        <v>29</v>
      </c>
      <c r="G82" s="132"/>
      <c r="H82" s="132"/>
    </row>
    <row r="83" spans="1:9" s="69" customFormat="1" hidden="1" x14ac:dyDescent="0.25">
      <c r="A83" s="131" t="s">
        <v>138</v>
      </c>
      <c r="B83" s="131"/>
      <c r="C83" s="131"/>
      <c r="D83" s="131"/>
      <c r="E83" s="131"/>
      <c r="F83" s="132" t="s">
        <v>29</v>
      </c>
      <c r="G83" s="132"/>
      <c r="H83" s="132"/>
    </row>
    <row r="84" spans="1:9" s="69" customFormat="1" hidden="1" x14ac:dyDescent="0.25">
      <c r="A84" s="131" t="s">
        <v>139</v>
      </c>
      <c r="B84" s="131"/>
      <c r="C84" s="131"/>
      <c r="D84" s="131"/>
      <c r="E84" s="131"/>
      <c r="F84" s="132" t="s">
        <v>29</v>
      </c>
      <c r="G84" s="132"/>
      <c r="H84" s="132"/>
    </row>
    <row r="85" spans="1:9" s="69" customFormat="1" x14ac:dyDescent="0.25">
      <c r="A85" s="131" t="s">
        <v>191</v>
      </c>
      <c r="B85" s="131"/>
      <c r="C85" s="131"/>
      <c r="D85" s="131"/>
      <c r="E85" s="131"/>
      <c r="F85" s="132" t="s">
        <v>192</v>
      </c>
      <c r="G85" s="132"/>
      <c r="H85" s="132"/>
    </row>
    <row r="86" spans="1:9" s="69" customFormat="1" hidden="1" x14ac:dyDescent="0.25">
      <c r="A86" s="131" t="s">
        <v>140</v>
      </c>
      <c r="B86" s="131"/>
      <c r="C86" s="131"/>
      <c r="D86" s="131"/>
      <c r="E86" s="131"/>
      <c r="F86" s="132" t="s">
        <v>29</v>
      </c>
      <c r="G86" s="132"/>
      <c r="H86" s="132"/>
    </row>
    <row r="87" spans="1:9" s="69" customFormat="1" x14ac:dyDescent="0.25">
      <c r="A87" s="131" t="s">
        <v>205</v>
      </c>
      <c r="B87" s="131"/>
      <c r="C87" s="131"/>
      <c r="D87" s="131"/>
      <c r="E87" s="131"/>
      <c r="F87" s="132" t="s">
        <v>271</v>
      </c>
      <c r="G87" s="132"/>
      <c r="H87" s="132"/>
    </row>
    <row r="88" spans="1:9" x14ac:dyDescent="0.3">
      <c r="A88" s="131" t="s">
        <v>60</v>
      </c>
      <c r="B88" s="131"/>
      <c r="C88" s="131"/>
      <c r="D88" s="131"/>
      <c r="E88" s="131"/>
      <c r="F88" s="126" t="s">
        <v>270</v>
      </c>
      <c r="G88" s="126"/>
      <c r="H88" s="126"/>
    </row>
    <row r="89" spans="1:9" s="70" customFormat="1" x14ac:dyDescent="0.3">
      <c r="A89" s="96" t="s">
        <v>61</v>
      </c>
      <c r="B89" s="96"/>
      <c r="C89" s="96"/>
      <c r="D89" s="96"/>
      <c r="E89" s="96"/>
      <c r="F89" s="132">
        <f>F78*0.8</f>
        <v>20000</v>
      </c>
      <c r="G89" s="132"/>
      <c r="H89" s="132"/>
    </row>
    <row r="90" spans="1:9" s="71" customFormat="1" x14ac:dyDescent="0.3">
      <c r="A90" s="121" t="s">
        <v>203</v>
      </c>
      <c r="B90" s="121"/>
      <c r="C90" s="121"/>
      <c r="D90" s="121"/>
      <c r="E90" s="121"/>
      <c r="F90" s="121"/>
      <c r="G90" s="121"/>
      <c r="H90" s="121"/>
    </row>
    <row r="91" spans="1:9" s="71" customFormat="1" ht="15.75" customHeight="1" x14ac:dyDescent="0.3">
      <c r="A91" s="129" t="s">
        <v>62</v>
      </c>
      <c r="B91" s="129"/>
      <c r="C91" s="100" t="s">
        <v>115</v>
      </c>
      <c r="D91" s="100"/>
      <c r="E91" s="133" t="s">
        <v>63</v>
      </c>
      <c r="F91" s="133"/>
      <c r="G91" s="129" t="s">
        <v>64</v>
      </c>
      <c r="H91" s="129"/>
    </row>
    <row r="92" spans="1:9" s="71" customFormat="1" x14ac:dyDescent="0.3">
      <c r="A92" s="134" t="s">
        <v>194</v>
      </c>
      <c r="B92" s="134"/>
      <c r="C92" s="120">
        <f>COUNT(D106:D114)</f>
        <v>9</v>
      </c>
      <c r="D92" s="135"/>
      <c r="E92" s="136">
        <f>SUM(D106:D114)</f>
        <v>10313.84952</v>
      </c>
      <c r="F92" s="136"/>
      <c r="G92" s="136">
        <f>SUM(F106:F114)</f>
        <v>16502.159232000002</v>
      </c>
      <c r="H92" s="136"/>
    </row>
    <row r="93" spans="1:9" s="71" customFormat="1" x14ac:dyDescent="0.3">
      <c r="A93" s="121" t="s">
        <v>105</v>
      </c>
      <c r="B93" s="121"/>
      <c r="C93" s="121"/>
      <c r="D93" s="121"/>
      <c r="E93" s="121"/>
      <c r="F93" s="121"/>
      <c r="G93" s="121"/>
      <c r="H93" s="121"/>
    </row>
    <row r="94" spans="1:9" s="71" customFormat="1" ht="15.75" customHeight="1" x14ac:dyDescent="0.3">
      <c r="A94" s="129" t="s">
        <v>62</v>
      </c>
      <c r="B94" s="129"/>
      <c r="C94" s="100" t="s">
        <v>115</v>
      </c>
      <c r="D94" s="100"/>
      <c r="E94" s="133" t="s">
        <v>63</v>
      </c>
      <c r="F94" s="133"/>
      <c r="G94" s="129" t="s">
        <v>64</v>
      </c>
      <c r="H94" s="129"/>
    </row>
    <row r="95" spans="1:9" s="71" customFormat="1" x14ac:dyDescent="0.3">
      <c r="A95" s="134" t="s">
        <v>198</v>
      </c>
      <c r="B95" s="134"/>
      <c r="C95" s="120">
        <f>COUNT(D117:D121)*2+COUNT(D123:D127)+COUNT(D129:D133)+COUNT(D135:D139)*8+COUNT(D143:D144)+COUNT(D153:D157)*13+COUNT(D165:D169)*3+COUNT(D161:D163)+COUNT(D149:D150)*2</f>
        <v>141</v>
      </c>
      <c r="D95" s="120"/>
      <c r="E95" s="120">
        <f>SUM(D117:D121)*2+SUM(D123:D127)+SUM(D129:D133)+SUM(D135:D139)*8+SUM(D143:D144)+SUM(D153:D157)*13+SUM(D165:D169)*3+SUM(D161:D163)+SUM(D149:D150)*2</f>
        <v>91896.573599999974</v>
      </c>
      <c r="F95" s="120"/>
      <c r="G95" s="120">
        <f>SUM(F117:F121)*2+SUM(F123:F127)+SUM(F129:F133)+SUM(F135:F139)*8+SUM(F143:F144)+SUM(F153:F157)*13+SUM(F165:F169)*3+SUM(F161:F163)+SUM(F149:F150)*2</f>
        <v>147034.51775999999</v>
      </c>
      <c r="H95" s="120"/>
      <c r="I95" s="71">
        <f>2*3+3+3+8*5+2+2*2+12*5+3+3*5</f>
        <v>136</v>
      </c>
    </row>
    <row r="96" spans="1:9" s="71" customFormat="1" x14ac:dyDescent="0.3">
      <c r="A96" s="134" t="s">
        <v>200</v>
      </c>
      <c r="B96" s="134"/>
      <c r="C96" s="120">
        <f>COUNT(D172:D175)*2+COUNT(D179:D182)+COUNT(D186:D189)+COUNT(D193:D198)*8+COUNT(D200:D205)+COUNT(D207:D212)*13+COUNT(D214:D219)*2+COUNT(D221:D226)+COUNT(D228:D233)*3</f>
        <v>184</v>
      </c>
      <c r="D96" s="120"/>
      <c r="E96" s="120">
        <f>SUM(D172:D175)*2+SUM(D179:D182)+SUM(D186:D189)+SUM(D193:D198)*8+SUM(D200:D205)+SUM(D207:D212)*13+SUM(D214:D219)*2+SUM(D221:D226)+SUM(D228:D233)*3</f>
        <v>94721.612310000011</v>
      </c>
      <c r="F96" s="120"/>
      <c r="G96" s="120">
        <f>SUM(F172:F175)*2+SUM(F179:F182)+SUM(F186:F189)+SUM(F193:F198)*8+SUM(F200:F205)+SUM(F207:F212)*13+SUM(F214:F219)*2+SUM(F221:F226)+SUM(F228:F233)*3</f>
        <v>151554.579696</v>
      </c>
      <c r="H96" s="120"/>
      <c r="I96" s="71">
        <f>2*4+4+4+8*6+6+12*6+2*6+6+3*6</f>
        <v>178</v>
      </c>
    </row>
    <row r="97" spans="1:21" s="71" customFormat="1" x14ac:dyDescent="0.3">
      <c r="A97" s="121" t="s">
        <v>66</v>
      </c>
      <c r="B97" s="121"/>
      <c r="C97" s="100">
        <f>SUM(C95:D96)</f>
        <v>325</v>
      </c>
      <c r="D97" s="100"/>
      <c r="E97" s="101">
        <f>SUM(E95:F96)</f>
        <v>186618.18591</v>
      </c>
      <c r="F97" s="101"/>
      <c r="G97" s="101">
        <f>SUM(G95:H96)</f>
        <v>298589.09745599999</v>
      </c>
      <c r="H97" s="101"/>
    </row>
    <row r="98" spans="1:21" s="70" customFormat="1" x14ac:dyDescent="0.3">
      <c r="A98" s="130" t="s">
        <v>67</v>
      </c>
      <c r="B98" s="130"/>
      <c r="C98" s="130"/>
      <c r="D98" s="130"/>
      <c r="E98" s="130"/>
      <c r="F98" s="130"/>
      <c r="G98" s="130"/>
      <c r="H98" s="130"/>
    </row>
    <row r="99" spans="1:21" x14ac:dyDescent="0.3">
      <c r="A99" s="130" t="s">
        <v>68</v>
      </c>
      <c r="B99" s="130"/>
      <c r="C99" s="130"/>
      <c r="D99" s="130"/>
      <c r="E99" s="130"/>
      <c r="F99" s="130"/>
      <c r="G99" s="130"/>
      <c r="H99" s="130"/>
    </row>
    <row r="100" spans="1:21" ht="47.25" customHeight="1" x14ac:dyDescent="0.3">
      <c r="A100" s="102" t="s">
        <v>168</v>
      </c>
      <c r="B100" s="102" t="s">
        <v>169</v>
      </c>
      <c r="C100" s="112" t="s">
        <v>69</v>
      </c>
      <c r="D100" s="112" t="s">
        <v>70</v>
      </c>
      <c r="E100" s="108" t="s">
        <v>71</v>
      </c>
      <c r="F100" s="55" t="s">
        <v>166</v>
      </c>
      <c r="G100" s="102" t="s">
        <v>72</v>
      </c>
      <c r="H100" s="110"/>
      <c r="I100" s="72"/>
    </row>
    <row r="101" spans="1:21" s="73" customFormat="1" x14ac:dyDescent="0.3">
      <c r="A101" s="103"/>
      <c r="B101" s="103"/>
      <c r="C101" s="113"/>
      <c r="D101" s="113"/>
      <c r="E101" s="109"/>
      <c r="F101" s="39">
        <v>0.6</v>
      </c>
      <c r="G101" s="103"/>
      <c r="H101" s="111"/>
      <c r="I101" s="72"/>
    </row>
    <row r="102" spans="1:21" s="73" customFormat="1" x14ac:dyDescent="0.3">
      <c r="A102" s="105" t="s">
        <v>190</v>
      </c>
      <c r="B102" s="106"/>
      <c r="C102" s="106"/>
      <c r="D102" s="106"/>
      <c r="E102" s="106"/>
      <c r="F102" s="106"/>
      <c r="G102" s="106"/>
      <c r="H102" s="107"/>
    </row>
    <row r="103" spans="1:21" s="73" customFormat="1" x14ac:dyDescent="0.3">
      <c r="A103" s="105" t="s">
        <v>197</v>
      </c>
      <c r="B103" s="106"/>
      <c r="C103" s="106"/>
      <c r="D103" s="106"/>
      <c r="E103" s="106"/>
      <c r="F103" s="106"/>
      <c r="G103" s="106"/>
      <c r="H103" s="107"/>
    </row>
    <row r="104" spans="1:21" s="73" customFormat="1" x14ac:dyDescent="0.3">
      <c r="A104" s="104" t="s">
        <v>230</v>
      </c>
      <c r="B104" s="104"/>
      <c r="C104" s="104"/>
      <c r="D104" s="104"/>
      <c r="E104" s="104"/>
      <c r="F104" s="104"/>
      <c r="G104" s="104"/>
      <c r="H104" s="104"/>
    </row>
    <row r="105" spans="1:21" s="73" customFormat="1" x14ac:dyDescent="0.3">
      <c r="A105" s="104" t="s">
        <v>259</v>
      </c>
      <c r="B105" s="104"/>
      <c r="C105" s="104"/>
      <c r="D105" s="104"/>
      <c r="E105" s="104"/>
      <c r="F105" s="104"/>
      <c r="G105" s="104"/>
      <c r="H105" s="104"/>
    </row>
    <row r="106" spans="1:21" s="73" customFormat="1" ht="33" customHeight="1" x14ac:dyDescent="0.3">
      <c r="A106" s="93">
        <v>1</v>
      </c>
      <c r="B106" s="93"/>
      <c r="C106" s="56" t="s">
        <v>231</v>
      </c>
      <c r="D106" s="56">
        <f>(64.54+58.21)*10.764</f>
        <v>1321.2809999999999</v>
      </c>
      <c r="E106" s="56">
        <v>0</v>
      </c>
      <c r="F106" s="56">
        <f t="shared" ref="F106:F108" si="0">D106*(($F$101)+1)+E106</f>
        <v>2114.0495999999998</v>
      </c>
      <c r="G106" s="93" t="s">
        <v>196</v>
      </c>
      <c r="H106" s="93"/>
      <c r="I106" s="72"/>
      <c r="S106" s="92"/>
      <c r="T106" s="92"/>
      <c r="U106" s="72"/>
    </row>
    <row r="107" spans="1:21" s="73" customFormat="1" ht="33" customHeight="1" x14ac:dyDescent="0.3">
      <c r="A107" s="93">
        <f>A106+1</f>
        <v>2</v>
      </c>
      <c r="B107" s="93"/>
      <c r="C107" s="56" t="s">
        <v>231</v>
      </c>
      <c r="D107" s="56">
        <f>(39.56+34.69)*10.764</f>
        <v>799.22699999999998</v>
      </c>
      <c r="E107" s="56">
        <v>0</v>
      </c>
      <c r="F107" s="56">
        <f t="shared" si="0"/>
        <v>1278.7632000000001</v>
      </c>
      <c r="G107" s="93" t="str">
        <f t="shared" ref="G107:G112" si="1">G106</f>
        <v>P1 + P2 + P3 Level Floor</v>
      </c>
      <c r="H107" s="93"/>
      <c r="I107" s="72"/>
      <c r="S107" s="92"/>
      <c r="T107" s="92"/>
      <c r="U107" s="72"/>
    </row>
    <row r="108" spans="1:21" s="73" customFormat="1" ht="33" customHeight="1" x14ac:dyDescent="0.3">
      <c r="A108" s="93">
        <f t="shared" ref="A108:A114" si="2">A107+1</f>
        <v>3</v>
      </c>
      <c r="B108" s="93"/>
      <c r="C108" s="56" t="s">
        <v>231</v>
      </c>
      <c r="D108" s="56">
        <f>(34.94+28.87)*10.764</f>
        <v>686.85083999999995</v>
      </c>
      <c r="E108" s="56">
        <v>0</v>
      </c>
      <c r="F108" s="56">
        <f t="shared" si="0"/>
        <v>1098.9613440000001</v>
      </c>
      <c r="G108" s="93" t="str">
        <f t="shared" si="1"/>
        <v>P1 + P2 + P3 Level Floor</v>
      </c>
      <c r="H108" s="93"/>
      <c r="I108" s="72"/>
      <c r="S108" s="92"/>
      <c r="T108" s="92"/>
      <c r="U108" s="72"/>
    </row>
    <row r="109" spans="1:21" s="73" customFormat="1" ht="33" customHeight="1" x14ac:dyDescent="0.3">
      <c r="A109" s="93">
        <f t="shared" si="2"/>
        <v>4</v>
      </c>
      <c r="B109" s="93"/>
      <c r="C109" s="56" t="s">
        <v>231</v>
      </c>
      <c r="D109" s="56">
        <f>(39.14+34.55)*10.764</f>
        <v>793.19915999999989</v>
      </c>
      <c r="E109" s="56">
        <v>0</v>
      </c>
      <c r="F109" s="56">
        <f>D109*(($F$101)+1)+E109</f>
        <v>1269.1186559999999</v>
      </c>
      <c r="G109" s="93" t="str">
        <f t="shared" si="1"/>
        <v>P1 + P2 + P3 Level Floor</v>
      </c>
      <c r="H109" s="93"/>
      <c r="I109" s="72"/>
      <c r="S109" s="92"/>
      <c r="T109" s="92"/>
      <c r="U109" s="72"/>
    </row>
    <row r="110" spans="1:21" s="73" customFormat="1" ht="33" customHeight="1" x14ac:dyDescent="0.3">
      <c r="A110" s="93">
        <f t="shared" si="2"/>
        <v>5</v>
      </c>
      <c r="B110" s="93"/>
      <c r="C110" s="56" t="s">
        <v>231</v>
      </c>
      <c r="D110" s="56">
        <f>(39.65+35.89)*10.764</f>
        <v>813.11255999999992</v>
      </c>
      <c r="E110" s="56">
        <v>0</v>
      </c>
      <c r="F110" s="56">
        <f>D110*(($F$101)+1)+E110</f>
        <v>1300.980096</v>
      </c>
      <c r="G110" s="93" t="str">
        <f t="shared" si="1"/>
        <v>P1 + P2 + P3 Level Floor</v>
      </c>
      <c r="H110" s="93"/>
      <c r="I110" s="72"/>
      <c r="S110" s="92"/>
      <c r="T110" s="92"/>
      <c r="U110" s="72"/>
    </row>
    <row r="111" spans="1:21" s="73" customFormat="1" ht="33" customHeight="1" x14ac:dyDescent="0.3">
      <c r="A111" s="93">
        <f t="shared" si="2"/>
        <v>6</v>
      </c>
      <c r="B111" s="93"/>
      <c r="C111" s="56" t="s">
        <v>231</v>
      </c>
      <c r="D111" s="56">
        <f>(39.65+34.26)*10.764</f>
        <v>795.56723999999997</v>
      </c>
      <c r="E111" s="56">
        <v>0</v>
      </c>
      <c r="F111" s="56">
        <f>D111*(($F$101)+1)+E111</f>
        <v>1272.907584</v>
      </c>
      <c r="G111" s="93" t="str">
        <f t="shared" si="1"/>
        <v>P1 + P2 + P3 Level Floor</v>
      </c>
      <c r="H111" s="93"/>
      <c r="I111" s="72"/>
      <c r="S111" s="92"/>
      <c r="T111" s="92"/>
      <c r="U111" s="72"/>
    </row>
    <row r="112" spans="1:21" s="73" customFormat="1" ht="33" customHeight="1" x14ac:dyDescent="0.3">
      <c r="A112" s="114">
        <f t="shared" si="2"/>
        <v>7</v>
      </c>
      <c r="B112" s="116"/>
      <c r="C112" s="56" t="s">
        <v>231</v>
      </c>
      <c r="D112" s="56">
        <f>(66.31+127.15)*10.764</f>
        <v>2082.40344</v>
      </c>
      <c r="E112" s="56">
        <v>0</v>
      </c>
      <c r="F112" s="56">
        <f t="shared" ref="F112:F113" si="3">D112*(($F$101)+1)+E112</f>
        <v>3331.8455040000003</v>
      </c>
      <c r="G112" s="114" t="str">
        <f t="shared" si="1"/>
        <v>P1 + P2 + P3 Level Floor</v>
      </c>
      <c r="H112" s="116"/>
      <c r="I112" s="72"/>
      <c r="S112" s="92"/>
      <c r="T112" s="92"/>
      <c r="U112" s="72"/>
    </row>
    <row r="113" spans="1:22" s="73" customFormat="1" ht="15.75" customHeight="1" x14ac:dyDescent="0.3">
      <c r="A113" s="114">
        <f t="shared" si="2"/>
        <v>8</v>
      </c>
      <c r="B113" s="116"/>
      <c r="C113" s="56" t="s">
        <v>194</v>
      </c>
      <c r="D113" s="56">
        <f>63.89*10.764</f>
        <v>687.71195999999998</v>
      </c>
      <c r="E113" s="56">
        <v>0</v>
      </c>
      <c r="F113" s="56">
        <f t="shared" si="3"/>
        <v>1100.3391360000001</v>
      </c>
      <c r="G113" s="86" t="s">
        <v>195</v>
      </c>
      <c r="H113" s="87"/>
      <c r="I113" s="72"/>
      <c r="S113" s="92"/>
      <c r="T113" s="92"/>
      <c r="U113" s="72"/>
    </row>
    <row r="114" spans="1:22" s="73" customFormat="1" ht="15.75" customHeight="1" x14ac:dyDescent="0.3">
      <c r="A114" s="114">
        <f t="shared" si="2"/>
        <v>9</v>
      </c>
      <c r="B114" s="116"/>
      <c r="C114" s="56" t="s">
        <v>194</v>
      </c>
      <c r="D114" s="56">
        <f>(111.79+105.09)*10.764</f>
        <v>2334.4963199999997</v>
      </c>
      <c r="E114" s="56">
        <v>0</v>
      </c>
      <c r="F114" s="56">
        <f>D114*(($F$101)+1)+E114</f>
        <v>3735.1941119999997</v>
      </c>
      <c r="G114" s="90"/>
      <c r="H114" s="91"/>
      <c r="I114" s="72"/>
      <c r="S114" s="92"/>
      <c r="T114" s="92"/>
      <c r="U114" s="72"/>
    </row>
    <row r="115" spans="1:22" s="73" customFormat="1" x14ac:dyDescent="0.3">
      <c r="A115" s="105" t="s">
        <v>198</v>
      </c>
      <c r="B115" s="106"/>
      <c r="C115" s="106"/>
      <c r="D115" s="106"/>
      <c r="E115" s="106"/>
      <c r="F115" s="106"/>
      <c r="G115" s="106"/>
      <c r="H115" s="107"/>
      <c r="I115" s="72"/>
      <c r="U115" s="72"/>
    </row>
    <row r="116" spans="1:22" s="73" customFormat="1" x14ac:dyDescent="0.3">
      <c r="A116" s="105" t="s">
        <v>199</v>
      </c>
      <c r="B116" s="106"/>
      <c r="C116" s="106"/>
      <c r="D116" s="106"/>
      <c r="E116" s="106"/>
      <c r="F116" s="106"/>
      <c r="G116" s="106"/>
      <c r="H116" s="107"/>
      <c r="I116" s="72"/>
      <c r="S116" s="92"/>
      <c r="T116" s="92"/>
      <c r="V116" s="73" t="str">
        <f>LEFT(A116,SUM(LEN(A116)-LEN(SUBSTITUTE(A116,{"0","1","2","3","4","5","6","7","8","9"},""))))</f>
        <v>4t</v>
      </c>
    </row>
    <row r="117" spans="1:22" s="73" customFormat="1" ht="15.75" customHeight="1" x14ac:dyDescent="0.3">
      <c r="A117" s="93">
        <v>1</v>
      </c>
      <c r="B117" s="93"/>
      <c r="C117" s="56" t="s">
        <v>181</v>
      </c>
      <c r="D117" s="56">
        <f>58.18*10.764</f>
        <v>626.24951999999996</v>
      </c>
      <c r="E117" s="56">
        <v>0</v>
      </c>
      <c r="F117" s="56">
        <f>D117*(($F$101)+1)+E117</f>
        <v>1001.999232</v>
      </c>
      <c r="G117" s="86" t="str">
        <f>A116</f>
        <v>4th &amp; 5th Podium Floor for Residential &amp; Parking</v>
      </c>
      <c r="H117" s="87"/>
      <c r="I117" s="72"/>
      <c r="S117" s="92">
        <f t="shared" ref="S117:S121" ca="1" si="4">V117</f>
        <v>401</v>
      </c>
      <c r="T117" s="92"/>
      <c r="U117" s="72">
        <v>1</v>
      </c>
      <c r="V117" s="73">
        <f ca="1">(SUMPRODUCT(MID(0&amp;V116, LARGE(INDEX(ISNUMBER(--MID(V116, ROW(INDIRECT("1:"&amp;LEN(V116))), 1)) * ROW(INDIRECT("1:"&amp;LEN(V116))), 0), ROW(INDIRECT("1:"&amp;LEN(V116))))+1, 1) * 10^ROW(INDIRECT("1:"&amp;LEN(V116)))/10))*U117*100+1</f>
        <v>401</v>
      </c>
    </row>
    <row r="118" spans="1:22" s="73" customFormat="1" ht="15.75" customHeight="1" x14ac:dyDescent="0.3">
      <c r="A118" s="93">
        <v>2</v>
      </c>
      <c r="B118" s="93"/>
      <c r="C118" s="56" t="s">
        <v>181</v>
      </c>
      <c r="D118" s="56">
        <f>58.18*10.764</f>
        <v>626.24951999999996</v>
      </c>
      <c r="E118" s="56">
        <v>0</v>
      </c>
      <c r="F118" s="56">
        <f>D118*(($F$101)+1)+E118</f>
        <v>1001.999232</v>
      </c>
      <c r="G118" s="88"/>
      <c r="H118" s="89"/>
      <c r="I118" s="72"/>
      <c r="S118" s="92">
        <f t="shared" ca="1" si="4"/>
        <v>402</v>
      </c>
      <c r="T118" s="92"/>
      <c r="U118" s="72">
        <f>U117+1</f>
        <v>2</v>
      </c>
      <c r="V118" s="73">
        <f ca="1">V117+1</f>
        <v>402</v>
      </c>
    </row>
    <row r="119" spans="1:22" s="73" customFormat="1" ht="15.75" customHeight="1" x14ac:dyDescent="0.3">
      <c r="A119" s="93">
        <v>3</v>
      </c>
      <c r="B119" s="93"/>
      <c r="C119" s="86" t="s">
        <v>260</v>
      </c>
      <c r="D119" s="94"/>
      <c r="E119" s="94"/>
      <c r="F119" s="87"/>
      <c r="G119" s="88"/>
      <c r="H119" s="89"/>
      <c r="I119" s="72"/>
      <c r="S119" s="92">
        <f t="shared" ref="S119:S120" ca="1" si="5">V119</f>
        <v>403</v>
      </c>
      <c r="T119" s="92"/>
      <c r="U119" s="72">
        <f t="shared" ref="U119:U120" si="6">U118+1</f>
        <v>3</v>
      </c>
      <c r="V119" s="73">
        <f t="shared" ref="V119:V120" ca="1" si="7">V118+1</f>
        <v>403</v>
      </c>
    </row>
    <row r="120" spans="1:22" s="73" customFormat="1" ht="15.75" customHeight="1" x14ac:dyDescent="0.3">
      <c r="A120" s="93">
        <v>4</v>
      </c>
      <c r="B120" s="93"/>
      <c r="C120" s="90"/>
      <c r="D120" s="95"/>
      <c r="E120" s="95"/>
      <c r="F120" s="91"/>
      <c r="G120" s="88"/>
      <c r="H120" s="89"/>
      <c r="I120" s="72"/>
      <c r="S120" s="92">
        <f t="shared" ca="1" si="5"/>
        <v>404</v>
      </c>
      <c r="T120" s="92"/>
      <c r="U120" s="72">
        <f t="shared" si="6"/>
        <v>4</v>
      </c>
      <c r="V120" s="73">
        <f t="shared" ca="1" si="7"/>
        <v>404</v>
      </c>
    </row>
    <row r="121" spans="1:22" s="73" customFormat="1" ht="15.75" customHeight="1" x14ac:dyDescent="0.3">
      <c r="A121" s="93">
        <v>5</v>
      </c>
      <c r="B121" s="93"/>
      <c r="C121" s="56" t="s">
        <v>261</v>
      </c>
      <c r="D121" s="56">
        <f>45.55*10.764</f>
        <v>490.30019999999996</v>
      </c>
      <c r="E121" s="56">
        <v>0</v>
      </c>
      <c r="F121" s="56">
        <f>D121*(($F$101)+1)+E121</f>
        <v>784.48032000000001</v>
      </c>
      <c r="G121" s="90"/>
      <c r="H121" s="91"/>
      <c r="I121" s="72"/>
      <c r="S121" s="92">
        <f t="shared" ca="1" si="4"/>
        <v>403</v>
      </c>
      <c r="T121" s="92"/>
      <c r="U121" s="72">
        <f>U118+1</f>
        <v>3</v>
      </c>
      <c r="V121" s="73">
        <f ca="1">V118+1</f>
        <v>403</v>
      </c>
    </row>
    <row r="122" spans="1:22" s="73" customFormat="1" ht="15.75" customHeight="1" x14ac:dyDescent="0.3">
      <c r="A122" s="105" t="s">
        <v>263</v>
      </c>
      <c r="B122" s="106"/>
      <c r="C122" s="106"/>
      <c r="D122" s="106"/>
      <c r="E122" s="106"/>
      <c r="F122" s="106"/>
      <c r="G122" s="106"/>
      <c r="H122" s="107"/>
      <c r="I122" s="72"/>
      <c r="S122" s="92"/>
      <c r="T122" s="92"/>
      <c r="V122" s="73" t="str">
        <f>LEFT(A122,SUM(LEN(A122)-LEN(SUBSTITUTE(A122,{"0","1","2","3","4","5","6","7","8","9"},""))))</f>
        <v>6</v>
      </c>
    </row>
    <row r="123" spans="1:22" s="73" customFormat="1" ht="15.75" customHeight="1" x14ac:dyDescent="0.3">
      <c r="A123" s="93">
        <v>1</v>
      </c>
      <c r="B123" s="93"/>
      <c r="C123" s="56" t="s">
        <v>181</v>
      </c>
      <c r="D123" s="56">
        <f>58.18*10.764</f>
        <v>626.24951999999996</v>
      </c>
      <c r="E123" s="56">
        <v>0</v>
      </c>
      <c r="F123" s="56">
        <f t="shared" ref="F123:F127" si="8">D123*(($F$101)+1)+E123</f>
        <v>1001.999232</v>
      </c>
      <c r="G123" s="86" t="str">
        <f>A122</f>
        <v>6th Podium Floor for Residential &amp; Entrance Lobby (ECO Deck Floor)</v>
      </c>
      <c r="H123" s="87"/>
      <c r="I123" s="72"/>
      <c r="S123" s="92">
        <f t="shared" ref="S123:S127" ca="1" si="9">V123</f>
        <v>601</v>
      </c>
      <c r="T123" s="92"/>
      <c r="U123" s="72">
        <v>1</v>
      </c>
      <c r="V123" s="73">
        <f ca="1">(SUMPRODUCT(MID(0&amp;V122, LARGE(INDEX(ISNUMBER(--MID(V122, ROW(INDIRECT("1:"&amp;LEN(V122))), 1)) * ROW(INDIRECT("1:"&amp;LEN(V122))), 0), ROW(INDIRECT("1:"&amp;LEN(V122))))+1, 1) * 10^ROW(INDIRECT("1:"&amp;LEN(V122)))/10))*U123*100+1</f>
        <v>601</v>
      </c>
    </row>
    <row r="124" spans="1:22" s="73" customFormat="1" ht="15.75" customHeight="1" x14ac:dyDescent="0.3">
      <c r="A124" s="93">
        <v>2</v>
      </c>
      <c r="B124" s="93"/>
      <c r="C124" s="56" t="s">
        <v>181</v>
      </c>
      <c r="D124" s="56">
        <f>58.18*10.764</f>
        <v>626.24951999999996</v>
      </c>
      <c r="E124" s="56">
        <v>0</v>
      </c>
      <c r="F124" s="56">
        <f t="shared" si="8"/>
        <v>1001.999232</v>
      </c>
      <c r="G124" s="88"/>
      <c r="H124" s="89"/>
      <c r="I124" s="72"/>
      <c r="S124" s="92">
        <f t="shared" ca="1" si="9"/>
        <v>602</v>
      </c>
      <c r="T124" s="92"/>
      <c r="U124" s="72">
        <f>U123+1</f>
        <v>2</v>
      </c>
      <c r="V124" s="73">
        <f ca="1">V123+1</f>
        <v>602</v>
      </c>
    </row>
    <row r="125" spans="1:22" s="73" customFormat="1" ht="15.75" customHeight="1" x14ac:dyDescent="0.3">
      <c r="A125" s="93">
        <v>3</v>
      </c>
      <c r="B125" s="93"/>
      <c r="C125" s="86" t="s">
        <v>262</v>
      </c>
      <c r="D125" s="94"/>
      <c r="E125" s="94"/>
      <c r="F125" s="87"/>
      <c r="G125" s="88"/>
      <c r="H125" s="89"/>
      <c r="I125" s="72"/>
      <c r="S125" s="92">
        <f t="shared" ca="1" si="9"/>
        <v>603</v>
      </c>
      <c r="T125" s="92"/>
      <c r="U125" s="72">
        <f t="shared" ref="U125:U126" si="10">U124+1</f>
        <v>3</v>
      </c>
      <c r="V125" s="73">
        <f t="shared" ref="V125:V126" ca="1" si="11">V124+1</f>
        <v>603</v>
      </c>
    </row>
    <row r="126" spans="1:22" s="73" customFormat="1" ht="15.75" customHeight="1" x14ac:dyDescent="0.3">
      <c r="A126" s="93">
        <v>4</v>
      </c>
      <c r="B126" s="93"/>
      <c r="C126" s="90"/>
      <c r="D126" s="95"/>
      <c r="E126" s="95"/>
      <c r="F126" s="91"/>
      <c r="G126" s="88"/>
      <c r="H126" s="89"/>
      <c r="I126" s="72"/>
      <c r="S126" s="92">
        <f t="shared" ca="1" si="9"/>
        <v>604</v>
      </c>
      <c r="T126" s="92"/>
      <c r="U126" s="72">
        <f t="shared" si="10"/>
        <v>4</v>
      </c>
      <c r="V126" s="73">
        <f t="shared" ca="1" si="11"/>
        <v>604</v>
      </c>
    </row>
    <row r="127" spans="1:22" s="73" customFormat="1" ht="15.75" customHeight="1" x14ac:dyDescent="0.3">
      <c r="A127" s="93">
        <v>5</v>
      </c>
      <c r="B127" s="93"/>
      <c r="C127" s="56" t="s">
        <v>261</v>
      </c>
      <c r="D127" s="56">
        <f>45.55*10.764</f>
        <v>490.30019999999996</v>
      </c>
      <c r="E127" s="56">
        <v>0</v>
      </c>
      <c r="F127" s="56">
        <f t="shared" si="8"/>
        <v>784.48032000000001</v>
      </c>
      <c r="G127" s="90"/>
      <c r="H127" s="91"/>
      <c r="I127" s="72"/>
      <c r="S127" s="92">
        <f t="shared" ca="1" si="9"/>
        <v>603</v>
      </c>
      <c r="T127" s="92"/>
      <c r="U127" s="72">
        <f>U124+1</f>
        <v>3</v>
      </c>
      <c r="V127" s="73">
        <f ca="1">V124+1</f>
        <v>603</v>
      </c>
    </row>
    <row r="128" spans="1:22" s="73" customFormat="1" ht="15.75" customHeight="1" x14ac:dyDescent="0.3">
      <c r="A128" s="105" t="s">
        <v>202</v>
      </c>
      <c r="B128" s="106"/>
      <c r="C128" s="106"/>
      <c r="D128" s="106"/>
      <c r="E128" s="106"/>
      <c r="F128" s="106"/>
      <c r="G128" s="106"/>
      <c r="H128" s="107"/>
      <c r="I128" s="72"/>
      <c r="S128" s="92"/>
      <c r="T128" s="92"/>
      <c r="V128" s="73" t="str">
        <f>LEFT(A128,SUM(LEN(A128)-LEN(SUBSTITUTE(A128,{"0","1","2","3","4","5","6","7","8","9"},""))))</f>
        <v>7</v>
      </c>
    </row>
    <row r="129" spans="1:23" s="73" customFormat="1" ht="15.75" customHeight="1" x14ac:dyDescent="0.3">
      <c r="A129" s="93">
        <v>1</v>
      </c>
      <c r="B129" s="93"/>
      <c r="C129" s="56" t="s">
        <v>181</v>
      </c>
      <c r="D129" s="56">
        <f>58.18*10.764</f>
        <v>626.24951999999996</v>
      </c>
      <c r="E129" s="56">
        <v>0</v>
      </c>
      <c r="F129" s="56">
        <f t="shared" ref="F129:F133" si="12">D129*(($F$101)+1)+E129</f>
        <v>1001.999232</v>
      </c>
      <c r="G129" s="86" t="str">
        <f>A128</f>
        <v>7th Floor for Residential &amp; Below Entrance Lobby</v>
      </c>
      <c r="H129" s="87"/>
      <c r="I129" s="72"/>
      <c r="S129" s="92">
        <f t="shared" ref="S129:S133" ca="1" si="13">V129</f>
        <v>701</v>
      </c>
      <c r="T129" s="92"/>
      <c r="U129" s="72">
        <v>1</v>
      </c>
      <c r="V129" s="73">
        <f ca="1">(SUMPRODUCT(MID(0&amp;V128, LARGE(INDEX(ISNUMBER(--MID(V128, ROW(INDIRECT("1:"&amp;LEN(V128))), 1)) * ROW(INDIRECT("1:"&amp;LEN(V128))), 0), ROW(INDIRECT("1:"&amp;LEN(V128))))+1, 1) * 10^ROW(INDIRECT("1:"&amp;LEN(V128)))/10))*U129*100+1</f>
        <v>701</v>
      </c>
    </row>
    <row r="130" spans="1:23" s="73" customFormat="1" ht="15.75" customHeight="1" x14ac:dyDescent="0.3">
      <c r="A130" s="93">
        <v>2</v>
      </c>
      <c r="B130" s="93"/>
      <c r="C130" s="56" t="s">
        <v>181</v>
      </c>
      <c r="D130" s="56">
        <f>58.18*10.764</f>
        <v>626.24951999999996</v>
      </c>
      <c r="E130" s="56">
        <v>0</v>
      </c>
      <c r="F130" s="56">
        <f t="shared" si="12"/>
        <v>1001.999232</v>
      </c>
      <c r="G130" s="88"/>
      <c r="H130" s="89"/>
      <c r="I130" s="72"/>
      <c r="S130" s="92">
        <f t="shared" ca="1" si="13"/>
        <v>702</v>
      </c>
      <c r="T130" s="92"/>
      <c r="U130" s="72">
        <f>U129+1</f>
        <v>2</v>
      </c>
      <c r="V130" s="73">
        <f ca="1">V129+1</f>
        <v>702</v>
      </c>
    </row>
    <row r="131" spans="1:23" s="73" customFormat="1" ht="15.75" customHeight="1" x14ac:dyDescent="0.3">
      <c r="A131" s="93">
        <v>3</v>
      </c>
      <c r="B131" s="93"/>
      <c r="C131" s="86" t="s">
        <v>262</v>
      </c>
      <c r="D131" s="94"/>
      <c r="E131" s="94"/>
      <c r="F131" s="87"/>
      <c r="G131" s="88"/>
      <c r="H131" s="89"/>
      <c r="I131" s="72"/>
      <c r="S131" s="92">
        <f t="shared" ca="1" si="13"/>
        <v>703</v>
      </c>
      <c r="T131" s="92"/>
      <c r="U131" s="72">
        <f t="shared" ref="U131:U132" si="14">U130+1</f>
        <v>3</v>
      </c>
      <c r="V131" s="73">
        <f t="shared" ref="V131:V132" ca="1" si="15">V130+1</f>
        <v>703</v>
      </c>
    </row>
    <row r="132" spans="1:23" s="73" customFormat="1" ht="15.75" customHeight="1" x14ac:dyDescent="0.3">
      <c r="A132" s="93">
        <v>4</v>
      </c>
      <c r="B132" s="93"/>
      <c r="C132" s="90"/>
      <c r="D132" s="95"/>
      <c r="E132" s="95"/>
      <c r="F132" s="91"/>
      <c r="G132" s="88"/>
      <c r="H132" s="89"/>
      <c r="I132" s="72"/>
      <c r="S132" s="92">
        <f t="shared" ca="1" si="13"/>
        <v>704</v>
      </c>
      <c r="T132" s="92"/>
      <c r="U132" s="72">
        <f t="shared" si="14"/>
        <v>4</v>
      </c>
      <c r="V132" s="73">
        <f t="shared" ca="1" si="15"/>
        <v>704</v>
      </c>
    </row>
    <row r="133" spans="1:23" s="73" customFormat="1" ht="15.75" customHeight="1" x14ac:dyDescent="0.3">
      <c r="A133" s="93">
        <v>5</v>
      </c>
      <c r="B133" s="93"/>
      <c r="C133" s="56" t="s">
        <v>261</v>
      </c>
      <c r="D133" s="56">
        <f>45.55*10.764</f>
        <v>490.30019999999996</v>
      </c>
      <c r="E133" s="56">
        <v>0</v>
      </c>
      <c r="F133" s="56">
        <f t="shared" si="12"/>
        <v>784.48032000000001</v>
      </c>
      <c r="G133" s="90"/>
      <c r="H133" s="91"/>
      <c r="I133" s="72"/>
      <c r="S133" s="92">
        <f t="shared" ca="1" si="13"/>
        <v>703</v>
      </c>
      <c r="T133" s="92"/>
      <c r="U133" s="72">
        <f>U130+1</f>
        <v>3</v>
      </c>
      <c r="V133" s="73">
        <f ca="1">V130+1</f>
        <v>703</v>
      </c>
    </row>
    <row r="134" spans="1:23" s="73" customFormat="1" ht="15.75" customHeight="1" x14ac:dyDescent="0.3">
      <c r="A134" s="105" t="s">
        <v>232</v>
      </c>
      <c r="B134" s="106"/>
      <c r="C134" s="106"/>
      <c r="D134" s="106"/>
      <c r="E134" s="106"/>
      <c r="F134" s="106"/>
      <c r="G134" s="106"/>
      <c r="H134" s="107"/>
      <c r="I134" s="72">
        <f>2+6</f>
        <v>8</v>
      </c>
      <c r="S134" s="92" t="s">
        <v>167</v>
      </c>
      <c r="T134" s="92"/>
      <c r="V134" s="73" t="str">
        <f>LEFT(A134,SUM(LEN(A134)-LEN(SUBSTITUTE(A134,{"0","1"},""))))</f>
        <v>8th</v>
      </c>
      <c r="W134" s="73">
        <f ca="1">--TRIM(RIGHT(SUBSTITUTE(LEFT(A134,_xlfn.AGGREGATE(16,6,FIND({0,1,2,3,4,5,6,7,8,9},A134,ROW(INDIRECT("1:"&amp;LEN(A134)))),1))," ",REPT(" ",LEN(A134))),LEN(A134)))</f>
        <v>16</v>
      </c>
    </row>
    <row r="135" spans="1:23" s="73" customFormat="1" ht="15.75" customHeight="1" x14ac:dyDescent="0.3">
      <c r="A135" s="93">
        <v>1</v>
      </c>
      <c r="B135" s="93"/>
      <c r="C135" s="56" t="s">
        <v>181</v>
      </c>
      <c r="D135" s="56">
        <f>58.18*10.764</f>
        <v>626.24951999999996</v>
      </c>
      <c r="E135" s="56">
        <v>0</v>
      </c>
      <c r="F135" s="56">
        <f t="shared" ref="F135:F139" si="16">D135*(($F$101)+1)+E135</f>
        <v>1001.999232</v>
      </c>
      <c r="G135" s="86" t="str">
        <f>A134</f>
        <v>8th, 9th, 11th to 16th Floor</v>
      </c>
      <c r="H135" s="87"/>
      <c r="I135" s="72"/>
      <c r="S135" s="92" t="str">
        <f ca="1">V135&amp;""&amp;$S$206&amp;""&amp;W135</f>
        <v>801,..,1601</v>
      </c>
      <c r="T135" s="92"/>
      <c r="U135" s="72">
        <v>1</v>
      </c>
      <c r="V135" s="73">
        <f ca="1">(SUMPRODUCT(MID(0&amp;V134, LARGE(INDEX(ISNUMBER(--MID(V134, ROW(INDIRECT("1:"&amp;LEN(V134))), 1)) * ROW(INDIRECT("1:"&amp;LEN(V134))), 0), ROW(INDIRECT("1:"&amp;LEN(V134))))+1, 1) * 10^ROW(INDIRECT("1:"&amp;LEN(V134)))/10))*U135*100+1</f>
        <v>801</v>
      </c>
      <c r="W135" s="73">
        <f ca="1">(SUMPRODUCT(MID(0&amp;W134, LARGE(INDEX(ISNUMBER(--MID(W134, ROW(INDIRECT("1:"&amp;LEN(W134))), 1)) * ROW(INDIRECT("1:"&amp;LEN(W134))), 0), ROW(INDIRECT("1:"&amp;LEN(W134))))+1, 1) * 10^ROW(INDIRECT("1:"&amp;LEN(W134)))/10))*U135*100+1</f>
        <v>1601</v>
      </c>
    </row>
    <row r="136" spans="1:23" s="73" customFormat="1" ht="15.75" customHeight="1" x14ac:dyDescent="0.3">
      <c r="A136" s="93">
        <v>2</v>
      </c>
      <c r="B136" s="93"/>
      <c r="C136" s="56" t="s">
        <v>181</v>
      </c>
      <c r="D136" s="56">
        <f>58.18*10.764</f>
        <v>626.24951999999996</v>
      </c>
      <c r="E136" s="56">
        <v>0</v>
      </c>
      <c r="F136" s="56">
        <f t="shared" si="16"/>
        <v>1001.999232</v>
      </c>
      <c r="G136" s="88"/>
      <c r="H136" s="89"/>
      <c r="I136" s="72"/>
      <c r="S136" s="92" t="str">
        <f ca="1">V136&amp;""&amp;$S$206&amp;""&amp;W136</f>
        <v>802,..,1602</v>
      </c>
      <c r="T136" s="92"/>
      <c r="U136" s="72">
        <f t="shared" ref="U136:W136" si="17">U135+1</f>
        <v>2</v>
      </c>
      <c r="V136" s="73">
        <f t="shared" ca="1" si="17"/>
        <v>802</v>
      </c>
      <c r="W136" s="73">
        <f t="shared" ca="1" si="17"/>
        <v>1602</v>
      </c>
    </row>
    <row r="137" spans="1:23" s="73" customFormat="1" ht="15.75" customHeight="1" x14ac:dyDescent="0.3">
      <c r="A137" s="93">
        <v>3</v>
      </c>
      <c r="B137" s="93"/>
      <c r="C137" s="56" t="s">
        <v>181</v>
      </c>
      <c r="D137" s="56">
        <f>58.22*10.764</f>
        <v>626.68007999999998</v>
      </c>
      <c r="E137" s="56">
        <v>0</v>
      </c>
      <c r="F137" s="56">
        <f t="shared" ref="F137:F138" si="18">D137*(($F$101)+1)+E137</f>
        <v>1002.688128</v>
      </c>
      <c r="G137" s="88"/>
      <c r="H137" s="89"/>
      <c r="I137" s="72"/>
      <c r="S137" s="92" t="str">
        <f ca="1">V137&amp;""&amp;$S$206&amp;""&amp;W137</f>
        <v>803,..,1603</v>
      </c>
      <c r="T137" s="92"/>
      <c r="U137" s="72">
        <f t="shared" ref="U137:W137" si="19">U136+1</f>
        <v>3</v>
      </c>
      <c r="V137" s="73">
        <f t="shared" ca="1" si="19"/>
        <v>803</v>
      </c>
      <c r="W137" s="73">
        <f t="shared" ca="1" si="19"/>
        <v>1603</v>
      </c>
    </row>
    <row r="138" spans="1:23" s="73" customFormat="1" ht="15.75" customHeight="1" x14ac:dyDescent="0.3">
      <c r="A138" s="93">
        <v>4</v>
      </c>
      <c r="B138" s="93"/>
      <c r="C138" s="56" t="s">
        <v>158</v>
      </c>
      <c r="D138" s="56">
        <f>76.8*10.764</f>
        <v>826.6751999999999</v>
      </c>
      <c r="E138" s="56">
        <v>0</v>
      </c>
      <c r="F138" s="56">
        <f t="shared" si="18"/>
        <v>1322.6803199999999</v>
      </c>
      <c r="G138" s="88"/>
      <c r="H138" s="89"/>
      <c r="I138" s="72"/>
      <c r="S138" s="92" t="str">
        <f ca="1">V138&amp;""&amp;$S$206&amp;""&amp;W138</f>
        <v>804,..,1604</v>
      </c>
      <c r="T138" s="92"/>
      <c r="U138" s="72">
        <f t="shared" ref="U138:W138" si="20">U137+1</f>
        <v>4</v>
      </c>
      <c r="V138" s="73">
        <f t="shared" ca="1" si="20"/>
        <v>804</v>
      </c>
      <c r="W138" s="73">
        <f t="shared" ca="1" si="20"/>
        <v>1604</v>
      </c>
    </row>
    <row r="139" spans="1:23" s="73" customFormat="1" ht="15.75" customHeight="1" x14ac:dyDescent="0.3">
      <c r="A139" s="93">
        <v>5</v>
      </c>
      <c r="B139" s="93"/>
      <c r="C139" s="56" t="s">
        <v>261</v>
      </c>
      <c r="D139" s="56">
        <f>45.55*10.764</f>
        <v>490.30019999999996</v>
      </c>
      <c r="E139" s="56">
        <v>0</v>
      </c>
      <c r="F139" s="56">
        <f t="shared" si="16"/>
        <v>784.48032000000001</v>
      </c>
      <c r="G139" s="90"/>
      <c r="H139" s="91"/>
      <c r="I139" s="72"/>
      <c r="S139" s="92" t="str">
        <f ca="1">V139&amp;""&amp;$S$206&amp;""&amp;W139</f>
        <v>805,..,1605</v>
      </c>
      <c r="T139" s="92"/>
      <c r="U139" s="72">
        <f t="shared" ref="U139:W139" si="21">U138+1</f>
        <v>5</v>
      </c>
      <c r="V139" s="73">
        <f t="shared" ca="1" si="21"/>
        <v>805</v>
      </c>
      <c r="W139" s="73">
        <f t="shared" ca="1" si="21"/>
        <v>1605</v>
      </c>
    </row>
    <row r="140" spans="1:23" s="73" customFormat="1" ht="15.75" customHeight="1" x14ac:dyDescent="0.3">
      <c r="A140" s="105" t="s">
        <v>264</v>
      </c>
      <c r="B140" s="106"/>
      <c r="C140" s="106"/>
      <c r="D140" s="106"/>
      <c r="E140" s="106"/>
      <c r="F140" s="106"/>
      <c r="G140" s="106"/>
      <c r="H140" s="107"/>
      <c r="I140" s="72"/>
      <c r="S140" s="92"/>
      <c r="T140" s="92"/>
      <c r="V140" s="73" t="str">
        <f>LEFT(A140,SUM(LEN(A140)-LEN(SUBSTITUTE(A140,{"0","1","2","3","4","5","6","7","8","9"},""))))</f>
        <v>10</v>
      </c>
    </row>
    <row r="141" spans="1:23" s="73" customFormat="1" ht="15.75" customHeight="1" x14ac:dyDescent="0.3">
      <c r="A141" s="93">
        <v>1</v>
      </c>
      <c r="B141" s="93"/>
      <c r="C141" s="86" t="s">
        <v>182</v>
      </c>
      <c r="D141" s="94"/>
      <c r="E141" s="94"/>
      <c r="F141" s="87"/>
      <c r="G141" s="86" t="str">
        <f>A140</f>
        <v>10th Floor (Part Refuge Area)</v>
      </c>
      <c r="H141" s="87"/>
      <c r="I141" s="72"/>
      <c r="S141" s="92">
        <f t="shared" ref="S141:S145" ca="1" si="22">V141</f>
        <v>1001</v>
      </c>
      <c r="T141" s="92"/>
      <c r="U141" s="72">
        <v>1</v>
      </c>
      <c r="V141" s="73">
        <f ca="1">(SUMPRODUCT(MID(0&amp;V140, LARGE(INDEX(ISNUMBER(--MID(V140, ROW(INDIRECT("1:"&amp;LEN(V140))), 1)) * ROW(INDIRECT("1:"&amp;LEN(V140))), 0), ROW(INDIRECT("1:"&amp;LEN(V140))))+1, 1) * 10^ROW(INDIRECT("1:"&amp;LEN(V140)))/10))*U141*100+1</f>
        <v>1001</v>
      </c>
    </row>
    <row r="142" spans="1:23" s="73" customFormat="1" ht="15.75" customHeight="1" x14ac:dyDescent="0.3">
      <c r="A142" s="93">
        <v>2</v>
      </c>
      <c r="B142" s="93"/>
      <c r="C142" s="90"/>
      <c r="D142" s="95"/>
      <c r="E142" s="95"/>
      <c r="F142" s="91"/>
      <c r="G142" s="88"/>
      <c r="H142" s="89"/>
      <c r="I142" s="72"/>
      <c r="S142" s="92">
        <f t="shared" ca="1" si="22"/>
        <v>1002</v>
      </c>
      <c r="T142" s="92"/>
      <c r="U142" s="72">
        <f>U141+1</f>
        <v>2</v>
      </c>
      <c r="V142" s="73">
        <f ca="1">V141+1</f>
        <v>1002</v>
      </c>
    </row>
    <row r="143" spans="1:23" s="73" customFormat="1" ht="15.75" customHeight="1" x14ac:dyDescent="0.3">
      <c r="A143" s="93">
        <v>3</v>
      </c>
      <c r="B143" s="93"/>
      <c r="C143" s="56" t="s">
        <v>181</v>
      </c>
      <c r="D143" s="56">
        <f>58.22*10.764</f>
        <v>626.68007999999998</v>
      </c>
      <c r="E143" s="56">
        <v>0</v>
      </c>
      <c r="F143" s="56">
        <f t="shared" ref="F143:F144" si="23">D143*(($F$101)+1)+E143</f>
        <v>1002.688128</v>
      </c>
      <c r="G143" s="88"/>
      <c r="H143" s="89"/>
      <c r="I143" s="72"/>
      <c r="S143" s="92">
        <f t="shared" ca="1" si="22"/>
        <v>1003</v>
      </c>
      <c r="T143" s="92"/>
      <c r="U143" s="72">
        <f t="shared" ref="U143:U145" si="24">U142+1</f>
        <v>3</v>
      </c>
      <c r="V143" s="73">
        <f t="shared" ref="V143:V145" ca="1" si="25">V142+1</f>
        <v>1003</v>
      </c>
    </row>
    <row r="144" spans="1:23" s="73" customFormat="1" ht="15.75" customHeight="1" x14ac:dyDescent="0.3">
      <c r="A144" s="93">
        <v>4</v>
      </c>
      <c r="B144" s="93"/>
      <c r="C144" s="56" t="s">
        <v>158</v>
      </c>
      <c r="D144" s="56">
        <f>76.8*10.764</f>
        <v>826.6751999999999</v>
      </c>
      <c r="E144" s="56">
        <v>0</v>
      </c>
      <c r="F144" s="56">
        <f t="shared" si="23"/>
        <v>1322.6803199999999</v>
      </c>
      <c r="G144" s="88"/>
      <c r="H144" s="89"/>
      <c r="I144" s="72"/>
      <c r="S144" s="92">
        <f t="shared" ca="1" si="22"/>
        <v>1004</v>
      </c>
      <c r="T144" s="92"/>
      <c r="U144" s="72">
        <f t="shared" si="24"/>
        <v>4</v>
      </c>
      <c r="V144" s="73">
        <f t="shared" ca="1" si="25"/>
        <v>1004</v>
      </c>
    </row>
    <row r="145" spans="1:23" s="73" customFormat="1" x14ac:dyDescent="0.3">
      <c r="A145" s="93">
        <v>5</v>
      </c>
      <c r="B145" s="93"/>
      <c r="C145" s="114" t="s">
        <v>182</v>
      </c>
      <c r="D145" s="115"/>
      <c r="E145" s="115"/>
      <c r="F145" s="116"/>
      <c r="G145" s="90"/>
      <c r="H145" s="91"/>
      <c r="I145" s="72"/>
      <c r="S145" s="92">
        <f t="shared" ca="1" si="22"/>
        <v>1005</v>
      </c>
      <c r="T145" s="92"/>
      <c r="U145" s="72">
        <f t="shared" si="24"/>
        <v>5</v>
      </c>
      <c r="V145" s="73">
        <f t="shared" ca="1" si="25"/>
        <v>1005</v>
      </c>
    </row>
    <row r="146" spans="1:23" s="73" customFormat="1" ht="15.75" customHeight="1" x14ac:dyDescent="0.3">
      <c r="A146" s="104" t="s">
        <v>265</v>
      </c>
      <c r="B146" s="104"/>
      <c r="C146" s="104"/>
      <c r="D146" s="104"/>
      <c r="E146" s="104"/>
      <c r="F146" s="104"/>
      <c r="G146" s="104"/>
      <c r="H146" s="104"/>
      <c r="I146" s="72">
        <v>2</v>
      </c>
      <c r="S146" s="92" t="s">
        <v>167</v>
      </c>
      <c r="T146" s="92"/>
      <c r="V146" s="73" t="str">
        <f>LEFT(A146,SUM(LEN(A146)-LEN(SUBSTITUTE(A146,{"0","1"},""))))</f>
        <v>1</v>
      </c>
      <c r="W146" s="73">
        <f ca="1">--TRIM(RIGHT(SUBSTITUTE(LEFT(A146,_xlfn.AGGREGATE(16,6,FIND({0,1,2,3,4,5,6,7,8,9},A146,ROW(INDIRECT("1:"&amp;LEN(A146)))),1))," ",REPT(" ",LEN(A146))),LEN(A146)))</f>
        <v>24</v>
      </c>
    </row>
    <row r="147" spans="1:23" s="73" customFormat="1" ht="15.75" customHeight="1" x14ac:dyDescent="0.3">
      <c r="A147" s="93">
        <v>1</v>
      </c>
      <c r="B147" s="93"/>
      <c r="C147" s="93" t="s">
        <v>182</v>
      </c>
      <c r="D147" s="93"/>
      <c r="E147" s="93"/>
      <c r="F147" s="93"/>
      <c r="G147" s="93" t="str">
        <f>A146</f>
        <v>17th, 24th Floor  (Part Refuge Area)</v>
      </c>
      <c r="H147" s="93"/>
      <c r="I147" s="72"/>
      <c r="S147" s="92" t="str">
        <f ca="1">V147&amp;""&amp;$S$206&amp;""&amp;W147</f>
        <v>101,..,2401</v>
      </c>
      <c r="T147" s="92"/>
      <c r="U147" s="72">
        <v>1</v>
      </c>
      <c r="V147" s="73">
        <f ca="1">(SUMPRODUCT(MID(0&amp;V146, LARGE(INDEX(ISNUMBER(--MID(V146, ROW(INDIRECT("1:"&amp;LEN(V146))), 1)) * ROW(INDIRECT("1:"&amp;LEN(V146))), 0), ROW(INDIRECT("1:"&amp;LEN(V146))))+1, 1) * 10^ROW(INDIRECT("1:"&amp;LEN(V146)))/10))*U147*100+1</f>
        <v>101</v>
      </c>
      <c r="W147" s="73">
        <f ca="1">(SUMPRODUCT(MID(0&amp;W146, LARGE(INDEX(ISNUMBER(--MID(W146, ROW(INDIRECT("1:"&amp;LEN(W146))), 1)) * ROW(INDIRECT("1:"&amp;LEN(W146))), 0), ROW(INDIRECT("1:"&amp;LEN(W146))))+1, 1) * 10^ROW(INDIRECT("1:"&amp;LEN(W146)))/10))*U147*100+1</f>
        <v>2401</v>
      </c>
    </row>
    <row r="148" spans="1:23" s="73" customFormat="1" ht="15.75" customHeight="1" x14ac:dyDescent="0.3">
      <c r="A148" s="93">
        <v>2</v>
      </c>
      <c r="B148" s="93"/>
      <c r="C148" s="93" t="s">
        <v>182</v>
      </c>
      <c r="D148" s="93"/>
      <c r="E148" s="93"/>
      <c r="F148" s="93"/>
      <c r="G148" s="93"/>
      <c r="H148" s="93"/>
      <c r="I148" s="72"/>
      <c r="S148" s="92" t="str">
        <f ca="1">V148&amp;""&amp;$S$206&amp;""&amp;W148</f>
        <v>102,..,2402</v>
      </c>
      <c r="T148" s="92"/>
      <c r="U148" s="72">
        <f t="shared" ref="U148:W151" si="26">U147+1</f>
        <v>2</v>
      </c>
      <c r="V148" s="73">
        <f t="shared" ca="1" si="26"/>
        <v>102</v>
      </c>
      <c r="W148" s="73">
        <f t="shared" ca="1" si="26"/>
        <v>2402</v>
      </c>
    </row>
    <row r="149" spans="1:23" s="73" customFormat="1" ht="15.75" customHeight="1" x14ac:dyDescent="0.3">
      <c r="A149" s="93">
        <v>3</v>
      </c>
      <c r="B149" s="93"/>
      <c r="C149" s="56" t="s">
        <v>181</v>
      </c>
      <c r="D149" s="56">
        <f>58.22*10.764</f>
        <v>626.68007999999998</v>
      </c>
      <c r="E149" s="56">
        <v>0</v>
      </c>
      <c r="F149" s="56">
        <f>D149*(($F$101)+1)+E149</f>
        <v>1002.688128</v>
      </c>
      <c r="G149" s="93"/>
      <c r="H149" s="93"/>
      <c r="I149" s="72"/>
      <c r="S149" s="92" t="str">
        <f ca="1">V149&amp;""&amp;$S$206&amp;""&amp;W149</f>
        <v>103,..,2403</v>
      </c>
      <c r="T149" s="92"/>
      <c r="U149" s="72">
        <f t="shared" si="26"/>
        <v>3</v>
      </c>
      <c r="V149" s="73">
        <f t="shared" ca="1" si="26"/>
        <v>103</v>
      </c>
      <c r="W149" s="73">
        <f t="shared" ca="1" si="26"/>
        <v>2403</v>
      </c>
    </row>
    <row r="150" spans="1:23" s="73" customFormat="1" ht="15.75" customHeight="1" x14ac:dyDescent="0.3">
      <c r="A150" s="93">
        <v>4</v>
      </c>
      <c r="B150" s="93"/>
      <c r="C150" s="56" t="s">
        <v>158</v>
      </c>
      <c r="D150" s="56">
        <f>76.8*10.764</f>
        <v>826.6751999999999</v>
      </c>
      <c r="E150" s="56">
        <v>0</v>
      </c>
      <c r="F150" s="56">
        <f>D150*(($F$101)+1)+E150</f>
        <v>1322.6803199999999</v>
      </c>
      <c r="G150" s="93"/>
      <c r="H150" s="93"/>
      <c r="I150" s="72"/>
      <c r="S150" s="92" t="str">
        <f ca="1">V150&amp;""&amp;$S$206&amp;""&amp;W150</f>
        <v>104,..,2404</v>
      </c>
      <c r="T150" s="92"/>
      <c r="U150" s="72">
        <f t="shared" si="26"/>
        <v>4</v>
      </c>
      <c r="V150" s="73">
        <f t="shared" ca="1" si="26"/>
        <v>104</v>
      </c>
      <c r="W150" s="73">
        <f t="shared" ca="1" si="26"/>
        <v>2404</v>
      </c>
    </row>
    <row r="151" spans="1:23" s="73" customFormat="1" ht="15.75" customHeight="1" x14ac:dyDescent="0.3">
      <c r="A151" s="93">
        <v>5</v>
      </c>
      <c r="B151" s="93"/>
      <c r="C151" s="93" t="s">
        <v>182</v>
      </c>
      <c r="D151" s="93"/>
      <c r="E151" s="93"/>
      <c r="F151" s="93"/>
      <c r="G151" s="93"/>
      <c r="H151" s="93"/>
      <c r="I151" s="72"/>
      <c r="S151" s="92" t="str">
        <f ca="1">V151&amp;""&amp;$S$206&amp;""&amp;W151</f>
        <v>105,..,2405</v>
      </c>
      <c r="T151" s="92"/>
      <c r="U151" s="72">
        <f t="shared" si="26"/>
        <v>5</v>
      </c>
      <c r="V151" s="73">
        <f t="shared" ca="1" si="26"/>
        <v>105</v>
      </c>
      <c r="W151" s="73">
        <f t="shared" ca="1" si="26"/>
        <v>2405</v>
      </c>
    </row>
    <row r="152" spans="1:23" s="73" customFormat="1" ht="15.75" customHeight="1" x14ac:dyDescent="0.3">
      <c r="A152" s="104" t="s">
        <v>253</v>
      </c>
      <c r="B152" s="104"/>
      <c r="C152" s="104"/>
      <c r="D152" s="104"/>
      <c r="E152" s="104"/>
      <c r="F152" s="104"/>
      <c r="G152" s="104"/>
      <c r="H152" s="104"/>
      <c r="I152" s="72">
        <f>6+5+1</f>
        <v>12</v>
      </c>
      <c r="S152" s="92" t="s">
        <v>167</v>
      </c>
      <c r="T152" s="92"/>
      <c r="V152" s="73" t="str">
        <f>LEFT(A152,SUM(LEN(A152)-LEN(SUBSTITUTE(A152,{"0","1"},""))))</f>
        <v>18</v>
      </c>
      <c r="W152" s="73">
        <f ca="1">--TRIM(RIGHT(SUBSTITUTE(LEFT(A152,_xlfn.AGGREGATE(16,6,FIND({0,1,2,3,4,5,6,7,8,9},A152,ROW(INDIRECT("1:"&amp;LEN(A152)))),1))," ",REPT(" ",LEN(A152))),LEN(A152)))</f>
        <v>32</v>
      </c>
    </row>
    <row r="153" spans="1:23" s="73" customFormat="1" ht="15.75" customHeight="1" x14ac:dyDescent="0.3">
      <c r="A153" s="93">
        <v>1</v>
      </c>
      <c r="B153" s="93"/>
      <c r="C153" s="56" t="s">
        <v>181</v>
      </c>
      <c r="D153" s="56">
        <f>58.18*10.764</f>
        <v>626.24951999999996</v>
      </c>
      <c r="E153" s="56">
        <v>0</v>
      </c>
      <c r="F153" s="56">
        <f t="shared" ref="F153:F157" si="27">D153*(($F$101)+1)+E153</f>
        <v>1001.999232</v>
      </c>
      <c r="G153" s="93" t="str">
        <f>A152</f>
        <v>18th to 23rd, 25th to 30th &amp; 32nd Floor</v>
      </c>
      <c r="H153" s="93"/>
      <c r="I153" s="72"/>
      <c r="S153" s="92" t="str">
        <f ca="1">V153&amp;""&amp;$S$206&amp;""&amp;W153</f>
        <v>1801,..,3201</v>
      </c>
      <c r="T153" s="92"/>
      <c r="U153" s="72">
        <v>1</v>
      </c>
      <c r="V153" s="73">
        <f ca="1">(SUMPRODUCT(MID(0&amp;V152, LARGE(INDEX(ISNUMBER(--MID(V152, ROW(INDIRECT("1:"&amp;LEN(V152))), 1)) * ROW(INDIRECT("1:"&amp;LEN(V152))), 0), ROW(INDIRECT("1:"&amp;LEN(V152))))+1, 1) * 10^ROW(INDIRECT("1:"&amp;LEN(V152)))/10))*U153*100+1</f>
        <v>1801</v>
      </c>
      <c r="W153" s="73">
        <f ca="1">(SUMPRODUCT(MID(0&amp;W152, LARGE(INDEX(ISNUMBER(--MID(W152, ROW(INDIRECT("1:"&amp;LEN(W152))), 1)) * ROW(INDIRECT("1:"&amp;LEN(W152))), 0), ROW(INDIRECT("1:"&amp;LEN(W152))))+1, 1) * 10^ROW(INDIRECT("1:"&amp;LEN(W152)))/10))*U153*100+1</f>
        <v>3201</v>
      </c>
    </row>
    <row r="154" spans="1:23" s="73" customFormat="1" ht="15.75" customHeight="1" x14ac:dyDescent="0.3">
      <c r="A154" s="93">
        <v>2</v>
      </c>
      <c r="B154" s="93"/>
      <c r="C154" s="56" t="s">
        <v>181</v>
      </c>
      <c r="D154" s="56">
        <f>58.18*10.764</f>
        <v>626.24951999999996</v>
      </c>
      <c r="E154" s="56">
        <v>0</v>
      </c>
      <c r="F154" s="56">
        <f t="shared" si="27"/>
        <v>1001.999232</v>
      </c>
      <c r="G154" s="93"/>
      <c r="H154" s="93"/>
      <c r="I154" s="72"/>
      <c r="S154" s="92" t="str">
        <f ca="1">V154&amp;""&amp;$S$206&amp;""&amp;W154</f>
        <v>1802,..,3202</v>
      </c>
      <c r="T154" s="92"/>
      <c r="U154" s="72">
        <f t="shared" ref="U154:W154" si="28">U153+1</f>
        <v>2</v>
      </c>
      <c r="V154" s="73">
        <f t="shared" ca="1" si="28"/>
        <v>1802</v>
      </c>
      <c r="W154" s="73">
        <f t="shared" ca="1" si="28"/>
        <v>3202</v>
      </c>
    </row>
    <row r="155" spans="1:23" s="73" customFormat="1" ht="15.75" customHeight="1" x14ac:dyDescent="0.3">
      <c r="A155" s="93">
        <v>3</v>
      </c>
      <c r="B155" s="93"/>
      <c r="C155" s="56" t="s">
        <v>181</v>
      </c>
      <c r="D155" s="56">
        <f>58.22*10.764</f>
        <v>626.68007999999998</v>
      </c>
      <c r="E155" s="56">
        <v>0</v>
      </c>
      <c r="F155" s="56">
        <f t="shared" si="27"/>
        <v>1002.688128</v>
      </c>
      <c r="G155" s="93"/>
      <c r="H155" s="93"/>
      <c r="I155" s="72"/>
      <c r="S155" s="92" t="str">
        <f ca="1">V155&amp;""&amp;$S$206&amp;""&amp;W155</f>
        <v>1803,..,3203</v>
      </c>
      <c r="T155" s="92"/>
      <c r="U155" s="72">
        <f t="shared" ref="U155:W155" si="29">U154+1</f>
        <v>3</v>
      </c>
      <c r="V155" s="73">
        <f t="shared" ca="1" si="29"/>
        <v>1803</v>
      </c>
      <c r="W155" s="73">
        <f t="shared" ca="1" si="29"/>
        <v>3203</v>
      </c>
    </row>
    <row r="156" spans="1:23" s="73" customFormat="1" ht="15.75" customHeight="1" x14ac:dyDescent="0.3">
      <c r="A156" s="93">
        <v>4</v>
      </c>
      <c r="B156" s="93"/>
      <c r="C156" s="56" t="s">
        <v>158</v>
      </c>
      <c r="D156" s="56">
        <f>76.8*10.764</f>
        <v>826.6751999999999</v>
      </c>
      <c r="E156" s="56">
        <v>0</v>
      </c>
      <c r="F156" s="56">
        <f t="shared" si="27"/>
        <v>1322.6803199999999</v>
      </c>
      <c r="G156" s="93"/>
      <c r="H156" s="93"/>
      <c r="I156" s="72"/>
      <c r="S156" s="92" t="str">
        <f ca="1">V156&amp;""&amp;$S$206&amp;""&amp;W156</f>
        <v>1804,..,3204</v>
      </c>
      <c r="T156" s="92"/>
      <c r="U156" s="72">
        <f t="shared" ref="U156:W156" si="30">U155+1</f>
        <v>4</v>
      </c>
      <c r="V156" s="73">
        <f t="shared" ca="1" si="30"/>
        <v>1804</v>
      </c>
      <c r="W156" s="73">
        <f t="shared" ca="1" si="30"/>
        <v>3204</v>
      </c>
    </row>
    <row r="157" spans="1:23" s="73" customFormat="1" ht="15.75" customHeight="1" x14ac:dyDescent="0.3">
      <c r="A157" s="93">
        <v>5</v>
      </c>
      <c r="B157" s="93"/>
      <c r="C157" s="56" t="s">
        <v>261</v>
      </c>
      <c r="D157" s="56">
        <f>45.55*10.764</f>
        <v>490.30019999999996</v>
      </c>
      <c r="E157" s="56">
        <v>0</v>
      </c>
      <c r="F157" s="56">
        <f t="shared" si="27"/>
        <v>784.48032000000001</v>
      </c>
      <c r="G157" s="93"/>
      <c r="H157" s="93"/>
      <c r="I157" s="72"/>
      <c r="S157" s="92" t="str">
        <f ca="1">V157&amp;""&amp;$S$206&amp;""&amp;W157</f>
        <v>1805,..,3205</v>
      </c>
      <c r="T157" s="92"/>
      <c r="U157" s="72">
        <f t="shared" ref="U157:W157" si="31">U156+1</f>
        <v>5</v>
      </c>
      <c r="V157" s="73">
        <f t="shared" ca="1" si="31"/>
        <v>1805</v>
      </c>
      <c r="W157" s="73">
        <f t="shared" ca="1" si="31"/>
        <v>3205</v>
      </c>
    </row>
    <row r="158" spans="1:23" s="73" customFormat="1" ht="15.75" customHeight="1" x14ac:dyDescent="0.3">
      <c r="A158" s="105" t="s">
        <v>249</v>
      </c>
      <c r="B158" s="106"/>
      <c r="C158" s="106"/>
      <c r="D158" s="106"/>
      <c r="E158" s="106"/>
      <c r="F158" s="106"/>
      <c r="G158" s="106"/>
      <c r="H158" s="107"/>
      <c r="I158" s="72"/>
      <c r="S158" s="92"/>
      <c r="T158" s="92"/>
      <c r="V158" s="73" t="str">
        <f>LEFT(A158,SUM(LEN(A158)-LEN(SUBSTITUTE(A158,{"0","1","2","3","4","5","6","7","8","9"},""))))</f>
        <v>31</v>
      </c>
    </row>
    <row r="159" spans="1:23" s="73" customFormat="1" ht="15.75" customHeight="1" x14ac:dyDescent="0.3">
      <c r="A159" s="93">
        <v>1</v>
      </c>
      <c r="B159" s="93"/>
      <c r="C159" s="86" t="s">
        <v>251</v>
      </c>
      <c r="D159" s="94"/>
      <c r="E159" s="94"/>
      <c r="F159" s="87"/>
      <c r="G159" s="86" t="str">
        <f>A158</f>
        <v>31st Floor (Part Refuge Area)</v>
      </c>
      <c r="H159" s="87"/>
      <c r="I159" s="72"/>
      <c r="S159" s="92">
        <f t="shared" ref="S159:S163" ca="1" si="32">V159</f>
        <v>3101</v>
      </c>
      <c r="T159" s="92"/>
      <c r="U159" s="72">
        <v>1</v>
      </c>
      <c r="V159" s="73">
        <f ca="1">(SUMPRODUCT(MID(0&amp;V158, LARGE(INDEX(ISNUMBER(--MID(V158, ROW(INDIRECT("1:"&amp;LEN(V158))), 1)) * ROW(INDIRECT("1:"&amp;LEN(V158))), 0), ROW(INDIRECT("1:"&amp;LEN(V158))))+1, 1) * 10^ROW(INDIRECT("1:"&amp;LEN(V158)))/10))*U159*100+1</f>
        <v>3101</v>
      </c>
    </row>
    <row r="160" spans="1:23" s="73" customFormat="1" ht="15.75" customHeight="1" x14ac:dyDescent="0.3">
      <c r="A160" s="93">
        <v>2</v>
      </c>
      <c r="B160" s="93"/>
      <c r="C160" s="90"/>
      <c r="D160" s="95"/>
      <c r="E160" s="95"/>
      <c r="F160" s="91"/>
      <c r="G160" s="88"/>
      <c r="H160" s="89"/>
      <c r="I160" s="72"/>
      <c r="S160" s="92">
        <f t="shared" ca="1" si="32"/>
        <v>3102</v>
      </c>
      <c r="T160" s="92"/>
      <c r="U160" s="72">
        <f>U159+1</f>
        <v>2</v>
      </c>
      <c r="V160" s="73">
        <f ca="1">V159+1</f>
        <v>3102</v>
      </c>
    </row>
    <row r="161" spans="1:23" s="73" customFormat="1" ht="15.75" customHeight="1" x14ac:dyDescent="0.3">
      <c r="A161" s="93">
        <v>3</v>
      </c>
      <c r="B161" s="93"/>
      <c r="C161" s="56" t="s">
        <v>181</v>
      </c>
      <c r="D161" s="56">
        <f>58.22*10.764</f>
        <v>626.68007999999998</v>
      </c>
      <c r="E161" s="56">
        <v>0</v>
      </c>
      <c r="F161" s="56">
        <f t="shared" ref="F161:F163" si="33">D161*(($F$101)+1)+E161</f>
        <v>1002.688128</v>
      </c>
      <c r="G161" s="88"/>
      <c r="H161" s="89"/>
      <c r="I161" s="72"/>
      <c r="S161" s="92">
        <f t="shared" ca="1" si="32"/>
        <v>3103</v>
      </c>
      <c r="T161" s="92"/>
      <c r="U161" s="72">
        <f t="shared" ref="U161:V163" si="34">U160+1</f>
        <v>3</v>
      </c>
      <c r="V161" s="73">
        <f t="shared" ca="1" si="34"/>
        <v>3103</v>
      </c>
    </row>
    <row r="162" spans="1:23" s="73" customFormat="1" ht="15.75" customHeight="1" x14ac:dyDescent="0.3">
      <c r="A162" s="93">
        <v>4</v>
      </c>
      <c r="B162" s="93"/>
      <c r="C162" s="56" t="s">
        <v>158</v>
      </c>
      <c r="D162" s="56">
        <f>76.8*10.764</f>
        <v>826.6751999999999</v>
      </c>
      <c r="E162" s="56">
        <v>0</v>
      </c>
      <c r="F162" s="56">
        <f t="shared" si="33"/>
        <v>1322.6803199999999</v>
      </c>
      <c r="G162" s="88"/>
      <c r="H162" s="89"/>
      <c r="I162" s="72"/>
      <c r="S162" s="92">
        <f t="shared" ca="1" si="32"/>
        <v>3104</v>
      </c>
      <c r="T162" s="92"/>
      <c r="U162" s="72">
        <f t="shared" si="34"/>
        <v>4</v>
      </c>
      <c r="V162" s="73">
        <f t="shared" ca="1" si="34"/>
        <v>3104</v>
      </c>
    </row>
    <row r="163" spans="1:23" s="73" customFormat="1" x14ac:dyDescent="0.3">
      <c r="A163" s="93">
        <v>5</v>
      </c>
      <c r="B163" s="93"/>
      <c r="C163" s="56" t="s">
        <v>261</v>
      </c>
      <c r="D163" s="56">
        <f>45.55*10.764</f>
        <v>490.30019999999996</v>
      </c>
      <c r="E163" s="56">
        <v>0</v>
      </c>
      <c r="F163" s="56">
        <f t="shared" si="33"/>
        <v>784.48032000000001</v>
      </c>
      <c r="G163" s="90"/>
      <c r="H163" s="91"/>
      <c r="I163" s="72"/>
      <c r="S163" s="92">
        <f t="shared" ca="1" si="32"/>
        <v>3105</v>
      </c>
      <c r="T163" s="92"/>
      <c r="U163" s="72">
        <f t="shared" si="34"/>
        <v>5</v>
      </c>
      <c r="V163" s="73">
        <f t="shared" ca="1" si="34"/>
        <v>3105</v>
      </c>
    </row>
    <row r="164" spans="1:23" s="73" customFormat="1" ht="15.75" customHeight="1" x14ac:dyDescent="0.3">
      <c r="A164" s="105" t="s">
        <v>252</v>
      </c>
      <c r="B164" s="106"/>
      <c r="C164" s="106"/>
      <c r="D164" s="106"/>
      <c r="E164" s="106"/>
      <c r="F164" s="106"/>
      <c r="G164" s="106"/>
      <c r="H164" s="107"/>
      <c r="I164" s="72">
        <v>3</v>
      </c>
      <c r="S164" s="92" t="s">
        <v>167</v>
      </c>
      <c r="T164" s="92"/>
      <c r="V164" s="73" t="str">
        <f>LEFT(A164,SUM(LEN(A164)-LEN(SUBSTITUTE(A164,{"0","1"},""))))</f>
        <v/>
      </c>
      <c r="W164" s="73">
        <f ca="1">--TRIM(RIGHT(SUBSTITUTE(LEFT(A164,_xlfn.AGGREGATE(16,6,FIND({0,1,2,3,4,5,6,7,8,9},A164,ROW(INDIRECT("1:"&amp;LEN(A164)))),1))," ",REPT(" ",LEN(A164))),LEN(A164)))</f>
        <v>35</v>
      </c>
    </row>
    <row r="165" spans="1:23" s="73" customFormat="1" ht="15.75" customHeight="1" x14ac:dyDescent="0.3">
      <c r="A165" s="93">
        <v>1</v>
      </c>
      <c r="B165" s="93"/>
      <c r="C165" s="56" t="s">
        <v>181</v>
      </c>
      <c r="D165" s="56">
        <f>58.18*10.764</f>
        <v>626.24951999999996</v>
      </c>
      <c r="E165" s="56">
        <v>0</v>
      </c>
      <c r="F165" s="56">
        <f t="shared" ref="F165:F169" si="35">D165*(($F$101)+1)+E165</f>
        <v>1001.999232</v>
      </c>
      <c r="G165" s="86" t="str">
        <f>A164</f>
        <v>33rd to 35th Floor</v>
      </c>
      <c r="H165" s="87"/>
      <c r="I165" s="72"/>
      <c r="S165" s="92" t="e">
        <f ca="1">V165&amp;""&amp;$S$206&amp;""&amp;W165</f>
        <v>#REF!</v>
      </c>
      <c r="T165" s="92"/>
      <c r="U165" s="72">
        <v>1</v>
      </c>
      <c r="V165" s="73" t="e">
        <f ca="1">(SUMPRODUCT(MID(0&amp;V164, LARGE(INDEX(ISNUMBER(--MID(V164, ROW(INDIRECT("1:"&amp;LEN(V164))), 1)) * ROW(INDIRECT("1:"&amp;LEN(V164))), 0), ROW(INDIRECT("1:"&amp;LEN(V164))))+1, 1) * 10^ROW(INDIRECT("1:"&amp;LEN(V164)))/10))*U165*100+1</f>
        <v>#REF!</v>
      </c>
      <c r="W165" s="73">
        <f ca="1">(SUMPRODUCT(MID(0&amp;W164, LARGE(INDEX(ISNUMBER(--MID(W164, ROW(INDIRECT("1:"&amp;LEN(W164))), 1)) * ROW(INDIRECT("1:"&amp;LEN(W164))), 0), ROW(INDIRECT("1:"&amp;LEN(W164))))+1, 1) * 10^ROW(INDIRECT("1:"&amp;LEN(W164)))/10))*U165*100+1</f>
        <v>3501</v>
      </c>
    </row>
    <row r="166" spans="1:23" s="73" customFormat="1" ht="15.75" customHeight="1" x14ac:dyDescent="0.3">
      <c r="A166" s="93">
        <v>2</v>
      </c>
      <c r="B166" s="93"/>
      <c r="C166" s="56" t="s">
        <v>181</v>
      </c>
      <c r="D166" s="56">
        <f>58.18*10.764</f>
        <v>626.24951999999996</v>
      </c>
      <c r="E166" s="56">
        <v>0</v>
      </c>
      <c r="F166" s="56">
        <f t="shared" si="35"/>
        <v>1001.999232</v>
      </c>
      <c r="G166" s="88"/>
      <c r="H166" s="89"/>
      <c r="I166" s="72"/>
      <c r="S166" s="92" t="e">
        <f ca="1">V166&amp;""&amp;$S$206&amp;""&amp;W166</f>
        <v>#REF!</v>
      </c>
      <c r="T166" s="92"/>
      <c r="U166" s="72">
        <f t="shared" ref="U166:W166" si="36">U165+1</f>
        <v>2</v>
      </c>
      <c r="V166" s="73" t="e">
        <f t="shared" ca="1" si="36"/>
        <v>#REF!</v>
      </c>
      <c r="W166" s="73">
        <f t="shared" ca="1" si="36"/>
        <v>3502</v>
      </c>
    </row>
    <row r="167" spans="1:23" s="73" customFormat="1" ht="15.75" customHeight="1" x14ac:dyDescent="0.3">
      <c r="A167" s="93">
        <v>3</v>
      </c>
      <c r="B167" s="93"/>
      <c r="C167" s="56" t="s">
        <v>181</v>
      </c>
      <c r="D167" s="56">
        <f>(61.85+(9.4*1.525))*10.764</f>
        <v>820.05534</v>
      </c>
      <c r="E167" s="56">
        <v>0</v>
      </c>
      <c r="F167" s="56">
        <f t="shared" si="35"/>
        <v>1312.0885440000002</v>
      </c>
      <c r="G167" s="88"/>
      <c r="H167" s="89"/>
      <c r="I167" s="72"/>
      <c r="S167" s="92" t="e">
        <f ca="1">V167&amp;""&amp;$S$206&amp;""&amp;W167</f>
        <v>#REF!</v>
      </c>
      <c r="T167" s="92"/>
      <c r="U167" s="72">
        <f t="shared" ref="U167:W167" si="37">U166+1</f>
        <v>3</v>
      </c>
      <c r="V167" s="73" t="e">
        <f t="shared" ca="1" si="37"/>
        <v>#REF!</v>
      </c>
      <c r="W167" s="73">
        <f t="shared" ca="1" si="37"/>
        <v>3503</v>
      </c>
    </row>
    <row r="168" spans="1:23" s="73" customFormat="1" ht="15.75" customHeight="1" x14ac:dyDescent="0.3">
      <c r="A168" s="93">
        <v>4</v>
      </c>
      <c r="B168" s="93"/>
      <c r="C168" s="56" t="s">
        <v>158</v>
      </c>
      <c r="D168" s="56">
        <f>(81.8+(12.925*1.525))*10.764</f>
        <v>1092.6603674999999</v>
      </c>
      <c r="E168" s="56">
        <v>0</v>
      </c>
      <c r="F168" s="56">
        <f t="shared" si="35"/>
        <v>1748.256588</v>
      </c>
      <c r="G168" s="88"/>
      <c r="H168" s="89"/>
      <c r="I168" s="72"/>
      <c r="S168" s="92" t="e">
        <f ca="1">V168&amp;""&amp;$S$206&amp;""&amp;W168</f>
        <v>#REF!</v>
      </c>
      <c r="T168" s="92"/>
      <c r="U168" s="72">
        <f t="shared" ref="U168:W168" si="38">U167+1</f>
        <v>4</v>
      </c>
      <c r="V168" s="73" t="e">
        <f t="shared" ca="1" si="38"/>
        <v>#REF!</v>
      </c>
      <c r="W168" s="73">
        <f t="shared" ca="1" si="38"/>
        <v>3504</v>
      </c>
    </row>
    <row r="169" spans="1:23" s="73" customFormat="1" ht="15.75" customHeight="1" x14ac:dyDescent="0.3">
      <c r="A169" s="93">
        <v>5</v>
      </c>
      <c r="B169" s="93"/>
      <c r="C169" s="56" t="s">
        <v>261</v>
      </c>
      <c r="D169" s="56">
        <f>(49.83+(8.075*1.525))*10.764</f>
        <v>668.92205249999995</v>
      </c>
      <c r="E169" s="56">
        <v>0</v>
      </c>
      <c r="F169" s="56">
        <f t="shared" si="35"/>
        <v>1070.2752840000001</v>
      </c>
      <c r="G169" s="90"/>
      <c r="H169" s="91"/>
      <c r="I169" s="72"/>
      <c r="S169" s="92" t="e">
        <f ca="1">V169&amp;""&amp;$S$206&amp;""&amp;W169</f>
        <v>#REF!</v>
      </c>
      <c r="T169" s="92"/>
      <c r="U169" s="72">
        <f t="shared" ref="U169:W169" si="39">U168+1</f>
        <v>5</v>
      </c>
      <c r="V169" s="73" t="e">
        <f t="shared" ca="1" si="39"/>
        <v>#REF!</v>
      </c>
      <c r="W169" s="73">
        <f t="shared" ca="1" si="39"/>
        <v>3505</v>
      </c>
    </row>
    <row r="170" spans="1:23" s="73" customFormat="1" x14ac:dyDescent="0.3">
      <c r="A170" s="105" t="s">
        <v>200</v>
      </c>
      <c r="B170" s="106"/>
      <c r="C170" s="106"/>
      <c r="D170" s="106"/>
      <c r="E170" s="106"/>
      <c r="F170" s="106"/>
      <c r="G170" s="106"/>
      <c r="H170" s="107"/>
      <c r="I170" s="72"/>
      <c r="U170" s="72"/>
    </row>
    <row r="171" spans="1:23" s="73" customFormat="1" x14ac:dyDescent="0.3">
      <c r="A171" s="105" t="s">
        <v>199</v>
      </c>
      <c r="B171" s="106"/>
      <c r="C171" s="106"/>
      <c r="D171" s="106"/>
      <c r="E171" s="106"/>
      <c r="F171" s="106"/>
      <c r="G171" s="106"/>
      <c r="H171" s="107"/>
      <c r="I171" s="72"/>
      <c r="S171" s="92"/>
      <c r="T171" s="92"/>
      <c r="V171" s="73" t="str">
        <f>LEFT(A171,SUM(LEN(A171)-LEN(SUBSTITUTE(A171,{"0","1","2","3","4","5","6","7","8","9"},""))))</f>
        <v>4t</v>
      </c>
    </row>
    <row r="172" spans="1:23" s="73" customFormat="1" ht="15.75" customHeight="1" x14ac:dyDescent="0.3">
      <c r="A172" s="93">
        <v>1</v>
      </c>
      <c r="B172" s="93"/>
      <c r="C172" s="56" t="s">
        <v>180</v>
      </c>
      <c r="D172" s="56">
        <f>35.85*10.764</f>
        <v>385.88939999999997</v>
      </c>
      <c r="E172" s="56">
        <v>0</v>
      </c>
      <c r="F172" s="56">
        <f t="shared" ref="F172:F175" si="40">D172*(($F$101)+1)+E172</f>
        <v>617.42304000000001</v>
      </c>
      <c r="G172" s="86" t="str">
        <f>A171</f>
        <v>4th &amp; 5th Podium Floor for Residential &amp; Parking</v>
      </c>
      <c r="H172" s="87"/>
      <c r="I172" s="72"/>
      <c r="S172" s="92">
        <f t="shared" ref="S172:S177" ca="1" si="41">V172</f>
        <v>401</v>
      </c>
      <c r="T172" s="92"/>
      <c r="U172" s="72">
        <v>1</v>
      </c>
      <c r="V172" s="73">
        <f ca="1">(SUMPRODUCT(MID(0&amp;V171, LARGE(INDEX(ISNUMBER(--MID(V171, ROW(INDIRECT("1:"&amp;LEN(V171))), 1)) * ROW(INDIRECT("1:"&amp;LEN(V171))), 0), ROW(INDIRECT("1:"&amp;LEN(V171))))+1, 1) * 10^ROW(INDIRECT("1:"&amp;LEN(V171)))/10))*U172*100+1</f>
        <v>401</v>
      </c>
    </row>
    <row r="173" spans="1:23" s="73" customFormat="1" ht="15.75" customHeight="1" x14ac:dyDescent="0.3">
      <c r="A173" s="93">
        <v>2</v>
      </c>
      <c r="B173" s="93"/>
      <c r="C173" s="56" t="s">
        <v>180</v>
      </c>
      <c r="D173" s="56">
        <f>33.61*10.764</f>
        <v>361.77803999999998</v>
      </c>
      <c r="E173" s="56">
        <v>0</v>
      </c>
      <c r="F173" s="56">
        <f t="shared" si="40"/>
        <v>578.84486400000003</v>
      </c>
      <c r="G173" s="88"/>
      <c r="H173" s="89"/>
      <c r="I173" s="72"/>
      <c r="S173" s="92">
        <f t="shared" ca="1" si="41"/>
        <v>402</v>
      </c>
      <c r="T173" s="92"/>
      <c r="U173" s="72">
        <f>U172+1</f>
        <v>2</v>
      </c>
      <c r="V173" s="73">
        <f ca="1">V172+1</f>
        <v>402</v>
      </c>
    </row>
    <row r="174" spans="1:23" s="73" customFormat="1" ht="15.75" customHeight="1" x14ac:dyDescent="0.3">
      <c r="A174" s="93">
        <v>3</v>
      </c>
      <c r="B174" s="93"/>
      <c r="C174" s="56" t="s">
        <v>180</v>
      </c>
      <c r="D174" s="56">
        <f>35.85*10.764</f>
        <v>385.88939999999997</v>
      </c>
      <c r="E174" s="56">
        <v>0</v>
      </c>
      <c r="F174" s="56">
        <f t="shared" ref="F174" si="42">D174*(($F$101)+1)+E174</f>
        <v>617.42304000000001</v>
      </c>
      <c r="G174" s="88"/>
      <c r="H174" s="89"/>
      <c r="I174" s="72"/>
      <c r="S174" s="92">
        <f t="shared" ref="S174" ca="1" si="43">V174</f>
        <v>403</v>
      </c>
      <c r="T174" s="92"/>
      <c r="U174" s="72">
        <f>U173+1</f>
        <v>3</v>
      </c>
      <c r="V174" s="73">
        <f ca="1">V173+1</f>
        <v>403</v>
      </c>
    </row>
    <row r="175" spans="1:23" s="73" customFormat="1" ht="15.75" customHeight="1" x14ac:dyDescent="0.3">
      <c r="A175" s="93">
        <v>4</v>
      </c>
      <c r="B175" s="93"/>
      <c r="C175" s="56" t="s">
        <v>261</v>
      </c>
      <c r="D175" s="56">
        <f>45.53*10.764</f>
        <v>490.08491999999995</v>
      </c>
      <c r="E175" s="56">
        <v>0</v>
      </c>
      <c r="F175" s="56">
        <f t="shared" si="40"/>
        <v>784.13587199999995</v>
      </c>
      <c r="G175" s="88"/>
      <c r="H175" s="89"/>
      <c r="I175" s="72"/>
      <c r="S175" s="92">
        <f t="shared" ca="1" si="41"/>
        <v>403</v>
      </c>
      <c r="T175" s="92"/>
      <c r="U175" s="72">
        <f>U173+1</f>
        <v>3</v>
      </c>
      <c r="V175" s="73">
        <f ca="1">V173+1</f>
        <v>403</v>
      </c>
    </row>
    <row r="176" spans="1:23" s="73" customFormat="1" ht="15.75" customHeight="1" x14ac:dyDescent="0.3">
      <c r="A176" s="93">
        <v>5</v>
      </c>
      <c r="B176" s="93"/>
      <c r="C176" s="86" t="s">
        <v>260</v>
      </c>
      <c r="D176" s="94"/>
      <c r="E176" s="94"/>
      <c r="F176" s="87"/>
      <c r="G176" s="88"/>
      <c r="H176" s="89"/>
      <c r="I176" s="72"/>
      <c r="S176" s="92">
        <f t="shared" ca="1" si="41"/>
        <v>404</v>
      </c>
      <c r="T176" s="92"/>
      <c r="U176" s="72">
        <f t="shared" ref="U176:U177" si="44">U175+1</f>
        <v>4</v>
      </c>
      <c r="V176" s="73">
        <f t="shared" ref="V176:V177" ca="1" si="45">V175+1</f>
        <v>404</v>
      </c>
    </row>
    <row r="177" spans="1:23" s="73" customFormat="1" ht="15.75" customHeight="1" x14ac:dyDescent="0.3">
      <c r="A177" s="93">
        <v>6</v>
      </c>
      <c r="B177" s="93"/>
      <c r="C177" s="90"/>
      <c r="D177" s="95"/>
      <c r="E177" s="95"/>
      <c r="F177" s="91"/>
      <c r="G177" s="90"/>
      <c r="H177" s="91"/>
      <c r="I177" s="72"/>
      <c r="S177" s="92">
        <f t="shared" ca="1" si="41"/>
        <v>405</v>
      </c>
      <c r="T177" s="92"/>
      <c r="U177" s="72">
        <f t="shared" si="44"/>
        <v>5</v>
      </c>
      <c r="V177" s="73">
        <f t="shared" ca="1" si="45"/>
        <v>405</v>
      </c>
    </row>
    <row r="178" spans="1:23" s="73" customFormat="1" x14ac:dyDescent="0.3">
      <c r="A178" s="105" t="s">
        <v>263</v>
      </c>
      <c r="B178" s="106"/>
      <c r="C178" s="106"/>
      <c r="D178" s="106"/>
      <c r="E178" s="106"/>
      <c r="F178" s="106"/>
      <c r="G178" s="106"/>
      <c r="H178" s="107"/>
      <c r="I178" s="72"/>
      <c r="S178" s="92"/>
      <c r="T178" s="92"/>
      <c r="V178" s="73" t="str">
        <f>LEFT(A178,SUM(LEN(A178)-LEN(SUBSTITUTE(A178,{"0","1","2","3","4","5","6","7","8","9"},""))))</f>
        <v>6</v>
      </c>
    </row>
    <row r="179" spans="1:23" s="73" customFormat="1" ht="15.75" customHeight="1" x14ac:dyDescent="0.3">
      <c r="A179" s="93">
        <v>1</v>
      </c>
      <c r="B179" s="93"/>
      <c r="C179" s="56" t="s">
        <v>180</v>
      </c>
      <c r="D179" s="56">
        <f>35.85*10.764</f>
        <v>385.88939999999997</v>
      </c>
      <c r="E179" s="56">
        <v>0</v>
      </c>
      <c r="F179" s="56">
        <f t="shared" ref="F179:F182" si="46">D179*(($F$101)+1)+E179</f>
        <v>617.42304000000001</v>
      </c>
      <c r="G179" s="86" t="str">
        <f>A178</f>
        <v>6th Podium Floor for Residential &amp; Entrance Lobby (ECO Deck Floor)</v>
      </c>
      <c r="H179" s="87"/>
      <c r="I179" s="72"/>
      <c r="S179" s="92">
        <f t="shared" ref="S179:S184" ca="1" si="47">V179</f>
        <v>601</v>
      </c>
      <c r="T179" s="92"/>
      <c r="U179" s="72">
        <v>1</v>
      </c>
      <c r="V179" s="73">
        <f ca="1">(SUMPRODUCT(MID(0&amp;V178, LARGE(INDEX(ISNUMBER(--MID(V178, ROW(INDIRECT("1:"&amp;LEN(V178))), 1)) * ROW(INDIRECT("1:"&amp;LEN(V178))), 0), ROW(INDIRECT("1:"&amp;LEN(V178))))+1, 1) * 10^ROW(INDIRECT("1:"&amp;LEN(V178)))/10))*U179*100+1</f>
        <v>601</v>
      </c>
    </row>
    <row r="180" spans="1:23" s="73" customFormat="1" ht="15.75" customHeight="1" x14ac:dyDescent="0.3">
      <c r="A180" s="93">
        <v>2</v>
      </c>
      <c r="B180" s="93"/>
      <c r="C180" s="56" t="s">
        <v>180</v>
      </c>
      <c r="D180" s="56">
        <f>33.61*10.764</f>
        <v>361.77803999999998</v>
      </c>
      <c r="E180" s="56">
        <v>0</v>
      </c>
      <c r="F180" s="56">
        <f t="shared" si="46"/>
        <v>578.84486400000003</v>
      </c>
      <c r="G180" s="88"/>
      <c r="H180" s="89"/>
      <c r="I180" s="72"/>
      <c r="S180" s="92">
        <f t="shared" ca="1" si="47"/>
        <v>602</v>
      </c>
      <c r="T180" s="92"/>
      <c r="U180" s="72">
        <f>U179+1</f>
        <v>2</v>
      </c>
      <c r="V180" s="73">
        <f ca="1">V179+1</f>
        <v>602</v>
      </c>
    </row>
    <row r="181" spans="1:23" s="73" customFormat="1" ht="15.75" customHeight="1" x14ac:dyDescent="0.3">
      <c r="A181" s="93">
        <v>3</v>
      </c>
      <c r="B181" s="93"/>
      <c r="C181" s="56" t="s">
        <v>180</v>
      </c>
      <c r="D181" s="56">
        <f>35.85*10.764</f>
        <v>385.88939999999997</v>
      </c>
      <c r="E181" s="56">
        <v>0</v>
      </c>
      <c r="F181" s="56">
        <f t="shared" si="46"/>
        <v>617.42304000000001</v>
      </c>
      <c r="G181" s="88"/>
      <c r="H181" s="89"/>
      <c r="I181" s="72"/>
      <c r="S181" s="92">
        <f t="shared" ca="1" si="47"/>
        <v>603</v>
      </c>
      <c r="T181" s="92"/>
      <c r="U181" s="72">
        <f>U180+1</f>
        <v>3</v>
      </c>
      <c r="V181" s="73">
        <f ca="1">V180+1</f>
        <v>603</v>
      </c>
    </row>
    <row r="182" spans="1:23" s="73" customFormat="1" ht="15.75" customHeight="1" x14ac:dyDescent="0.3">
      <c r="A182" s="93">
        <v>4</v>
      </c>
      <c r="B182" s="93"/>
      <c r="C182" s="56" t="s">
        <v>261</v>
      </c>
      <c r="D182" s="56">
        <f>45.53*10.764</f>
        <v>490.08491999999995</v>
      </c>
      <c r="E182" s="56">
        <v>0</v>
      </c>
      <c r="F182" s="56">
        <f t="shared" si="46"/>
        <v>784.13587199999995</v>
      </c>
      <c r="G182" s="88"/>
      <c r="H182" s="89"/>
      <c r="I182" s="72"/>
      <c r="S182" s="92">
        <f t="shared" ca="1" si="47"/>
        <v>603</v>
      </c>
      <c r="T182" s="92"/>
      <c r="U182" s="72">
        <f>U180+1</f>
        <v>3</v>
      </c>
      <c r="V182" s="73">
        <f ca="1">V180+1</f>
        <v>603</v>
      </c>
    </row>
    <row r="183" spans="1:23" s="73" customFormat="1" ht="15.75" customHeight="1" x14ac:dyDescent="0.3">
      <c r="A183" s="93">
        <v>5</v>
      </c>
      <c r="B183" s="93"/>
      <c r="C183" s="86" t="s">
        <v>262</v>
      </c>
      <c r="D183" s="94"/>
      <c r="E183" s="94"/>
      <c r="F183" s="87"/>
      <c r="G183" s="88"/>
      <c r="H183" s="89"/>
      <c r="I183" s="72"/>
      <c r="S183" s="92">
        <f t="shared" ca="1" si="47"/>
        <v>604</v>
      </c>
      <c r="T183" s="92"/>
      <c r="U183" s="72">
        <f t="shared" ref="U183:U184" si="48">U182+1</f>
        <v>4</v>
      </c>
      <c r="V183" s="73">
        <f t="shared" ref="V183:V184" ca="1" si="49">V182+1</f>
        <v>604</v>
      </c>
    </row>
    <row r="184" spans="1:23" s="73" customFormat="1" ht="15.75" customHeight="1" x14ac:dyDescent="0.3">
      <c r="A184" s="93">
        <v>6</v>
      </c>
      <c r="B184" s="93"/>
      <c r="C184" s="90"/>
      <c r="D184" s="95"/>
      <c r="E184" s="95"/>
      <c r="F184" s="91"/>
      <c r="G184" s="90"/>
      <c r="H184" s="91"/>
      <c r="I184" s="72"/>
      <c r="S184" s="92">
        <f t="shared" ca="1" si="47"/>
        <v>605</v>
      </c>
      <c r="T184" s="92"/>
      <c r="U184" s="72">
        <f t="shared" si="48"/>
        <v>5</v>
      </c>
      <c r="V184" s="73">
        <f t="shared" ca="1" si="49"/>
        <v>605</v>
      </c>
    </row>
    <row r="185" spans="1:23" s="73" customFormat="1" x14ac:dyDescent="0.3">
      <c r="A185" s="104" t="s">
        <v>201</v>
      </c>
      <c r="B185" s="104"/>
      <c r="C185" s="104"/>
      <c r="D185" s="104"/>
      <c r="E185" s="104"/>
      <c r="F185" s="104"/>
      <c r="G185" s="104"/>
      <c r="H185" s="104"/>
      <c r="I185" s="72"/>
      <c r="S185" s="92"/>
      <c r="T185" s="92"/>
      <c r="V185" s="73" t="str">
        <f>LEFT(A185,SUM(LEN(A185)-LEN(SUBSTITUTE(A185,{"0","1","2","3","4","5","6","7","8","9"},""))))</f>
        <v>7</v>
      </c>
    </row>
    <row r="186" spans="1:23" s="73" customFormat="1" ht="15.75" customHeight="1" x14ac:dyDescent="0.3">
      <c r="A186" s="93">
        <v>1</v>
      </c>
      <c r="B186" s="93"/>
      <c r="C186" s="56" t="s">
        <v>180</v>
      </c>
      <c r="D186" s="56">
        <f>35.85*10.764</f>
        <v>385.88939999999997</v>
      </c>
      <c r="E186" s="56">
        <v>0</v>
      </c>
      <c r="F186" s="56">
        <f t="shared" ref="F186:F189" si="50">D186*(($F$101)+1)+E186</f>
        <v>617.42304000000001</v>
      </c>
      <c r="G186" s="93" t="str">
        <f>A185</f>
        <v>7th Podium Floor for Residential &amp; Below Entrance Lobby</v>
      </c>
      <c r="H186" s="93"/>
      <c r="I186" s="72"/>
      <c r="S186" s="92">
        <f t="shared" ref="S186:S191" ca="1" si="51">V186</f>
        <v>701</v>
      </c>
      <c r="T186" s="92"/>
      <c r="U186" s="72">
        <v>1</v>
      </c>
      <c r="V186" s="73">
        <f ca="1">(SUMPRODUCT(MID(0&amp;V185, LARGE(INDEX(ISNUMBER(--MID(V185, ROW(INDIRECT("1:"&amp;LEN(V185))), 1)) * ROW(INDIRECT("1:"&amp;LEN(V185))), 0), ROW(INDIRECT("1:"&amp;LEN(V185))))+1, 1) * 10^ROW(INDIRECT("1:"&amp;LEN(V185)))/10))*U186*100+1</f>
        <v>701</v>
      </c>
    </row>
    <row r="187" spans="1:23" s="73" customFormat="1" ht="15.75" customHeight="1" x14ac:dyDescent="0.3">
      <c r="A187" s="93">
        <v>2</v>
      </c>
      <c r="B187" s="93"/>
      <c r="C187" s="56" t="s">
        <v>180</v>
      </c>
      <c r="D187" s="56">
        <f>33.61*10.764</f>
        <v>361.77803999999998</v>
      </c>
      <c r="E187" s="56">
        <v>0</v>
      </c>
      <c r="F187" s="56">
        <f t="shared" si="50"/>
        <v>578.84486400000003</v>
      </c>
      <c r="G187" s="93"/>
      <c r="H187" s="93"/>
      <c r="I187" s="72"/>
      <c r="S187" s="92">
        <f t="shared" ca="1" si="51"/>
        <v>702</v>
      </c>
      <c r="T187" s="92"/>
      <c r="U187" s="72">
        <f>U186+1</f>
        <v>2</v>
      </c>
      <c r="V187" s="73">
        <f ca="1">V186+1</f>
        <v>702</v>
      </c>
    </row>
    <row r="188" spans="1:23" s="73" customFormat="1" ht="15.75" customHeight="1" x14ac:dyDescent="0.3">
      <c r="A188" s="93">
        <v>3</v>
      </c>
      <c r="B188" s="93"/>
      <c r="C188" s="56" t="s">
        <v>180</v>
      </c>
      <c r="D188" s="56">
        <f>35.85*10.764</f>
        <v>385.88939999999997</v>
      </c>
      <c r="E188" s="56">
        <v>0</v>
      </c>
      <c r="F188" s="56">
        <f t="shared" si="50"/>
        <v>617.42304000000001</v>
      </c>
      <c r="G188" s="93"/>
      <c r="H188" s="93"/>
      <c r="I188" s="72"/>
      <c r="S188" s="92">
        <f t="shared" ca="1" si="51"/>
        <v>703</v>
      </c>
      <c r="T188" s="92"/>
      <c r="U188" s="72">
        <f>U187+1</f>
        <v>3</v>
      </c>
      <c r="V188" s="73">
        <f ca="1">V187+1</f>
        <v>703</v>
      </c>
    </row>
    <row r="189" spans="1:23" s="73" customFormat="1" ht="15.75" customHeight="1" x14ac:dyDescent="0.3">
      <c r="A189" s="93">
        <v>4</v>
      </c>
      <c r="B189" s="93"/>
      <c r="C189" s="56" t="s">
        <v>261</v>
      </c>
      <c r="D189" s="56">
        <f>45.53*10.764</f>
        <v>490.08491999999995</v>
      </c>
      <c r="E189" s="56">
        <v>0</v>
      </c>
      <c r="F189" s="56">
        <f t="shared" si="50"/>
        <v>784.13587199999995</v>
      </c>
      <c r="G189" s="93"/>
      <c r="H189" s="93"/>
      <c r="I189" s="72"/>
      <c r="S189" s="92">
        <f t="shared" ca="1" si="51"/>
        <v>703</v>
      </c>
      <c r="T189" s="92"/>
      <c r="U189" s="72">
        <f>U187+1</f>
        <v>3</v>
      </c>
      <c r="V189" s="73">
        <f ca="1">V187+1</f>
        <v>703</v>
      </c>
    </row>
    <row r="190" spans="1:23" s="73" customFormat="1" ht="15.75" customHeight="1" x14ac:dyDescent="0.3">
      <c r="A190" s="93">
        <v>5</v>
      </c>
      <c r="B190" s="93"/>
      <c r="C190" s="93" t="s">
        <v>262</v>
      </c>
      <c r="D190" s="93"/>
      <c r="E190" s="93"/>
      <c r="F190" s="93"/>
      <c r="G190" s="93"/>
      <c r="H190" s="93"/>
      <c r="I190" s="72"/>
      <c r="S190" s="92">
        <f t="shared" ca="1" si="51"/>
        <v>704</v>
      </c>
      <c r="T190" s="92"/>
      <c r="U190" s="72">
        <f t="shared" ref="U190:U191" si="52">U189+1</f>
        <v>4</v>
      </c>
      <c r="V190" s="73">
        <f t="shared" ref="V190:V191" ca="1" si="53">V189+1</f>
        <v>704</v>
      </c>
    </row>
    <row r="191" spans="1:23" s="73" customFormat="1" ht="15.75" customHeight="1" x14ac:dyDescent="0.3">
      <c r="A191" s="93">
        <v>6</v>
      </c>
      <c r="B191" s="93"/>
      <c r="C191" s="93"/>
      <c r="D191" s="93"/>
      <c r="E191" s="93"/>
      <c r="F191" s="93"/>
      <c r="G191" s="93"/>
      <c r="H191" s="93"/>
      <c r="I191" s="72"/>
      <c r="S191" s="92">
        <f t="shared" ca="1" si="51"/>
        <v>705</v>
      </c>
      <c r="T191" s="92"/>
      <c r="U191" s="72">
        <f t="shared" si="52"/>
        <v>5</v>
      </c>
      <c r="V191" s="73">
        <f t="shared" ca="1" si="53"/>
        <v>705</v>
      </c>
    </row>
    <row r="192" spans="1:23" s="73" customFormat="1" ht="15.75" customHeight="1" x14ac:dyDescent="0.3">
      <c r="A192" s="104" t="s">
        <v>232</v>
      </c>
      <c r="B192" s="104"/>
      <c r="C192" s="104"/>
      <c r="D192" s="104"/>
      <c r="E192" s="104"/>
      <c r="F192" s="104"/>
      <c r="G192" s="104"/>
      <c r="H192" s="104"/>
      <c r="I192" s="72"/>
      <c r="S192" s="92" t="s">
        <v>167</v>
      </c>
      <c r="T192" s="92"/>
      <c r="V192" s="73" t="str">
        <f>LEFT(A192,SUM(LEN(A192)-LEN(SUBSTITUTE(A192,{"0","1"},""))))</f>
        <v>8th</v>
      </c>
      <c r="W192" s="73">
        <f ca="1">--TRIM(RIGHT(SUBSTITUTE(LEFT(A192,_xlfn.AGGREGATE(16,6,FIND({0,1,2,3,4,5,6,7,8,9},A192,ROW(INDIRECT("1:"&amp;LEN(A192)))),1))," ",REPT(" ",LEN(A192))),LEN(A192)))</f>
        <v>16</v>
      </c>
    </row>
    <row r="193" spans="1:23" s="73" customFormat="1" ht="15.75" customHeight="1" x14ac:dyDescent="0.3">
      <c r="A193" s="93">
        <v>1</v>
      </c>
      <c r="B193" s="93"/>
      <c r="C193" s="56" t="s">
        <v>180</v>
      </c>
      <c r="D193" s="56">
        <f>35.85*10.764</f>
        <v>385.88939999999997</v>
      </c>
      <c r="E193" s="56">
        <v>0</v>
      </c>
      <c r="F193" s="56">
        <f t="shared" ref="F193:F196" si="54">D193*(($F$101)+1)+E193</f>
        <v>617.42304000000001</v>
      </c>
      <c r="G193" s="93" t="str">
        <f>A192</f>
        <v>8th, 9th, 11th to 16th Floor</v>
      </c>
      <c r="H193" s="93"/>
      <c r="I193" s="72"/>
      <c r="S193" s="92" t="str">
        <f t="shared" ref="S193:S198" ca="1" si="55">V193&amp;""&amp;$S$206&amp;""&amp;W193</f>
        <v>801,..,1601</v>
      </c>
      <c r="T193" s="92"/>
      <c r="U193" s="72">
        <v>1</v>
      </c>
      <c r="V193" s="73">
        <f ca="1">(SUMPRODUCT(MID(0&amp;V192, LARGE(INDEX(ISNUMBER(--MID(V192, ROW(INDIRECT("1:"&amp;LEN(V192))), 1)) * ROW(INDIRECT("1:"&amp;LEN(V192))), 0), ROW(INDIRECT("1:"&amp;LEN(V192))))+1, 1) * 10^ROW(INDIRECT("1:"&amp;LEN(V192)))/10))*U193*100+1</f>
        <v>801</v>
      </c>
      <c r="W193" s="73">
        <f ca="1">(SUMPRODUCT(MID(0&amp;W192, LARGE(INDEX(ISNUMBER(--MID(W192, ROW(INDIRECT("1:"&amp;LEN(W192))), 1)) * ROW(INDIRECT("1:"&amp;LEN(W192))), 0), ROW(INDIRECT("1:"&amp;LEN(W192))))+1, 1) * 10^ROW(INDIRECT("1:"&amp;LEN(W192)))/10))*U193*100+1</f>
        <v>1601</v>
      </c>
    </row>
    <row r="194" spans="1:23" s="73" customFormat="1" ht="15.75" customHeight="1" x14ac:dyDescent="0.3">
      <c r="A194" s="93">
        <v>2</v>
      </c>
      <c r="B194" s="93"/>
      <c r="C194" s="56" t="s">
        <v>180</v>
      </c>
      <c r="D194" s="56">
        <f>33.61*10.764</f>
        <v>361.77803999999998</v>
      </c>
      <c r="E194" s="56">
        <v>0</v>
      </c>
      <c r="F194" s="56">
        <f t="shared" si="54"/>
        <v>578.84486400000003</v>
      </c>
      <c r="G194" s="93"/>
      <c r="H194" s="93"/>
      <c r="I194" s="72"/>
      <c r="S194" s="92" t="str">
        <f t="shared" ca="1" si="55"/>
        <v>802,..,1602</v>
      </c>
      <c r="T194" s="92"/>
      <c r="U194" s="72">
        <f t="shared" ref="U194:W194" si="56">U193+1</f>
        <v>2</v>
      </c>
      <c r="V194" s="73">
        <f t="shared" ca="1" si="56"/>
        <v>802</v>
      </c>
      <c r="W194" s="73">
        <f t="shared" ca="1" si="56"/>
        <v>1602</v>
      </c>
    </row>
    <row r="195" spans="1:23" s="73" customFormat="1" ht="15.75" customHeight="1" x14ac:dyDescent="0.3">
      <c r="A195" s="93">
        <v>3</v>
      </c>
      <c r="B195" s="93"/>
      <c r="C195" s="56" t="s">
        <v>180</v>
      </c>
      <c r="D195" s="56">
        <f>35.85*10.764</f>
        <v>385.88939999999997</v>
      </c>
      <c r="E195" s="56">
        <v>0</v>
      </c>
      <c r="F195" s="56">
        <f t="shared" si="54"/>
        <v>617.42304000000001</v>
      </c>
      <c r="G195" s="93"/>
      <c r="H195" s="93"/>
      <c r="I195" s="72"/>
      <c r="S195" s="92" t="str">
        <f t="shared" ca="1" si="55"/>
        <v>803,..,1603</v>
      </c>
      <c r="T195" s="92"/>
      <c r="U195" s="72">
        <f t="shared" ref="U195:W195" si="57">U194+1</f>
        <v>3</v>
      </c>
      <c r="V195" s="73">
        <f t="shared" ca="1" si="57"/>
        <v>803</v>
      </c>
      <c r="W195" s="73">
        <f t="shared" ca="1" si="57"/>
        <v>1603</v>
      </c>
    </row>
    <row r="196" spans="1:23" s="73" customFormat="1" ht="15.75" customHeight="1" x14ac:dyDescent="0.3">
      <c r="A196" s="93">
        <v>4</v>
      </c>
      <c r="B196" s="93"/>
      <c r="C196" s="56" t="s">
        <v>261</v>
      </c>
      <c r="D196" s="56">
        <f>45.53*10.764</f>
        <v>490.08491999999995</v>
      </c>
      <c r="E196" s="56">
        <v>0</v>
      </c>
      <c r="F196" s="56">
        <f t="shared" si="54"/>
        <v>784.13587199999995</v>
      </c>
      <c r="G196" s="93"/>
      <c r="H196" s="93"/>
      <c r="I196" s="72"/>
      <c r="S196" s="92" t="str">
        <f t="shared" ca="1" si="55"/>
        <v>804,..,1604</v>
      </c>
      <c r="T196" s="92"/>
      <c r="U196" s="72">
        <f t="shared" ref="U196:W196" si="58">U195+1</f>
        <v>4</v>
      </c>
      <c r="V196" s="73">
        <f t="shared" ca="1" si="58"/>
        <v>804</v>
      </c>
      <c r="W196" s="73">
        <f t="shared" ca="1" si="58"/>
        <v>1604</v>
      </c>
    </row>
    <row r="197" spans="1:23" s="73" customFormat="1" ht="15.75" customHeight="1" x14ac:dyDescent="0.3">
      <c r="A197" s="93">
        <v>5</v>
      </c>
      <c r="B197" s="93"/>
      <c r="C197" s="56" t="s">
        <v>158</v>
      </c>
      <c r="D197" s="56">
        <f>76.8*10.764</f>
        <v>826.6751999999999</v>
      </c>
      <c r="E197" s="56">
        <v>0</v>
      </c>
      <c r="F197" s="56">
        <f t="shared" ref="F197:F198" si="59">D197*(($F$101)+1)+E197</f>
        <v>1322.6803199999999</v>
      </c>
      <c r="G197" s="93"/>
      <c r="H197" s="93"/>
      <c r="I197" s="72"/>
      <c r="S197" s="92" t="str">
        <f t="shared" ca="1" si="55"/>
        <v>805,..,1605</v>
      </c>
      <c r="T197" s="92"/>
      <c r="U197" s="72">
        <f t="shared" ref="U197:W197" si="60">U196+1</f>
        <v>5</v>
      </c>
      <c r="V197" s="73">
        <f t="shared" ca="1" si="60"/>
        <v>805</v>
      </c>
      <c r="W197" s="73">
        <f t="shared" ca="1" si="60"/>
        <v>1605</v>
      </c>
    </row>
    <row r="198" spans="1:23" s="73" customFormat="1" ht="15.75" customHeight="1" x14ac:dyDescent="0.3">
      <c r="A198" s="93">
        <v>6</v>
      </c>
      <c r="B198" s="93"/>
      <c r="C198" s="56" t="s">
        <v>181</v>
      </c>
      <c r="D198" s="56">
        <f>58.22*10.764</f>
        <v>626.68007999999998</v>
      </c>
      <c r="E198" s="56">
        <v>0</v>
      </c>
      <c r="F198" s="56">
        <f t="shared" si="59"/>
        <v>1002.688128</v>
      </c>
      <c r="G198" s="93"/>
      <c r="H198" s="93"/>
      <c r="I198" s="72"/>
      <c r="S198" s="92" t="str">
        <f t="shared" ca="1" si="55"/>
        <v>806,..,1606</v>
      </c>
      <c r="T198" s="92"/>
      <c r="U198" s="72">
        <f t="shared" ref="U198:W198" si="61">U197+1</f>
        <v>6</v>
      </c>
      <c r="V198" s="73">
        <f t="shared" ca="1" si="61"/>
        <v>806</v>
      </c>
      <c r="W198" s="73">
        <f t="shared" ca="1" si="61"/>
        <v>1606</v>
      </c>
    </row>
    <row r="199" spans="1:23" s="73" customFormat="1" ht="15.75" customHeight="1" x14ac:dyDescent="0.3">
      <c r="A199" s="105" t="s">
        <v>233</v>
      </c>
      <c r="B199" s="106"/>
      <c r="C199" s="106"/>
      <c r="D199" s="106"/>
      <c r="E199" s="106"/>
      <c r="F199" s="106"/>
      <c r="G199" s="106"/>
      <c r="H199" s="107"/>
      <c r="I199" s="72"/>
      <c r="S199" s="92"/>
      <c r="T199" s="92"/>
      <c r="V199" s="73" t="str">
        <f>LEFT(A199,SUM(LEN(A199)-LEN(SUBSTITUTE(A199,{"0","1","2","3","4","5","6","7","8","9"},""))))</f>
        <v>10</v>
      </c>
    </row>
    <row r="200" spans="1:23" s="73" customFormat="1" x14ac:dyDescent="0.3">
      <c r="A200" s="93">
        <v>1</v>
      </c>
      <c r="B200" s="93"/>
      <c r="C200" s="56" t="s">
        <v>180</v>
      </c>
      <c r="D200" s="56">
        <f>35.85*10.764</f>
        <v>385.88939999999997</v>
      </c>
      <c r="E200" s="56">
        <v>0</v>
      </c>
      <c r="F200" s="56">
        <f t="shared" ref="F200:F205" si="62">D200*(($F$101)+1)+E200</f>
        <v>617.42304000000001</v>
      </c>
      <c r="G200" s="86" t="str">
        <f>A199</f>
        <v>10th Floor</v>
      </c>
      <c r="H200" s="87"/>
      <c r="I200" s="72"/>
      <c r="S200" s="92">
        <f t="shared" ref="S200:S205" ca="1" si="63">V200</f>
        <v>1001</v>
      </c>
      <c r="T200" s="92"/>
      <c r="U200" s="72">
        <v>1</v>
      </c>
      <c r="V200" s="73">
        <f ca="1">(SUMPRODUCT(MID(0&amp;V199, LARGE(INDEX(ISNUMBER(--MID(V199, ROW(INDIRECT("1:"&amp;LEN(V199))), 1)) * ROW(INDIRECT("1:"&amp;LEN(V199))), 0), ROW(INDIRECT("1:"&amp;LEN(V199))))+1, 1) * 10^ROW(INDIRECT("1:"&amp;LEN(V199)))/10))*U200*100+1</f>
        <v>1001</v>
      </c>
    </row>
    <row r="201" spans="1:23" s="73" customFormat="1" x14ac:dyDescent="0.3">
      <c r="A201" s="93">
        <v>2</v>
      </c>
      <c r="B201" s="93"/>
      <c r="C201" s="56" t="s">
        <v>180</v>
      </c>
      <c r="D201" s="56">
        <f>34.61*10.764</f>
        <v>372.54203999999999</v>
      </c>
      <c r="E201" s="56">
        <v>0</v>
      </c>
      <c r="F201" s="56">
        <f t="shared" si="62"/>
        <v>596.06726400000002</v>
      </c>
      <c r="G201" s="88"/>
      <c r="H201" s="89"/>
      <c r="I201" s="72"/>
      <c r="S201" s="92">
        <f t="shared" ca="1" si="63"/>
        <v>1002</v>
      </c>
      <c r="T201" s="92"/>
      <c r="U201" s="72">
        <f>U200+1</f>
        <v>2</v>
      </c>
      <c r="V201" s="73">
        <f ca="1">V200+1</f>
        <v>1002</v>
      </c>
    </row>
    <row r="202" spans="1:23" s="73" customFormat="1" ht="15.75" customHeight="1" x14ac:dyDescent="0.3">
      <c r="A202" s="93">
        <v>3</v>
      </c>
      <c r="B202" s="93"/>
      <c r="C202" s="56" t="s">
        <v>180</v>
      </c>
      <c r="D202" s="56">
        <f>35.85*10.764</f>
        <v>385.88939999999997</v>
      </c>
      <c r="E202" s="56">
        <v>0</v>
      </c>
      <c r="F202" s="56">
        <f t="shared" si="62"/>
        <v>617.42304000000001</v>
      </c>
      <c r="G202" s="88"/>
      <c r="H202" s="89"/>
      <c r="I202" s="72"/>
      <c r="S202" s="92">
        <f t="shared" ca="1" si="63"/>
        <v>1003</v>
      </c>
      <c r="T202" s="92"/>
      <c r="U202" s="72">
        <f t="shared" ref="U202:U205" si="64">U201+1</f>
        <v>3</v>
      </c>
      <c r="V202" s="73">
        <f t="shared" ref="V202:V205" ca="1" si="65">V201+1</f>
        <v>1003</v>
      </c>
    </row>
    <row r="203" spans="1:23" s="73" customFormat="1" ht="15.75" customHeight="1" x14ac:dyDescent="0.3">
      <c r="A203" s="93">
        <v>4</v>
      </c>
      <c r="B203" s="93"/>
      <c r="C203" s="56" t="s">
        <v>261</v>
      </c>
      <c r="D203" s="56">
        <f>45.53*10.764</f>
        <v>490.08491999999995</v>
      </c>
      <c r="E203" s="56">
        <v>0</v>
      </c>
      <c r="F203" s="56">
        <f t="shared" si="62"/>
        <v>784.13587199999995</v>
      </c>
      <c r="G203" s="88"/>
      <c r="H203" s="89"/>
      <c r="I203" s="72"/>
      <c r="S203" s="92">
        <f t="shared" ca="1" si="63"/>
        <v>1004</v>
      </c>
      <c r="T203" s="92"/>
      <c r="U203" s="72">
        <f t="shared" si="64"/>
        <v>4</v>
      </c>
      <c r="V203" s="73">
        <f t="shared" ca="1" si="65"/>
        <v>1004</v>
      </c>
    </row>
    <row r="204" spans="1:23" s="73" customFormat="1" ht="15.75" customHeight="1" x14ac:dyDescent="0.3">
      <c r="A204" s="93">
        <v>5</v>
      </c>
      <c r="B204" s="93"/>
      <c r="C204" s="56" t="s">
        <v>158</v>
      </c>
      <c r="D204" s="56">
        <f>76.8*10.764</f>
        <v>826.6751999999999</v>
      </c>
      <c r="E204" s="56">
        <v>0</v>
      </c>
      <c r="F204" s="56">
        <f t="shared" si="62"/>
        <v>1322.6803199999999</v>
      </c>
      <c r="G204" s="88"/>
      <c r="H204" s="89"/>
      <c r="I204" s="72"/>
      <c r="S204" s="92">
        <f t="shared" ca="1" si="63"/>
        <v>1005</v>
      </c>
      <c r="T204" s="92"/>
      <c r="U204" s="72">
        <f t="shared" si="64"/>
        <v>5</v>
      </c>
      <c r="V204" s="73">
        <f t="shared" ca="1" si="65"/>
        <v>1005</v>
      </c>
    </row>
    <row r="205" spans="1:23" s="73" customFormat="1" ht="15.75" customHeight="1" x14ac:dyDescent="0.3">
      <c r="A205" s="93">
        <v>6</v>
      </c>
      <c r="B205" s="93"/>
      <c r="C205" s="56" t="s">
        <v>181</v>
      </c>
      <c r="D205" s="56">
        <f>58.22*10.764</f>
        <v>626.68007999999998</v>
      </c>
      <c r="E205" s="56">
        <v>0</v>
      </c>
      <c r="F205" s="56">
        <f t="shared" si="62"/>
        <v>1002.688128</v>
      </c>
      <c r="G205" s="90"/>
      <c r="H205" s="91"/>
      <c r="I205" s="72"/>
      <c r="S205" s="92">
        <f t="shared" ca="1" si="63"/>
        <v>1006</v>
      </c>
      <c r="T205" s="92"/>
      <c r="U205" s="72">
        <f t="shared" si="64"/>
        <v>6</v>
      </c>
      <c r="V205" s="73">
        <f t="shared" ca="1" si="65"/>
        <v>1006</v>
      </c>
    </row>
    <row r="206" spans="1:23" s="73" customFormat="1" ht="15.75" customHeight="1" x14ac:dyDescent="0.3">
      <c r="A206" s="105" t="s">
        <v>253</v>
      </c>
      <c r="B206" s="106"/>
      <c r="C206" s="106"/>
      <c r="D206" s="106"/>
      <c r="E206" s="106"/>
      <c r="F206" s="106"/>
      <c r="G206" s="106"/>
      <c r="H206" s="107"/>
      <c r="I206" s="72"/>
      <c r="S206" s="92" t="s">
        <v>167</v>
      </c>
      <c r="T206" s="92"/>
      <c r="V206" s="73" t="str">
        <f>LEFT(A206,SUM(LEN(A206)-LEN(SUBSTITUTE(A206,{"0","1"},""))))</f>
        <v>18</v>
      </c>
      <c r="W206" s="73">
        <f ca="1">--TRIM(RIGHT(SUBSTITUTE(LEFT(A206,_xlfn.AGGREGATE(16,6,FIND({0,1,2,3,4,5,6,7,8,9},A206,ROW(INDIRECT("1:"&amp;LEN(A206)))),1))," ",REPT(" ",LEN(A206))),LEN(A206)))</f>
        <v>32</v>
      </c>
    </row>
    <row r="207" spans="1:23" s="73" customFormat="1" ht="15.75" customHeight="1" x14ac:dyDescent="0.3">
      <c r="A207" s="93">
        <v>1</v>
      </c>
      <c r="B207" s="93"/>
      <c r="C207" s="56" t="s">
        <v>180</v>
      </c>
      <c r="D207" s="56">
        <f>35.85*10.764</f>
        <v>385.88939999999997</v>
      </c>
      <c r="E207" s="56">
        <v>0</v>
      </c>
      <c r="F207" s="56">
        <f t="shared" ref="F207:F211" si="66">D207*(($F$101)+1)+E207</f>
        <v>617.42304000000001</v>
      </c>
      <c r="G207" s="86" t="str">
        <f>A206</f>
        <v>18th to 23rd, 25th to 30th &amp; 32nd Floor</v>
      </c>
      <c r="H207" s="87"/>
      <c r="I207" s="72"/>
      <c r="S207" s="92" t="str">
        <f t="shared" ref="S207:S212" ca="1" si="67">V207&amp;""&amp;$S$206&amp;""&amp;W207</f>
        <v>1801,..,3201</v>
      </c>
      <c r="T207" s="92"/>
      <c r="U207" s="72">
        <v>1</v>
      </c>
      <c r="V207" s="73">
        <f ca="1">(SUMPRODUCT(MID(0&amp;V206, LARGE(INDEX(ISNUMBER(--MID(V206, ROW(INDIRECT("1:"&amp;LEN(V206))), 1)) * ROW(INDIRECT("1:"&amp;LEN(V206))), 0), ROW(INDIRECT("1:"&amp;LEN(V206))))+1, 1) * 10^ROW(INDIRECT("1:"&amp;LEN(V206)))/10))*U207*100+1</f>
        <v>1801</v>
      </c>
      <c r="W207" s="73">
        <f ca="1">(SUMPRODUCT(MID(0&amp;W206, LARGE(INDEX(ISNUMBER(--MID(W206, ROW(INDIRECT("1:"&amp;LEN(W206))), 1)) * ROW(INDIRECT("1:"&amp;LEN(W206))), 0), ROW(INDIRECT("1:"&amp;LEN(W206))))+1, 1) * 10^ROW(INDIRECT("1:"&amp;LEN(W206)))/10))*U207*100+1</f>
        <v>3201</v>
      </c>
    </row>
    <row r="208" spans="1:23" s="73" customFormat="1" ht="15.75" customHeight="1" x14ac:dyDescent="0.3">
      <c r="A208" s="93">
        <v>2</v>
      </c>
      <c r="B208" s="93"/>
      <c r="C208" s="56" t="s">
        <v>180</v>
      </c>
      <c r="D208" s="56">
        <f>34.61*10.764</f>
        <v>372.54203999999999</v>
      </c>
      <c r="E208" s="56">
        <v>0</v>
      </c>
      <c r="F208" s="56">
        <f t="shared" si="66"/>
        <v>596.06726400000002</v>
      </c>
      <c r="G208" s="88"/>
      <c r="H208" s="89"/>
      <c r="I208" s="72"/>
      <c r="S208" s="92" t="str">
        <f t="shared" ca="1" si="67"/>
        <v>1802,..,3202</v>
      </c>
      <c r="T208" s="92"/>
      <c r="U208" s="72">
        <f t="shared" ref="U208:W211" si="68">U207+1</f>
        <v>2</v>
      </c>
      <c r="V208" s="73">
        <f t="shared" ca="1" si="68"/>
        <v>1802</v>
      </c>
      <c r="W208" s="73">
        <f t="shared" ca="1" si="68"/>
        <v>3202</v>
      </c>
    </row>
    <row r="209" spans="1:23" s="73" customFormat="1" ht="15.75" customHeight="1" x14ac:dyDescent="0.3">
      <c r="A209" s="93">
        <v>3</v>
      </c>
      <c r="B209" s="93"/>
      <c r="C209" s="56" t="s">
        <v>180</v>
      </c>
      <c r="D209" s="56">
        <f>35.85*10.764</f>
        <v>385.88939999999997</v>
      </c>
      <c r="E209" s="56">
        <v>0</v>
      </c>
      <c r="F209" s="56">
        <f t="shared" si="66"/>
        <v>617.42304000000001</v>
      </c>
      <c r="G209" s="88"/>
      <c r="H209" s="89"/>
      <c r="I209" s="72"/>
      <c r="S209" s="92" t="str">
        <f t="shared" ca="1" si="67"/>
        <v>1803,..,3203</v>
      </c>
      <c r="T209" s="92"/>
      <c r="U209" s="72">
        <f t="shared" si="68"/>
        <v>3</v>
      </c>
      <c r="V209" s="73">
        <f t="shared" ca="1" si="68"/>
        <v>1803</v>
      </c>
      <c r="W209" s="73">
        <f t="shared" ca="1" si="68"/>
        <v>3203</v>
      </c>
    </row>
    <row r="210" spans="1:23" s="73" customFormat="1" ht="15.75" customHeight="1" x14ac:dyDescent="0.3">
      <c r="A210" s="93">
        <v>4</v>
      </c>
      <c r="B210" s="93"/>
      <c r="C210" s="56" t="s">
        <v>261</v>
      </c>
      <c r="D210" s="56">
        <f>45.53*10.764</f>
        <v>490.08491999999995</v>
      </c>
      <c r="E210" s="56">
        <v>0</v>
      </c>
      <c r="F210" s="56">
        <f t="shared" si="66"/>
        <v>784.13587199999995</v>
      </c>
      <c r="G210" s="88"/>
      <c r="H210" s="89"/>
      <c r="I210" s="72"/>
      <c r="S210" s="92" t="str">
        <f t="shared" ca="1" si="67"/>
        <v>1804,..,3204</v>
      </c>
      <c r="T210" s="92"/>
      <c r="U210" s="72">
        <f t="shared" si="68"/>
        <v>4</v>
      </c>
      <c r="V210" s="73">
        <f t="shared" ca="1" si="68"/>
        <v>1804</v>
      </c>
      <c r="W210" s="73">
        <f t="shared" ca="1" si="68"/>
        <v>3204</v>
      </c>
    </row>
    <row r="211" spans="1:23" s="73" customFormat="1" ht="15.75" customHeight="1" x14ac:dyDescent="0.3">
      <c r="A211" s="93">
        <v>5</v>
      </c>
      <c r="B211" s="93"/>
      <c r="C211" s="56" t="s">
        <v>158</v>
      </c>
      <c r="D211" s="56">
        <f>76.8*10.764</f>
        <v>826.6751999999999</v>
      </c>
      <c r="E211" s="56">
        <v>0</v>
      </c>
      <c r="F211" s="56">
        <f t="shared" si="66"/>
        <v>1322.6803199999999</v>
      </c>
      <c r="G211" s="88"/>
      <c r="H211" s="89"/>
      <c r="I211" s="72"/>
      <c r="S211" s="92" t="str">
        <f t="shared" ca="1" si="67"/>
        <v>1805,..,3205</v>
      </c>
      <c r="T211" s="92"/>
      <c r="U211" s="72">
        <f t="shared" si="68"/>
        <v>5</v>
      </c>
      <c r="V211" s="73">
        <f t="shared" ca="1" si="68"/>
        <v>1805</v>
      </c>
      <c r="W211" s="73">
        <f t="shared" ca="1" si="68"/>
        <v>3205</v>
      </c>
    </row>
    <row r="212" spans="1:23" s="73" customFormat="1" ht="15.75" customHeight="1" x14ac:dyDescent="0.3">
      <c r="A212" s="93">
        <v>6</v>
      </c>
      <c r="B212" s="93"/>
      <c r="C212" s="56" t="s">
        <v>181</v>
      </c>
      <c r="D212" s="56">
        <f>58.22*10.764</f>
        <v>626.68007999999998</v>
      </c>
      <c r="E212" s="56">
        <v>0</v>
      </c>
      <c r="F212" s="56">
        <f>D212*(($F$101)+1)+E212</f>
        <v>1002.688128</v>
      </c>
      <c r="G212" s="90"/>
      <c r="H212" s="91"/>
      <c r="I212" s="72"/>
      <c r="S212" s="92" t="str">
        <f t="shared" ca="1" si="67"/>
        <v>1806,..,3206</v>
      </c>
      <c r="T212" s="92"/>
      <c r="U212" s="72">
        <f t="shared" ref="U212:W212" si="69">U211+1</f>
        <v>6</v>
      </c>
      <c r="V212" s="73">
        <f t="shared" ca="1" si="69"/>
        <v>1806</v>
      </c>
      <c r="W212" s="73">
        <f t="shared" ca="1" si="69"/>
        <v>3206</v>
      </c>
    </row>
    <row r="213" spans="1:23" s="73" customFormat="1" ht="15.75" customHeight="1" x14ac:dyDescent="0.3">
      <c r="A213" s="105" t="s">
        <v>254</v>
      </c>
      <c r="B213" s="106"/>
      <c r="C213" s="106"/>
      <c r="D213" s="106"/>
      <c r="E213" s="106"/>
      <c r="F213" s="106"/>
      <c r="G213" s="106"/>
      <c r="H213" s="107"/>
      <c r="I213" s="72"/>
      <c r="S213" s="92" t="s">
        <v>167</v>
      </c>
      <c r="T213" s="92"/>
      <c r="V213" s="73" t="str">
        <f>LEFT(A213,SUM(LEN(A213)-LEN(SUBSTITUTE(A213,{"0","1"},""))))</f>
        <v>1</v>
      </c>
      <c r="W213" s="73">
        <f ca="1">--TRIM(RIGHT(SUBSTITUTE(LEFT(A213,_xlfn.AGGREGATE(16,6,FIND({0,1,2,3,4,5,6,7,8,9},A213,ROW(INDIRECT("1:"&amp;LEN(A213)))),1))," ",REPT(" ",LEN(A213))),LEN(A213)))</f>
        <v>24</v>
      </c>
    </row>
    <row r="214" spans="1:23" s="73" customFormat="1" ht="15.75" customHeight="1" x14ac:dyDescent="0.3">
      <c r="A214" s="93">
        <v>1</v>
      </c>
      <c r="B214" s="93"/>
      <c r="C214" s="56" t="s">
        <v>180</v>
      </c>
      <c r="D214" s="56">
        <f>35.85*10.764</f>
        <v>385.88939999999997</v>
      </c>
      <c r="E214" s="56">
        <v>0</v>
      </c>
      <c r="F214" s="56">
        <f t="shared" ref="F214:F218" si="70">D214*(($F$101)+1)+E214</f>
        <v>617.42304000000001</v>
      </c>
      <c r="G214" s="86" t="str">
        <f>A213</f>
        <v>17th, 24th  Floor</v>
      </c>
      <c r="H214" s="87"/>
      <c r="I214" s="72"/>
      <c r="S214" s="92" t="str">
        <f t="shared" ref="S214:S219" ca="1" si="71">V214&amp;""&amp;$S$206&amp;""&amp;W214</f>
        <v>101,..,2401</v>
      </c>
      <c r="T214" s="92"/>
      <c r="U214" s="72">
        <v>1</v>
      </c>
      <c r="V214" s="73">
        <f ca="1">(SUMPRODUCT(MID(0&amp;V213, LARGE(INDEX(ISNUMBER(--MID(V213, ROW(INDIRECT("1:"&amp;LEN(V213))), 1)) * ROW(INDIRECT("1:"&amp;LEN(V213))), 0), ROW(INDIRECT("1:"&amp;LEN(V213))))+1, 1) * 10^ROW(INDIRECT("1:"&amp;LEN(V213)))/10))*U214*100+1</f>
        <v>101</v>
      </c>
      <c r="W214" s="73">
        <f ca="1">(SUMPRODUCT(MID(0&amp;W213, LARGE(INDEX(ISNUMBER(--MID(W213, ROW(INDIRECT("1:"&amp;LEN(W213))), 1)) * ROW(INDIRECT("1:"&amp;LEN(W213))), 0), ROW(INDIRECT("1:"&amp;LEN(W213))))+1, 1) * 10^ROW(INDIRECT("1:"&amp;LEN(W213)))/10))*U214*100+1</f>
        <v>2401</v>
      </c>
    </row>
    <row r="215" spans="1:23" s="73" customFormat="1" ht="15.75" customHeight="1" x14ac:dyDescent="0.3">
      <c r="A215" s="93">
        <v>2</v>
      </c>
      <c r="B215" s="93"/>
      <c r="C215" s="56" t="s">
        <v>180</v>
      </c>
      <c r="D215" s="56">
        <f>33.61*10.764</f>
        <v>361.77803999999998</v>
      </c>
      <c r="E215" s="56">
        <v>0</v>
      </c>
      <c r="F215" s="56">
        <f t="shared" si="70"/>
        <v>578.84486400000003</v>
      </c>
      <c r="G215" s="88"/>
      <c r="H215" s="89"/>
      <c r="I215" s="72"/>
      <c r="S215" s="92" t="str">
        <f t="shared" ca="1" si="71"/>
        <v>102,..,2402</v>
      </c>
      <c r="T215" s="92"/>
      <c r="U215" s="72">
        <f t="shared" ref="U215:W215" si="72">U214+1</f>
        <v>2</v>
      </c>
      <c r="V215" s="73">
        <f t="shared" ca="1" si="72"/>
        <v>102</v>
      </c>
      <c r="W215" s="73">
        <f t="shared" ca="1" si="72"/>
        <v>2402</v>
      </c>
    </row>
    <row r="216" spans="1:23" s="73" customFormat="1" ht="15.75" customHeight="1" x14ac:dyDescent="0.3">
      <c r="A216" s="93">
        <v>3</v>
      </c>
      <c r="B216" s="93"/>
      <c r="C216" s="56" t="s">
        <v>180</v>
      </c>
      <c r="D216" s="56">
        <f>35.85*10.764</f>
        <v>385.88939999999997</v>
      </c>
      <c r="E216" s="56">
        <v>0</v>
      </c>
      <c r="F216" s="56">
        <f t="shared" si="70"/>
        <v>617.42304000000001</v>
      </c>
      <c r="G216" s="88"/>
      <c r="H216" s="89"/>
      <c r="I216" s="72"/>
      <c r="S216" s="92" t="str">
        <f t="shared" ca="1" si="71"/>
        <v>103,..,2403</v>
      </c>
      <c r="T216" s="92"/>
      <c r="U216" s="72">
        <f t="shared" ref="U216:W216" si="73">U215+1</f>
        <v>3</v>
      </c>
      <c r="V216" s="73">
        <f t="shared" ca="1" si="73"/>
        <v>103</v>
      </c>
      <c r="W216" s="73">
        <f t="shared" ca="1" si="73"/>
        <v>2403</v>
      </c>
    </row>
    <row r="217" spans="1:23" s="73" customFormat="1" ht="15.75" customHeight="1" x14ac:dyDescent="0.3">
      <c r="A217" s="93">
        <v>4</v>
      </c>
      <c r="B217" s="93"/>
      <c r="C217" s="56" t="s">
        <v>261</v>
      </c>
      <c r="D217" s="56">
        <f>45.53*10.764</f>
        <v>490.08491999999995</v>
      </c>
      <c r="E217" s="56">
        <v>0</v>
      </c>
      <c r="F217" s="56">
        <f t="shared" si="70"/>
        <v>784.13587199999995</v>
      </c>
      <c r="G217" s="88"/>
      <c r="H217" s="89"/>
      <c r="I217" s="72"/>
      <c r="S217" s="92" t="str">
        <f t="shared" ca="1" si="71"/>
        <v>104,..,2404</v>
      </c>
      <c r="T217" s="92"/>
      <c r="U217" s="72">
        <f t="shared" ref="U217:W217" si="74">U216+1</f>
        <v>4</v>
      </c>
      <c r="V217" s="73">
        <f t="shared" ca="1" si="74"/>
        <v>104</v>
      </c>
      <c r="W217" s="73">
        <f t="shared" ca="1" si="74"/>
        <v>2404</v>
      </c>
    </row>
    <row r="218" spans="1:23" s="73" customFormat="1" ht="15.75" customHeight="1" x14ac:dyDescent="0.3">
      <c r="A218" s="93">
        <v>5</v>
      </c>
      <c r="B218" s="93"/>
      <c r="C218" s="56" t="s">
        <v>158</v>
      </c>
      <c r="D218" s="56">
        <f>76.8*10.764</f>
        <v>826.6751999999999</v>
      </c>
      <c r="E218" s="56">
        <v>0</v>
      </c>
      <c r="F218" s="56">
        <f t="shared" si="70"/>
        <v>1322.6803199999999</v>
      </c>
      <c r="G218" s="88"/>
      <c r="H218" s="89"/>
      <c r="I218" s="72"/>
      <c r="S218" s="92" t="str">
        <f t="shared" ca="1" si="71"/>
        <v>105,..,2405</v>
      </c>
      <c r="T218" s="92"/>
      <c r="U218" s="72">
        <f t="shared" ref="U218:W218" si="75">U217+1</f>
        <v>5</v>
      </c>
      <c r="V218" s="73">
        <f t="shared" ca="1" si="75"/>
        <v>105</v>
      </c>
      <c r="W218" s="73">
        <f t="shared" ca="1" si="75"/>
        <v>2405</v>
      </c>
    </row>
    <row r="219" spans="1:23" s="73" customFormat="1" ht="15.75" customHeight="1" x14ac:dyDescent="0.3">
      <c r="A219" s="93">
        <v>6</v>
      </c>
      <c r="B219" s="93"/>
      <c r="C219" s="56" t="s">
        <v>181</v>
      </c>
      <c r="D219" s="56">
        <f>58.22*10.764</f>
        <v>626.68007999999998</v>
      </c>
      <c r="E219" s="56">
        <v>0</v>
      </c>
      <c r="F219" s="56">
        <f>D219*(($F$101)+1)+E219</f>
        <v>1002.688128</v>
      </c>
      <c r="G219" s="90"/>
      <c r="H219" s="91"/>
      <c r="I219" s="72"/>
      <c r="S219" s="92" t="str">
        <f t="shared" ca="1" si="71"/>
        <v>106,..,2406</v>
      </c>
      <c r="T219" s="92"/>
      <c r="U219" s="72">
        <f t="shared" ref="U219:W219" si="76">U218+1</f>
        <v>6</v>
      </c>
      <c r="V219" s="73">
        <f t="shared" ca="1" si="76"/>
        <v>106</v>
      </c>
      <c r="W219" s="73">
        <f t="shared" ca="1" si="76"/>
        <v>2406</v>
      </c>
    </row>
    <row r="220" spans="1:23" s="73" customFormat="1" ht="15.75" customHeight="1" x14ac:dyDescent="0.3">
      <c r="A220" s="105" t="s">
        <v>250</v>
      </c>
      <c r="B220" s="106"/>
      <c r="C220" s="106"/>
      <c r="D220" s="106"/>
      <c r="E220" s="106"/>
      <c r="F220" s="106"/>
      <c r="G220" s="106"/>
      <c r="H220" s="107"/>
      <c r="I220" s="72"/>
      <c r="S220" s="92"/>
      <c r="T220" s="92"/>
      <c r="V220" s="73" t="str">
        <f>LEFT(A220,SUM(LEN(A220)-LEN(SUBSTITUTE(A220,{"0","1","2","3","4","5","6","7","8","9"},""))))</f>
        <v>31</v>
      </c>
    </row>
    <row r="221" spans="1:23" s="73" customFormat="1" x14ac:dyDescent="0.3">
      <c r="A221" s="93">
        <v>1</v>
      </c>
      <c r="B221" s="93"/>
      <c r="C221" s="56" t="s">
        <v>180</v>
      </c>
      <c r="D221" s="56">
        <f>35.85*10.764</f>
        <v>385.88939999999997</v>
      </c>
      <c r="E221" s="56">
        <v>0</v>
      </c>
      <c r="F221" s="56">
        <f t="shared" ref="F221:F226" si="77">D221*(($F$101)+1)+E221</f>
        <v>617.42304000000001</v>
      </c>
      <c r="G221" s="86" t="str">
        <f>A220</f>
        <v>31st Floor</v>
      </c>
      <c r="H221" s="87"/>
      <c r="I221" s="72"/>
      <c r="S221" s="92">
        <f t="shared" ref="S221:S226" ca="1" si="78">V221</f>
        <v>3101</v>
      </c>
      <c r="T221" s="92"/>
      <c r="U221" s="72">
        <v>1</v>
      </c>
      <c r="V221" s="73">
        <f ca="1">(SUMPRODUCT(MID(0&amp;V220, LARGE(INDEX(ISNUMBER(--MID(V220, ROW(INDIRECT("1:"&amp;LEN(V220))), 1)) * ROW(INDIRECT("1:"&amp;LEN(V220))), 0), ROW(INDIRECT("1:"&amp;LEN(V220))))+1, 1) * 10^ROW(INDIRECT("1:"&amp;LEN(V220)))/10))*U221*100+1</f>
        <v>3101</v>
      </c>
    </row>
    <row r="222" spans="1:23" s="73" customFormat="1" x14ac:dyDescent="0.3">
      <c r="A222" s="93">
        <v>2</v>
      </c>
      <c r="B222" s="93"/>
      <c r="C222" s="56" t="s">
        <v>180</v>
      </c>
      <c r="D222" s="56">
        <f>34.61*10.764</f>
        <v>372.54203999999999</v>
      </c>
      <c r="E222" s="56">
        <v>0</v>
      </c>
      <c r="F222" s="56">
        <f t="shared" si="77"/>
        <v>596.06726400000002</v>
      </c>
      <c r="G222" s="88"/>
      <c r="H222" s="89"/>
      <c r="I222" s="72"/>
      <c r="S222" s="92">
        <f t="shared" ca="1" si="78"/>
        <v>3102</v>
      </c>
      <c r="T222" s="92"/>
      <c r="U222" s="72">
        <f>U221+1</f>
        <v>2</v>
      </c>
      <c r="V222" s="73">
        <f ca="1">V221+1</f>
        <v>3102</v>
      </c>
    </row>
    <row r="223" spans="1:23" s="73" customFormat="1" ht="15.75" customHeight="1" x14ac:dyDescent="0.3">
      <c r="A223" s="93">
        <v>3</v>
      </c>
      <c r="B223" s="93"/>
      <c r="C223" s="56" t="s">
        <v>180</v>
      </c>
      <c r="D223" s="56">
        <f>35.85*10.764</f>
        <v>385.88939999999997</v>
      </c>
      <c r="E223" s="56">
        <v>0</v>
      </c>
      <c r="F223" s="56">
        <f t="shared" si="77"/>
        <v>617.42304000000001</v>
      </c>
      <c r="G223" s="88"/>
      <c r="H223" s="89"/>
      <c r="I223" s="72"/>
      <c r="S223" s="92">
        <f t="shared" ca="1" si="78"/>
        <v>3103</v>
      </c>
      <c r="T223" s="92"/>
      <c r="U223" s="72">
        <f t="shared" ref="U223:V226" si="79">U222+1</f>
        <v>3</v>
      </c>
      <c r="V223" s="73">
        <f t="shared" ca="1" si="79"/>
        <v>3103</v>
      </c>
    </row>
    <row r="224" spans="1:23" s="73" customFormat="1" ht="15.75" customHeight="1" x14ac:dyDescent="0.3">
      <c r="A224" s="93">
        <v>4</v>
      </c>
      <c r="B224" s="93"/>
      <c r="C224" s="56" t="s">
        <v>261</v>
      </c>
      <c r="D224" s="56">
        <f>45.53*10.764</f>
        <v>490.08491999999995</v>
      </c>
      <c r="E224" s="56">
        <v>0</v>
      </c>
      <c r="F224" s="56">
        <f t="shared" si="77"/>
        <v>784.13587199999995</v>
      </c>
      <c r="G224" s="88"/>
      <c r="H224" s="89"/>
      <c r="I224" s="72"/>
      <c r="S224" s="92">
        <f t="shared" ca="1" si="78"/>
        <v>3104</v>
      </c>
      <c r="T224" s="92"/>
      <c r="U224" s="72">
        <f t="shared" si="79"/>
        <v>4</v>
      </c>
      <c r="V224" s="73">
        <f t="shared" ca="1" si="79"/>
        <v>3104</v>
      </c>
    </row>
    <row r="225" spans="1:23" s="73" customFormat="1" ht="15.75" customHeight="1" x14ac:dyDescent="0.3">
      <c r="A225" s="93">
        <v>5</v>
      </c>
      <c r="B225" s="93"/>
      <c r="C225" s="56" t="s">
        <v>158</v>
      </c>
      <c r="D225" s="56">
        <f>76.8*10.764</f>
        <v>826.6751999999999</v>
      </c>
      <c r="E225" s="56">
        <v>0</v>
      </c>
      <c r="F225" s="56">
        <f t="shared" si="77"/>
        <v>1322.6803199999999</v>
      </c>
      <c r="G225" s="88"/>
      <c r="H225" s="89"/>
      <c r="I225" s="72"/>
      <c r="S225" s="92">
        <f t="shared" ca="1" si="78"/>
        <v>3105</v>
      </c>
      <c r="T225" s="92"/>
      <c r="U225" s="72">
        <f t="shared" si="79"/>
        <v>5</v>
      </c>
      <c r="V225" s="73">
        <f t="shared" ca="1" si="79"/>
        <v>3105</v>
      </c>
    </row>
    <row r="226" spans="1:23" s="73" customFormat="1" ht="15.75" customHeight="1" x14ac:dyDescent="0.3">
      <c r="A226" s="93">
        <v>6</v>
      </c>
      <c r="B226" s="93"/>
      <c r="C226" s="56" t="s">
        <v>181</v>
      </c>
      <c r="D226" s="56">
        <f>58.22*10.764</f>
        <v>626.68007999999998</v>
      </c>
      <c r="E226" s="56">
        <v>0</v>
      </c>
      <c r="F226" s="56">
        <f t="shared" si="77"/>
        <v>1002.688128</v>
      </c>
      <c r="G226" s="90"/>
      <c r="H226" s="91"/>
      <c r="I226" s="72"/>
      <c r="S226" s="92">
        <f t="shared" ca="1" si="78"/>
        <v>3106</v>
      </c>
      <c r="T226" s="92"/>
      <c r="U226" s="72">
        <f t="shared" si="79"/>
        <v>6</v>
      </c>
      <c r="V226" s="73">
        <f t="shared" ca="1" si="79"/>
        <v>3106</v>
      </c>
    </row>
    <row r="227" spans="1:23" s="73" customFormat="1" ht="15.75" customHeight="1" x14ac:dyDescent="0.3">
      <c r="A227" s="105" t="s">
        <v>252</v>
      </c>
      <c r="B227" s="106"/>
      <c r="C227" s="106"/>
      <c r="D227" s="106"/>
      <c r="E227" s="106"/>
      <c r="F227" s="106"/>
      <c r="G227" s="106"/>
      <c r="H227" s="107"/>
      <c r="I227" s="72"/>
      <c r="S227" s="92" t="s">
        <v>167</v>
      </c>
      <c r="T227" s="92"/>
      <c r="V227" s="73" t="str">
        <f>LEFT(A227,SUM(LEN(A227)-LEN(SUBSTITUTE(A227,{"0","1"},""))))</f>
        <v/>
      </c>
      <c r="W227" s="73">
        <f ca="1">--TRIM(RIGHT(SUBSTITUTE(LEFT(A227,_xlfn.AGGREGATE(16,6,FIND({0,1,2,3,4,5,6,7,8,9},A227,ROW(INDIRECT("1:"&amp;LEN(A227)))),1))," ",REPT(" ",LEN(A227))),LEN(A227)))</f>
        <v>35</v>
      </c>
    </row>
    <row r="228" spans="1:23" s="73" customFormat="1" ht="15.75" customHeight="1" x14ac:dyDescent="0.3">
      <c r="A228" s="93">
        <v>1</v>
      </c>
      <c r="B228" s="93"/>
      <c r="C228" s="56" t="s">
        <v>180</v>
      </c>
      <c r="D228" s="56">
        <f>35.85*10.764</f>
        <v>385.88939999999997</v>
      </c>
      <c r="E228" s="56">
        <v>0</v>
      </c>
      <c r="F228" s="56">
        <f t="shared" ref="F228:F232" si="80">D228*(($F$101)+1)+E228</f>
        <v>617.42304000000001</v>
      </c>
      <c r="G228" s="86" t="str">
        <f>A227</f>
        <v>33rd to 35th Floor</v>
      </c>
      <c r="H228" s="87"/>
      <c r="I228" s="72"/>
      <c r="S228" s="92" t="e">
        <f t="shared" ref="S228:S233" ca="1" si="81">V228&amp;""&amp;$S$206&amp;""&amp;W228</f>
        <v>#REF!</v>
      </c>
      <c r="T228" s="92"/>
      <c r="U228" s="72">
        <v>1</v>
      </c>
      <c r="V228" s="73" t="e">
        <f ca="1">(SUMPRODUCT(MID(0&amp;V227, LARGE(INDEX(ISNUMBER(--MID(V227, ROW(INDIRECT("1:"&amp;LEN(V227))), 1)) * ROW(INDIRECT("1:"&amp;LEN(V227))), 0), ROW(INDIRECT("1:"&amp;LEN(V227))))+1, 1) * 10^ROW(INDIRECT("1:"&amp;LEN(V227)))/10))*U228*100+1</f>
        <v>#REF!</v>
      </c>
      <c r="W228" s="73">
        <f ca="1">(SUMPRODUCT(MID(0&amp;W227, LARGE(INDEX(ISNUMBER(--MID(W227, ROW(INDIRECT("1:"&amp;LEN(W227))), 1)) * ROW(INDIRECT("1:"&amp;LEN(W227))), 0), ROW(INDIRECT("1:"&amp;LEN(W227))))+1, 1) * 10^ROW(INDIRECT("1:"&amp;LEN(W227)))/10))*U228*100+1</f>
        <v>3501</v>
      </c>
    </row>
    <row r="229" spans="1:23" s="73" customFormat="1" ht="15.75" customHeight="1" x14ac:dyDescent="0.3">
      <c r="A229" s="93">
        <v>2</v>
      </c>
      <c r="B229" s="93"/>
      <c r="C229" s="56" t="s">
        <v>180</v>
      </c>
      <c r="D229" s="56">
        <f>33.61*10.764</f>
        <v>361.77803999999998</v>
      </c>
      <c r="E229" s="56">
        <v>0</v>
      </c>
      <c r="F229" s="56">
        <f t="shared" si="80"/>
        <v>578.84486400000003</v>
      </c>
      <c r="G229" s="88"/>
      <c r="H229" s="89"/>
      <c r="I229" s="72"/>
      <c r="S229" s="92" t="e">
        <f t="shared" ca="1" si="81"/>
        <v>#REF!</v>
      </c>
      <c r="T229" s="92"/>
      <c r="U229" s="72">
        <f t="shared" ref="U229:W229" si="82">U228+1</f>
        <v>2</v>
      </c>
      <c r="V229" s="73" t="e">
        <f t="shared" ca="1" si="82"/>
        <v>#REF!</v>
      </c>
      <c r="W229" s="73">
        <f t="shared" ca="1" si="82"/>
        <v>3502</v>
      </c>
    </row>
    <row r="230" spans="1:23" s="73" customFormat="1" ht="15.75" customHeight="1" x14ac:dyDescent="0.3">
      <c r="A230" s="93">
        <v>3</v>
      </c>
      <c r="B230" s="93"/>
      <c r="C230" s="56" t="s">
        <v>180</v>
      </c>
      <c r="D230" s="56">
        <f>35.85*10.764</f>
        <v>385.88939999999997</v>
      </c>
      <c r="E230" s="56">
        <v>0</v>
      </c>
      <c r="F230" s="56">
        <f t="shared" si="80"/>
        <v>617.42304000000001</v>
      </c>
      <c r="G230" s="88"/>
      <c r="H230" s="89"/>
      <c r="I230" s="72"/>
      <c r="S230" s="92" t="e">
        <f t="shared" ca="1" si="81"/>
        <v>#REF!</v>
      </c>
      <c r="T230" s="92"/>
      <c r="U230" s="72">
        <f t="shared" ref="U230:W230" si="83">U229+1</f>
        <v>3</v>
      </c>
      <c r="V230" s="73" t="e">
        <f t="shared" ca="1" si="83"/>
        <v>#REF!</v>
      </c>
      <c r="W230" s="73">
        <f t="shared" ca="1" si="83"/>
        <v>3503</v>
      </c>
    </row>
    <row r="231" spans="1:23" s="73" customFormat="1" ht="15.75" customHeight="1" x14ac:dyDescent="0.3">
      <c r="A231" s="93">
        <v>4</v>
      </c>
      <c r="B231" s="93"/>
      <c r="C231" s="56" t="s">
        <v>261</v>
      </c>
      <c r="D231" s="56">
        <f>(49.83+(8.075*1.525))*10.764</f>
        <v>668.92205249999995</v>
      </c>
      <c r="E231" s="56">
        <v>0</v>
      </c>
      <c r="F231" s="56">
        <f t="shared" si="80"/>
        <v>1070.2752840000001</v>
      </c>
      <c r="G231" s="88"/>
      <c r="H231" s="89"/>
      <c r="I231" s="72"/>
      <c r="S231" s="92" t="e">
        <f t="shared" ca="1" si="81"/>
        <v>#REF!</v>
      </c>
      <c r="T231" s="92"/>
      <c r="U231" s="72">
        <f t="shared" ref="U231:W231" si="84">U230+1</f>
        <v>4</v>
      </c>
      <c r="V231" s="73" t="e">
        <f t="shared" ca="1" si="84"/>
        <v>#REF!</v>
      </c>
      <c r="W231" s="73">
        <f t="shared" ca="1" si="84"/>
        <v>3504</v>
      </c>
    </row>
    <row r="232" spans="1:23" s="73" customFormat="1" ht="15.75" customHeight="1" x14ac:dyDescent="0.3">
      <c r="A232" s="93">
        <v>5</v>
      </c>
      <c r="B232" s="93"/>
      <c r="C232" s="56" t="s">
        <v>158</v>
      </c>
      <c r="D232" s="56">
        <f>(81.8+(12.925*1.525))*10.764</f>
        <v>1092.6603674999999</v>
      </c>
      <c r="E232" s="56">
        <v>0</v>
      </c>
      <c r="F232" s="56">
        <f t="shared" si="80"/>
        <v>1748.256588</v>
      </c>
      <c r="G232" s="88"/>
      <c r="H232" s="89"/>
      <c r="I232" s="72"/>
      <c r="S232" s="92" t="e">
        <f t="shared" ca="1" si="81"/>
        <v>#REF!</v>
      </c>
      <c r="T232" s="92"/>
      <c r="U232" s="72">
        <f t="shared" ref="U232:W232" si="85">U231+1</f>
        <v>5</v>
      </c>
      <c r="V232" s="73" t="e">
        <f t="shared" ca="1" si="85"/>
        <v>#REF!</v>
      </c>
      <c r="W232" s="73">
        <f t="shared" ca="1" si="85"/>
        <v>3505</v>
      </c>
    </row>
    <row r="233" spans="1:23" s="73" customFormat="1" ht="15.75" customHeight="1" x14ac:dyDescent="0.3">
      <c r="A233" s="93">
        <v>6</v>
      </c>
      <c r="B233" s="93"/>
      <c r="C233" s="56" t="s">
        <v>181</v>
      </c>
      <c r="D233" s="56">
        <f>(61.85+(9.3*1.525))*10.764</f>
        <v>818.41382999999996</v>
      </c>
      <c r="E233" s="56">
        <v>0</v>
      </c>
      <c r="F233" s="56">
        <f>D233*(($F$101)+1)+E233</f>
        <v>1309.4621280000001</v>
      </c>
      <c r="G233" s="90"/>
      <c r="H233" s="91"/>
      <c r="I233" s="72"/>
      <c r="S233" s="92" t="e">
        <f t="shared" ca="1" si="81"/>
        <v>#REF!</v>
      </c>
      <c r="T233" s="92"/>
      <c r="U233" s="72">
        <f t="shared" ref="U233:W233" si="86">U232+1</f>
        <v>6</v>
      </c>
      <c r="V233" s="73" t="e">
        <f t="shared" ca="1" si="86"/>
        <v>#REF!</v>
      </c>
      <c r="W233" s="73">
        <f t="shared" ca="1" si="86"/>
        <v>3506</v>
      </c>
    </row>
    <row r="234" spans="1:23" s="71" customFormat="1" x14ac:dyDescent="0.3">
      <c r="A234" s="174" t="s">
        <v>82</v>
      </c>
      <c r="B234" s="174"/>
      <c r="C234" s="174"/>
      <c r="D234" s="174"/>
      <c r="E234" s="174"/>
      <c r="F234" s="174"/>
      <c r="G234" s="174"/>
      <c r="H234" s="174"/>
    </row>
    <row r="235" spans="1:23" s="74" customFormat="1" x14ac:dyDescent="0.3">
      <c r="A235" s="82">
        <v>1</v>
      </c>
      <c r="B235" s="181" t="s">
        <v>272</v>
      </c>
      <c r="C235" s="181"/>
      <c r="D235" s="181"/>
      <c r="E235" s="181"/>
      <c r="F235" s="181"/>
      <c r="G235" s="181"/>
      <c r="H235" s="181"/>
    </row>
    <row r="236" spans="1:23" s="74" customFormat="1" ht="15.75" customHeight="1" x14ac:dyDescent="0.3">
      <c r="A236" s="82">
        <f>A235+1</f>
        <v>2</v>
      </c>
      <c r="B236" s="181" t="s">
        <v>273</v>
      </c>
      <c r="C236" s="181"/>
      <c r="D236" s="181"/>
      <c r="E236" s="181"/>
      <c r="F236" s="181"/>
      <c r="G236" s="181"/>
      <c r="H236" s="181"/>
    </row>
    <row r="237" spans="1:23" s="74" customFormat="1" x14ac:dyDescent="0.3">
      <c r="A237" s="82">
        <f t="shared" ref="A237:A241" si="87">A236+1</f>
        <v>3</v>
      </c>
      <c r="B237" s="181" t="s">
        <v>274</v>
      </c>
      <c r="C237" s="181"/>
      <c r="D237" s="181"/>
      <c r="E237" s="181"/>
      <c r="F237" s="181"/>
      <c r="G237" s="181"/>
      <c r="H237" s="181"/>
    </row>
    <row r="238" spans="1:23" s="74" customFormat="1" x14ac:dyDescent="0.3">
      <c r="A238" s="82">
        <f t="shared" si="87"/>
        <v>4</v>
      </c>
      <c r="B238" s="181" t="s">
        <v>275</v>
      </c>
      <c r="C238" s="181"/>
      <c r="D238" s="181"/>
      <c r="E238" s="181"/>
      <c r="F238" s="181"/>
      <c r="G238" s="181"/>
      <c r="H238" s="181"/>
    </row>
    <row r="239" spans="1:23" s="74" customFormat="1" x14ac:dyDescent="0.3">
      <c r="A239" s="82">
        <f t="shared" si="87"/>
        <v>5</v>
      </c>
      <c r="B239" s="181" t="s">
        <v>276</v>
      </c>
      <c r="C239" s="181"/>
      <c r="D239" s="181"/>
      <c r="E239" s="181"/>
      <c r="F239" s="181"/>
      <c r="G239" s="181"/>
      <c r="H239" s="181"/>
    </row>
    <row r="240" spans="1:23" s="74" customFormat="1" x14ac:dyDescent="0.3">
      <c r="A240" s="82">
        <f t="shared" si="87"/>
        <v>6</v>
      </c>
      <c r="B240" s="181" t="s">
        <v>277</v>
      </c>
      <c r="C240" s="181"/>
      <c r="D240" s="181"/>
      <c r="E240" s="181"/>
      <c r="F240" s="181"/>
      <c r="G240" s="181"/>
      <c r="H240" s="181"/>
    </row>
    <row r="241" spans="1:8" s="74" customFormat="1" x14ac:dyDescent="0.3">
      <c r="A241" s="82">
        <f t="shared" si="87"/>
        <v>7</v>
      </c>
      <c r="B241" s="181" t="s">
        <v>279</v>
      </c>
      <c r="C241" s="181"/>
      <c r="D241" s="181"/>
      <c r="E241" s="181"/>
      <c r="F241" s="181"/>
      <c r="G241" s="181"/>
      <c r="H241" s="181"/>
    </row>
    <row r="242" spans="1:8" s="74" customFormat="1" x14ac:dyDescent="0.3">
      <c r="A242" s="82">
        <f t="shared" ref="A242:A243" si="88">A241+1</f>
        <v>8</v>
      </c>
      <c r="B242" s="181" t="s">
        <v>278</v>
      </c>
      <c r="C242" s="181"/>
      <c r="D242" s="181"/>
      <c r="E242" s="181"/>
      <c r="F242" s="181"/>
      <c r="G242" s="181"/>
      <c r="H242" s="181"/>
    </row>
    <row r="243" spans="1:8" s="74" customFormat="1" ht="36.75" customHeight="1" x14ac:dyDescent="0.3">
      <c r="A243" s="83">
        <f t="shared" si="88"/>
        <v>9</v>
      </c>
      <c r="B243" s="182" t="s">
        <v>280</v>
      </c>
      <c r="C243" s="182"/>
      <c r="D243" s="182"/>
      <c r="E243" s="182"/>
      <c r="F243" s="182"/>
      <c r="G243" s="182"/>
      <c r="H243" s="182"/>
    </row>
    <row r="244" spans="1:8" s="74" customFormat="1" ht="35.25" hidden="1" customHeight="1" x14ac:dyDescent="0.3">
      <c r="A244" s="82">
        <f t="shared" ref="A244" si="89">A243+1</f>
        <v>10</v>
      </c>
      <c r="B244" s="181" t="s">
        <v>281</v>
      </c>
      <c r="C244" s="181"/>
      <c r="D244" s="181"/>
      <c r="E244" s="181"/>
      <c r="F244" s="181"/>
      <c r="G244" s="181"/>
      <c r="H244" s="181"/>
    </row>
    <row r="245" spans="1:8" x14ac:dyDescent="0.3">
      <c r="A245" s="117" t="s">
        <v>73</v>
      </c>
      <c r="B245" s="118"/>
      <c r="C245" s="118"/>
      <c r="D245" s="118"/>
      <c r="E245" s="118"/>
      <c r="F245" s="118"/>
      <c r="G245" s="118"/>
      <c r="H245" s="119"/>
    </row>
    <row r="246" spans="1:8" x14ac:dyDescent="0.3">
      <c r="A246" s="122" t="s">
        <v>74</v>
      </c>
      <c r="B246" s="123"/>
      <c r="C246" s="123"/>
      <c r="D246" s="123"/>
      <c r="E246" s="123"/>
      <c r="F246" s="123"/>
      <c r="G246" s="123"/>
      <c r="H246" s="124"/>
    </row>
    <row r="247" spans="1:8" ht="15.75" customHeight="1" x14ac:dyDescent="0.3">
      <c r="A247" s="117" t="s">
        <v>75</v>
      </c>
      <c r="B247" s="118"/>
      <c r="C247" s="118"/>
      <c r="D247" s="118"/>
      <c r="E247" s="118"/>
      <c r="F247" s="118"/>
      <c r="G247" s="118"/>
      <c r="H247" s="119"/>
    </row>
    <row r="248" spans="1:8" x14ac:dyDescent="0.3">
      <c r="A248" s="122" t="s">
        <v>76</v>
      </c>
      <c r="B248" s="123"/>
      <c r="C248" s="123"/>
      <c r="D248" s="123"/>
      <c r="E248" s="123"/>
      <c r="F248" s="123"/>
      <c r="G248" s="123"/>
      <c r="H248" s="124"/>
    </row>
    <row r="249" spans="1:8" x14ac:dyDescent="0.3">
      <c r="A249" s="122" t="s">
        <v>77</v>
      </c>
      <c r="B249" s="123"/>
      <c r="C249" s="123"/>
      <c r="D249" s="123"/>
      <c r="E249" s="123"/>
      <c r="F249" s="123"/>
      <c r="G249" s="123"/>
      <c r="H249" s="124"/>
    </row>
    <row r="250" spans="1:8" x14ac:dyDescent="0.3">
      <c r="A250" s="122" t="s">
        <v>78</v>
      </c>
      <c r="B250" s="123"/>
      <c r="C250" s="123"/>
      <c r="D250" s="123"/>
      <c r="E250" s="123"/>
      <c r="F250" s="123"/>
      <c r="G250" s="123"/>
      <c r="H250" s="124"/>
    </row>
    <row r="251" spans="1:8" ht="35.25" customHeight="1" x14ac:dyDescent="0.3">
      <c r="A251" s="171" t="s">
        <v>79</v>
      </c>
      <c r="B251" s="172"/>
      <c r="C251" s="172"/>
      <c r="D251" s="172"/>
      <c r="E251" s="172"/>
      <c r="F251" s="172"/>
      <c r="G251" s="172"/>
      <c r="H251" s="173"/>
    </row>
    <row r="252" spans="1:8" ht="15.75" customHeight="1" x14ac:dyDescent="0.3">
      <c r="A252" s="167" t="s">
        <v>114</v>
      </c>
      <c r="B252" s="168"/>
      <c r="C252" s="167" t="s">
        <v>284</v>
      </c>
      <c r="D252" s="168"/>
      <c r="E252" s="167" t="s">
        <v>151</v>
      </c>
      <c r="F252" s="168"/>
      <c r="G252" s="169" t="s">
        <v>285</v>
      </c>
      <c r="H252" s="170"/>
    </row>
    <row r="253" spans="1:8" x14ac:dyDescent="0.3">
      <c r="A253" s="166" t="s">
        <v>116</v>
      </c>
      <c r="B253" s="166"/>
      <c r="C253" s="166"/>
      <c r="D253" s="166"/>
      <c r="E253" s="166"/>
      <c r="F253" s="166"/>
      <c r="G253" s="166"/>
      <c r="H253" s="166"/>
    </row>
    <row r="254" spans="1:8" x14ac:dyDescent="0.3">
      <c r="A254" s="166"/>
      <c r="B254" s="166"/>
      <c r="C254" s="166"/>
      <c r="D254" s="166"/>
      <c r="E254" s="166"/>
      <c r="F254" s="166"/>
      <c r="G254" s="166"/>
      <c r="H254" s="166"/>
    </row>
    <row r="255" spans="1:8" x14ac:dyDescent="0.3">
      <c r="A255" s="166"/>
      <c r="B255" s="166"/>
      <c r="C255" s="166"/>
      <c r="D255" s="166"/>
      <c r="E255" s="166"/>
      <c r="F255" s="166"/>
      <c r="G255" s="166"/>
      <c r="H255" s="166"/>
    </row>
    <row r="256" spans="1:8" x14ac:dyDescent="0.3">
      <c r="A256" s="166"/>
      <c r="B256" s="166"/>
      <c r="C256" s="166"/>
      <c r="D256" s="166"/>
      <c r="E256" s="166"/>
      <c r="F256" s="166"/>
      <c r="G256" s="166"/>
      <c r="H256" s="166"/>
    </row>
    <row r="257" spans="1:13" x14ac:dyDescent="0.3">
      <c r="A257" s="75" t="s">
        <v>80</v>
      </c>
      <c r="B257" s="76"/>
      <c r="C257" s="76"/>
      <c r="D257" s="75" t="str">
        <f>E8</f>
        <v>Transcon Triumph Tower 2</v>
      </c>
      <c r="F257" s="76"/>
      <c r="G257" s="76"/>
      <c r="H257" s="76"/>
    </row>
    <row r="258" spans="1:13" x14ac:dyDescent="0.3">
      <c r="A258" s="76"/>
      <c r="B258" s="76"/>
      <c r="C258" s="76"/>
      <c r="D258" s="76"/>
      <c r="E258" s="76"/>
      <c r="F258" s="76"/>
      <c r="G258" s="76"/>
      <c r="H258" s="76"/>
    </row>
    <row r="259" spans="1:13" x14ac:dyDescent="0.3">
      <c r="A259" s="76"/>
      <c r="B259" s="76"/>
      <c r="C259" s="76"/>
      <c r="D259" s="76"/>
      <c r="E259" s="76"/>
      <c r="F259" s="76"/>
      <c r="G259" s="76"/>
      <c r="H259" s="76"/>
    </row>
    <row r="260" spans="1:13" ht="15" customHeight="1" x14ac:dyDescent="0.3"/>
    <row r="270" spans="1:13" x14ac:dyDescent="0.3">
      <c r="M270" s="81"/>
    </row>
    <row r="273" spans="12:12" x14ac:dyDescent="0.3">
      <c r="L273"/>
    </row>
    <row r="300" spans="1:1" x14ac:dyDescent="0.3">
      <c r="A300" s="78" t="s">
        <v>245</v>
      </c>
    </row>
    <row r="342" spans="1:1" x14ac:dyDescent="0.3">
      <c r="A342" s="78" t="s">
        <v>81</v>
      </c>
    </row>
  </sheetData>
  <mergeCells count="528">
    <mergeCell ref="B242:H242"/>
    <mergeCell ref="B243:H243"/>
    <mergeCell ref="B244:H244"/>
    <mergeCell ref="B235:H235"/>
    <mergeCell ref="B236:H236"/>
    <mergeCell ref="B237:H237"/>
    <mergeCell ref="B238:H238"/>
    <mergeCell ref="B239:H239"/>
    <mergeCell ref="B240:H240"/>
    <mergeCell ref="B241:H241"/>
    <mergeCell ref="A227:H227"/>
    <mergeCell ref="S227:T227"/>
    <mergeCell ref="A228:B228"/>
    <mergeCell ref="G228:H233"/>
    <mergeCell ref="S228:T228"/>
    <mergeCell ref="A229:B229"/>
    <mergeCell ref="S229:T229"/>
    <mergeCell ref="A230:B230"/>
    <mergeCell ref="S230:T230"/>
    <mergeCell ref="A231:B231"/>
    <mergeCell ref="S231:T231"/>
    <mergeCell ref="A232:B232"/>
    <mergeCell ref="S232:T232"/>
    <mergeCell ref="A233:B233"/>
    <mergeCell ref="S233:T233"/>
    <mergeCell ref="A99:H99"/>
    <mergeCell ref="A115:H115"/>
    <mergeCell ref="A122:H122"/>
    <mergeCell ref="G123:H127"/>
    <mergeCell ref="G117:H121"/>
    <mergeCell ref="A220:H220"/>
    <mergeCell ref="S220:T220"/>
    <mergeCell ref="A221:B221"/>
    <mergeCell ref="G221:H226"/>
    <mergeCell ref="S221:T221"/>
    <mergeCell ref="A222:B222"/>
    <mergeCell ref="S222:T222"/>
    <mergeCell ref="A223:B223"/>
    <mergeCell ref="S223:T223"/>
    <mergeCell ref="A224:B224"/>
    <mergeCell ref="S224:T224"/>
    <mergeCell ref="A225:B225"/>
    <mergeCell ref="S225:T225"/>
    <mergeCell ref="A226:B226"/>
    <mergeCell ref="S226:T226"/>
    <mergeCell ref="A103:H103"/>
    <mergeCell ref="S164:T164"/>
    <mergeCell ref="A164:H164"/>
    <mergeCell ref="S169:T169"/>
    <mergeCell ref="C76:H76"/>
    <mergeCell ref="F79:H79"/>
    <mergeCell ref="A79:E79"/>
    <mergeCell ref="E64:F73"/>
    <mergeCell ref="G64:H73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250:H250"/>
    <mergeCell ref="A251:H251"/>
    <mergeCell ref="A234:H234"/>
    <mergeCell ref="C48:E48"/>
    <mergeCell ref="F86:H86"/>
    <mergeCell ref="A82:E82"/>
    <mergeCell ref="F82:H82"/>
    <mergeCell ref="A83:E83"/>
    <mergeCell ref="F83:H83"/>
    <mergeCell ref="A84:E84"/>
    <mergeCell ref="F84:H84"/>
    <mergeCell ref="A80:E80"/>
    <mergeCell ref="F80:H80"/>
    <mergeCell ref="A81:E81"/>
    <mergeCell ref="F81:H81"/>
    <mergeCell ref="A74:E74"/>
    <mergeCell ref="F74:H74"/>
    <mergeCell ref="A77:H77"/>
    <mergeCell ref="A78:E78"/>
    <mergeCell ref="A60:B60"/>
    <mergeCell ref="F78:H78"/>
    <mergeCell ref="A75:H75"/>
    <mergeCell ref="A76:B76"/>
    <mergeCell ref="A64:B64"/>
    <mergeCell ref="F30:H30"/>
    <mergeCell ref="A31:B31"/>
    <mergeCell ref="A30:B30"/>
    <mergeCell ref="C36:H36"/>
    <mergeCell ref="A47:B47"/>
    <mergeCell ref="A253:H256"/>
    <mergeCell ref="A252:B252"/>
    <mergeCell ref="E252:F252"/>
    <mergeCell ref="C252:D252"/>
    <mergeCell ref="G252:H252"/>
    <mergeCell ref="A88:E88"/>
    <mergeCell ref="F88:H88"/>
    <mergeCell ref="A89:E89"/>
    <mergeCell ref="F89:H89"/>
    <mergeCell ref="A116:H116"/>
    <mergeCell ref="A95:B95"/>
    <mergeCell ref="A209:B209"/>
    <mergeCell ref="A248:H248"/>
    <mergeCell ref="A93:H93"/>
    <mergeCell ref="C95:D95"/>
    <mergeCell ref="E95:F95"/>
    <mergeCell ref="G95:H95"/>
    <mergeCell ref="A206:H206"/>
    <mergeCell ref="A249:H24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0:D21"/>
    <mergeCell ref="E20:H21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3:D23"/>
    <mergeCell ref="E23:H23"/>
    <mergeCell ref="A27:D27"/>
    <mergeCell ref="E27:H27"/>
    <mergeCell ref="A24:D24"/>
    <mergeCell ref="E40:H40"/>
    <mergeCell ref="A28:D28"/>
    <mergeCell ref="E28:H28"/>
    <mergeCell ref="A35:H35"/>
    <mergeCell ref="A34:B34"/>
    <mergeCell ref="A29:D29"/>
    <mergeCell ref="E29:H29"/>
    <mergeCell ref="A38:H38"/>
    <mergeCell ref="A39:D39"/>
    <mergeCell ref="E39:H39"/>
    <mergeCell ref="F31:H31"/>
    <mergeCell ref="F32:H32"/>
    <mergeCell ref="A40:D40"/>
    <mergeCell ref="C31:E31"/>
    <mergeCell ref="A32:B32"/>
    <mergeCell ref="C32:E32"/>
    <mergeCell ref="C30:E30"/>
    <mergeCell ref="F33:H33"/>
    <mergeCell ref="F34:H34"/>
    <mergeCell ref="A43:D43"/>
    <mergeCell ref="C47:E47"/>
    <mergeCell ref="A36:B36"/>
    <mergeCell ref="C60:H60"/>
    <mergeCell ref="A62:B62"/>
    <mergeCell ref="C62:H62"/>
    <mergeCell ref="A63:B63"/>
    <mergeCell ref="E63:F63"/>
    <mergeCell ref="G63:H63"/>
    <mergeCell ref="A52:C52"/>
    <mergeCell ref="A55:C55"/>
    <mergeCell ref="D55:H55"/>
    <mergeCell ref="A53:C53"/>
    <mergeCell ref="D53:H53"/>
    <mergeCell ref="D52:H52"/>
    <mergeCell ref="A48:B49"/>
    <mergeCell ref="G48:H48"/>
    <mergeCell ref="D54:H54"/>
    <mergeCell ref="A54:C54"/>
    <mergeCell ref="G50:H50"/>
    <mergeCell ref="C49:H49"/>
    <mergeCell ref="A59:C59"/>
    <mergeCell ref="D59:H59"/>
    <mergeCell ref="A50:B50"/>
    <mergeCell ref="C50:E50"/>
    <mergeCell ref="A58:C58"/>
    <mergeCell ref="D58:H58"/>
    <mergeCell ref="A51:H51"/>
    <mergeCell ref="A25:D25"/>
    <mergeCell ref="E25:H25"/>
    <mergeCell ref="E24:H24"/>
    <mergeCell ref="A26:D26"/>
    <mergeCell ref="E26:H26"/>
    <mergeCell ref="A44:D44"/>
    <mergeCell ref="A45:H45"/>
    <mergeCell ref="A56:C56"/>
    <mergeCell ref="A57:C57"/>
    <mergeCell ref="D56:H56"/>
    <mergeCell ref="D57:H57"/>
    <mergeCell ref="G46:H46"/>
    <mergeCell ref="G47:H47"/>
    <mergeCell ref="A41:D41"/>
    <mergeCell ref="E41:H41"/>
    <mergeCell ref="E42:H42"/>
    <mergeCell ref="E43:H43"/>
    <mergeCell ref="E44:H44"/>
    <mergeCell ref="A42:D42"/>
    <mergeCell ref="A33:B33"/>
    <mergeCell ref="C33:E33"/>
    <mergeCell ref="C34:E34"/>
    <mergeCell ref="A46:B46"/>
    <mergeCell ref="C46:E46"/>
    <mergeCell ref="A94:B94"/>
    <mergeCell ref="A98:H98"/>
    <mergeCell ref="A85:E85"/>
    <mergeCell ref="A87:E87"/>
    <mergeCell ref="F87:H87"/>
    <mergeCell ref="F85:H85"/>
    <mergeCell ref="C94:D94"/>
    <mergeCell ref="E94:F94"/>
    <mergeCell ref="G94:H94"/>
    <mergeCell ref="A86:E86"/>
    <mergeCell ref="A90:H90"/>
    <mergeCell ref="A91:B91"/>
    <mergeCell ref="C91:D91"/>
    <mergeCell ref="E91:F91"/>
    <mergeCell ref="G91:H91"/>
    <mergeCell ref="A92:B92"/>
    <mergeCell ref="C92:D92"/>
    <mergeCell ref="E92:F92"/>
    <mergeCell ref="G92:H92"/>
    <mergeCell ref="A96:B96"/>
    <mergeCell ref="A245:H245"/>
    <mergeCell ref="S218:T218"/>
    <mergeCell ref="S219:T219"/>
    <mergeCell ref="C96:D96"/>
    <mergeCell ref="E96:F96"/>
    <mergeCell ref="G96:H96"/>
    <mergeCell ref="A97:B97"/>
    <mergeCell ref="A100:A101"/>
    <mergeCell ref="A247:H247"/>
    <mergeCell ref="A212:B212"/>
    <mergeCell ref="A246:H246"/>
    <mergeCell ref="A208:B208"/>
    <mergeCell ref="A180:B180"/>
    <mergeCell ref="A194:B194"/>
    <mergeCell ref="A106:B106"/>
    <mergeCell ref="G106:H106"/>
    <mergeCell ref="A175:B175"/>
    <mergeCell ref="D100:D101"/>
    <mergeCell ref="A114:B114"/>
    <mergeCell ref="A147:B147"/>
    <mergeCell ref="C147:F147"/>
    <mergeCell ref="C148:F148"/>
    <mergeCell ref="A159:B159"/>
    <mergeCell ref="G159:H163"/>
    <mergeCell ref="A199:H199"/>
    <mergeCell ref="S207:T207"/>
    <mergeCell ref="S208:T208"/>
    <mergeCell ref="S206:T206"/>
    <mergeCell ref="S212:T212"/>
    <mergeCell ref="S209:T209"/>
    <mergeCell ref="S210:T210"/>
    <mergeCell ref="S211:T211"/>
    <mergeCell ref="A196:B196"/>
    <mergeCell ref="S197:T197"/>
    <mergeCell ref="G207:H212"/>
    <mergeCell ref="G214:H219"/>
    <mergeCell ref="A204:B204"/>
    <mergeCell ref="S215:T215"/>
    <mergeCell ref="S216:T216"/>
    <mergeCell ref="A217:B217"/>
    <mergeCell ref="S217:T217"/>
    <mergeCell ref="A211:B211"/>
    <mergeCell ref="A210:B210"/>
    <mergeCell ref="A207:B207"/>
    <mergeCell ref="S213:T213"/>
    <mergeCell ref="A214:B214"/>
    <mergeCell ref="S214:T214"/>
    <mergeCell ref="S106:T106"/>
    <mergeCell ref="A107:B107"/>
    <mergeCell ref="G107:H107"/>
    <mergeCell ref="S107:T107"/>
    <mergeCell ref="S172:T172"/>
    <mergeCell ref="S173:T173"/>
    <mergeCell ref="A123:B123"/>
    <mergeCell ref="A118:B118"/>
    <mergeCell ref="A121:B121"/>
    <mergeCell ref="A170:H170"/>
    <mergeCell ref="A171:H171"/>
    <mergeCell ref="S117:T117"/>
    <mergeCell ref="S118:T118"/>
    <mergeCell ref="S121:T121"/>
    <mergeCell ref="A172:B172"/>
    <mergeCell ref="A173:B173"/>
    <mergeCell ref="S116:T116"/>
    <mergeCell ref="G135:H139"/>
    <mergeCell ref="S139:T139"/>
    <mergeCell ref="A137:B137"/>
    <mergeCell ref="S137:T137"/>
    <mergeCell ref="S112:T112"/>
    <mergeCell ref="A113:B113"/>
    <mergeCell ref="S113:T113"/>
    <mergeCell ref="S114:T114"/>
    <mergeCell ref="S108:T108"/>
    <mergeCell ref="A109:B109"/>
    <mergeCell ref="G109:H109"/>
    <mergeCell ref="S109:T109"/>
    <mergeCell ref="A110:B110"/>
    <mergeCell ref="G110:H110"/>
    <mergeCell ref="S110:T110"/>
    <mergeCell ref="A111:B111"/>
    <mergeCell ref="S111:T111"/>
    <mergeCell ref="G113:H114"/>
    <mergeCell ref="G111:H111"/>
    <mergeCell ref="A108:B108"/>
    <mergeCell ref="G108:H108"/>
    <mergeCell ref="A112:B112"/>
    <mergeCell ref="G112:H112"/>
    <mergeCell ref="S150:T150"/>
    <mergeCell ref="A127:B127"/>
    <mergeCell ref="S127:T127"/>
    <mergeCell ref="A151:B151"/>
    <mergeCell ref="S128:T128"/>
    <mergeCell ref="A129:B129"/>
    <mergeCell ref="C131:F132"/>
    <mergeCell ref="A169:B169"/>
    <mergeCell ref="S168:T168"/>
    <mergeCell ref="A168:B168"/>
    <mergeCell ref="S167:T167"/>
    <mergeCell ref="A167:B167"/>
    <mergeCell ref="S166:T166"/>
    <mergeCell ref="A166:B166"/>
    <mergeCell ref="S165:T165"/>
    <mergeCell ref="G165:H169"/>
    <mergeCell ref="S129:T129"/>
    <mergeCell ref="A130:B130"/>
    <mergeCell ref="S130:T130"/>
    <mergeCell ref="A133:B133"/>
    <mergeCell ref="S133:T133"/>
    <mergeCell ref="A134:H134"/>
    <mergeCell ref="S134:T134"/>
    <mergeCell ref="A135:B135"/>
    <mergeCell ref="S157:T157"/>
    <mergeCell ref="S182:T182"/>
    <mergeCell ref="S136:T136"/>
    <mergeCell ref="A139:B139"/>
    <mergeCell ref="A185:H185"/>
    <mergeCell ref="S185:T185"/>
    <mergeCell ref="A186:B186"/>
    <mergeCell ref="S186:T186"/>
    <mergeCell ref="C141:F142"/>
    <mergeCell ref="C145:F145"/>
    <mergeCell ref="A144:B144"/>
    <mergeCell ref="S144:T144"/>
    <mergeCell ref="A145:B145"/>
    <mergeCell ref="A138:B138"/>
    <mergeCell ref="S138:T138"/>
    <mergeCell ref="A136:B136"/>
    <mergeCell ref="S145:T145"/>
    <mergeCell ref="G141:H145"/>
    <mergeCell ref="S141:T141"/>
    <mergeCell ref="A157:B157"/>
    <mergeCell ref="S179:T179"/>
    <mergeCell ref="S155:T155"/>
    <mergeCell ref="A156:B156"/>
    <mergeCell ref="G147:H151"/>
    <mergeCell ref="S171:T171"/>
    <mergeCell ref="S178:T178"/>
    <mergeCell ref="A179:B179"/>
    <mergeCell ref="S198:T198"/>
    <mergeCell ref="A193:B193"/>
    <mergeCell ref="S193:T193"/>
    <mergeCell ref="A178:H178"/>
    <mergeCell ref="S175:T175"/>
    <mergeCell ref="A183:B183"/>
    <mergeCell ref="C183:F184"/>
    <mergeCell ref="S183:T183"/>
    <mergeCell ref="A184:B184"/>
    <mergeCell ref="S184:T184"/>
    <mergeCell ref="C190:F191"/>
    <mergeCell ref="S190:T190"/>
    <mergeCell ref="A191:B191"/>
    <mergeCell ref="S191:T191"/>
    <mergeCell ref="G179:H184"/>
    <mergeCell ref="G186:H191"/>
    <mergeCell ref="S187:T187"/>
    <mergeCell ref="A188:B188"/>
    <mergeCell ref="S188:T188"/>
    <mergeCell ref="S194:T194"/>
    <mergeCell ref="S192:T192"/>
    <mergeCell ref="A146:H146"/>
    <mergeCell ref="S146:T146"/>
    <mergeCell ref="A152:H152"/>
    <mergeCell ref="S152:T152"/>
    <mergeCell ref="S151:T151"/>
    <mergeCell ref="A174:B174"/>
    <mergeCell ref="S174:T174"/>
    <mergeCell ref="S162:T162"/>
    <mergeCell ref="A163:B163"/>
    <mergeCell ref="S163:T163"/>
    <mergeCell ref="C159:F160"/>
    <mergeCell ref="S147:T147"/>
    <mergeCell ref="A148:B148"/>
    <mergeCell ref="S148:T148"/>
    <mergeCell ref="S153:T153"/>
    <mergeCell ref="A154:B154"/>
    <mergeCell ref="S154:T154"/>
    <mergeCell ref="A155:B155"/>
    <mergeCell ref="S180:T180"/>
    <mergeCell ref="A181:B181"/>
    <mergeCell ref="S181:T181"/>
    <mergeCell ref="A182:B182"/>
    <mergeCell ref="A165:B165"/>
    <mergeCell ref="S204:T204"/>
    <mergeCell ref="A205:B205"/>
    <mergeCell ref="C151:F151"/>
    <mergeCell ref="S205:T205"/>
    <mergeCell ref="A195:B195"/>
    <mergeCell ref="S195:T195"/>
    <mergeCell ref="S196:T196"/>
    <mergeCell ref="A197:B197"/>
    <mergeCell ref="A189:B189"/>
    <mergeCell ref="S189:T189"/>
    <mergeCell ref="A201:B201"/>
    <mergeCell ref="S201:T201"/>
    <mergeCell ref="A202:B202"/>
    <mergeCell ref="S202:T202"/>
    <mergeCell ref="A203:B203"/>
    <mergeCell ref="S203:T203"/>
    <mergeCell ref="S199:T199"/>
    <mergeCell ref="A200:B200"/>
    <mergeCell ref="S200:T200"/>
    <mergeCell ref="G200:H205"/>
    <mergeCell ref="G153:H157"/>
    <mergeCell ref="A198:B198"/>
    <mergeCell ref="A192:H192"/>
    <mergeCell ref="A187:B187"/>
    <mergeCell ref="A190:B190"/>
    <mergeCell ref="A216:B216"/>
    <mergeCell ref="A140:H140"/>
    <mergeCell ref="A219:B219"/>
    <mergeCell ref="A218:B218"/>
    <mergeCell ref="A128:H128"/>
    <mergeCell ref="S131:T131"/>
    <mergeCell ref="S132:T132"/>
    <mergeCell ref="S176:T176"/>
    <mergeCell ref="S177:T177"/>
    <mergeCell ref="S158:T158"/>
    <mergeCell ref="S159:T159"/>
    <mergeCell ref="S160:T160"/>
    <mergeCell ref="A161:B161"/>
    <mergeCell ref="S161:T161"/>
    <mergeCell ref="A162:B162"/>
    <mergeCell ref="A142:B142"/>
    <mergeCell ref="S142:T142"/>
    <mergeCell ref="A143:B143"/>
    <mergeCell ref="S143:T143"/>
    <mergeCell ref="S149:T149"/>
    <mergeCell ref="A150:B150"/>
    <mergeCell ref="S156:T156"/>
    <mergeCell ref="A153:B153"/>
    <mergeCell ref="A37:B37"/>
    <mergeCell ref="C37:H37"/>
    <mergeCell ref="G193:H198"/>
    <mergeCell ref="C97:D97"/>
    <mergeCell ref="E97:F97"/>
    <mergeCell ref="G97:H97"/>
    <mergeCell ref="A215:B215"/>
    <mergeCell ref="B100:B101"/>
    <mergeCell ref="A104:H104"/>
    <mergeCell ref="A105:H105"/>
    <mergeCell ref="A102:H102"/>
    <mergeCell ref="A117:B117"/>
    <mergeCell ref="E100:E101"/>
    <mergeCell ref="G100:H101"/>
    <mergeCell ref="C100:C101"/>
    <mergeCell ref="A213:H213"/>
    <mergeCell ref="A158:H158"/>
    <mergeCell ref="A149:B149"/>
    <mergeCell ref="A132:B132"/>
    <mergeCell ref="A176:B176"/>
    <mergeCell ref="C176:F177"/>
    <mergeCell ref="A177:B177"/>
    <mergeCell ref="G172:H177"/>
    <mergeCell ref="A160:B160"/>
    <mergeCell ref="G129:H133"/>
    <mergeCell ref="S140:T140"/>
    <mergeCell ref="A141:B141"/>
    <mergeCell ref="S119:T119"/>
    <mergeCell ref="A120:B120"/>
    <mergeCell ref="S120:T120"/>
    <mergeCell ref="C119:F120"/>
    <mergeCell ref="A125:B125"/>
    <mergeCell ref="C125:F126"/>
    <mergeCell ref="S125:T125"/>
    <mergeCell ref="A126:B126"/>
    <mergeCell ref="S126:T126"/>
    <mergeCell ref="S122:T122"/>
    <mergeCell ref="A119:B119"/>
    <mergeCell ref="S123:T123"/>
    <mergeCell ref="A124:B124"/>
    <mergeCell ref="S124:T124"/>
    <mergeCell ref="A131:B131"/>
    <mergeCell ref="S135:T135"/>
  </mergeCells>
  <phoneticPr fontId="24" type="noConversion"/>
  <hyperlinks>
    <hyperlink ref="C37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      &amp;P</oddFooter>
  </headerFooter>
  <rowBreaks count="3" manualBreakCount="3">
    <brk id="256" max="16383" man="1"/>
    <brk id="299" max="16383" man="1"/>
    <brk id="34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workbookViewId="0">
      <selection activeCell="E16" sqref="E16"/>
    </sheetView>
  </sheetViews>
  <sheetFormatPr defaultRowHeight="14.4" x14ac:dyDescent="0.3"/>
  <cols>
    <col min="1" max="11" width="14.109375" customWidth="1"/>
  </cols>
  <sheetData>
    <row r="1" spans="1:11" ht="15.6" x14ac:dyDescent="0.3">
      <c r="A1" s="198" t="s">
        <v>170</v>
      </c>
      <c r="B1" s="199"/>
      <c r="C1" s="199"/>
      <c r="D1" s="199"/>
      <c r="E1" s="199"/>
      <c r="F1" s="199"/>
      <c r="G1" s="199"/>
      <c r="H1" s="200"/>
      <c r="I1" s="12" t="str">
        <f>(IF(C5=0,"Work not yet Started.",IF(C5=1,"Excavation work in process",IF(C5=2,"Excavation work completed",IF(C5=4,"Footing work is process",IF(C5=5,"Footing work Completed",IF(C5=7,"Plinth work is process",IF(C5=10,"Plinth work completed","0")))))))&amp;(IF(C6&gt;0,", RCC upto "&amp;C6&amp;" Slab completed",""))&amp;(IF(C7&gt;0,", Brickwork upto "&amp;C7&amp;" Floor completed"," "))&amp;(IF(C8&gt;0,", Plaster upto "&amp;C8&amp;" Floor completed"," "))&amp;(IF(C9&gt;0,", Flooring upto "&amp;C9&amp;" Floor completed"," "))&amp;(IF(C10&gt;0,", Painting upto "&amp;C10&amp;" Floor completed"," "))&amp;(IF(C11&gt;0,", Finishing upto "&amp;C11&amp;" Floor completed"," ")))</f>
        <v xml:space="preserve">Plinth work completed     </v>
      </c>
      <c r="J1" s="13"/>
      <c r="K1" s="14"/>
    </row>
    <row r="2" spans="1:11" ht="15.6" x14ac:dyDescent="0.3">
      <c r="A2" s="201" t="s">
        <v>107</v>
      </c>
      <c r="B2" s="202"/>
      <c r="C2" s="203">
        <v>1</v>
      </c>
      <c r="D2" s="204"/>
      <c r="E2" s="40" t="s">
        <v>106</v>
      </c>
      <c r="F2" s="6">
        <v>3</v>
      </c>
      <c r="G2" s="41" t="s">
        <v>119</v>
      </c>
      <c r="H2" s="10">
        <v>42</v>
      </c>
      <c r="I2" s="15" t="s">
        <v>148</v>
      </c>
      <c r="J2" s="16"/>
      <c r="K2" s="17"/>
    </row>
    <row r="3" spans="1:11" ht="15.6" x14ac:dyDescent="0.3">
      <c r="A3" s="205" t="s">
        <v>131</v>
      </c>
      <c r="B3" s="163"/>
      <c r="C3" s="137" t="str">
        <f>I1</f>
        <v xml:space="preserve">Plinth work completed     </v>
      </c>
      <c r="D3" s="137"/>
      <c r="E3" s="137"/>
      <c r="F3" s="137"/>
      <c r="G3" s="137"/>
      <c r="H3" s="206"/>
      <c r="I3" s="15" t="s">
        <v>164</v>
      </c>
      <c r="J3" s="16"/>
      <c r="K3" s="17"/>
    </row>
    <row r="4" spans="1:11" ht="31.2" x14ac:dyDescent="0.3">
      <c r="A4" s="183" t="s">
        <v>51</v>
      </c>
      <c r="B4" s="184"/>
      <c r="C4" s="7" t="s">
        <v>122</v>
      </c>
      <c r="D4" s="7" t="s">
        <v>123</v>
      </c>
      <c r="E4" s="196" t="s">
        <v>125</v>
      </c>
      <c r="F4" s="196"/>
      <c r="G4" s="196" t="s">
        <v>124</v>
      </c>
      <c r="H4" s="197"/>
      <c r="I4" s="15" t="s">
        <v>149</v>
      </c>
      <c r="J4" s="18"/>
      <c r="K4" s="19"/>
    </row>
    <row r="5" spans="1:11" ht="15.6" x14ac:dyDescent="0.3">
      <c r="A5" s="183" t="s">
        <v>52</v>
      </c>
      <c r="B5" s="184"/>
      <c r="C5" s="8">
        <v>10</v>
      </c>
      <c r="D5" s="42">
        <f>((100/10)*C5)/100</f>
        <v>1</v>
      </c>
      <c r="E5" s="185">
        <f>(IF(C3=I3,"100%",IF(C3=I4,"100%",((C5+(40/(B2+C2+F2+H2)*C6)+(15/H2*C7)+(10/H2*C8)+(10/H2*C9)+(5/H2*C10)+(5/H2*C11))/100))))</f>
        <v>0.1</v>
      </c>
      <c r="F5" s="186"/>
      <c r="G5" s="185">
        <f>((IF(C5=1,"2",IF(C5=2,"4",IF(C5=4,"8",IF(C5=5,"15",IF(C5=7,"20",IF(C5=10,"30","0")))))))/100)+(((30/(H2+F2+C2+B2)*C6)+(15/H2*C7)+(10/H2*C8)+(5/H2*C9)+(5/H2*C10)+(5/H2*C11))/100)</f>
        <v>0.3</v>
      </c>
      <c r="H5" s="191"/>
      <c r="I5" s="20"/>
      <c r="J5" s="18"/>
      <c r="K5" s="19"/>
    </row>
    <row r="6" spans="1:11" ht="15.6" x14ac:dyDescent="0.3">
      <c r="A6" s="183" t="s">
        <v>147</v>
      </c>
      <c r="B6" s="184"/>
      <c r="C6" s="9">
        <v>0</v>
      </c>
      <c r="D6" s="42">
        <f>((100/(C2+F2+H2))*C6)/100</f>
        <v>0</v>
      </c>
      <c r="E6" s="187"/>
      <c r="F6" s="188"/>
      <c r="G6" s="187"/>
      <c r="H6" s="192"/>
      <c r="I6" s="21" t="s">
        <v>141</v>
      </c>
      <c r="J6" s="22">
        <v>0.01</v>
      </c>
      <c r="K6" s="23">
        <v>0.02</v>
      </c>
    </row>
    <row r="7" spans="1:11" ht="15.6" x14ac:dyDescent="0.3">
      <c r="A7" s="183" t="s">
        <v>53</v>
      </c>
      <c r="B7" s="184"/>
      <c r="C7" s="8">
        <v>0</v>
      </c>
      <c r="D7" s="42">
        <f>((100/(F2+H2))*C7)/100</f>
        <v>0</v>
      </c>
      <c r="E7" s="187"/>
      <c r="F7" s="188"/>
      <c r="G7" s="187"/>
      <c r="H7" s="192"/>
      <c r="I7" s="21" t="s">
        <v>142</v>
      </c>
      <c r="J7" s="22">
        <v>0.02</v>
      </c>
      <c r="K7" s="23">
        <v>0.04</v>
      </c>
    </row>
    <row r="8" spans="1:11" ht="15.6" x14ac:dyDescent="0.3">
      <c r="A8" s="183" t="s">
        <v>54</v>
      </c>
      <c r="B8" s="184"/>
      <c r="C8" s="8">
        <v>0</v>
      </c>
      <c r="D8" s="42">
        <f>((100/(F2+H2))*C8)/100</f>
        <v>0</v>
      </c>
      <c r="E8" s="187"/>
      <c r="F8" s="188"/>
      <c r="G8" s="187"/>
      <c r="H8" s="192"/>
      <c r="I8" s="21" t="s">
        <v>143</v>
      </c>
      <c r="J8" s="22">
        <v>0.04</v>
      </c>
      <c r="K8" s="23">
        <v>0.08</v>
      </c>
    </row>
    <row r="9" spans="1:11" ht="15.6" x14ac:dyDescent="0.3">
      <c r="A9" s="183" t="s">
        <v>55</v>
      </c>
      <c r="B9" s="184"/>
      <c r="C9" s="8">
        <v>0</v>
      </c>
      <c r="D9" s="42">
        <f>((100/(F2+H2))*C9)/100</f>
        <v>0</v>
      </c>
      <c r="E9" s="187"/>
      <c r="F9" s="188"/>
      <c r="G9" s="187"/>
      <c r="H9" s="192"/>
      <c r="I9" s="21" t="s">
        <v>144</v>
      </c>
      <c r="J9" s="22">
        <v>0.05</v>
      </c>
      <c r="K9" s="23">
        <v>0.15</v>
      </c>
    </row>
    <row r="10" spans="1:11" ht="15.6" x14ac:dyDescent="0.3">
      <c r="A10" s="183" t="s">
        <v>56</v>
      </c>
      <c r="B10" s="184"/>
      <c r="C10" s="8">
        <v>0</v>
      </c>
      <c r="D10" s="42">
        <f>((100/(F2+H2))*C10)/100</f>
        <v>0</v>
      </c>
      <c r="E10" s="187"/>
      <c r="F10" s="188"/>
      <c r="G10" s="187"/>
      <c r="H10" s="192"/>
      <c r="I10" s="21" t="s">
        <v>145</v>
      </c>
      <c r="J10" s="22">
        <v>7.0000000000000007E-2</v>
      </c>
      <c r="K10" s="23">
        <v>0.2</v>
      </c>
    </row>
    <row r="11" spans="1:11" ht="16.2" thickBot="1" x14ac:dyDescent="0.35">
      <c r="A11" s="194" t="s">
        <v>57</v>
      </c>
      <c r="B11" s="195"/>
      <c r="C11" s="11">
        <v>0</v>
      </c>
      <c r="D11" s="43">
        <f>((100/(F2+H2))*C11)/100</f>
        <v>0</v>
      </c>
      <c r="E11" s="189"/>
      <c r="F11" s="190"/>
      <c r="G11" s="189"/>
      <c r="H11" s="193"/>
      <c r="I11" s="24" t="s">
        <v>146</v>
      </c>
      <c r="J11" s="25">
        <v>0.1</v>
      </c>
      <c r="K11" s="26">
        <v>0.3</v>
      </c>
    </row>
    <row r="12" spans="1:11" ht="15.6" x14ac:dyDescent="0.3">
      <c r="A12" s="46"/>
      <c r="B12" s="46"/>
      <c r="C12" s="47"/>
      <c r="D12" s="48"/>
      <c r="E12" s="48"/>
      <c r="F12" s="48"/>
      <c r="G12" s="48"/>
      <c r="H12" s="48"/>
      <c r="I12" s="49"/>
      <c r="J12" s="22"/>
      <c r="K12" s="22"/>
    </row>
    <row r="13" spans="1:11" x14ac:dyDescent="0.3">
      <c r="E13" s="44">
        <f>E5</f>
        <v>0.1</v>
      </c>
      <c r="G13" s="44">
        <f>G5</f>
        <v>0.3</v>
      </c>
    </row>
    <row r="14" spans="1:11" x14ac:dyDescent="0.3">
      <c r="E14" s="45"/>
      <c r="G14" s="45"/>
    </row>
  </sheetData>
  <mergeCells count="17">
    <mergeCell ref="A4:B4"/>
    <mergeCell ref="E4:F4"/>
    <mergeCell ref="G4:H4"/>
    <mergeCell ref="A1:H1"/>
    <mergeCell ref="A2:B2"/>
    <mergeCell ref="C2:D2"/>
    <mergeCell ref="A3:B3"/>
    <mergeCell ref="C3:H3"/>
    <mergeCell ref="A5:B5"/>
    <mergeCell ref="E5:F11"/>
    <mergeCell ref="G5:H11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L36"/>
  <sheetViews>
    <sheetView workbookViewId="0">
      <selection activeCell="M197" sqref="M197"/>
    </sheetView>
  </sheetViews>
  <sheetFormatPr defaultRowHeight="14.4" x14ac:dyDescent="0.3"/>
  <cols>
    <col min="2" max="2" width="12.33203125" customWidth="1"/>
  </cols>
  <sheetData>
    <row r="2" spans="1:12" x14ac:dyDescent="0.3">
      <c r="B2" s="1" t="s">
        <v>83</v>
      </c>
      <c r="C2" s="207"/>
      <c r="D2" s="207"/>
    </row>
    <row r="3" spans="1:12" x14ac:dyDescent="0.3">
      <c r="D3" s="2"/>
      <c r="E3" s="2"/>
      <c r="F3" s="2"/>
      <c r="G3" s="2"/>
      <c r="H3" s="2"/>
      <c r="I3" s="2"/>
    </row>
    <row r="4" spans="1:12" x14ac:dyDescent="0.3">
      <c r="A4" s="1" t="s">
        <v>84</v>
      </c>
      <c r="B4" s="3" t="s">
        <v>85</v>
      </c>
      <c r="C4" s="208" t="s">
        <v>86</v>
      </c>
      <c r="D4" s="208"/>
      <c r="E4" s="208"/>
      <c r="F4" s="4"/>
      <c r="G4" s="208" t="s">
        <v>87</v>
      </c>
      <c r="H4" s="208"/>
      <c r="I4" s="208"/>
      <c r="J4" s="208" t="s">
        <v>88</v>
      </c>
      <c r="K4" s="208"/>
      <c r="L4" s="208"/>
    </row>
    <row r="5" spans="1:12" x14ac:dyDescent="0.3">
      <c r="A5" s="1">
        <v>202</v>
      </c>
      <c r="B5" s="3"/>
      <c r="C5" s="3" t="s">
        <v>89</v>
      </c>
      <c r="D5" s="3" t="s">
        <v>90</v>
      </c>
      <c r="E5" s="3" t="s">
        <v>65</v>
      </c>
      <c r="F5" s="3"/>
      <c r="G5" s="3" t="s">
        <v>89</v>
      </c>
      <c r="H5" s="3" t="s">
        <v>90</v>
      </c>
      <c r="I5" s="3" t="s">
        <v>65</v>
      </c>
      <c r="J5" s="3" t="s">
        <v>89</v>
      </c>
      <c r="K5" s="3" t="s">
        <v>90</v>
      </c>
      <c r="L5" s="3" t="s">
        <v>65</v>
      </c>
    </row>
    <row r="6" spans="1:12" x14ac:dyDescent="0.3">
      <c r="B6" s="5" t="s">
        <v>91</v>
      </c>
      <c r="C6" s="5">
        <v>4.5</v>
      </c>
      <c r="D6" s="5">
        <v>2.9</v>
      </c>
      <c r="E6" s="5">
        <f>C6*D6</f>
        <v>13.049999999999999</v>
      </c>
      <c r="F6" s="5" t="s">
        <v>92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">
      <c r="B7" s="5"/>
      <c r="C7" s="5"/>
      <c r="D7" s="5"/>
      <c r="E7" s="5">
        <f t="shared" ref="E7:E33" si="0">C7*D7</f>
        <v>0</v>
      </c>
      <c r="F7" s="5" t="s">
        <v>93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">
      <c r="B9" s="5" t="s">
        <v>94</v>
      </c>
      <c r="C9" s="5">
        <v>1.88</v>
      </c>
      <c r="D9" s="5">
        <v>2.13</v>
      </c>
      <c r="E9" s="5">
        <f t="shared" si="0"/>
        <v>4.0043999999999995</v>
      </c>
      <c r="F9" s="5" t="s">
        <v>92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">
      <c r="B10" s="5"/>
      <c r="C10" s="5"/>
      <c r="D10" s="5"/>
      <c r="E10" s="5">
        <f t="shared" si="0"/>
        <v>0</v>
      </c>
      <c r="F10" s="5" t="s">
        <v>93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">
      <c r="B13" s="5" t="s">
        <v>95</v>
      </c>
      <c r="C13" s="5"/>
      <c r="D13" s="5"/>
      <c r="E13" s="5">
        <f t="shared" si="0"/>
        <v>0</v>
      </c>
      <c r="F13" s="5" t="s">
        <v>92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">
      <c r="B14" s="5"/>
      <c r="C14" s="5"/>
      <c r="D14" s="5"/>
      <c r="E14" s="5">
        <f t="shared" si="0"/>
        <v>0</v>
      </c>
      <c r="F14" s="5" t="s">
        <v>93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">
      <c r="B17" s="5" t="s">
        <v>96</v>
      </c>
      <c r="C17" s="5"/>
      <c r="D17" s="5"/>
      <c r="E17" s="5">
        <f t="shared" si="0"/>
        <v>0</v>
      </c>
      <c r="F17" s="5" t="s">
        <v>92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">
      <c r="B18" s="5"/>
      <c r="C18" s="5"/>
      <c r="D18" s="5"/>
      <c r="E18" s="5">
        <f t="shared" si="0"/>
        <v>0</v>
      </c>
      <c r="F18" s="5" t="s">
        <v>93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">
      <c r="B20" s="5" t="s">
        <v>96</v>
      </c>
      <c r="C20" s="5"/>
      <c r="D20" s="5"/>
      <c r="E20" s="5">
        <f t="shared" si="0"/>
        <v>0</v>
      </c>
      <c r="F20" s="5" t="s">
        <v>92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">
      <c r="B21" s="5"/>
      <c r="C21" s="5"/>
      <c r="D21" s="5"/>
      <c r="E21" s="5">
        <f t="shared" si="0"/>
        <v>0</v>
      </c>
      <c r="F21" s="5" t="s">
        <v>93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">
      <c r="B23" s="5" t="s">
        <v>97</v>
      </c>
      <c r="C23" s="5">
        <v>1.9</v>
      </c>
      <c r="D23" s="5">
        <v>1.07</v>
      </c>
      <c r="E23" s="5">
        <f t="shared" si="0"/>
        <v>2.0329999999999999</v>
      </c>
      <c r="F23" s="5" t="s">
        <v>98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">
      <c r="B24" s="5" t="s">
        <v>99</v>
      </c>
      <c r="C24" s="5"/>
      <c r="D24" s="5"/>
      <c r="E24" s="5">
        <f t="shared" si="0"/>
        <v>0</v>
      </c>
      <c r="F24" s="5" t="s">
        <v>98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">
      <c r="B25" s="5" t="s">
        <v>100</v>
      </c>
      <c r="C25" s="5"/>
      <c r="D25" s="5"/>
      <c r="E25" s="5">
        <f t="shared" si="0"/>
        <v>0</v>
      </c>
      <c r="F25" s="5" t="s">
        <v>98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">
      <c r="B27" s="5" t="s">
        <v>101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">
      <c r="B28" s="5" t="s">
        <v>102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">
      <c r="B29" s="5" t="s">
        <v>103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">
      <c r="B30" s="5" t="s">
        <v>104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">
      <c r="B34" s="5" t="s">
        <v>66</v>
      </c>
      <c r="C34" s="5"/>
      <c r="D34" s="5">
        <f>E34*10.764</f>
        <v>205.45677359999996</v>
      </c>
      <c r="E34" s="5">
        <f>SUM(E6:E33)</f>
        <v>19.087399999999999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C16" sqref="C16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16"/>
  <sheetViews>
    <sheetView zoomScale="115" zoomScaleNormal="115" workbookViewId="0"/>
  </sheetViews>
  <sheetFormatPr defaultColWidth="8.6640625" defaultRowHeight="14.4" x14ac:dyDescent="0.3"/>
  <cols>
    <col min="1" max="1" width="8.6640625" style="27"/>
    <col min="2" max="2" width="22.109375" style="27" customWidth="1"/>
    <col min="3" max="3" width="37" style="27" customWidth="1"/>
    <col min="4" max="5" width="11.44140625" style="27" customWidth="1"/>
    <col min="6" max="6" width="14" style="27" customWidth="1"/>
    <col min="7" max="7" width="20" style="27" customWidth="1"/>
    <col min="8" max="8" width="16.44140625" style="27" customWidth="1"/>
    <col min="9" max="16384" width="8.6640625" style="27"/>
  </cols>
  <sheetData>
    <row r="1" spans="1:9" ht="15" customHeight="1" x14ac:dyDescent="0.3"/>
    <row r="2" spans="1:9" ht="15" customHeight="1" x14ac:dyDescent="0.3">
      <c r="A2" s="28"/>
      <c r="B2" s="28"/>
      <c r="C2" s="28"/>
      <c r="D2" s="28"/>
      <c r="E2" s="28"/>
      <c r="F2" s="28"/>
      <c r="G2" s="28"/>
      <c r="H2" s="28"/>
    </row>
    <row r="3" spans="1:9" ht="15.75" customHeight="1" x14ac:dyDescent="0.3">
      <c r="A3" s="28"/>
      <c r="B3" s="209" t="s">
        <v>152</v>
      </c>
      <c r="C3" s="209"/>
      <c r="D3" s="209"/>
      <c r="E3" s="209"/>
      <c r="F3" s="209"/>
      <c r="G3" s="209"/>
      <c r="H3" s="209"/>
    </row>
    <row r="4" spans="1:9" x14ac:dyDescent="0.3">
      <c r="A4" s="28"/>
      <c r="B4" s="29" t="s">
        <v>153</v>
      </c>
      <c r="C4" s="29" t="s">
        <v>154</v>
      </c>
      <c r="D4" s="29" t="s">
        <v>84</v>
      </c>
      <c r="E4" s="29" t="s">
        <v>155</v>
      </c>
      <c r="F4" s="29" t="s">
        <v>162</v>
      </c>
      <c r="G4" s="29" t="s">
        <v>163</v>
      </c>
      <c r="H4" s="29" t="s">
        <v>156</v>
      </c>
    </row>
    <row r="5" spans="1:9" ht="15" customHeight="1" x14ac:dyDescent="0.3">
      <c r="A5" s="28"/>
      <c r="B5" s="31" t="s">
        <v>157</v>
      </c>
      <c r="C5" s="32"/>
      <c r="D5" s="31" t="s">
        <v>158</v>
      </c>
      <c r="E5" s="31">
        <v>1106</v>
      </c>
      <c r="F5" s="33">
        <f>E5*1.6</f>
        <v>1769.6000000000001</v>
      </c>
      <c r="G5" s="33">
        <f>H5/F5</f>
        <v>31532.549728752259</v>
      </c>
      <c r="H5" s="34">
        <v>55800000</v>
      </c>
    </row>
    <row r="6" spans="1:9" x14ac:dyDescent="0.3">
      <c r="A6" s="28"/>
      <c r="B6" s="31" t="s">
        <v>157</v>
      </c>
      <c r="C6" s="35"/>
      <c r="D6" s="31"/>
      <c r="E6" s="31"/>
      <c r="F6" s="33">
        <f t="shared" ref="F6:F11" si="0">E6*1.6</f>
        <v>0</v>
      </c>
      <c r="G6" s="33" t="e">
        <f t="shared" ref="G6:G11" si="1">H6/F6</f>
        <v>#DIV/0!</v>
      </c>
      <c r="H6" s="34"/>
    </row>
    <row r="7" spans="1:9" ht="15" customHeight="1" x14ac:dyDescent="0.3">
      <c r="A7" s="28"/>
      <c r="B7" s="31" t="s">
        <v>157</v>
      </c>
      <c r="C7" s="32"/>
      <c r="D7" s="31"/>
      <c r="E7" s="31"/>
      <c r="F7" s="33">
        <f t="shared" si="0"/>
        <v>0</v>
      </c>
      <c r="G7" s="33" t="e">
        <f t="shared" si="1"/>
        <v>#DIV/0!</v>
      </c>
      <c r="H7" s="34"/>
    </row>
    <row r="8" spans="1:9" x14ac:dyDescent="0.3">
      <c r="A8" s="28"/>
      <c r="B8" s="31" t="s">
        <v>157</v>
      </c>
      <c r="C8" s="35"/>
      <c r="D8" s="31"/>
      <c r="E8" s="31"/>
      <c r="F8" s="33">
        <f t="shared" si="0"/>
        <v>0</v>
      </c>
      <c r="G8" s="33" t="e">
        <f t="shared" si="1"/>
        <v>#DIV/0!</v>
      </c>
      <c r="H8" s="34"/>
    </row>
    <row r="9" spans="1:9" ht="15" customHeight="1" x14ac:dyDescent="0.3">
      <c r="A9" s="28"/>
      <c r="B9" s="31" t="s">
        <v>157</v>
      </c>
      <c r="C9" s="35"/>
      <c r="D9" s="31"/>
      <c r="E9" s="31"/>
      <c r="F9" s="33">
        <f t="shared" si="0"/>
        <v>0</v>
      </c>
      <c r="G9" s="33" t="e">
        <f t="shared" si="1"/>
        <v>#DIV/0!</v>
      </c>
      <c r="H9" s="34"/>
    </row>
    <row r="10" spans="1:9" ht="15" customHeight="1" x14ac:dyDescent="0.3">
      <c r="A10" s="28"/>
      <c r="B10" s="31" t="s">
        <v>159</v>
      </c>
      <c r="C10" s="32"/>
      <c r="D10" s="31"/>
      <c r="E10" s="31"/>
      <c r="F10" s="33">
        <f t="shared" si="0"/>
        <v>0</v>
      </c>
      <c r="G10" s="33" t="e">
        <f t="shared" si="1"/>
        <v>#DIV/0!</v>
      </c>
      <c r="H10" s="34"/>
    </row>
    <row r="11" spans="1:9" ht="15" customHeight="1" x14ac:dyDescent="0.3">
      <c r="A11" s="28"/>
      <c r="B11" s="31" t="s">
        <v>159</v>
      </c>
      <c r="C11" s="32"/>
      <c r="D11" s="31"/>
      <c r="E11" s="31"/>
      <c r="F11" s="33">
        <f t="shared" si="0"/>
        <v>0</v>
      </c>
      <c r="G11" s="33" t="e">
        <f t="shared" si="1"/>
        <v>#DIV/0!</v>
      </c>
      <c r="H11" s="34"/>
    </row>
    <row r="12" spans="1:9" ht="15" customHeight="1" x14ac:dyDescent="0.3">
      <c r="A12" s="28"/>
      <c r="B12" s="36" t="s">
        <v>160</v>
      </c>
      <c r="C12" s="31"/>
      <c r="D12" s="31"/>
      <c r="E12" s="31"/>
      <c r="F12" s="31"/>
      <c r="G12" s="37" t="e">
        <f>AVERAGE(G5:G11)</f>
        <v>#DIV/0!</v>
      </c>
      <c r="H12" s="31"/>
    </row>
    <row r="13" spans="1:9" ht="15" customHeight="1" x14ac:dyDescent="0.3">
      <c r="B13" s="36" t="s">
        <v>161</v>
      </c>
      <c r="C13" s="31"/>
      <c r="D13" s="31"/>
      <c r="E13" s="31"/>
      <c r="F13" s="38"/>
      <c r="G13" s="36"/>
      <c r="H13" s="36"/>
      <c r="I13" s="30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C%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2025-07-14T13:02:07Z</cp:lastPrinted>
  <dcterms:created xsi:type="dcterms:W3CDTF">2019-07-16T09:29:46Z</dcterms:created>
  <dcterms:modified xsi:type="dcterms:W3CDTF">2025-07-14T13:02:12Z</dcterms:modified>
</cp:coreProperties>
</file>