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A99C9F79-C870-4FEA-AB82-625C30912AF6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" i="1" l="1"/>
  <c r="D212" i="1"/>
  <c r="D201" i="1"/>
  <c r="D190" i="1"/>
  <c r="D178" i="1"/>
  <c r="D181" i="1"/>
  <c r="D179" i="1"/>
  <c r="I177" i="1"/>
  <c r="D135" i="1"/>
  <c r="D220" i="1" l="1"/>
  <c r="F220" i="1" s="1"/>
  <c r="F219" i="1"/>
  <c r="D219" i="1"/>
  <c r="D218" i="1"/>
  <c r="F218" i="1" s="1"/>
  <c r="D217" i="1"/>
  <c r="F217" i="1" s="1"/>
  <c r="D216" i="1"/>
  <c r="F216" i="1" s="1"/>
  <c r="D214" i="1"/>
  <c r="F214" i="1" s="1"/>
  <c r="D213" i="1"/>
  <c r="F213" i="1" s="1"/>
  <c r="A213" i="1"/>
  <c r="A214" i="1" s="1"/>
  <c r="A215" i="1" s="1"/>
  <c r="A216" i="1" s="1"/>
  <c r="A217" i="1" s="1"/>
  <c r="A218" i="1" s="1"/>
  <c r="A219" i="1" s="1"/>
  <c r="A220" i="1" s="1"/>
  <c r="F212" i="1"/>
  <c r="A212" i="1"/>
  <c r="G211" i="1"/>
  <c r="D211" i="1"/>
  <c r="F211" i="1" s="1"/>
  <c r="D209" i="1"/>
  <c r="D208" i="1"/>
  <c r="D207" i="1"/>
  <c r="D206" i="1"/>
  <c r="D205" i="1"/>
  <c r="D203" i="1"/>
  <c r="D202" i="1"/>
  <c r="D200" i="1"/>
  <c r="D198" i="1"/>
  <c r="D197" i="1"/>
  <c r="D196" i="1"/>
  <c r="D195" i="1"/>
  <c r="D194" i="1"/>
  <c r="D182" i="1"/>
  <c r="D193" i="1"/>
  <c r="D192" i="1"/>
  <c r="D191" i="1"/>
  <c r="D189" i="1"/>
  <c r="E187" i="1"/>
  <c r="D187" i="1"/>
  <c r="E186" i="1"/>
  <c r="D186" i="1"/>
  <c r="E185" i="1"/>
  <c r="D185" i="1"/>
  <c r="E184" i="1"/>
  <c r="D184" i="1"/>
  <c r="E183" i="1"/>
  <c r="D183" i="1"/>
  <c r="E182" i="1"/>
  <c r="E181" i="1"/>
  <c r="D180" i="1"/>
  <c r="C98" i="1" s="1"/>
  <c r="E180" i="1"/>
  <c r="E179" i="1"/>
  <c r="I179" i="1"/>
  <c r="E178" i="1"/>
  <c r="L178" i="1"/>
  <c r="J178" i="1"/>
  <c r="E98" i="1" l="1"/>
  <c r="D161" i="1"/>
  <c r="D169" i="1" l="1"/>
  <c r="D168" i="1"/>
  <c r="D162" i="1"/>
  <c r="D159" i="1"/>
  <c r="D158" i="1"/>
  <c r="D156" i="1"/>
  <c r="D155" i="1"/>
  <c r="D154" i="1"/>
  <c r="D153" i="1"/>
  <c r="D152" i="1"/>
  <c r="D151" i="1"/>
  <c r="D150" i="1"/>
  <c r="D147" i="1"/>
  <c r="D146" i="1"/>
  <c r="D145" i="1"/>
  <c r="D144" i="1"/>
  <c r="D143" i="1"/>
  <c r="D142" i="1"/>
  <c r="D141" i="1"/>
  <c r="D140" i="1"/>
  <c r="D139" i="1"/>
  <c r="D138" i="1"/>
  <c r="D137" i="1"/>
  <c r="D134" i="1"/>
  <c r="D133" i="1"/>
  <c r="D126" i="1"/>
  <c r="I123" i="1"/>
  <c r="I105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58" i="1"/>
  <c r="E3" i="1" l="1"/>
  <c r="J177" i="1" l="1"/>
  <c r="I149" i="1"/>
  <c r="I139" i="1"/>
  <c r="J138" i="1"/>
  <c r="I138" i="1"/>
  <c r="J84" i="1" l="1"/>
  <c r="D231" i="1"/>
  <c r="F231" i="1" s="1"/>
  <c r="D230" i="1"/>
  <c r="F230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A223" i="1"/>
  <c r="A224" i="1" s="1"/>
  <c r="A225" i="1" s="1"/>
  <c r="A226" i="1" s="1"/>
  <c r="A227" i="1" s="1"/>
  <c r="A228" i="1" s="1"/>
  <c r="A229" i="1" s="1"/>
  <c r="A230" i="1" s="1"/>
  <c r="A231" i="1" s="1"/>
  <c r="G222" i="1"/>
  <c r="D222" i="1"/>
  <c r="F222" i="1" s="1"/>
  <c r="F209" i="1" l="1"/>
  <c r="I209" i="1" s="1"/>
  <c r="F208" i="1"/>
  <c r="I208" i="1" s="1"/>
  <c r="F207" i="1"/>
  <c r="F206" i="1"/>
  <c r="F205" i="1"/>
  <c r="F203" i="1"/>
  <c r="F202" i="1"/>
  <c r="I202" i="1" s="1"/>
  <c r="F201" i="1"/>
  <c r="I201" i="1" s="1"/>
  <c r="A201" i="1"/>
  <c r="A202" i="1" s="1"/>
  <c r="A203" i="1" s="1"/>
  <c r="A204" i="1" s="1"/>
  <c r="A205" i="1" s="1"/>
  <c r="A206" i="1" s="1"/>
  <c r="A207" i="1" s="1"/>
  <c r="A208" i="1" s="1"/>
  <c r="A209" i="1" s="1"/>
  <c r="G200" i="1"/>
  <c r="F200" i="1"/>
  <c r="K198" i="1"/>
  <c r="K197" i="1"/>
  <c r="K196" i="1"/>
  <c r="K195" i="1"/>
  <c r="K194" i="1"/>
  <c r="K193" i="1"/>
  <c r="K192" i="1"/>
  <c r="K191" i="1"/>
  <c r="K190" i="1"/>
  <c r="A190" i="1"/>
  <c r="A191" i="1" s="1"/>
  <c r="A192" i="1" s="1"/>
  <c r="A193" i="1" s="1"/>
  <c r="A194" i="1" s="1"/>
  <c r="A195" i="1" s="1"/>
  <c r="A196" i="1" s="1"/>
  <c r="A197" i="1" s="1"/>
  <c r="A198" i="1" s="1"/>
  <c r="G189" i="1"/>
  <c r="F186" i="1"/>
  <c r="F185" i="1"/>
  <c r="F184" i="1"/>
  <c r="F180" i="1"/>
  <c r="K177" i="1"/>
  <c r="J179" i="1"/>
  <c r="K179" i="1"/>
  <c r="A179" i="1"/>
  <c r="A180" i="1" s="1"/>
  <c r="A181" i="1" s="1"/>
  <c r="A182" i="1" s="1"/>
  <c r="A183" i="1" s="1"/>
  <c r="A184" i="1" s="1"/>
  <c r="A185" i="1" s="1"/>
  <c r="A186" i="1" s="1"/>
  <c r="A187" i="1" s="1"/>
  <c r="G178" i="1"/>
  <c r="F178" i="1"/>
  <c r="D173" i="1"/>
  <c r="F173" i="1" s="1"/>
  <c r="D172" i="1"/>
  <c r="F172" i="1" s="1"/>
  <c r="D171" i="1"/>
  <c r="F171" i="1" s="1"/>
  <c r="D170" i="1"/>
  <c r="F170" i="1" s="1"/>
  <c r="F169" i="1"/>
  <c r="F168" i="1"/>
  <c r="D167" i="1"/>
  <c r="F167" i="1" s="1"/>
  <c r="D166" i="1"/>
  <c r="F166" i="1" s="1"/>
  <c r="D165" i="1"/>
  <c r="F165" i="1" s="1"/>
  <c r="D164" i="1"/>
  <c r="F164" i="1" s="1"/>
  <c r="D163" i="1"/>
  <c r="F163" i="1" s="1"/>
  <c r="F162" i="1"/>
  <c r="F161" i="1"/>
  <c r="D160" i="1"/>
  <c r="F160" i="1" s="1"/>
  <c r="F159" i="1"/>
  <c r="F158" i="1"/>
  <c r="D157" i="1"/>
  <c r="F157" i="1" s="1"/>
  <c r="F156" i="1"/>
  <c r="F155" i="1"/>
  <c r="F154" i="1"/>
  <c r="F153" i="1"/>
  <c r="F152" i="1"/>
  <c r="F151" i="1"/>
  <c r="F150" i="1"/>
  <c r="D149" i="1"/>
  <c r="J149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G149" i="1"/>
  <c r="F147" i="1"/>
  <c r="F146" i="1"/>
  <c r="F145" i="1"/>
  <c r="F144" i="1"/>
  <c r="F143" i="1"/>
  <c r="F142" i="1"/>
  <c r="F141" i="1"/>
  <c r="F140" i="1"/>
  <c r="F137" i="1"/>
  <c r="D136" i="1"/>
  <c r="F136" i="1" s="1"/>
  <c r="F135" i="1"/>
  <c r="F134" i="1"/>
  <c r="F133" i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F126" i="1"/>
  <c r="D125" i="1"/>
  <c r="F125" i="1" s="1"/>
  <c r="D124" i="1"/>
  <c r="F124" i="1" s="1"/>
  <c r="D123" i="1"/>
  <c r="F138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A124" i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G123" i="1"/>
  <c r="F123" i="1" l="1"/>
  <c r="E93" i="1"/>
  <c r="C93" i="1"/>
  <c r="F149" i="1"/>
  <c r="C94" i="1"/>
  <c r="E94" i="1"/>
  <c r="I178" i="1"/>
  <c r="K178" i="1" s="1"/>
  <c r="F139" i="1"/>
  <c r="G94" i="1" s="1"/>
  <c r="J189" i="1"/>
  <c r="K189" i="1"/>
  <c r="J203" i="1"/>
  <c r="I203" i="1"/>
  <c r="F190" i="1"/>
  <c r="J190" i="1" s="1"/>
  <c r="F197" i="1"/>
  <c r="J197" i="1" s="1"/>
  <c r="F191" i="1"/>
  <c r="F192" i="1"/>
  <c r="F193" i="1"/>
  <c r="F194" i="1"/>
  <c r="J194" i="1" s="1"/>
  <c r="F189" i="1"/>
  <c r="F195" i="1"/>
  <c r="F198" i="1"/>
  <c r="F196" i="1"/>
  <c r="F187" i="1"/>
  <c r="I187" i="1" s="1"/>
  <c r="F181" i="1"/>
  <c r="F182" i="1"/>
  <c r="F179" i="1"/>
  <c r="G98" i="1" s="1"/>
  <c r="F183" i="1"/>
  <c r="I183" i="1" s="1"/>
  <c r="C14" i="1"/>
  <c r="E95" i="1" l="1"/>
  <c r="E99" i="1" s="1"/>
  <c r="C95" i="1"/>
  <c r="C99" i="1" s="1"/>
  <c r="E29" i="1"/>
  <c r="F234" i="1" l="1"/>
  <c r="F235" i="1"/>
  <c r="F236" i="1"/>
  <c r="F233" i="1"/>
  <c r="A234" i="1"/>
  <c r="A235" i="1" s="1"/>
  <c r="A236" i="1" s="1"/>
  <c r="G233" i="1"/>
  <c r="G234" i="1" s="1"/>
  <c r="G235" i="1" s="1"/>
  <c r="G236" i="1" s="1"/>
  <c r="F90" i="1" l="1"/>
  <c r="F106" i="1" l="1"/>
  <c r="F107" i="1"/>
  <c r="F108" i="1"/>
  <c r="F105" i="1"/>
  <c r="G93" i="1" s="1"/>
  <c r="G95" i="1" l="1"/>
  <c r="G99" i="1" s="1"/>
  <c r="B263" i="1"/>
  <c r="A250" i="1"/>
  <c r="A256" i="1"/>
  <c r="A244" i="1"/>
  <c r="F260" i="1" l="1"/>
  <c r="F259" i="1"/>
  <c r="F258" i="1"/>
  <c r="F257" i="1"/>
  <c r="F256" i="1"/>
  <c r="F254" i="1"/>
  <c r="F253" i="1"/>
  <c r="F252" i="1"/>
  <c r="F251" i="1"/>
  <c r="F250" i="1"/>
  <c r="F248" i="1"/>
  <c r="F247" i="1"/>
  <c r="F246" i="1"/>
  <c r="F245" i="1"/>
  <c r="F244" i="1"/>
  <c r="F242" i="1"/>
  <c r="F241" i="1"/>
  <c r="F239" i="1"/>
  <c r="F238" i="1"/>
  <c r="F240" i="1"/>
  <c r="A245" i="1"/>
  <c r="A257" i="1"/>
  <c r="A251" i="1"/>
  <c r="B264" i="1" l="1"/>
  <c r="A258" i="1"/>
  <c r="A246" i="1"/>
  <c r="A25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86" i="1"/>
  <c r="G256" i="1"/>
  <c r="G257" i="1" s="1"/>
  <c r="G258" i="1" s="1"/>
  <c r="G259" i="1" s="1"/>
  <c r="G260" i="1" s="1"/>
  <c r="G250" i="1"/>
  <c r="G251" i="1" s="1"/>
  <c r="G252" i="1" s="1"/>
  <c r="G253" i="1" s="1"/>
  <c r="G254" i="1" s="1"/>
  <c r="G244" i="1"/>
  <c r="G245" i="1" s="1"/>
  <c r="G246" i="1" s="1"/>
  <c r="G247" i="1" s="1"/>
  <c r="G248" i="1" s="1"/>
  <c r="G238" i="1"/>
  <c r="G239" i="1" s="1"/>
  <c r="G240" i="1" s="1"/>
  <c r="G241" i="1" s="1"/>
  <c r="G242" i="1" s="1"/>
  <c r="A238" i="1"/>
  <c r="A239" i="1" s="1"/>
  <c r="A240" i="1" s="1"/>
  <c r="A241" i="1" s="1"/>
  <c r="A242" i="1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G105" i="1"/>
  <c r="J77" i="1"/>
  <c r="J76" i="1"/>
  <c r="J75" i="1"/>
  <c r="J74" i="1"/>
  <c r="C66" i="1"/>
  <c r="D55" i="1"/>
  <c r="G49" i="1"/>
  <c r="G50" i="1" s="1"/>
  <c r="C49" i="1"/>
  <c r="C50" i="1" s="1"/>
  <c r="E42" i="1"/>
  <c r="E43" i="1" s="1"/>
  <c r="E26" i="1"/>
  <c r="E24" i="1"/>
  <c r="E7" i="1"/>
  <c r="A253" i="1"/>
  <c r="A259" i="1"/>
  <c r="A247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s="1"/>
  <c r="C71" i="1" s="1"/>
  <c r="A260" i="1"/>
  <c r="A254" i="1"/>
  <c r="A248" i="1"/>
  <c r="D72" i="1" l="1"/>
  <c r="J68" i="1"/>
  <c r="E70" i="1"/>
  <c r="D71" i="1"/>
  <c r="G70" i="1"/>
  <c r="D64" i="1" s="1"/>
  <c r="D70" i="1"/>
  <c r="J67" i="1" s="1"/>
  <c r="I67" i="1" l="1"/>
  <c r="F65" i="1"/>
  <c r="D65" i="1"/>
  <c r="I68" i="1" l="1"/>
  <c r="I66" i="1" s="1"/>
  <c r="C68" i="1" s="1"/>
</calcChain>
</file>

<file path=xl/sharedStrings.xml><?xml version="1.0" encoding="utf-8"?>
<sst xmlns="http://schemas.openxmlformats.org/spreadsheetml/2006/main" count="349" uniqueCount="236">
  <si>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</si>
  <si>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</si>
  <si>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</si>
  <si>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</si>
  <si>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</si>
  <si>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</si>
  <si>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</si>
  <si>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</si>
  <si>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</si>
  <si>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</si>
  <si>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</si>
  <si>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</si>
  <si>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</si>
  <si>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</si>
  <si>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</si>
  <si>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</si>
  <si>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</si>
  <si>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</si>
  <si>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</si>
  <si>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</si>
  <si>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</si>
  <si>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</si>
  <si>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</si>
  <si>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</si>
  <si>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</si>
  <si>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</si>
  <si>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</si>
  <si>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</si>
  <si>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</si>
  <si>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</si>
  <si>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</si>
  <si>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</si>
  <si>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</si>
  <si>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</si>
  <si>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</si>
  <si>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</si>
  <si>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</si>
  <si>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</si>
  <si>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</si>
  <si>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</si>
  <si>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</si>
  <si>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</si>
  <si>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</si>
  <si>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</si>
  <si>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</si>
  <si>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</si>
  <si>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</si>
  <si>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</si>
  <si>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</si>
  <si>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</si>
  <si>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</si>
  <si>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</si>
  <si>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</si>
  <si>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</si>
  <si>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</si>
  <si>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</si>
  <si>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</si>
  <si>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</si>
  <si>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</si>
  <si>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</si>
  <si>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</si>
  <si>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</si>
  <si>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</si>
  <si>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</si>
  <si>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</si>
  <si>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</si>
  <si>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</si>
  <si>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</si>
  <si>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</si>
  <si>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</si>
  <si>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</si>
  <si>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</si>
  <si>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</si>
  <si>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</si>
  <si>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</si>
  <si>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</si>
  <si>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</si>
  <si>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</si>
  <si>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</si>
  <si>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</si>
  <si>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</si>
  <si>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</si>
  <si>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</si>
  <si>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</si>
  <si>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</si>
  <si>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</si>
  <si>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</si>
  <si>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</si>
  <si>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</si>
  <si>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</si>
  <si>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</si>
  <si>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</si>
  <si>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</si>
  <si>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</si>
  <si>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</si>
  <si>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</si>
  <si>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</si>
  <si>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</si>
  <si>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</si>
  <si>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</si>
  <si>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</si>
  <si>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</si>
  <si>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</si>
  <si>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</si>
  <si>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</si>
  <si>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</si>
  <si>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</si>
  <si>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</si>
  <si>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</si>
  <si>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</si>
  <si>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</si>
  <si>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</si>
  <si>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</si>
  <si>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</si>
  <si>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</si>
  <si>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</si>
  <si>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</si>
  <si>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</si>
  <si>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</si>
  <si>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</si>
  <si>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</si>
  <si>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</si>
  <si>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</si>
  <si>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</si>
  <si>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</si>
  <si>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</si>
  <si>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</si>
  <si>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</si>
  <si>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</si>
  <si>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</si>
  <si>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</si>
  <si>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</si>
  <si>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</si>
  <si>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</si>
  <si>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</si>
  <si>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</si>
  <si>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</si>
  <si>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</si>
  <si>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</si>
  <si>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</si>
  <si>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</si>
  <si>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</si>
  <si>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</si>
  <si>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</si>
  <si>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</si>
  <si>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</si>
  <si>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</si>
  <si>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</si>
  <si>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</si>
  <si>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</si>
  <si>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</si>
  <si>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</si>
  <si>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</si>
  <si>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</si>
  <si>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</si>
  <si>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</si>
  <si>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</si>
  <si>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</si>
  <si>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</si>
  <si>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</si>
  <si>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</si>
  <si>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</si>
  <si>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</si>
  <si>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</si>
  <si>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</si>
  <si>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</si>
  <si>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</si>
  <si>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</si>
  <si>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Village</t>
  </si>
  <si>
    <t xml:space="preserve">O. Certificate No.: 
Approved upto : </t>
  </si>
  <si>
    <t>Axis Thane</t>
  </si>
  <si>
    <t>Vishnu Buildwell</t>
  </si>
  <si>
    <t>Om Maitri Icon</t>
  </si>
  <si>
    <t>1 Building</t>
  </si>
  <si>
    <t>P51700032392</t>
  </si>
  <si>
    <t>Survey No</t>
  </si>
  <si>
    <t>Nilaje Station Road</t>
  </si>
  <si>
    <t>Nilaje</t>
  </si>
  <si>
    <t>Nilaje West</t>
  </si>
  <si>
    <t>Kalyan</t>
  </si>
  <si>
    <t>Thane</t>
  </si>
  <si>
    <t>Nilaje Railway Station</t>
  </si>
  <si>
    <t>Nilaje Gaon</t>
  </si>
  <si>
    <t>Open Plot</t>
  </si>
  <si>
    <t>https://goo.gl/maps/dXUnAuSzEfbriiLo7</t>
  </si>
  <si>
    <t>Kalyan-Dombivli Municipal Corporation (KDMC)</t>
  </si>
  <si>
    <t>As per RERA - 31/12/2025</t>
  </si>
  <si>
    <t>On Site, we meet Miss. Archana (8652680062)</t>
  </si>
  <si>
    <t>Shop</t>
  </si>
  <si>
    <t>Office</t>
  </si>
  <si>
    <t>2nd For Commercial</t>
  </si>
  <si>
    <t>3rd Floor For Residential</t>
  </si>
  <si>
    <t>Refuge Area</t>
  </si>
  <si>
    <t>Terrace Area</t>
  </si>
  <si>
    <t>20th Floor (Part Terrace Area)</t>
  </si>
  <si>
    <t>online 4-7</t>
  </si>
  <si>
    <t>Approved Plans, CC, Sale Plans, Cost Sheet</t>
  </si>
  <si>
    <t>Chandresh Godavari CHS</t>
  </si>
  <si>
    <t>We considered Gross carpet area = Net carpet + Enclose balcony + Balcony.</t>
  </si>
  <si>
    <t>Layout Plan :</t>
  </si>
  <si>
    <t>7th, 12th &amp; 17th Floor (Part Refuge Area)</t>
  </si>
  <si>
    <t>Club House Charges</t>
  </si>
  <si>
    <t>cost sheet</t>
  </si>
  <si>
    <t>visitor</t>
  </si>
  <si>
    <t>0.11KM from Nilaje Railway Station</t>
  </si>
  <si>
    <t>1st Floor for Commercial</t>
  </si>
  <si>
    <t>28/11/2022 - shop rate - 10500 to 16000 - Index II - Abhishek sir</t>
  </si>
  <si>
    <t>Site person Contact Details ( Name &amp; Contact No.)</t>
  </si>
  <si>
    <t>Office No. 1031, Wing J, Akshar Business Park, Plot No. 03 Sector 25, Near APMC Market, 
Vashi, Navi Mumbai, Maharashtra 400703 TEL: 022-46090378/79/8
E mail : vsjcapf@gmail.com. Web site : www.vsjadon.com</t>
  </si>
  <si>
    <t>Vitrified tiles flooring, Kitchen Platform, Decorative Entrance, etc</t>
  </si>
  <si>
    <t>smith</t>
  </si>
  <si>
    <t>verbal</t>
  </si>
  <si>
    <t>Other Charges</t>
  </si>
  <si>
    <t>5100 to 5400 + 70K</t>
  </si>
  <si>
    <t>Miss. Archana Bagal : 8652680062</t>
  </si>
  <si>
    <t>Construction work is in process at the time of visit.</t>
  </si>
  <si>
    <t>Latitude &amp; Longitude</t>
  </si>
  <si>
    <t>19.155532,73.079064</t>
  </si>
  <si>
    <t>Old S.No.226, New S.No.11/1, 11/2, S.No. (Old) 104), New S.No.44/4B</t>
  </si>
  <si>
    <t>As per Layout</t>
  </si>
  <si>
    <t>30.0 M.W. D.P. Road</t>
  </si>
  <si>
    <t>Other Plot</t>
  </si>
  <si>
    <t>24.0 M.W. D.P. Road</t>
  </si>
  <si>
    <t>Layout :</t>
  </si>
  <si>
    <t>KDMCC/RB/2024/APL/00099</t>
  </si>
  <si>
    <t>Gr/St + 1st to 22nd Floor</t>
  </si>
  <si>
    <t>Ground Floor For Entrance lobby, Drivers room, Meter room, Commercial &amp; Parking</t>
  </si>
  <si>
    <t>1BHK</t>
  </si>
  <si>
    <t>4th to 6th, 8th to 11th, 13th to 16th, 18th to 20th &amp; 22nd Floor</t>
  </si>
  <si>
    <t>21st Floor (Part Refuge Area)</t>
  </si>
  <si>
    <t>Flats - 196, Shops - 32, Offices - 35</t>
  </si>
  <si>
    <t>We have updated latest approved floor plans &amp; CC (On 03/04/2025).</t>
  </si>
  <si>
    <t>Grand Total</t>
  </si>
  <si>
    <t xml:space="preserve">A project is 90 to 100 m away from railway track. </t>
  </si>
  <si>
    <t>Gaurav Panchal</t>
  </si>
  <si>
    <t>Gangaram Parshuram Lambore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</si>
</sst>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8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8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7" xfId="1" applyFont="1" applyFill="1" applyBorder="1"/>
    <xf numFmtId="0" fontId="17" fillId="0" borderId="7" xfId="0" applyNumberFormat="1" applyFont="1" applyFill="1" applyBorder="1" applyProtection="1">
      <protection hidden="1"/>
    </xf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1" fontId="0" fillId="0" borderId="9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5" xfId="0" applyFont="1" applyFill="1" applyBorder="1"/>
    <xf numFmtId="0" fontId="25" fillId="0" borderId="26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0" fontId="8" fillId="0" borderId="1" xfId="1" applyFont="1" applyFill="1" applyBorder="1" applyAlignment="1" applyProtection="1">
      <alignment vertical="top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14" fontId="16" fillId="0" borderId="0" xfId="1" applyNumberFormat="1" applyFont="1" applyFill="1"/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top" wrapText="1"/>
      <protection locked="0"/>
    </xf>
    <xf numFmtId="9" fontId="7" fillId="0" borderId="2" xfId="8" applyFont="1" applyFill="1" applyBorder="1" applyAlignment="1" applyProtection="1">
      <alignment horizontal="center" vertical="top" wrapText="1"/>
      <protection locked="0"/>
    </xf>
    <xf numFmtId="164" fontId="7" fillId="0" borderId="0" xfId="1" applyNumberFormat="1" applyFont="1" applyFill="1" applyAlignment="1">
      <alignment horizontal="center" vertical="center"/>
    </xf>
    <xf numFmtId="2" fontId="7" fillId="0" borderId="0" xfId="1" applyNumberFormat="1" applyFont="1" applyFill="1" applyAlignment="1">
      <alignment horizontal="center" vertical="center"/>
    </xf>
    <xf numFmtId="2" fontId="7" fillId="0" borderId="0" xfId="1" applyNumberFormat="1" applyFont="1" applyFill="1" applyAlignment="1">
      <alignment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" fontId="10" fillId="0" borderId="5" xfId="0" applyNumberFormat="1" applyFont="1" applyFill="1" applyBorder="1" applyAlignment="1" applyProtection="1">
      <alignment vertical="top" wrapText="1"/>
      <protection locked="0"/>
    </xf>
    <xf numFmtId="1" fontId="10" fillId="0" borderId="18" xfId="0" applyNumberFormat="1" applyFont="1" applyFill="1" applyBorder="1" applyAlignment="1" applyProtection="1">
      <alignment vertical="top" wrapText="1"/>
      <protection locked="0"/>
    </xf>
    <xf numFmtId="1" fontId="10" fillId="0" borderId="6" xfId="0" applyNumberFormat="1" applyFont="1" applyFill="1" applyBorder="1" applyAlignment="1" applyProtection="1">
      <alignment vertical="top" wrapText="1"/>
      <protection locked="0"/>
    </xf>
    <xf numFmtId="0" fontId="7" fillId="0" borderId="0" xfId="1" applyFont="1" applyFill="1" applyAlignment="1">
      <alignment horizontal="center" vertical="center"/>
    </xf>
    <xf numFmtId="168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8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left"/>
      <protection locked="0"/>
    </xf>
    <xf numFmtId="0" fontId="7" fillId="0" borderId="18" xfId="1" applyFont="1" applyFill="1" applyBorder="1" applyAlignment="1" applyProtection="1">
      <alignment horizontal="left"/>
      <protection locked="0"/>
    </xf>
    <xf numFmtId="0" fontId="7" fillId="0" borderId="6" xfId="1" applyFont="1" applyFill="1" applyBorder="1" applyAlignment="1" applyProtection="1">
      <alignment horizontal="left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10" xfId="1" applyFont="1" applyFill="1" applyBorder="1" applyAlignment="1" applyProtection="1">
      <alignment horizontal="left" vertical="top" wrapText="1"/>
      <protection locked="0"/>
    </xf>
    <xf numFmtId="0" fontId="8" fillId="0" borderId="11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14" fontId="6" fillId="0" borderId="5" xfId="1" applyNumberFormat="1" applyFont="1" applyFill="1" applyBorder="1" applyAlignment="1" applyProtection="1">
      <alignment horizontal="left" vertical="top" wrapText="1"/>
      <protection locked="0"/>
    </xf>
    <xf numFmtId="14" fontId="6" fillId="0" borderId="6" xfId="1" applyNumberFormat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14" fontId="8" fillId="0" borderId="5" xfId="1" applyNumberFormat="1" applyFont="1" applyFill="1" applyBorder="1" applyAlignment="1" applyProtection="1">
      <alignment horizontal="left" vertical="top"/>
      <protection locked="0"/>
    </xf>
    <xf numFmtId="0" fontId="8" fillId="0" borderId="6" xfId="1" applyFont="1" applyFill="1" applyBorder="1" applyAlignment="1" applyProtection="1">
      <alignment horizontal="left" vertical="top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0" fontId="6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8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0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7" xfId="8" applyFont="1" applyFill="1" applyBorder="1" applyAlignment="1" applyProtection="1">
      <alignment horizontal="center" vertical="center" wrapText="1"/>
      <protection locked="0"/>
    </xf>
    <xf numFmtId="0" fontId="7" fillId="0" borderId="27" xfId="1" applyFont="1" applyFill="1" applyBorder="1" applyAlignment="1" applyProtection="1">
      <alignment horizontal="center" vertical="top" wrapText="1"/>
      <protection locked="0"/>
    </xf>
    <xf numFmtId="0" fontId="7" fillId="0" borderId="2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768350</xdr:colOff>
      <xdr:row>375</xdr:row>
      <xdr:rowOff>120650</xdr:rowOff>
    </xdr:from>
    <xdr:to>
      <xdr:col>7</xdr:col>
      <xdr:colOff>413300</xdr:colOff>
      <xdr:row>394</xdr:row>
      <xdr:rowOff>139951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8350" y="68281550"/>
          <a:ext cx="5620300" cy="37594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200025</xdr:colOff>
      <xdr:row>284</xdr:row>
      <xdr:rowOff>117475</xdr:rowOff>
    </xdr:from>
    <xdr:to>
      <xdr:col>16</xdr:col>
      <xdr:colOff>21475</xdr:colOff>
      <xdr:row>324</xdr:row>
      <xdr:rowOff>109425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258050" y="50847625"/>
          <a:ext cx="6222250" cy="7983425"/>
          <a:chOff x="381000" y="50755550"/>
          <a:chExt cx="6501650" cy="7859600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56756" y="564551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1" y="50755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61320" y="564551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2786" y="53605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6893" y="53605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53605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55663" y="56455150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2787" y="50755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6894" y="50755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355600</xdr:colOff>
      <xdr:row>13</xdr:row>
      <xdr:rowOff>177801</xdr:rowOff>
    </xdr:from>
    <xdr:to>
      <xdr:col>13</xdr:col>
      <xdr:colOff>357600</xdr:colOff>
      <xdr:row>18</xdr:row>
      <xdr:rowOff>183282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759700" y="3143251"/>
          <a:ext cx="4320000" cy="140883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406400</xdr:colOff>
      <xdr:row>333</xdr:row>
      <xdr:rowOff>0</xdr:rowOff>
    </xdr:from>
    <xdr:to>
      <xdr:col>7</xdr:col>
      <xdr:colOff>911050</xdr:colOff>
      <xdr:row>365</xdr:row>
      <xdr:rowOff>26515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6400" y="59893200"/>
          <a:ext cx="6480000" cy="63257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482600</xdr:colOff>
      <xdr:row>395</xdr:row>
      <xdr:rowOff>50801</xdr:rowOff>
    </xdr:from>
    <xdr:to>
      <xdr:col>6</xdr:col>
      <xdr:colOff>777925</xdr:colOff>
      <xdr:row>415</xdr:row>
      <xdr:rowOff>21201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82700" y="72148701"/>
          <a:ext cx="4680000" cy="3907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478146</xdr:colOff>
      <xdr:row>403</xdr:row>
      <xdr:rowOff>34943</xdr:rowOff>
    </xdr:from>
    <xdr:to>
      <xdr:col>4</xdr:col>
      <xdr:colOff>335173</xdr:colOff>
      <xdr:row>409</xdr:row>
      <xdr:rowOff>114099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20939259">
          <a:off x="3005446" y="73707643"/>
          <a:ext cx="847627" cy="126025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5</xdr:col>
      <xdr:colOff>101600</xdr:colOff>
      <xdr:row>395</xdr:row>
      <xdr:rowOff>63500</xdr:rowOff>
    </xdr:from>
    <xdr:to>
      <xdr:col>6</xdr:col>
      <xdr:colOff>565150</xdr:colOff>
      <xdr:row>415</xdr:row>
      <xdr:rowOff>25400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438650" y="72161400"/>
          <a:ext cx="1282700" cy="3898900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330200</xdr:colOff>
      <xdr:row>395</xdr:row>
      <xdr:rowOff>57150</xdr:rowOff>
    </xdr:from>
    <xdr:to>
      <xdr:col>6</xdr:col>
      <xdr:colOff>793750</xdr:colOff>
      <xdr:row>415</xdr:row>
      <xdr:rowOff>19050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4667250" y="72155050"/>
          <a:ext cx="1282700" cy="3898900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783050</xdr:colOff>
      <xdr:row>403</xdr:row>
      <xdr:rowOff>125000</xdr:rowOff>
    </xdr:from>
    <xdr:ext cx="264560" cy="9670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rot="4474939">
          <a:off x="4768850" y="74148950"/>
          <a:ext cx="9670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>
              <a:solidFill>
                <a:srgbClr val="FFFF00"/>
              </a:solidFill>
            </a:rPr>
            <a:t>Railway Track</a:t>
          </a:r>
        </a:p>
      </xdr:txBody>
    </xdr:sp>
    <xdr:clientData/>
  </xdr:oneCellAnchor>
  <xdr:twoCellAnchor editAs="oneCell">
    <xdr:from>
      <xdr:col>8</xdr:col>
      <xdr:colOff>400050</xdr:colOff>
      <xdr:row>39</xdr:row>
      <xdr:rowOff>50800</xdr:rowOff>
    </xdr:from>
    <xdr:to>
      <xdr:col>11</xdr:col>
      <xdr:colOff>524150</xdr:colOff>
      <xdr:row>48</xdr:row>
      <xdr:rowOff>74898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4150" y="8775700"/>
          <a:ext cx="2880000" cy="20243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425450</xdr:colOff>
      <xdr:row>48</xdr:row>
      <xdr:rowOff>139700</xdr:rowOff>
    </xdr:from>
    <xdr:to>
      <xdr:col>11</xdr:col>
      <xdr:colOff>549550</xdr:colOff>
      <xdr:row>58</xdr:row>
      <xdr:rowOff>59231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9550" y="10864850"/>
          <a:ext cx="2880000" cy="16911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422275</xdr:colOff>
      <xdr:row>97</xdr:row>
      <xdr:rowOff>104775</xdr:rowOff>
    </xdr:from>
    <xdr:to>
      <xdr:col>15</xdr:col>
      <xdr:colOff>292650</xdr:colOff>
      <xdr:row>111</xdr:row>
      <xdr:rowOff>31953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80300" y="20983575"/>
          <a:ext cx="5490125" cy="30609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12700</xdr:colOff>
      <xdr:row>121</xdr:row>
      <xdr:rowOff>114300</xdr:rowOff>
    </xdr:from>
    <xdr:to>
      <xdr:col>15</xdr:col>
      <xdr:colOff>391800</xdr:colOff>
      <xdr:row>139</xdr:row>
      <xdr:rowOff>176501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6000" y="25660350"/>
          <a:ext cx="5040000" cy="36055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692150</xdr:colOff>
      <xdr:row>148</xdr:row>
      <xdr:rowOff>184151</xdr:rowOff>
    </xdr:from>
    <xdr:to>
      <xdr:col>15</xdr:col>
      <xdr:colOff>379825</xdr:colOff>
      <xdr:row>164</xdr:row>
      <xdr:rowOff>150023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2225" y="31264226"/>
          <a:ext cx="4145375" cy="30138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381000</xdr:colOff>
      <xdr:row>261</xdr:row>
      <xdr:rowOff>127000</xdr:rowOff>
    </xdr:from>
    <xdr:to>
      <xdr:col>14</xdr:col>
      <xdr:colOff>226700</xdr:colOff>
      <xdr:row>282</xdr:row>
      <xdr:rowOff>29809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785100" y="45758100"/>
          <a:ext cx="5040000" cy="43287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200025</xdr:colOff>
      <xdr:row>286</xdr:row>
      <xdr:rowOff>142874</xdr:rowOff>
    </xdr:from>
    <xdr:to>
      <xdr:col>7</xdr:col>
      <xdr:colOff>1162050</xdr:colOff>
      <xdr:row>321</xdr:row>
      <xdr:rowOff>152399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AB0DA2DB-2794-4854-9F25-64910FD060EC}"/>
            </a:ext>
          </a:extLst>
        </xdr:cNvPr>
        <xdr:cNvGrpSpPr/>
      </xdr:nvGrpSpPr>
      <xdr:grpSpPr>
        <a:xfrm>
          <a:off x="200025" y="51273074"/>
          <a:ext cx="6657975" cy="7000875"/>
          <a:chOff x="321949" y="681318"/>
          <a:chExt cx="6285818" cy="6492847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959CF12A-D10F-4A74-B540-B70AE2ED9C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949" y="681318"/>
            <a:ext cx="2898763" cy="414169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1AC2A26B-61D7-4144-A2D8-F9C85ECA3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1" y="68131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83971B50-0AA9-4F29-8817-F0EE4FD68E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4314" y="68131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D5CBA5F6-169C-404A-9AF2-9190AC2B2A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2843012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71284421-0634-43FC-94A3-1CEEBFD217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4314" y="2843012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7129F901-BAAA-4C8A-8F42-A52D111041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00992" y="5004706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2CA695F6-02FF-4BB1-A7DB-46472BC51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8075" y="5004706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473F14EC-02DE-4B52-8956-4D0EC07C74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5158" y="5014165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6</xdr:col>
      <xdr:colOff>4566</xdr:colOff>
      <xdr:row>34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3059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334452</xdr:colOff>
      <xdr:row>16</xdr:row>
      <xdr:rowOff>0</xdr:rowOff>
    </xdr:from>
    <xdr:to>
      <xdr:col>15</xdr:col>
      <xdr:colOff>226960</xdr:colOff>
      <xdr:row>34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717" y="3059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XUnAuSzEfbriiLo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20"/>
  <sheetViews>
    <sheetView tabSelected="1" view="pageBreakPreview" topLeftCell="A70" zoomScaleNormal="100" zoomScaleSheetLayoutView="100" workbookViewId="0">
      <selection activeCell="C76" sqref="C76"/>
    </sheetView>
  </sheetViews>
  <sheetFormatPr defaultColWidth="9.140625" defaultRowHeight="15.75" x14ac:dyDescent="0.25"/>
  <cols>
    <col min="1" max="1" width="11.42578125" style="42" customWidth="1"/>
    <col min="2" max="2" width="12" style="42" customWidth="1"/>
    <col min="3" max="3" width="12.7109375" style="42" customWidth="1"/>
    <col min="4" max="4" width="14.140625" style="42" customWidth="1"/>
    <col min="5" max="7" width="11.7109375" style="42" customWidth="1"/>
    <col min="8" max="8" width="20.42578125" style="42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77" t="s">
        <v>208</v>
      </c>
      <c r="B1" s="177"/>
      <c r="C1" s="177"/>
      <c r="D1" s="177"/>
      <c r="E1" s="177"/>
      <c r="F1" s="177"/>
      <c r="G1" s="177"/>
      <c r="H1" s="177"/>
    </row>
    <row r="2" spans="1:8" ht="16.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</row>
    <row r="3" spans="1:8" x14ac:dyDescent="0.25">
      <c r="A3" s="148" t="s">
        <v>1</v>
      </c>
      <c r="B3" s="148"/>
      <c r="C3" s="148"/>
      <c r="D3" s="148"/>
      <c r="E3" s="176" t="str">
        <f ca="1">TEXT(TODAY(),"DD/MM/YYYY")</f>
        <v>13/07/2025</v>
      </c>
      <c r="F3" s="148"/>
      <c r="G3" s="148"/>
      <c r="H3" s="148"/>
    </row>
    <row r="4" spans="1:8" ht="15" customHeight="1" x14ac:dyDescent="0.25">
      <c r="A4" s="148" t="s">
        <v>2</v>
      </c>
      <c r="B4" s="148"/>
      <c r="C4" s="148"/>
      <c r="D4" s="148"/>
      <c r="E4" s="148" t="s">
        <v>170</v>
      </c>
      <c r="F4" s="148"/>
      <c r="G4" s="148"/>
      <c r="H4" s="148"/>
    </row>
    <row r="5" spans="1:8" x14ac:dyDescent="0.25">
      <c r="A5" s="148" t="s">
        <v>3</v>
      </c>
      <c r="B5" s="148"/>
      <c r="C5" s="148"/>
      <c r="D5" s="148"/>
      <c r="E5" s="176">
        <v>45850</v>
      </c>
      <c r="F5" s="148"/>
      <c r="G5" s="148"/>
      <c r="H5" s="148"/>
    </row>
    <row r="6" spans="1:8" ht="16.5" customHeight="1" x14ac:dyDescent="0.25">
      <c r="A6" s="148" t="s">
        <v>4</v>
      </c>
      <c r="B6" s="148"/>
      <c r="C6" s="148"/>
      <c r="D6" s="148"/>
      <c r="E6" s="148" t="s">
        <v>171</v>
      </c>
      <c r="F6" s="148"/>
      <c r="G6" s="148"/>
      <c r="H6" s="148"/>
    </row>
    <row r="7" spans="1:8" ht="15" customHeight="1" x14ac:dyDescent="0.25">
      <c r="A7" s="148" t="s">
        <v>5</v>
      </c>
      <c r="B7" s="148"/>
      <c r="C7" s="148"/>
      <c r="D7" s="148"/>
      <c r="E7" s="148" t="str">
        <f>E6</f>
        <v>Vishnu Buildwell</v>
      </c>
      <c r="F7" s="148"/>
      <c r="G7" s="148"/>
      <c r="H7" s="148"/>
    </row>
    <row r="8" spans="1:8" x14ac:dyDescent="0.25">
      <c r="A8" s="148" t="s">
        <v>6</v>
      </c>
      <c r="B8" s="148"/>
      <c r="C8" s="148"/>
      <c r="D8" s="148"/>
      <c r="E8" s="130" t="s">
        <v>172</v>
      </c>
      <c r="F8" s="130"/>
      <c r="G8" s="130"/>
      <c r="H8" s="130"/>
    </row>
    <row r="9" spans="1:8" x14ac:dyDescent="0.25">
      <c r="A9" s="148" t="s">
        <v>122</v>
      </c>
      <c r="B9" s="148"/>
      <c r="C9" s="148"/>
      <c r="D9" s="148"/>
      <c r="E9" s="148">
        <v>9920881020</v>
      </c>
      <c r="F9" s="148"/>
      <c r="G9" s="148"/>
      <c r="H9" s="148"/>
    </row>
    <row r="10" spans="1:8" x14ac:dyDescent="0.25">
      <c r="A10" s="148" t="s">
        <v>207</v>
      </c>
      <c r="B10" s="148"/>
      <c r="C10" s="148"/>
      <c r="D10" s="148"/>
      <c r="E10" s="148" t="s">
        <v>214</v>
      </c>
      <c r="F10" s="148"/>
      <c r="G10" s="148"/>
      <c r="H10" s="148"/>
    </row>
    <row r="11" spans="1:8" x14ac:dyDescent="0.25">
      <c r="A11" s="148" t="s">
        <v>7</v>
      </c>
      <c r="B11" s="148"/>
      <c r="C11" s="148"/>
      <c r="D11" s="148"/>
      <c r="E11" s="148" t="s">
        <v>173</v>
      </c>
      <c r="F11" s="148"/>
      <c r="G11" s="148"/>
      <c r="H11" s="148"/>
    </row>
    <row r="12" spans="1:8" s="24" customFormat="1" x14ac:dyDescent="0.25">
      <c r="A12" s="148" t="s">
        <v>8</v>
      </c>
      <c r="B12" s="148"/>
      <c r="C12" s="148"/>
      <c r="D12" s="148"/>
      <c r="E12" s="105" t="s">
        <v>196</v>
      </c>
      <c r="F12" s="105"/>
      <c r="G12" s="105"/>
      <c r="H12" s="105"/>
    </row>
    <row r="13" spans="1:8" x14ac:dyDescent="0.25">
      <c r="A13" s="98" t="s">
        <v>9</v>
      </c>
      <c r="B13" s="98"/>
      <c r="C13" s="98"/>
      <c r="D13" s="98"/>
      <c r="E13" s="126" t="s">
        <v>174</v>
      </c>
      <c r="F13" s="114"/>
      <c r="G13" s="114"/>
      <c r="H13" s="114"/>
    </row>
    <row r="14" spans="1:8" ht="48.75" customHeight="1" x14ac:dyDescent="0.25">
      <c r="A14" s="136" t="s">
        <v>10</v>
      </c>
      <c r="B14" s="136"/>
      <c r="C14" s="13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Om Maitri Icon, Survey No.Old S.No.226, New S.No.11/1, 11/2, S.No. (Old) 104), New S.No.44/4B, near Nilaje Railway Station, Nilaje Station Road, Nilaje Gaon, Nilaje, Nilaje West, Kalyan, Thane - 421204.</v>
      </c>
      <c r="D14" s="136"/>
      <c r="E14" s="136"/>
      <c r="F14" s="136"/>
      <c r="G14" s="136"/>
      <c r="H14" s="136"/>
    </row>
    <row r="15" spans="1:8" x14ac:dyDescent="0.25">
      <c r="A15" s="126" t="s">
        <v>175</v>
      </c>
      <c r="B15" s="126"/>
      <c r="C15" s="126" t="s">
        <v>218</v>
      </c>
      <c r="D15" s="126"/>
      <c r="E15" s="126"/>
      <c r="F15" s="126"/>
      <c r="G15" s="126"/>
      <c r="H15" s="126"/>
    </row>
    <row r="16" spans="1:8" ht="15.75" customHeight="1" x14ac:dyDescent="0.25">
      <c r="A16" s="100" t="s">
        <v>167</v>
      </c>
      <c r="B16" s="101"/>
      <c r="C16" s="100" t="s">
        <v>182</v>
      </c>
      <c r="D16" s="102"/>
      <c r="E16" s="102"/>
      <c r="F16" s="102"/>
      <c r="G16" s="102"/>
      <c r="H16" s="101"/>
    </row>
    <row r="17" spans="1:8" ht="15.75" customHeight="1" x14ac:dyDescent="0.25">
      <c r="A17" s="136" t="s">
        <v>11</v>
      </c>
      <c r="B17" s="136"/>
      <c r="C17" s="148" t="s">
        <v>176</v>
      </c>
      <c r="D17" s="148"/>
      <c r="E17" s="136" t="s">
        <v>168</v>
      </c>
      <c r="F17" s="136"/>
      <c r="G17" s="105" t="s">
        <v>177</v>
      </c>
      <c r="H17" s="105"/>
    </row>
    <row r="18" spans="1:8" x14ac:dyDescent="0.25">
      <c r="A18" s="98" t="s">
        <v>13</v>
      </c>
      <c r="B18" s="98"/>
      <c r="C18" s="105" t="s">
        <v>178</v>
      </c>
      <c r="D18" s="105"/>
      <c r="E18" s="136" t="s">
        <v>12</v>
      </c>
      <c r="F18" s="136"/>
      <c r="G18" s="175" t="s">
        <v>180</v>
      </c>
      <c r="H18" s="175"/>
    </row>
    <row r="19" spans="1:8" x14ac:dyDescent="0.25">
      <c r="A19" s="98" t="s">
        <v>73</v>
      </c>
      <c r="B19" s="98"/>
      <c r="C19" s="105" t="s">
        <v>179</v>
      </c>
      <c r="D19" s="105"/>
      <c r="E19" s="136" t="s">
        <v>14</v>
      </c>
      <c r="F19" s="136"/>
      <c r="G19" s="105">
        <v>421204</v>
      </c>
      <c r="H19" s="105"/>
    </row>
    <row r="20" spans="1:8" ht="32.25" customHeight="1" x14ac:dyDescent="0.25">
      <c r="A20" s="98" t="s">
        <v>123</v>
      </c>
      <c r="B20" s="98"/>
      <c r="C20" s="105" t="s">
        <v>181</v>
      </c>
      <c r="D20" s="105"/>
      <c r="E20" s="136" t="s">
        <v>15</v>
      </c>
      <c r="F20" s="136"/>
      <c r="G20" s="126" t="s">
        <v>204</v>
      </c>
      <c r="H20" s="126"/>
    </row>
    <row r="21" spans="1:8" ht="15" customHeight="1" x14ac:dyDescent="0.25">
      <c r="A21" s="136" t="s">
        <v>76</v>
      </c>
      <c r="B21" s="136"/>
      <c r="C21" s="136"/>
      <c r="D21" s="136"/>
      <c r="E21" s="148" t="s">
        <v>16</v>
      </c>
      <c r="F21" s="148"/>
      <c r="G21" s="148"/>
      <c r="H21" s="148"/>
    </row>
    <row r="22" spans="1:8" ht="18.75" customHeight="1" x14ac:dyDescent="0.25">
      <c r="A22" s="136"/>
      <c r="B22" s="136"/>
      <c r="C22" s="136"/>
      <c r="D22" s="136"/>
      <c r="E22" s="148"/>
      <c r="F22" s="148"/>
      <c r="G22" s="148"/>
      <c r="H22" s="148"/>
    </row>
    <row r="23" spans="1:8" ht="15" customHeight="1" x14ac:dyDescent="0.25">
      <c r="A23" s="136" t="s">
        <v>17</v>
      </c>
      <c r="B23" s="136"/>
      <c r="C23" s="136"/>
      <c r="D23" s="136"/>
      <c r="E23" s="105" t="s">
        <v>18</v>
      </c>
      <c r="F23" s="105"/>
      <c r="G23" s="105"/>
      <c r="H23" s="105"/>
    </row>
    <row r="24" spans="1:8" ht="15" customHeight="1" x14ac:dyDescent="0.25">
      <c r="A24" s="98" t="s">
        <v>19</v>
      </c>
      <c r="B24" s="98"/>
      <c r="C24" s="98"/>
      <c r="D24" s="98"/>
      <c r="E24" s="105" t="str">
        <f>IF(AND(G18="Mumbai"),"Upper Class","Middle Class")</f>
        <v>Middle Class</v>
      </c>
      <c r="F24" s="105"/>
      <c r="G24" s="105"/>
      <c r="H24" s="105"/>
    </row>
    <row r="25" spans="1:8" x14ac:dyDescent="0.25">
      <c r="A25" s="98" t="s">
        <v>20</v>
      </c>
      <c r="B25" s="98"/>
      <c r="C25" s="98"/>
      <c r="D25" s="98"/>
      <c r="E25" s="105" t="s">
        <v>21</v>
      </c>
      <c r="F25" s="105"/>
      <c r="G25" s="105"/>
      <c r="H25" s="105"/>
    </row>
    <row r="26" spans="1:8" ht="15.75" customHeight="1" x14ac:dyDescent="0.25">
      <c r="A26" s="98" t="s">
        <v>22</v>
      </c>
      <c r="B26" s="98"/>
      <c r="C26" s="98"/>
      <c r="D26" s="98"/>
      <c r="E26" s="105" t="str">
        <f>IF(AND(G18="Mumbai"),"Developed","Developing")</f>
        <v>Developing</v>
      </c>
      <c r="F26" s="105"/>
      <c r="G26" s="105"/>
      <c r="H26" s="105"/>
    </row>
    <row r="27" spans="1:8" x14ac:dyDescent="0.25">
      <c r="A27" s="98" t="s">
        <v>23</v>
      </c>
      <c r="B27" s="98"/>
      <c r="C27" s="98"/>
      <c r="D27" s="98"/>
      <c r="E27" s="105" t="s">
        <v>24</v>
      </c>
      <c r="F27" s="105"/>
      <c r="G27" s="105"/>
      <c r="H27" s="105"/>
    </row>
    <row r="28" spans="1:8" ht="15.75" customHeight="1" x14ac:dyDescent="0.25">
      <c r="A28" s="98" t="s">
        <v>81</v>
      </c>
      <c r="B28" s="98"/>
      <c r="C28" s="98"/>
      <c r="D28" s="98"/>
      <c r="E28" s="105" t="s">
        <v>82</v>
      </c>
      <c r="F28" s="105"/>
      <c r="G28" s="105"/>
      <c r="H28" s="105"/>
    </row>
    <row r="29" spans="1:8" ht="15" customHeight="1" x14ac:dyDescent="0.25">
      <c r="A29" s="98" t="s">
        <v>32</v>
      </c>
      <c r="B29" s="98"/>
      <c r="C29" s="98"/>
      <c r="D29" s="98"/>
      <c r="E29" s="10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05"/>
      <c r="G29" s="105"/>
      <c r="H29" s="105"/>
    </row>
    <row r="30" spans="1:8" ht="15.75" customHeight="1" x14ac:dyDescent="0.25">
      <c r="A30" s="98" t="s">
        <v>93</v>
      </c>
      <c r="B30" s="98"/>
      <c r="C30" s="98"/>
      <c r="D30" s="98"/>
      <c r="E30" s="105" t="s">
        <v>33</v>
      </c>
      <c r="F30" s="105"/>
      <c r="G30" s="105"/>
      <c r="H30" s="105"/>
    </row>
    <row r="31" spans="1:8" s="23" customFormat="1" x14ac:dyDescent="0.25">
      <c r="A31" s="174" t="s">
        <v>94</v>
      </c>
      <c r="B31" s="174"/>
      <c r="C31" s="173" t="s">
        <v>219</v>
      </c>
      <c r="D31" s="173"/>
      <c r="E31" s="173"/>
      <c r="F31" s="173" t="s">
        <v>30</v>
      </c>
      <c r="G31" s="173"/>
      <c r="H31" s="173"/>
    </row>
    <row r="32" spans="1:8" s="23" customFormat="1" x14ac:dyDescent="0.25">
      <c r="A32" s="151" t="s">
        <v>25</v>
      </c>
      <c r="B32" s="151" t="s">
        <v>29</v>
      </c>
      <c r="C32" s="152" t="s">
        <v>220</v>
      </c>
      <c r="D32" s="152"/>
      <c r="E32" s="152"/>
      <c r="F32" s="152" t="s">
        <v>181</v>
      </c>
      <c r="G32" s="152"/>
      <c r="H32" s="152"/>
    </row>
    <row r="33" spans="1:10" x14ac:dyDescent="0.25">
      <c r="A33" s="151" t="s">
        <v>26</v>
      </c>
      <c r="B33" s="151" t="s">
        <v>29</v>
      </c>
      <c r="C33" s="152" t="s">
        <v>221</v>
      </c>
      <c r="D33" s="152"/>
      <c r="E33" s="152"/>
      <c r="F33" s="152" t="s">
        <v>197</v>
      </c>
      <c r="G33" s="152"/>
      <c r="H33" s="152"/>
    </row>
    <row r="34" spans="1:10" s="23" customFormat="1" x14ac:dyDescent="0.25">
      <c r="A34" s="151" t="s">
        <v>28</v>
      </c>
      <c r="B34" s="151" t="s">
        <v>29</v>
      </c>
      <c r="C34" s="152" t="s">
        <v>222</v>
      </c>
      <c r="D34" s="152"/>
      <c r="E34" s="152"/>
      <c r="F34" s="152" t="s">
        <v>176</v>
      </c>
      <c r="G34" s="152"/>
      <c r="H34" s="152"/>
    </row>
    <row r="35" spans="1:10" x14ac:dyDescent="0.25">
      <c r="A35" s="151" t="s">
        <v>27</v>
      </c>
      <c r="B35" s="151" t="s">
        <v>29</v>
      </c>
      <c r="C35" s="152" t="s">
        <v>221</v>
      </c>
      <c r="D35" s="152"/>
      <c r="E35" s="152"/>
      <c r="F35" s="152" t="s">
        <v>183</v>
      </c>
      <c r="G35" s="152"/>
      <c r="H35" s="152"/>
    </row>
    <row r="36" spans="1:10" x14ac:dyDescent="0.25">
      <c r="A36" s="98" t="s">
        <v>31</v>
      </c>
      <c r="B36" s="98"/>
      <c r="C36" s="98"/>
      <c r="D36" s="98"/>
      <c r="E36" s="98"/>
      <c r="F36" s="98"/>
      <c r="G36" s="98"/>
      <c r="H36" s="98"/>
    </row>
    <row r="37" spans="1:10" ht="15.75" customHeight="1" x14ac:dyDescent="0.25">
      <c r="A37" s="103" t="s">
        <v>216</v>
      </c>
      <c r="B37" s="103"/>
      <c r="C37" s="115" t="s">
        <v>217</v>
      </c>
      <c r="D37" s="116"/>
      <c r="E37" s="116"/>
      <c r="F37" s="116"/>
      <c r="G37" s="116"/>
      <c r="H37" s="117"/>
      <c r="J37" s="22" t="s">
        <v>217</v>
      </c>
    </row>
    <row r="38" spans="1:10" x14ac:dyDescent="0.25">
      <c r="A38" s="103" t="s">
        <v>166</v>
      </c>
      <c r="B38" s="103"/>
      <c r="C38" s="104" t="s">
        <v>184</v>
      </c>
      <c r="D38" s="105"/>
      <c r="E38" s="105"/>
      <c r="F38" s="105"/>
      <c r="G38" s="105"/>
      <c r="H38" s="105"/>
    </row>
    <row r="39" spans="1:10" x14ac:dyDescent="0.25">
      <c r="A39" s="99" t="s">
        <v>34</v>
      </c>
      <c r="B39" s="99"/>
      <c r="C39" s="99"/>
      <c r="D39" s="99"/>
      <c r="E39" s="99"/>
      <c r="F39" s="99"/>
      <c r="G39" s="99"/>
      <c r="H39" s="99"/>
    </row>
    <row r="40" spans="1:10" x14ac:dyDescent="0.25">
      <c r="A40" s="98" t="s">
        <v>35</v>
      </c>
      <c r="B40" s="98"/>
      <c r="C40" s="98"/>
      <c r="D40" s="98"/>
      <c r="E40" s="153">
        <v>2479.25</v>
      </c>
      <c r="F40" s="153"/>
      <c r="G40" s="153"/>
      <c r="H40" s="153"/>
    </row>
    <row r="41" spans="1:10" x14ac:dyDescent="0.25">
      <c r="A41" s="98" t="s">
        <v>36</v>
      </c>
      <c r="B41" s="98"/>
      <c r="C41" s="98"/>
      <c r="D41" s="98"/>
      <c r="E41" s="106">
        <v>1.1000000000000001</v>
      </c>
      <c r="F41" s="106"/>
      <c r="G41" s="106"/>
      <c r="H41" s="106"/>
    </row>
    <row r="42" spans="1:10" x14ac:dyDescent="0.25">
      <c r="A42" s="98" t="s">
        <v>37</v>
      </c>
      <c r="B42" s="98"/>
      <c r="C42" s="98"/>
      <c r="D42" s="98"/>
      <c r="E42" s="106">
        <f>E44/E40-E41</f>
        <v>5.538015528889785</v>
      </c>
      <c r="F42" s="106"/>
      <c r="G42" s="106"/>
      <c r="H42" s="106"/>
    </row>
    <row r="43" spans="1:10" x14ac:dyDescent="0.25">
      <c r="A43" s="98" t="s">
        <v>38</v>
      </c>
      <c r="B43" s="98"/>
      <c r="C43" s="98"/>
      <c r="D43" s="98"/>
      <c r="E43" s="106">
        <f>E41+E42</f>
        <v>6.6380155288897846</v>
      </c>
      <c r="F43" s="106"/>
      <c r="G43" s="106"/>
      <c r="H43" s="106"/>
    </row>
    <row r="44" spans="1:10" x14ac:dyDescent="0.25">
      <c r="A44" s="98" t="s">
        <v>92</v>
      </c>
      <c r="B44" s="98"/>
      <c r="C44" s="98"/>
      <c r="D44" s="98"/>
      <c r="E44" s="107">
        <v>16457.3</v>
      </c>
      <c r="F44" s="107"/>
      <c r="G44" s="107"/>
      <c r="H44" s="107"/>
    </row>
    <row r="45" spans="1:10" x14ac:dyDescent="0.25">
      <c r="A45" s="148" t="s">
        <v>39</v>
      </c>
      <c r="B45" s="148"/>
      <c r="C45" s="148"/>
      <c r="D45" s="148"/>
      <c r="E45" s="114" t="s">
        <v>173</v>
      </c>
      <c r="F45" s="114"/>
      <c r="G45" s="114"/>
      <c r="H45" s="114"/>
    </row>
    <row r="46" spans="1:10" x14ac:dyDescent="0.25">
      <c r="A46" s="99" t="s">
        <v>40</v>
      </c>
      <c r="B46" s="99"/>
      <c r="C46" s="99"/>
      <c r="D46" s="99"/>
      <c r="E46" s="99"/>
      <c r="F46" s="99"/>
      <c r="G46" s="99"/>
      <c r="H46" s="99"/>
    </row>
    <row r="47" spans="1:10" ht="33.75" customHeight="1" x14ac:dyDescent="0.25">
      <c r="A47" s="108" t="s">
        <v>155</v>
      </c>
      <c r="B47" s="109"/>
      <c r="C47" s="110" t="s">
        <v>185</v>
      </c>
      <c r="D47" s="111"/>
      <c r="E47" s="111"/>
      <c r="F47" s="111"/>
      <c r="G47" s="111"/>
      <c r="H47" s="112"/>
    </row>
    <row r="48" spans="1:10" ht="15.75" customHeight="1" x14ac:dyDescent="0.25">
      <c r="A48" s="108" t="s">
        <v>41</v>
      </c>
      <c r="B48" s="109"/>
      <c r="C48" s="108" t="s">
        <v>224</v>
      </c>
      <c r="D48" s="149"/>
      <c r="E48" s="109"/>
      <c r="F48" s="20" t="s">
        <v>42</v>
      </c>
      <c r="G48" s="157">
        <v>45650</v>
      </c>
      <c r="H48" s="109"/>
    </row>
    <row r="49" spans="1:14" x14ac:dyDescent="0.25">
      <c r="A49" s="108" t="s">
        <v>43</v>
      </c>
      <c r="B49" s="109"/>
      <c r="C49" s="108" t="str">
        <f>C48</f>
        <v>KDMCC/RB/2024/APL/00099</v>
      </c>
      <c r="D49" s="149"/>
      <c r="E49" s="109"/>
      <c r="F49" s="20" t="s">
        <v>42</v>
      </c>
      <c r="G49" s="157">
        <f>G48</f>
        <v>45650</v>
      </c>
      <c r="H49" s="158"/>
    </row>
    <row r="50" spans="1:14" s="24" customFormat="1" ht="15.75" customHeight="1" x14ac:dyDescent="0.25">
      <c r="A50" s="159" t="s">
        <v>159</v>
      </c>
      <c r="B50" s="160"/>
      <c r="C50" s="108" t="str">
        <f>C49</f>
        <v>KDMCC/RB/2024/APL/00099</v>
      </c>
      <c r="D50" s="149"/>
      <c r="E50" s="109"/>
      <c r="F50" s="20" t="s">
        <v>42</v>
      </c>
      <c r="G50" s="157">
        <f>G49</f>
        <v>45650</v>
      </c>
      <c r="H50" s="158"/>
    </row>
    <row r="51" spans="1:14" s="24" customFormat="1" x14ac:dyDescent="0.25">
      <c r="A51" s="161"/>
      <c r="B51" s="162"/>
      <c r="C51" s="108" t="s">
        <v>225</v>
      </c>
      <c r="D51" s="149"/>
      <c r="E51" s="149"/>
      <c r="F51" s="149"/>
      <c r="G51" s="149"/>
      <c r="H51" s="109"/>
    </row>
    <row r="52" spans="1:14" x14ac:dyDescent="0.25">
      <c r="A52" s="165" t="s">
        <v>169</v>
      </c>
      <c r="B52" s="166"/>
      <c r="C52" s="169" t="s">
        <v>29</v>
      </c>
      <c r="D52" s="170"/>
      <c r="E52" s="171"/>
      <c r="F52" s="55" t="s">
        <v>42</v>
      </c>
      <c r="G52" s="163" t="s">
        <v>29</v>
      </c>
      <c r="H52" s="164"/>
    </row>
    <row r="53" spans="1:14" hidden="1" x14ac:dyDescent="0.25">
      <c r="A53" s="167"/>
      <c r="B53" s="168"/>
      <c r="C53" s="169" t="s">
        <v>29</v>
      </c>
      <c r="D53" s="170"/>
      <c r="E53" s="170"/>
      <c r="F53" s="170"/>
      <c r="G53" s="170"/>
      <c r="H53" s="171"/>
    </row>
    <row r="54" spans="1:14" x14ac:dyDescent="0.25">
      <c r="A54" s="147" t="s">
        <v>45</v>
      </c>
      <c r="B54" s="147"/>
      <c r="C54" s="147"/>
      <c r="D54" s="147"/>
      <c r="E54" s="147"/>
      <c r="F54" s="147"/>
      <c r="G54" s="147"/>
      <c r="H54" s="147"/>
    </row>
    <row r="55" spans="1:14" x14ac:dyDescent="0.25">
      <c r="A55" s="136" t="s">
        <v>91</v>
      </c>
      <c r="B55" s="136"/>
      <c r="C55" s="136"/>
      <c r="D55" s="98">
        <f>E44</f>
        <v>16457.3</v>
      </c>
      <c r="E55" s="98"/>
      <c r="F55" s="98"/>
      <c r="G55" s="98"/>
      <c r="H55" s="98"/>
    </row>
    <row r="56" spans="1:14" x14ac:dyDescent="0.25">
      <c r="A56" s="105" t="s">
        <v>46</v>
      </c>
      <c r="B56" s="148"/>
      <c r="C56" s="148"/>
      <c r="D56" s="148" t="s">
        <v>230</v>
      </c>
      <c r="E56" s="148"/>
      <c r="F56" s="148"/>
      <c r="G56" s="148"/>
      <c r="H56" s="148"/>
      <c r="I56" s="25"/>
    </row>
    <row r="57" spans="1:14" ht="15.75" customHeight="1" x14ac:dyDescent="0.25">
      <c r="A57" s="124" t="s">
        <v>47</v>
      </c>
      <c r="B57" s="125"/>
      <c r="C57" s="156"/>
      <c r="D57" s="154" t="s">
        <v>225</v>
      </c>
      <c r="E57" s="155"/>
      <c r="F57" s="155"/>
      <c r="G57" s="155"/>
      <c r="H57" s="155"/>
      <c r="I57" s="26"/>
    </row>
    <row r="58" spans="1:14" ht="15.75" customHeight="1" x14ac:dyDescent="0.25">
      <c r="A58" s="124" t="s">
        <v>89</v>
      </c>
      <c r="B58" s="125"/>
      <c r="C58" s="125"/>
      <c r="D58" s="126" t="str">
        <f>D57</f>
        <v>Gr/St + 1st to 22nd Floor</v>
      </c>
      <c r="E58" s="114"/>
      <c r="F58" s="114"/>
      <c r="G58" s="114"/>
      <c r="H58" s="114"/>
      <c r="I58" s="26"/>
    </row>
    <row r="59" spans="1:14" ht="15.75" customHeight="1" x14ac:dyDescent="0.25">
      <c r="A59" s="98" t="s">
        <v>44</v>
      </c>
      <c r="B59" s="98"/>
      <c r="C59" s="98"/>
      <c r="D59" s="172" t="s">
        <v>186</v>
      </c>
      <c r="E59" s="172"/>
      <c r="F59" s="172"/>
      <c r="G59" s="172"/>
      <c r="H59" s="172"/>
      <c r="J59" s="27"/>
      <c r="K59" s="25"/>
      <c r="N59" s="25"/>
    </row>
    <row r="60" spans="1:14" ht="15.75" customHeight="1" x14ac:dyDescent="0.25">
      <c r="A60" s="98" t="s">
        <v>87</v>
      </c>
      <c r="B60" s="98"/>
      <c r="C60" s="98"/>
      <c r="D60" s="203" t="str">
        <f>(IF(G52="NA","60 Years After Completion",IF(G52&lt;&gt;"NA",""&amp;60-ROUNDDOWN((E3-G52)/360,0)&amp;" Years"," ")))</f>
        <v>60 Years After Completion</v>
      </c>
      <c r="E60" s="203"/>
      <c r="F60" s="203"/>
      <c r="G60" s="203"/>
      <c r="H60" s="203"/>
      <c r="N60" s="25"/>
    </row>
    <row r="61" spans="1:14" ht="15.75" customHeight="1" x14ac:dyDescent="0.25">
      <c r="A61" s="98" t="s">
        <v>88</v>
      </c>
      <c r="B61" s="98"/>
      <c r="C61" s="98"/>
      <c r="D61" s="136" t="s">
        <v>24</v>
      </c>
      <c r="E61" s="136"/>
      <c r="F61" s="136"/>
      <c r="G61" s="136"/>
      <c r="H61" s="136"/>
      <c r="J61" s="28"/>
      <c r="K61" s="28"/>
    </row>
    <row r="62" spans="1:14" ht="15" customHeight="1" x14ac:dyDescent="0.25">
      <c r="A62" s="98" t="s">
        <v>74</v>
      </c>
      <c r="B62" s="98"/>
      <c r="C62" s="98"/>
      <c r="D62" s="105" t="s">
        <v>209</v>
      </c>
      <c r="E62" s="136"/>
      <c r="F62" s="136"/>
      <c r="G62" s="136"/>
      <c r="H62" s="136"/>
    </row>
    <row r="63" spans="1:14" x14ac:dyDescent="0.25">
      <c r="A63" s="136" t="s">
        <v>151</v>
      </c>
      <c r="B63" s="136"/>
      <c r="C63" s="136"/>
      <c r="D63" s="136" t="s">
        <v>29</v>
      </c>
      <c r="E63" s="136"/>
      <c r="F63" s="136"/>
      <c r="G63" s="136"/>
      <c r="H63" s="136"/>
      <c r="I63" s="29"/>
      <c r="J63" s="29"/>
      <c r="K63" s="29"/>
      <c r="L63" s="29"/>
      <c r="M63" s="29"/>
      <c r="N63" s="29"/>
    </row>
    <row r="64" spans="1:14" ht="15.75" customHeight="1" x14ac:dyDescent="0.25">
      <c r="A64" s="206" t="s">
        <v>86</v>
      </c>
      <c r="B64" s="206"/>
      <c r="C64" s="206"/>
      <c r="D64" s="150" t="str">
        <f ca="1">(IF(G70&gt;95%,"Nothing",IF(G70&gt;0%,"Cement, Aggregate, Steel, etc",IF(G70=0%,"Work not yet Started"))))</f>
        <v>Cement, Aggregate, Steel, etc</v>
      </c>
      <c r="E64" s="150"/>
      <c r="F64" s="150"/>
      <c r="G64" s="150"/>
      <c r="H64" s="150"/>
      <c r="J64" s="28"/>
    </row>
    <row r="65" spans="1:10" ht="33.75" customHeight="1" thickBot="1" x14ac:dyDescent="0.3">
      <c r="A65" s="204" t="s">
        <v>115</v>
      </c>
      <c r="B65" s="204"/>
      <c r="C65" s="204"/>
      <c r="D65" s="150" t="str">
        <f ca="1">(IF(D64="Nothing","Yes",IF(D64="Cement, Aggregate, Steel, etc","Under Construction",IF(D64="Work not yet Started","Work not yet Started"))))</f>
        <v>Under Construction</v>
      </c>
      <c r="E65" s="150"/>
      <c r="F65" s="150" t="str">
        <f ca="1">(IF(D64="Nothing","Yes",IF(D64="Cement, Aggregate, Steel, etc","Under Construction",IF(D64="Work not yet Started","Work not yet Started"))))</f>
        <v>Under Construction</v>
      </c>
      <c r="G65" s="150"/>
      <c r="H65" s="150"/>
    </row>
    <row r="66" spans="1:10" ht="15.75" customHeight="1" x14ac:dyDescent="0.25">
      <c r="A66" s="131" t="s">
        <v>141</v>
      </c>
      <c r="B66" s="132"/>
      <c r="C66" s="133" t="str">
        <f>D58</f>
        <v>Gr/St + 1st to 22nd Floor</v>
      </c>
      <c r="D66" s="134"/>
      <c r="E66" s="134"/>
      <c r="F66" s="134"/>
      <c r="G66" s="134"/>
      <c r="H66" s="135"/>
      <c r="I66" s="51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21 Floor, External Plaster upto 17 Floor, Flooring upto 11 Floor, Painting upto 2 Floor Completed</v>
      </c>
      <c r="J66" s="5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21 Floor, External Plaster upto 17 Floor, Flooring upto 11 Floor, Painting upto 2 Floor</v>
      </c>
    </row>
    <row r="67" spans="1:10" x14ac:dyDescent="0.25">
      <c r="A67" s="18" t="s">
        <v>143</v>
      </c>
      <c r="B67" s="61">
        <v>0</v>
      </c>
      <c r="C67" s="48" t="s">
        <v>72</v>
      </c>
      <c r="D67" s="48">
        <v>1</v>
      </c>
      <c r="E67" s="48" t="s">
        <v>71</v>
      </c>
      <c r="F67" s="61">
        <v>0</v>
      </c>
      <c r="G67" s="49" t="s">
        <v>80</v>
      </c>
      <c r="H67" s="19">
        <f ca="1">--TRIM(RIGHT(SUBSTITUTE(LEFT(C66,_xlfn.AGGREGATE(16,6,FIND({0,1,2,3,4,5,6,7,8,9},C66,ROW(INDIRECT("1:"&amp;LEN(C66)))),1))," ",REPT(" ",LEN(C66))),LEN(C66)))</f>
        <v>22</v>
      </c>
      <c r="I67" s="5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5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8.6" customHeight="1" x14ac:dyDescent="0.25">
      <c r="A68" s="129" t="s">
        <v>90</v>
      </c>
      <c r="B68" s="130"/>
      <c r="C68" s="137" t="str">
        <f ca="1">(IF($C$53=C66,"All work Completed. OC Received.",I66))</f>
        <v>Excavation, Plinth, RCC Slab, Brickwork Completed, Internal Plaster upto 21 Floor, External Plaster upto 17 Floor, Flooring upto 11 Floor, Painting upto 2 Floor Completed</v>
      </c>
      <c r="D68" s="137"/>
      <c r="E68" s="137"/>
      <c r="F68" s="137"/>
      <c r="G68" s="137"/>
      <c r="H68" s="138"/>
      <c r="I68" s="53" t="str">
        <f ca="1">IF(I67&lt;&gt;""," Completed","")</f>
        <v xml:space="preserve"> Completed</v>
      </c>
      <c r="J68" s="54" t="str">
        <f ca="1">IF(J66&lt;&gt;"","Completed","")</f>
        <v>Completed</v>
      </c>
    </row>
    <row r="69" spans="1:10" ht="15.75" customHeight="1" x14ac:dyDescent="0.25">
      <c r="A69" s="127" t="s">
        <v>48</v>
      </c>
      <c r="B69" s="128"/>
      <c r="C69" s="46" t="s">
        <v>140</v>
      </c>
      <c r="D69" s="46" t="s">
        <v>83</v>
      </c>
      <c r="E69" s="128" t="s">
        <v>85</v>
      </c>
      <c r="F69" s="128"/>
      <c r="G69" s="128" t="s">
        <v>84</v>
      </c>
      <c r="H69" s="205"/>
      <c r="I69" s="16" t="s">
        <v>142</v>
      </c>
      <c r="J69" s="30">
        <f ca="1">H67*25%</f>
        <v>5.5</v>
      </c>
    </row>
    <row r="70" spans="1:10" x14ac:dyDescent="0.25">
      <c r="A70" s="127" t="s">
        <v>129</v>
      </c>
      <c r="B70" s="128"/>
      <c r="C70" s="46">
        <f ca="1">J71</f>
        <v>22</v>
      </c>
      <c r="D70" s="21">
        <f ca="1">((100/H67)*C70)/100</f>
        <v>1.0000000000000002</v>
      </c>
      <c r="E70" s="195">
        <f ca="1">(((C71/H67*10)+(40/(D67+F67+H67)*C72)+(7.5/(H67)*C73)+(7.5/(H67)*C74)+(10/H67*C75)+(10/H67*C76)+(5/H67*C77)+(5/H67*C78)+(5/H67*C79))/100)</f>
        <v>0.77840909090909083</v>
      </c>
      <c r="F70" s="196"/>
      <c r="G70" s="195">
        <f ca="1">((((C70/H67)*20)+((C71/H67)*25)+(30/(H67+F67+D67)*C72)+(5/H67*C73)+(5/H67*C74)+(5/H67*C75)+(5/H67*C76)+(0/H67*C77)+(0/H67*C78)+(5/H67*C79))/100)</f>
        <v>0.91136363636363626</v>
      </c>
      <c r="H70" s="199"/>
      <c r="I70" s="16" t="s">
        <v>98</v>
      </c>
      <c r="J70" s="31">
        <f ca="1">H67*50%</f>
        <v>11</v>
      </c>
    </row>
    <row r="71" spans="1:10" x14ac:dyDescent="0.25">
      <c r="A71" s="127" t="s">
        <v>49</v>
      </c>
      <c r="B71" s="128"/>
      <c r="C71" s="46">
        <f ca="1">J79</f>
        <v>22</v>
      </c>
      <c r="D71" s="21">
        <f ca="1">((100/H67)*C71)/100</f>
        <v>1.0000000000000002</v>
      </c>
      <c r="E71" s="197"/>
      <c r="F71" s="198"/>
      <c r="G71" s="197"/>
      <c r="H71" s="200"/>
      <c r="I71" s="16" t="s">
        <v>99</v>
      </c>
      <c r="J71" s="31">
        <f ca="1">H67</f>
        <v>22</v>
      </c>
    </row>
    <row r="72" spans="1:10" ht="15.75" customHeight="1" x14ac:dyDescent="0.25">
      <c r="A72" s="127" t="s">
        <v>130</v>
      </c>
      <c r="B72" s="128"/>
      <c r="C72" s="46">
        <v>23</v>
      </c>
      <c r="D72" s="21">
        <f ca="1">((100/(D67+F67+H67))*C72)/100</f>
        <v>1</v>
      </c>
      <c r="E72" s="197"/>
      <c r="F72" s="198"/>
      <c r="G72" s="197"/>
      <c r="H72" s="200"/>
      <c r="I72" s="16" t="s">
        <v>100</v>
      </c>
      <c r="J72" s="32">
        <f ca="1">(IF(B67&gt;1,(H67/(B67+2)),H67/4))</f>
        <v>5.5</v>
      </c>
    </row>
    <row r="73" spans="1:10" ht="15.75" customHeight="1" x14ac:dyDescent="0.25">
      <c r="A73" s="127" t="s">
        <v>137</v>
      </c>
      <c r="B73" s="128" t="s">
        <v>131</v>
      </c>
      <c r="C73" s="46">
        <v>22</v>
      </c>
      <c r="D73" s="21">
        <f ca="1">((100/H67)*C73)/100</f>
        <v>1.0000000000000002</v>
      </c>
      <c r="E73" s="197"/>
      <c r="F73" s="198"/>
      <c r="G73" s="197"/>
      <c r="H73" s="200"/>
      <c r="I73" s="16" t="s">
        <v>101</v>
      </c>
      <c r="J73" s="32">
        <f ca="1">(IF(B67&gt;1,(H67/(B67+2)+J72),H67/4+J72))</f>
        <v>11</v>
      </c>
    </row>
    <row r="74" spans="1:10" ht="15.75" customHeight="1" x14ac:dyDescent="0.25">
      <c r="A74" s="127" t="s">
        <v>138</v>
      </c>
      <c r="B74" s="128" t="s">
        <v>131</v>
      </c>
      <c r="C74" s="46">
        <v>21</v>
      </c>
      <c r="D74" s="21">
        <f ca="1">((100/H67)*C74)/100</f>
        <v>0.9545454545454547</v>
      </c>
      <c r="E74" s="197"/>
      <c r="F74" s="198"/>
      <c r="G74" s="197"/>
      <c r="H74" s="200"/>
      <c r="I74" s="16" t="s">
        <v>149</v>
      </c>
      <c r="J74" s="32">
        <f>(IF(B67&gt;1,(H67/(B67+2)+J73),0))</f>
        <v>0</v>
      </c>
    </row>
    <row r="75" spans="1:10" ht="15" customHeight="1" x14ac:dyDescent="0.25">
      <c r="A75" s="127" t="s">
        <v>136</v>
      </c>
      <c r="B75" s="128" t="s">
        <v>133</v>
      </c>
      <c r="C75" s="46">
        <v>17</v>
      </c>
      <c r="D75" s="21">
        <f ca="1">((100/(H67))*C75)/100</f>
        <v>0.77272727272727282</v>
      </c>
      <c r="E75" s="197"/>
      <c r="F75" s="198"/>
      <c r="G75" s="197"/>
      <c r="H75" s="200"/>
      <c r="I75" s="16" t="s">
        <v>144</v>
      </c>
      <c r="J75" s="32">
        <f>(IF(B67&gt;2,(H67/(B67+2)+J74),0))</f>
        <v>0</v>
      </c>
    </row>
    <row r="76" spans="1:10" ht="15.75" customHeight="1" x14ac:dyDescent="0.25">
      <c r="A76" s="127" t="s">
        <v>132</v>
      </c>
      <c r="B76" s="128" t="s">
        <v>132</v>
      </c>
      <c r="C76" s="46">
        <v>11</v>
      </c>
      <c r="D76" s="21">
        <f ca="1">((100/H67)*C76)/100</f>
        <v>0.50000000000000011</v>
      </c>
      <c r="E76" s="197"/>
      <c r="F76" s="198"/>
      <c r="G76" s="197"/>
      <c r="H76" s="200"/>
      <c r="I76" s="16" t="s">
        <v>145</v>
      </c>
      <c r="J76" s="33">
        <f>(IF(B67&gt;3,(H67/(B67+2)+J75),0))</f>
        <v>0</v>
      </c>
    </row>
    <row r="77" spans="1:10" ht="15.75" customHeight="1" x14ac:dyDescent="0.25">
      <c r="A77" s="127" t="s">
        <v>139</v>
      </c>
      <c r="B77" s="128"/>
      <c r="C77" s="46">
        <v>2</v>
      </c>
      <c r="D77" s="21">
        <f ca="1">((100/H67)*C77)/100</f>
        <v>9.0909090909090912E-2</v>
      </c>
      <c r="E77" s="197"/>
      <c r="F77" s="198"/>
      <c r="G77" s="197"/>
      <c r="H77" s="200"/>
      <c r="I77" s="16" t="s">
        <v>146</v>
      </c>
      <c r="J77" s="32">
        <f>(IF(B67&gt;4,(H67/(B67+2)+J76),0))</f>
        <v>0</v>
      </c>
    </row>
    <row r="78" spans="1:10" ht="15.75" customHeight="1" x14ac:dyDescent="0.25">
      <c r="A78" s="127" t="s">
        <v>134</v>
      </c>
      <c r="B78" s="128" t="s">
        <v>134</v>
      </c>
      <c r="C78" s="46">
        <v>0</v>
      </c>
      <c r="D78" s="21">
        <f ca="1">((100/(H67))*C78)/100</f>
        <v>0</v>
      </c>
      <c r="E78" s="197"/>
      <c r="F78" s="198"/>
      <c r="G78" s="197"/>
      <c r="H78" s="200"/>
      <c r="I78" s="16" t="s">
        <v>150</v>
      </c>
      <c r="J78" s="32">
        <f ca="1">(IF(B67=1,(H67/(B67+3)+J73),IF(B67=0,(H67/4+J73),IF(B67&gt;1,0))))</f>
        <v>16.5</v>
      </c>
    </row>
    <row r="79" spans="1:10" ht="16.5" thickBot="1" x14ac:dyDescent="0.3">
      <c r="A79" s="201" t="s">
        <v>135</v>
      </c>
      <c r="B79" s="202"/>
      <c r="C79" s="70">
        <v>0</v>
      </c>
      <c r="D79" s="71">
        <f ca="1">((100/(H67))*C79)/100</f>
        <v>0</v>
      </c>
      <c r="E79" s="197"/>
      <c r="F79" s="198"/>
      <c r="G79" s="197"/>
      <c r="H79" s="200"/>
      <c r="I79" s="17" t="s">
        <v>102</v>
      </c>
      <c r="J79" s="34">
        <f ca="1">(IF(B67&gt;1.5,(H67/(B67+2)+J73+MAX(0,J74-J73)+MAX(0,J75-J74)+MAX(0,J76-J75)+MAX(0,J77-J76)+MAX(0,J78-J77)),IF(B67=1,(H67/(B67+3)+J78),IF(B67=0,H67/4+J78))))</f>
        <v>22</v>
      </c>
    </row>
    <row r="80" spans="1:10" x14ac:dyDescent="0.25">
      <c r="A80" s="99" t="s">
        <v>161</v>
      </c>
      <c r="B80" s="99"/>
      <c r="C80" s="99"/>
      <c r="D80" s="99"/>
      <c r="E80" s="99"/>
      <c r="F80" s="173" t="s">
        <v>165</v>
      </c>
      <c r="G80" s="173"/>
      <c r="H80" s="173"/>
    </row>
    <row r="81" spans="1:13" x14ac:dyDescent="0.25">
      <c r="A81" s="98" t="s">
        <v>163</v>
      </c>
      <c r="B81" s="98"/>
      <c r="C81" s="98"/>
      <c r="D81" s="98"/>
      <c r="E81" s="98"/>
      <c r="F81" s="191">
        <v>5400</v>
      </c>
      <c r="G81" s="191"/>
      <c r="H81" s="191"/>
      <c r="K81" s="22" t="s">
        <v>195</v>
      </c>
    </row>
    <row r="82" spans="1:13" x14ac:dyDescent="0.25">
      <c r="A82" s="98" t="s">
        <v>164</v>
      </c>
      <c r="B82" s="98"/>
      <c r="C82" s="98"/>
      <c r="D82" s="98"/>
      <c r="E82" s="98"/>
      <c r="F82" s="113">
        <v>7500</v>
      </c>
      <c r="G82" s="113"/>
      <c r="H82" s="113"/>
      <c r="J82" s="66" t="s">
        <v>213</v>
      </c>
      <c r="K82" s="66" t="s">
        <v>210</v>
      </c>
      <c r="L82" s="67">
        <v>45226</v>
      </c>
      <c r="M82" s="66" t="s">
        <v>211</v>
      </c>
    </row>
    <row r="83" spans="1:13" x14ac:dyDescent="0.25">
      <c r="A83" s="98" t="s">
        <v>162</v>
      </c>
      <c r="B83" s="98"/>
      <c r="C83" s="98"/>
      <c r="D83" s="98"/>
      <c r="E83" s="98"/>
      <c r="F83" s="113">
        <v>16000</v>
      </c>
      <c r="G83" s="113"/>
      <c r="H83" s="113"/>
      <c r="I83" s="66" t="s">
        <v>206</v>
      </c>
      <c r="J83" s="66"/>
      <c r="K83" s="66"/>
      <c r="L83" s="66"/>
      <c r="M83" s="66"/>
    </row>
    <row r="84" spans="1:13" s="35" customFormat="1" x14ac:dyDescent="0.25">
      <c r="A84" s="98" t="s">
        <v>95</v>
      </c>
      <c r="B84" s="98"/>
      <c r="C84" s="98"/>
      <c r="D84" s="98"/>
      <c r="E84" s="98"/>
      <c r="F84" s="113">
        <v>200000</v>
      </c>
      <c r="G84" s="113"/>
      <c r="H84" s="113"/>
      <c r="J84" s="35">
        <f>3410000/700</f>
        <v>4871.4285714285716</v>
      </c>
    </row>
    <row r="85" spans="1:13" s="35" customFormat="1" x14ac:dyDescent="0.25">
      <c r="A85" s="98" t="s">
        <v>201</v>
      </c>
      <c r="B85" s="98"/>
      <c r="C85" s="98"/>
      <c r="D85" s="98"/>
      <c r="E85" s="98"/>
      <c r="F85" s="113">
        <v>60000</v>
      </c>
      <c r="G85" s="113"/>
      <c r="H85" s="113"/>
    </row>
    <row r="86" spans="1:13" s="35" customFormat="1" x14ac:dyDescent="0.25">
      <c r="A86" s="98" t="s">
        <v>212</v>
      </c>
      <c r="B86" s="98"/>
      <c r="C86" s="98"/>
      <c r="D86" s="98"/>
      <c r="E86" s="98"/>
      <c r="F86" s="113">
        <v>70000</v>
      </c>
      <c r="G86" s="113"/>
      <c r="H86" s="113"/>
    </row>
    <row r="87" spans="1:13" s="35" customFormat="1" x14ac:dyDescent="0.25">
      <c r="A87" s="98" t="s">
        <v>96</v>
      </c>
      <c r="B87" s="98"/>
      <c r="C87" s="98"/>
      <c r="D87" s="98"/>
      <c r="E87" s="98"/>
      <c r="F87" s="113">
        <v>75000</v>
      </c>
      <c r="G87" s="113"/>
      <c r="H87" s="113"/>
      <c r="I87" s="65"/>
    </row>
    <row r="88" spans="1:13" s="35" customFormat="1" hidden="1" x14ac:dyDescent="0.25">
      <c r="A88" s="98" t="s">
        <v>97</v>
      </c>
      <c r="B88" s="98"/>
      <c r="C88" s="98"/>
      <c r="D88" s="98"/>
      <c r="E88" s="98"/>
      <c r="F88" s="113"/>
      <c r="G88" s="113"/>
      <c r="H88" s="113"/>
    </row>
    <row r="89" spans="1:13" x14ac:dyDescent="0.25">
      <c r="A89" s="98" t="s">
        <v>50</v>
      </c>
      <c r="B89" s="98"/>
      <c r="C89" s="98"/>
      <c r="D89" s="98"/>
      <c r="E89" s="98"/>
      <c r="F89" s="113">
        <v>200000</v>
      </c>
      <c r="G89" s="113"/>
      <c r="H89" s="113"/>
    </row>
    <row r="90" spans="1:13" s="36" customFormat="1" x14ac:dyDescent="0.25">
      <c r="A90" s="99" t="s">
        <v>51</v>
      </c>
      <c r="B90" s="99"/>
      <c r="C90" s="99"/>
      <c r="D90" s="99"/>
      <c r="E90" s="99"/>
      <c r="F90" s="113">
        <f>F81*0.8</f>
        <v>4320</v>
      </c>
      <c r="G90" s="113"/>
      <c r="H90" s="113"/>
    </row>
    <row r="91" spans="1:13" s="37" customFormat="1" ht="15.75" customHeight="1" x14ac:dyDescent="0.25">
      <c r="A91" s="82" t="s">
        <v>75</v>
      </c>
      <c r="B91" s="82"/>
      <c r="C91" s="82"/>
      <c r="D91" s="82"/>
      <c r="E91" s="82"/>
      <c r="F91" s="82"/>
      <c r="G91" s="82"/>
      <c r="H91" s="82"/>
    </row>
    <row r="92" spans="1:13" s="37" customFormat="1" ht="15.75" customHeight="1" x14ac:dyDescent="0.25">
      <c r="A92" s="84" t="s">
        <v>52</v>
      </c>
      <c r="B92" s="84"/>
      <c r="C92" s="146" t="s">
        <v>78</v>
      </c>
      <c r="D92" s="146"/>
      <c r="E92" s="192" t="s">
        <v>53</v>
      </c>
      <c r="F92" s="192"/>
      <c r="G92" s="84" t="s">
        <v>54</v>
      </c>
      <c r="H92" s="84"/>
      <c r="J92" s="37" t="s">
        <v>202</v>
      </c>
      <c r="K92" s="37" t="s">
        <v>203</v>
      </c>
    </row>
    <row r="93" spans="1:13" s="37" customFormat="1" x14ac:dyDescent="0.25">
      <c r="A93" s="181" t="s">
        <v>188</v>
      </c>
      <c r="B93" s="181"/>
      <c r="C93" s="193">
        <f>COUNT(D105:D121)+COUNT(D123:D137)</f>
        <v>32</v>
      </c>
      <c r="D93" s="194"/>
      <c r="E93" s="96">
        <f>SUM(D105:D121)+SUM(D123:D137)</f>
        <v>8759.6355600000006</v>
      </c>
      <c r="F93" s="97"/>
      <c r="G93" s="96">
        <f>SUM(F105:F121)+SUM(F123:F137)</f>
        <v>13577.435117999998</v>
      </c>
      <c r="H93" s="97"/>
      <c r="J93" s="37">
        <v>5000</v>
      </c>
      <c r="K93" s="37">
        <v>5000</v>
      </c>
    </row>
    <row r="94" spans="1:13" s="37" customFormat="1" x14ac:dyDescent="0.25">
      <c r="A94" s="181" t="s">
        <v>189</v>
      </c>
      <c r="B94" s="181"/>
      <c r="C94" s="193">
        <f>COUNT(D138:D147)+COUNT(D149:D173)</f>
        <v>35</v>
      </c>
      <c r="D94" s="194"/>
      <c r="E94" s="96">
        <f>SUM(D138:D147)+SUM(D149:D173)</f>
        <v>8926.6928399999979</v>
      </c>
      <c r="F94" s="97"/>
      <c r="G94" s="96">
        <f>SUM(F138:F147)+SUM(F149:F173)</f>
        <v>13836.373902000001</v>
      </c>
      <c r="H94" s="97"/>
    </row>
    <row r="95" spans="1:13" s="37" customFormat="1" x14ac:dyDescent="0.25">
      <c r="A95" s="82" t="s">
        <v>154</v>
      </c>
      <c r="B95" s="82"/>
      <c r="C95" s="83">
        <f>SUM(C93:D94)</f>
        <v>67</v>
      </c>
      <c r="D95" s="146"/>
      <c r="E95" s="83">
        <f>SUM(E93:F94)</f>
        <v>17686.328399999999</v>
      </c>
      <c r="F95" s="146"/>
      <c r="G95" s="83">
        <f>SUM(G93:H94)</f>
        <v>27413.809020000001</v>
      </c>
      <c r="H95" s="146"/>
    </row>
    <row r="96" spans="1:13" s="37" customFormat="1" x14ac:dyDescent="0.25">
      <c r="A96" s="82" t="s">
        <v>70</v>
      </c>
      <c r="B96" s="82"/>
      <c r="C96" s="82"/>
      <c r="D96" s="82"/>
      <c r="E96" s="82"/>
      <c r="F96" s="82"/>
      <c r="G96" s="82"/>
      <c r="H96" s="82"/>
    </row>
    <row r="97" spans="1:14" s="37" customFormat="1" ht="15.75" customHeight="1" x14ac:dyDescent="0.25">
      <c r="A97" s="84" t="s">
        <v>52</v>
      </c>
      <c r="B97" s="84"/>
      <c r="C97" s="146" t="s">
        <v>78</v>
      </c>
      <c r="D97" s="146"/>
      <c r="E97" s="192" t="s">
        <v>53</v>
      </c>
      <c r="F97" s="192"/>
      <c r="G97" s="84" t="s">
        <v>54</v>
      </c>
      <c r="H97" s="84"/>
    </row>
    <row r="98" spans="1:14" s="37" customFormat="1" x14ac:dyDescent="0.25">
      <c r="A98" s="181" t="s">
        <v>69</v>
      </c>
      <c r="B98" s="181"/>
      <c r="C98" s="193">
        <f>COUNT(D178:D187)+COUNT(D189:D198)*15+COUNT(D200:D203,D205:D209)*3+COUNT(D211:D214,D216:D220)</f>
        <v>196</v>
      </c>
      <c r="D98" s="193"/>
      <c r="E98" s="96">
        <f>SUM(D178:D187)+SUM(D189:D198)*15+SUM(D200:D203,D205:D209)*3+SUM(D211:D214,D216:D220)</f>
        <v>104811.73208999999</v>
      </c>
      <c r="F98" s="96"/>
      <c r="G98" s="96">
        <f>SUM(F178:F187)+SUM(F189:F198)*15+SUM(F200:F203,F205:F209)*3+SUM(F211:F214,F216:F220)</f>
        <v>157908.22534499998</v>
      </c>
      <c r="H98" s="96"/>
    </row>
    <row r="99" spans="1:14" s="37" customFormat="1" x14ac:dyDescent="0.25">
      <c r="A99" s="82" t="s">
        <v>232</v>
      </c>
      <c r="B99" s="82"/>
      <c r="C99" s="83">
        <f>C95+C98</f>
        <v>263</v>
      </c>
      <c r="D99" s="83"/>
      <c r="E99" s="84">
        <f>E95+E98</f>
        <v>122498.06048999999</v>
      </c>
      <c r="F99" s="84"/>
      <c r="G99" s="84">
        <f>G95+G98</f>
        <v>185322.03436499997</v>
      </c>
      <c r="H99" s="84"/>
    </row>
    <row r="100" spans="1:14" s="36" customFormat="1" x14ac:dyDescent="0.25">
      <c r="A100" s="173" t="s">
        <v>55</v>
      </c>
      <c r="B100" s="173"/>
      <c r="C100" s="173"/>
      <c r="D100" s="173"/>
      <c r="E100" s="173"/>
      <c r="F100" s="173"/>
      <c r="G100" s="173"/>
      <c r="H100" s="173"/>
    </row>
    <row r="101" spans="1:14" x14ac:dyDescent="0.25">
      <c r="A101" s="103" t="s">
        <v>56</v>
      </c>
      <c r="B101" s="103"/>
      <c r="C101" s="103"/>
      <c r="D101" s="103"/>
      <c r="E101" s="103"/>
      <c r="F101" s="103"/>
      <c r="G101" s="103"/>
      <c r="H101" s="103"/>
    </row>
    <row r="102" spans="1:14" ht="47.25" customHeight="1" x14ac:dyDescent="0.25">
      <c r="A102" s="75" t="s">
        <v>119</v>
      </c>
      <c r="B102" s="75" t="s">
        <v>118</v>
      </c>
      <c r="C102" s="75" t="s">
        <v>57</v>
      </c>
      <c r="D102" s="75" t="s">
        <v>58</v>
      </c>
      <c r="E102" s="187" t="s">
        <v>160</v>
      </c>
      <c r="F102" s="45" t="s">
        <v>152</v>
      </c>
      <c r="G102" s="144" t="s">
        <v>60</v>
      </c>
      <c r="H102" s="189"/>
    </row>
    <row r="103" spans="1:14" s="50" customFormat="1" x14ac:dyDescent="0.25">
      <c r="A103" s="76"/>
      <c r="B103" s="76"/>
      <c r="C103" s="76"/>
      <c r="D103" s="76"/>
      <c r="E103" s="188"/>
      <c r="F103" s="15">
        <v>0.55000000000000004</v>
      </c>
      <c r="G103" s="145"/>
      <c r="H103" s="190"/>
    </row>
    <row r="104" spans="1:14" s="50" customFormat="1" x14ac:dyDescent="0.25">
      <c r="A104" s="140" t="s">
        <v>226</v>
      </c>
      <c r="B104" s="141"/>
      <c r="C104" s="141"/>
      <c r="D104" s="141"/>
      <c r="E104" s="141"/>
      <c r="F104" s="141"/>
      <c r="G104" s="141"/>
      <c r="H104" s="142"/>
      <c r="J104" s="38"/>
    </row>
    <row r="105" spans="1:14" s="50" customFormat="1" ht="15.6" customHeight="1" x14ac:dyDescent="0.25">
      <c r="A105" s="77">
        <v>1</v>
      </c>
      <c r="B105" s="78"/>
      <c r="C105" s="44" t="s">
        <v>188</v>
      </c>
      <c r="D105" s="62">
        <f>(23.83)*(10.764)</f>
        <v>256.50611999999995</v>
      </c>
      <c r="E105" s="44">
        <v>0</v>
      </c>
      <c r="F105" s="44">
        <f>(D105+E105)*(($F$103)+1)</f>
        <v>397.58448599999991</v>
      </c>
      <c r="G105" s="118" t="str">
        <f>A104</f>
        <v>Ground Floor For Entrance lobby, Drivers room, Meter room, Commercial &amp; Parking</v>
      </c>
      <c r="H105" s="119"/>
      <c r="I105" s="73">
        <f>6.85*2.9+1.37*1.53+1.22*1.22</f>
        <v>23.449499999999997</v>
      </c>
      <c r="L105" s="88"/>
      <c r="M105" s="88"/>
      <c r="N105" s="38"/>
    </row>
    <row r="106" spans="1:14" s="50" customFormat="1" ht="15.6" customHeight="1" x14ac:dyDescent="0.25">
      <c r="A106" s="77">
        <f t="shared" ref="A106:A121" si="0">A105+1</f>
        <v>2</v>
      </c>
      <c r="B106" s="78"/>
      <c r="C106" s="57" t="s">
        <v>188</v>
      </c>
      <c r="D106" s="62">
        <f>(22.6)*(10.764)</f>
        <v>243.2664</v>
      </c>
      <c r="E106" s="44">
        <v>0</v>
      </c>
      <c r="F106" s="44">
        <f t="shared" ref="F106:F108" si="1">(D106+E106)*(($F$103)+1)</f>
        <v>377.06292000000002</v>
      </c>
      <c r="G106" s="120"/>
      <c r="H106" s="121"/>
      <c r="I106" s="38"/>
      <c r="L106" s="88"/>
      <c r="M106" s="88"/>
      <c r="N106" s="38"/>
    </row>
    <row r="107" spans="1:14" s="50" customFormat="1" ht="15.6" customHeight="1" x14ac:dyDescent="0.25">
      <c r="A107" s="77">
        <f t="shared" si="0"/>
        <v>3</v>
      </c>
      <c r="B107" s="78"/>
      <c r="C107" s="57" t="s">
        <v>188</v>
      </c>
      <c r="D107" s="62">
        <f>(18.82)*(10.764)</f>
        <v>202.57847999999998</v>
      </c>
      <c r="E107" s="44">
        <v>0</v>
      </c>
      <c r="F107" s="44">
        <f t="shared" si="1"/>
        <v>313.996644</v>
      </c>
      <c r="G107" s="120"/>
      <c r="H107" s="121"/>
      <c r="I107" s="38"/>
      <c r="L107" s="88"/>
      <c r="M107" s="88"/>
      <c r="N107" s="38"/>
    </row>
    <row r="108" spans="1:14" s="50" customFormat="1" ht="15.6" customHeight="1" x14ac:dyDescent="0.25">
      <c r="A108" s="77">
        <f t="shared" si="0"/>
        <v>4</v>
      </c>
      <c r="B108" s="78"/>
      <c r="C108" s="57" t="s">
        <v>188</v>
      </c>
      <c r="D108" s="62">
        <f>(25.07)*(10.764)</f>
        <v>269.85347999999999</v>
      </c>
      <c r="E108" s="44">
        <v>0</v>
      </c>
      <c r="F108" s="44">
        <f t="shared" si="1"/>
        <v>418.27289400000001</v>
      </c>
      <c r="G108" s="120"/>
      <c r="H108" s="121"/>
      <c r="I108" s="38"/>
      <c r="L108" s="88"/>
      <c r="M108" s="88"/>
      <c r="N108" s="38"/>
    </row>
    <row r="109" spans="1:14" s="58" customFormat="1" ht="15.6" customHeight="1" x14ac:dyDescent="0.25">
      <c r="A109" s="77">
        <f t="shared" si="0"/>
        <v>5</v>
      </c>
      <c r="B109" s="78"/>
      <c r="C109" s="57" t="s">
        <v>188</v>
      </c>
      <c r="D109" s="62">
        <f>(22.6)*(10.764)</f>
        <v>243.2664</v>
      </c>
      <c r="E109" s="57">
        <v>0</v>
      </c>
      <c r="F109" s="57">
        <f t="shared" ref="F109:F114" si="2">(D109+E109)*(($F$103)+1)</f>
        <v>377.06292000000002</v>
      </c>
      <c r="G109" s="120"/>
      <c r="H109" s="121"/>
      <c r="I109" s="38"/>
      <c r="L109" s="88"/>
      <c r="M109" s="88"/>
      <c r="N109" s="38"/>
    </row>
    <row r="110" spans="1:14" s="58" customFormat="1" ht="15.6" customHeight="1" x14ac:dyDescent="0.25">
      <c r="A110" s="77">
        <f t="shared" si="0"/>
        <v>6</v>
      </c>
      <c r="B110" s="78"/>
      <c r="C110" s="57" t="s">
        <v>188</v>
      </c>
      <c r="D110" s="62">
        <f>(18.78)*(10.764)</f>
        <v>202.14792</v>
      </c>
      <c r="E110" s="57">
        <v>0</v>
      </c>
      <c r="F110" s="57">
        <f t="shared" si="2"/>
        <v>313.32927599999999</v>
      </c>
      <c r="G110" s="120"/>
      <c r="H110" s="121"/>
      <c r="I110" s="38"/>
      <c r="L110" s="88"/>
      <c r="M110" s="88"/>
      <c r="N110" s="38"/>
    </row>
    <row r="111" spans="1:14" s="58" customFormat="1" ht="15.6" customHeight="1" x14ac:dyDescent="0.25">
      <c r="A111" s="77">
        <f t="shared" si="0"/>
        <v>7</v>
      </c>
      <c r="B111" s="78"/>
      <c r="C111" s="57" t="s">
        <v>188</v>
      </c>
      <c r="D111" s="62">
        <f>(22.6)*(10.764)</f>
        <v>243.2664</v>
      </c>
      <c r="E111" s="57">
        <v>0</v>
      </c>
      <c r="F111" s="57">
        <f t="shared" si="2"/>
        <v>377.06292000000002</v>
      </c>
      <c r="G111" s="120"/>
      <c r="H111" s="121"/>
      <c r="I111" s="38"/>
      <c r="L111" s="88"/>
      <c r="M111" s="88"/>
      <c r="N111" s="38"/>
    </row>
    <row r="112" spans="1:14" s="58" customFormat="1" ht="15.6" customHeight="1" x14ac:dyDescent="0.25">
      <c r="A112" s="77">
        <f t="shared" si="0"/>
        <v>8</v>
      </c>
      <c r="B112" s="78"/>
      <c r="C112" s="57" t="s">
        <v>188</v>
      </c>
      <c r="D112" s="62">
        <f t="shared" ref="D112:D113" si="3">(22.6)*(10.764)</f>
        <v>243.2664</v>
      </c>
      <c r="E112" s="57">
        <v>0</v>
      </c>
      <c r="F112" s="57">
        <f t="shared" si="2"/>
        <v>377.06292000000002</v>
      </c>
      <c r="G112" s="120"/>
      <c r="H112" s="121"/>
      <c r="I112" s="38"/>
      <c r="L112" s="88"/>
      <c r="M112" s="88"/>
      <c r="N112" s="38"/>
    </row>
    <row r="113" spans="1:14" s="58" customFormat="1" ht="15.6" customHeight="1" x14ac:dyDescent="0.25">
      <c r="A113" s="77">
        <f t="shared" si="0"/>
        <v>9</v>
      </c>
      <c r="B113" s="78"/>
      <c r="C113" s="57" t="s">
        <v>188</v>
      </c>
      <c r="D113" s="62">
        <f t="shared" si="3"/>
        <v>243.2664</v>
      </c>
      <c r="E113" s="57">
        <v>0</v>
      </c>
      <c r="F113" s="57">
        <f t="shared" si="2"/>
        <v>377.06292000000002</v>
      </c>
      <c r="G113" s="120"/>
      <c r="H113" s="121"/>
      <c r="I113" s="38"/>
      <c r="L113" s="88"/>
      <c r="M113" s="88"/>
      <c r="N113" s="38"/>
    </row>
    <row r="114" spans="1:14" s="58" customFormat="1" ht="15.6" customHeight="1" x14ac:dyDescent="0.25">
      <c r="A114" s="77">
        <f t="shared" si="0"/>
        <v>10</v>
      </c>
      <c r="B114" s="78"/>
      <c r="C114" s="57" t="s">
        <v>188</v>
      </c>
      <c r="D114" s="62">
        <f>(13.58)*(10.764)</f>
        <v>146.17511999999999</v>
      </c>
      <c r="E114" s="57">
        <v>0</v>
      </c>
      <c r="F114" s="57">
        <f t="shared" si="2"/>
        <v>226.57143600000001</v>
      </c>
      <c r="G114" s="120"/>
      <c r="H114" s="121"/>
      <c r="I114" s="38"/>
      <c r="L114" s="88"/>
      <c r="M114" s="88"/>
      <c r="N114" s="38"/>
    </row>
    <row r="115" spans="1:14" s="58" customFormat="1" ht="15.6" customHeight="1" x14ac:dyDescent="0.25">
      <c r="A115" s="77">
        <f t="shared" si="0"/>
        <v>11</v>
      </c>
      <c r="B115" s="78"/>
      <c r="C115" s="57" t="s">
        <v>188</v>
      </c>
      <c r="D115" s="62">
        <f>(18.11)*(10.764)</f>
        <v>194.93603999999999</v>
      </c>
      <c r="E115" s="57">
        <v>0</v>
      </c>
      <c r="F115" s="57">
        <f t="shared" ref="F115:F118" si="4">(D115+E115)*(($F$103)+1)</f>
        <v>302.15086200000002</v>
      </c>
      <c r="G115" s="120"/>
      <c r="H115" s="121"/>
      <c r="I115" s="38"/>
      <c r="L115" s="88"/>
      <c r="M115" s="88"/>
      <c r="N115" s="38"/>
    </row>
    <row r="116" spans="1:14" s="58" customFormat="1" ht="15.6" customHeight="1" x14ac:dyDescent="0.25">
      <c r="A116" s="77">
        <f t="shared" si="0"/>
        <v>12</v>
      </c>
      <c r="B116" s="78"/>
      <c r="C116" s="57" t="s">
        <v>188</v>
      </c>
      <c r="D116" s="62">
        <f>(15.45)*(10.764)</f>
        <v>166.3038</v>
      </c>
      <c r="E116" s="57">
        <v>0</v>
      </c>
      <c r="F116" s="57">
        <f t="shared" si="4"/>
        <v>257.77089000000001</v>
      </c>
      <c r="G116" s="120"/>
      <c r="H116" s="121"/>
      <c r="I116" s="38"/>
      <c r="L116" s="88"/>
      <c r="M116" s="88"/>
      <c r="N116" s="38"/>
    </row>
    <row r="117" spans="1:14" s="58" customFormat="1" ht="15.6" customHeight="1" x14ac:dyDescent="0.25">
      <c r="A117" s="77">
        <f t="shared" si="0"/>
        <v>13</v>
      </c>
      <c r="B117" s="78"/>
      <c r="C117" s="57" t="s">
        <v>188</v>
      </c>
      <c r="D117" s="62">
        <f>(11.45)*(10.764)</f>
        <v>123.24779999999998</v>
      </c>
      <c r="E117" s="57">
        <v>0</v>
      </c>
      <c r="F117" s="57">
        <f t="shared" si="4"/>
        <v>191.03408999999999</v>
      </c>
      <c r="G117" s="120"/>
      <c r="H117" s="121"/>
      <c r="I117" s="38"/>
      <c r="L117" s="88"/>
      <c r="M117" s="88"/>
      <c r="N117" s="38"/>
    </row>
    <row r="118" spans="1:14" s="58" customFormat="1" ht="15.6" customHeight="1" x14ac:dyDescent="0.25">
      <c r="A118" s="77">
        <f t="shared" si="0"/>
        <v>14</v>
      </c>
      <c r="B118" s="78"/>
      <c r="C118" s="57" t="s">
        <v>188</v>
      </c>
      <c r="D118" s="62">
        <f>(35.16)*(10.764)</f>
        <v>378.46223999999995</v>
      </c>
      <c r="E118" s="57">
        <v>0</v>
      </c>
      <c r="F118" s="57">
        <f t="shared" si="4"/>
        <v>586.61647199999993</v>
      </c>
      <c r="G118" s="120"/>
      <c r="H118" s="121"/>
      <c r="I118" s="38"/>
      <c r="L118" s="88"/>
      <c r="M118" s="88"/>
      <c r="N118" s="38"/>
    </row>
    <row r="119" spans="1:14" s="58" customFormat="1" ht="15.6" customHeight="1" x14ac:dyDescent="0.25">
      <c r="A119" s="77">
        <f t="shared" si="0"/>
        <v>15</v>
      </c>
      <c r="B119" s="78"/>
      <c r="C119" s="57" t="s">
        <v>188</v>
      </c>
      <c r="D119" s="62">
        <f>(32.98)*(10.764)</f>
        <v>354.99671999999993</v>
      </c>
      <c r="E119" s="57">
        <v>0</v>
      </c>
      <c r="F119" s="57">
        <f t="shared" ref="F119:F121" si="5">(D119+E119)*(($F$103)+1)</f>
        <v>550.24491599999988</v>
      </c>
      <c r="G119" s="120"/>
      <c r="H119" s="121"/>
      <c r="I119" s="38"/>
      <c r="L119" s="88"/>
      <c r="M119" s="88"/>
      <c r="N119" s="38"/>
    </row>
    <row r="120" spans="1:14" s="58" customFormat="1" ht="15.6" customHeight="1" x14ac:dyDescent="0.25">
      <c r="A120" s="77">
        <f t="shared" si="0"/>
        <v>16</v>
      </c>
      <c r="B120" s="78"/>
      <c r="C120" s="57" t="s">
        <v>188</v>
      </c>
      <c r="D120" s="62">
        <f>(25.19)*(10.764)</f>
        <v>271.14515999999998</v>
      </c>
      <c r="E120" s="57">
        <v>0</v>
      </c>
      <c r="F120" s="57">
        <f t="shared" si="5"/>
        <v>420.27499799999998</v>
      </c>
      <c r="G120" s="120"/>
      <c r="H120" s="121"/>
      <c r="I120" s="38"/>
      <c r="L120" s="88"/>
      <c r="M120" s="88"/>
      <c r="N120" s="38"/>
    </row>
    <row r="121" spans="1:14" s="58" customFormat="1" ht="15.6" customHeight="1" x14ac:dyDescent="0.25">
      <c r="A121" s="77">
        <f t="shared" si="0"/>
        <v>17</v>
      </c>
      <c r="B121" s="78"/>
      <c r="C121" s="57" t="s">
        <v>188</v>
      </c>
      <c r="D121" s="62">
        <f>(34.04)*(10.764)</f>
        <v>366.40655999999996</v>
      </c>
      <c r="E121" s="57">
        <v>0</v>
      </c>
      <c r="F121" s="57">
        <f t="shared" si="5"/>
        <v>567.93016799999998</v>
      </c>
      <c r="G121" s="122"/>
      <c r="H121" s="123"/>
      <c r="I121" s="38"/>
      <c r="L121" s="88"/>
      <c r="M121" s="88"/>
      <c r="N121" s="38"/>
    </row>
    <row r="122" spans="1:14" s="58" customFormat="1" x14ac:dyDescent="0.25">
      <c r="A122" s="140" t="s">
        <v>205</v>
      </c>
      <c r="B122" s="141"/>
      <c r="C122" s="141"/>
      <c r="D122" s="141"/>
      <c r="E122" s="141"/>
      <c r="F122" s="141"/>
      <c r="G122" s="141"/>
      <c r="H122" s="142"/>
      <c r="J122" s="38"/>
    </row>
    <row r="123" spans="1:14" s="58" customFormat="1" ht="15.6" customHeight="1" x14ac:dyDescent="0.25">
      <c r="A123" s="77">
        <v>1</v>
      </c>
      <c r="B123" s="78"/>
      <c r="C123" s="57" t="s">
        <v>188</v>
      </c>
      <c r="D123" s="62">
        <f>(23.82)*(10.764)</f>
        <v>256.39848000000001</v>
      </c>
      <c r="E123" s="57">
        <v>0</v>
      </c>
      <c r="F123" s="57">
        <f>(D123+E123)*(($F$103)+1)</f>
        <v>397.417644</v>
      </c>
      <c r="G123" s="118" t="str">
        <f>A122</f>
        <v>1st Floor for Commercial</v>
      </c>
      <c r="H123" s="119"/>
      <c r="I123" s="72">
        <f>8.22*2.9</f>
        <v>23.838000000000001</v>
      </c>
      <c r="L123" s="88"/>
      <c r="M123" s="88"/>
      <c r="N123" s="38"/>
    </row>
    <row r="124" spans="1:14" s="58" customFormat="1" ht="15.6" customHeight="1" x14ac:dyDescent="0.25">
      <c r="A124" s="77">
        <f t="shared" ref="A124:A147" si="6">A123+1</f>
        <v>2</v>
      </c>
      <c r="B124" s="78"/>
      <c r="C124" s="57" t="s">
        <v>188</v>
      </c>
      <c r="D124" s="62">
        <f>(22.59)*(10.764)</f>
        <v>243.15875999999997</v>
      </c>
      <c r="E124" s="57">
        <v>0</v>
      </c>
      <c r="F124" s="57">
        <f t="shared" ref="F124:F136" si="7">(D124+E124)*(($F$103)+1)</f>
        <v>376.89607799999999</v>
      </c>
      <c r="G124" s="120"/>
      <c r="H124" s="121"/>
      <c r="I124" s="38"/>
      <c r="L124" s="88"/>
      <c r="M124" s="88"/>
      <c r="N124" s="38"/>
    </row>
    <row r="125" spans="1:14" s="58" customFormat="1" ht="15.6" customHeight="1" x14ac:dyDescent="0.25">
      <c r="A125" s="77">
        <f t="shared" si="6"/>
        <v>3</v>
      </c>
      <c r="B125" s="78"/>
      <c r="C125" s="57" t="s">
        <v>188</v>
      </c>
      <c r="D125" s="62">
        <f>(18.81)*(10.764)</f>
        <v>202.47083999999998</v>
      </c>
      <c r="E125" s="57">
        <v>0</v>
      </c>
      <c r="F125" s="57">
        <f t="shared" si="7"/>
        <v>313.82980199999997</v>
      </c>
      <c r="G125" s="120"/>
      <c r="H125" s="121"/>
      <c r="I125" s="38"/>
      <c r="L125" s="88"/>
      <c r="M125" s="88"/>
      <c r="N125" s="38"/>
    </row>
    <row r="126" spans="1:14" s="58" customFormat="1" ht="15.6" customHeight="1" x14ac:dyDescent="0.25">
      <c r="A126" s="77">
        <f t="shared" si="6"/>
        <v>4</v>
      </c>
      <c r="B126" s="78"/>
      <c r="C126" s="57" t="s">
        <v>188</v>
      </c>
      <c r="D126" s="62">
        <f>(25.05)*(10.764)</f>
        <v>269.63819999999998</v>
      </c>
      <c r="E126" s="57">
        <v>0</v>
      </c>
      <c r="F126" s="57">
        <f t="shared" si="7"/>
        <v>417.93921</v>
      </c>
      <c r="G126" s="120"/>
      <c r="H126" s="121"/>
      <c r="I126" s="38"/>
      <c r="L126" s="88"/>
      <c r="M126" s="88"/>
      <c r="N126" s="38"/>
    </row>
    <row r="127" spans="1:14" s="58" customFormat="1" ht="15.6" customHeight="1" x14ac:dyDescent="0.25">
      <c r="A127" s="77">
        <f t="shared" si="6"/>
        <v>5</v>
      </c>
      <c r="B127" s="78"/>
      <c r="C127" s="57" t="s">
        <v>188</v>
      </c>
      <c r="D127" s="62">
        <f>(22.59)*(10.764)</f>
        <v>243.15875999999997</v>
      </c>
      <c r="E127" s="57">
        <v>0</v>
      </c>
      <c r="F127" s="57">
        <f t="shared" si="7"/>
        <v>376.89607799999999</v>
      </c>
      <c r="G127" s="120"/>
      <c r="H127" s="121"/>
      <c r="I127" s="38"/>
      <c r="L127" s="88"/>
      <c r="M127" s="88"/>
      <c r="N127" s="38"/>
    </row>
    <row r="128" spans="1:14" s="58" customFormat="1" ht="15.6" customHeight="1" x14ac:dyDescent="0.25">
      <c r="A128" s="77">
        <f t="shared" si="6"/>
        <v>6</v>
      </c>
      <c r="B128" s="78"/>
      <c r="C128" s="57" t="s">
        <v>188</v>
      </c>
      <c r="D128" s="62">
        <f>(18.81)*(10.764)</f>
        <v>202.47083999999998</v>
      </c>
      <c r="E128" s="57">
        <v>0</v>
      </c>
      <c r="F128" s="57">
        <f t="shared" si="7"/>
        <v>313.82980199999997</v>
      </c>
      <c r="G128" s="120"/>
      <c r="H128" s="121"/>
      <c r="I128" s="38"/>
      <c r="L128" s="88"/>
      <c r="M128" s="88"/>
      <c r="N128" s="38"/>
    </row>
    <row r="129" spans="1:14" s="58" customFormat="1" ht="15.6" customHeight="1" x14ac:dyDescent="0.25">
      <c r="A129" s="77">
        <f t="shared" si="6"/>
        <v>7</v>
      </c>
      <c r="B129" s="78"/>
      <c r="C129" s="57" t="s">
        <v>188</v>
      </c>
      <c r="D129" s="62">
        <f>(22.59)*(10.764)</f>
        <v>243.15875999999997</v>
      </c>
      <c r="E129" s="57">
        <v>0</v>
      </c>
      <c r="F129" s="57">
        <f t="shared" si="7"/>
        <v>376.89607799999999</v>
      </c>
      <c r="G129" s="120"/>
      <c r="H129" s="121"/>
      <c r="I129" s="38"/>
      <c r="L129" s="88"/>
      <c r="M129" s="88"/>
      <c r="N129" s="38"/>
    </row>
    <row r="130" spans="1:14" s="58" customFormat="1" ht="15.6" customHeight="1" x14ac:dyDescent="0.25">
      <c r="A130" s="77">
        <f t="shared" si="6"/>
        <v>8</v>
      </c>
      <c r="B130" s="78"/>
      <c r="C130" s="57" t="s">
        <v>188</v>
      </c>
      <c r="D130" s="62">
        <f>(22.59)*(10.764)</f>
        <v>243.15875999999997</v>
      </c>
      <c r="E130" s="57">
        <v>0</v>
      </c>
      <c r="F130" s="57">
        <f t="shared" si="7"/>
        <v>376.89607799999999</v>
      </c>
      <c r="G130" s="120"/>
      <c r="H130" s="121"/>
      <c r="I130" s="38"/>
      <c r="L130" s="88"/>
      <c r="M130" s="88"/>
      <c r="N130" s="38"/>
    </row>
    <row r="131" spans="1:14" s="58" customFormat="1" ht="15.6" customHeight="1" x14ac:dyDescent="0.25">
      <c r="A131" s="77">
        <f t="shared" si="6"/>
        <v>9</v>
      </c>
      <c r="B131" s="78"/>
      <c r="C131" s="57" t="s">
        <v>188</v>
      </c>
      <c r="D131" s="62">
        <f>(22.59)*(10.764)</f>
        <v>243.15875999999997</v>
      </c>
      <c r="E131" s="57">
        <v>0</v>
      </c>
      <c r="F131" s="57">
        <f t="shared" si="7"/>
        <v>376.89607799999999</v>
      </c>
      <c r="G131" s="120"/>
      <c r="H131" s="121"/>
      <c r="I131" s="38"/>
      <c r="L131" s="88"/>
      <c r="M131" s="88"/>
      <c r="N131" s="38"/>
    </row>
    <row r="132" spans="1:14" s="58" customFormat="1" ht="15.6" customHeight="1" x14ac:dyDescent="0.25">
      <c r="A132" s="77">
        <f t="shared" si="6"/>
        <v>10</v>
      </c>
      <c r="B132" s="78"/>
      <c r="C132" s="57" t="s">
        <v>188</v>
      </c>
      <c r="D132" s="62">
        <f>(18.81)*(10.764)</f>
        <v>202.47083999999998</v>
      </c>
      <c r="E132" s="57">
        <v>0</v>
      </c>
      <c r="F132" s="57">
        <f t="shared" si="7"/>
        <v>313.82980199999997</v>
      </c>
      <c r="G132" s="120"/>
      <c r="H132" s="121"/>
      <c r="I132" s="38"/>
      <c r="L132" s="88"/>
      <c r="M132" s="88"/>
      <c r="N132" s="38"/>
    </row>
    <row r="133" spans="1:14" s="58" customFormat="1" ht="15.6" customHeight="1" x14ac:dyDescent="0.25">
      <c r="A133" s="77">
        <f t="shared" si="6"/>
        <v>11</v>
      </c>
      <c r="B133" s="78"/>
      <c r="C133" s="57" t="s">
        <v>188</v>
      </c>
      <c r="D133" s="62">
        <f>(25.13)*(10.764)</f>
        <v>270.49931999999995</v>
      </c>
      <c r="E133" s="57">
        <v>0</v>
      </c>
      <c r="F133" s="57">
        <f t="shared" si="7"/>
        <v>419.27394599999997</v>
      </c>
      <c r="G133" s="120"/>
      <c r="H133" s="121"/>
      <c r="I133" s="38"/>
      <c r="L133" s="88"/>
      <c r="M133" s="88"/>
      <c r="N133" s="38"/>
    </row>
    <row r="134" spans="1:14" s="58" customFormat="1" ht="15.6" customHeight="1" x14ac:dyDescent="0.25">
      <c r="A134" s="77">
        <f t="shared" si="6"/>
        <v>12</v>
      </c>
      <c r="B134" s="78"/>
      <c r="C134" s="57" t="s">
        <v>188</v>
      </c>
      <c r="D134" s="62">
        <f>(20.99)*(10.764)</f>
        <v>225.93635999999998</v>
      </c>
      <c r="E134" s="57">
        <v>0</v>
      </c>
      <c r="F134" s="57">
        <f t="shared" si="7"/>
        <v>350.20135799999997</v>
      </c>
      <c r="G134" s="120"/>
      <c r="H134" s="121"/>
      <c r="I134" s="38"/>
      <c r="L134" s="88"/>
      <c r="M134" s="88"/>
      <c r="N134" s="38"/>
    </row>
    <row r="135" spans="1:14" s="58" customFormat="1" ht="15.6" customHeight="1" x14ac:dyDescent="0.25">
      <c r="A135" s="77">
        <f t="shared" si="6"/>
        <v>13</v>
      </c>
      <c r="B135" s="78"/>
      <c r="C135" s="57" t="s">
        <v>188</v>
      </c>
      <c r="D135" s="62">
        <f>(49.49)*(10.764)</f>
        <v>532.71036000000004</v>
      </c>
      <c r="E135" s="57">
        <v>0</v>
      </c>
      <c r="F135" s="57">
        <f t="shared" si="7"/>
        <v>825.7010580000001</v>
      </c>
      <c r="G135" s="120"/>
      <c r="H135" s="121"/>
      <c r="I135" s="38"/>
      <c r="L135" s="88"/>
      <c r="M135" s="88"/>
      <c r="N135" s="38"/>
    </row>
    <row r="136" spans="1:14" s="58" customFormat="1" ht="15.6" customHeight="1" x14ac:dyDescent="0.25">
      <c r="A136" s="77">
        <f t="shared" si="6"/>
        <v>14</v>
      </c>
      <c r="B136" s="78"/>
      <c r="C136" s="57" t="s">
        <v>188</v>
      </c>
      <c r="D136" s="62">
        <f>(70.67)*(10.764)</f>
        <v>760.69187999999997</v>
      </c>
      <c r="E136" s="57">
        <v>0</v>
      </c>
      <c r="F136" s="57">
        <f t="shared" si="7"/>
        <v>1179.072414</v>
      </c>
      <c r="G136" s="120"/>
      <c r="H136" s="121"/>
      <c r="I136" s="38"/>
      <c r="L136" s="88"/>
      <c r="M136" s="88"/>
      <c r="N136" s="38"/>
    </row>
    <row r="137" spans="1:14" s="58" customFormat="1" ht="15.6" customHeight="1" x14ac:dyDescent="0.25">
      <c r="A137" s="77">
        <f t="shared" si="6"/>
        <v>15</v>
      </c>
      <c r="B137" s="78"/>
      <c r="C137" s="57" t="s">
        <v>188</v>
      </c>
      <c r="D137" s="62">
        <f>(43.8)*(10.764)</f>
        <v>471.46319999999992</v>
      </c>
      <c r="E137" s="57">
        <v>0</v>
      </c>
      <c r="F137" s="57">
        <f t="shared" ref="F137:F147" si="8">(D137+E137)*(($F$103)+1)</f>
        <v>730.7679599999999</v>
      </c>
      <c r="G137" s="120"/>
      <c r="H137" s="121"/>
      <c r="I137" s="38"/>
      <c r="L137" s="88"/>
      <c r="M137" s="88"/>
      <c r="N137" s="38"/>
    </row>
    <row r="138" spans="1:14" s="58" customFormat="1" ht="15.6" customHeight="1" x14ac:dyDescent="0.25">
      <c r="A138" s="77">
        <f t="shared" si="6"/>
        <v>16</v>
      </c>
      <c r="B138" s="78"/>
      <c r="C138" s="57" t="s">
        <v>189</v>
      </c>
      <c r="D138" s="62">
        <f>(12.92+4.12)*(10.764)</f>
        <v>183.41855999999999</v>
      </c>
      <c r="E138" s="57">
        <v>0</v>
      </c>
      <c r="F138" s="57">
        <f t="shared" si="8"/>
        <v>284.298768</v>
      </c>
      <c r="G138" s="120"/>
      <c r="H138" s="121"/>
      <c r="I138" s="38">
        <f>(6.2*2.75)*10.764</f>
        <v>183.52619999999999</v>
      </c>
      <c r="J138" s="58">
        <f>(2.75*4.6)</f>
        <v>12.649999999999999</v>
      </c>
      <c r="L138" s="88"/>
      <c r="M138" s="88"/>
      <c r="N138" s="38"/>
    </row>
    <row r="139" spans="1:14" s="58" customFormat="1" ht="15.6" customHeight="1" x14ac:dyDescent="0.25">
      <c r="A139" s="77">
        <f t="shared" si="6"/>
        <v>17</v>
      </c>
      <c r="B139" s="78"/>
      <c r="C139" s="57" t="s">
        <v>189</v>
      </c>
      <c r="D139" s="62">
        <f>(10.62+3.39)*(10.764)</f>
        <v>150.80364</v>
      </c>
      <c r="E139" s="57">
        <v>0</v>
      </c>
      <c r="F139" s="57">
        <f t="shared" si="8"/>
        <v>233.745642</v>
      </c>
      <c r="G139" s="120"/>
      <c r="H139" s="121"/>
      <c r="I139" s="38">
        <f>(2.26*4.6)</f>
        <v>10.395999999999999</v>
      </c>
      <c r="L139" s="88"/>
      <c r="M139" s="88"/>
      <c r="N139" s="38"/>
    </row>
    <row r="140" spans="1:14" s="58" customFormat="1" ht="15.6" customHeight="1" x14ac:dyDescent="0.25">
      <c r="A140" s="77">
        <f t="shared" si="6"/>
        <v>18</v>
      </c>
      <c r="B140" s="78"/>
      <c r="C140" s="57" t="s">
        <v>189</v>
      </c>
      <c r="D140" s="62">
        <f>(12.92+4.12)*(10.764)</f>
        <v>183.41855999999999</v>
      </c>
      <c r="E140" s="57">
        <v>0</v>
      </c>
      <c r="F140" s="57">
        <f t="shared" si="8"/>
        <v>284.298768</v>
      </c>
      <c r="G140" s="120"/>
      <c r="H140" s="121"/>
      <c r="I140" s="38"/>
      <c r="L140" s="88"/>
      <c r="M140" s="88"/>
      <c r="N140" s="38"/>
    </row>
    <row r="141" spans="1:14" s="58" customFormat="1" ht="15.6" customHeight="1" x14ac:dyDescent="0.25">
      <c r="A141" s="77">
        <f t="shared" si="6"/>
        <v>19</v>
      </c>
      <c r="B141" s="78"/>
      <c r="C141" s="57" t="s">
        <v>189</v>
      </c>
      <c r="D141" s="62">
        <f>(12.92+4.12)*(10.764)</f>
        <v>183.41855999999999</v>
      </c>
      <c r="E141" s="57">
        <v>0</v>
      </c>
      <c r="F141" s="57">
        <f t="shared" si="8"/>
        <v>284.298768</v>
      </c>
      <c r="G141" s="120"/>
      <c r="H141" s="121"/>
      <c r="I141" s="38"/>
      <c r="L141" s="88"/>
      <c r="M141" s="88"/>
      <c r="N141" s="38"/>
    </row>
    <row r="142" spans="1:14" s="58" customFormat="1" ht="15.6" customHeight="1" x14ac:dyDescent="0.25">
      <c r="A142" s="77">
        <f t="shared" si="6"/>
        <v>20</v>
      </c>
      <c r="B142" s="78"/>
      <c r="C142" s="57" t="s">
        <v>189</v>
      </c>
      <c r="D142" s="62">
        <f>(14.47+4.61)*(10.764)</f>
        <v>205.37712000000002</v>
      </c>
      <c r="E142" s="57">
        <v>0</v>
      </c>
      <c r="F142" s="57">
        <f t="shared" si="8"/>
        <v>318.33453600000001</v>
      </c>
      <c r="G142" s="120"/>
      <c r="H142" s="121"/>
      <c r="I142" s="38"/>
      <c r="L142" s="88"/>
      <c r="M142" s="88"/>
      <c r="N142" s="38"/>
    </row>
    <row r="143" spans="1:14" s="58" customFormat="1" ht="15.6" customHeight="1" x14ac:dyDescent="0.25">
      <c r="A143" s="77">
        <f t="shared" si="6"/>
        <v>21</v>
      </c>
      <c r="B143" s="78"/>
      <c r="C143" s="57" t="s">
        <v>189</v>
      </c>
      <c r="D143" s="62">
        <f>(10.76+3.43)*(10.764)</f>
        <v>152.74115999999998</v>
      </c>
      <c r="E143" s="57">
        <v>0</v>
      </c>
      <c r="F143" s="57">
        <f t="shared" si="8"/>
        <v>236.74879799999997</v>
      </c>
      <c r="G143" s="120"/>
      <c r="H143" s="121"/>
      <c r="I143" s="38"/>
      <c r="L143" s="88"/>
      <c r="M143" s="88"/>
      <c r="N143" s="38"/>
    </row>
    <row r="144" spans="1:14" s="58" customFormat="1" ht="15.6" customHeight="1" x14ac:dyDescent="0.25">
      <c r="A144" s="77">
        <f t="shared" si="6"/>
        <v>22</v>
      </c>
      <c r="B144" s="78"/>
      <c r="C144" s="57" t="s">
        <v>189</v>
      </c>
      <c r="D144" s="62">
        <f>(12.92+4.12)*(10.764)</f>
        <v>183.41855999999999</v>
      </c>
      <c r="E144" s="57">
        <v>0</v>
      </c>
      <c r="F144" s="57">
        <f t="shared" si="8"/>
        <v>284.298768</v>
      </c>
      <c r="G144" s="120"/>
      <c r="H144" s="121"/>
      <c r="I144" s="38"/>
      <c r="L144" s="88"/>
      <c r="M144" s="88"/>
      <c r="N144" s="38"/>
    </row>
    <row r="145" spans="1:14" s="58" customFormat="1" ht="15.6" customHeight="1" x14ac:dyDescent="0.25">
      <c r="A145" s="77">
        <f t="shared" si="6"/>
        <v>23</v>
      </c>
      <c r="B145" s="78"/>
      <c r="C145" s="57" t="s">
        <v>189</v>
      </c>
      <c r="D145" s="62">
        <f>(13.63+4.35)*(10.764)</f>
        <v>193.53672</v>
      </c>
      <c r="E145" s="57">
        <v>0</v>
      </c>
      <c r="F145" s="57">
        <f t="shared" si="8"/>
        <v>299.98191600000001</v>
      </c>
      <c r="G145" s="120"/>
      <c r="H145" s="121"/>
      <c r="I145" s="38"/>
      <c r="L145" s="88"/>
      <c r="M145" s="88"/>
      <c r="N145" s="38"/>
    </row>
    <row r="146" spans="1:14" s="58" customFormat="1" ht="15.6" customHeight="1" x14ac:dyDescent="0.25">
      <c r="A146" s="77">
        <f t="shared" si="6"/>
        <v>24</v>
      </c>
      <c r="B146" s="78"/>
      <c r="C146" s="57" t="s">
        <v>189</v>
      </c>
      <c r="D146" s="62">
        <f>(10.76+3.43)*(10.764)</f>
        <v>152.74115999999998</v>
      </c>
      <c r="E146" s="57">
        <v>0</v>
      </c>
      <c r="F146" s="57">
        <f t="shared" si="8"/>
        <v>236.74879799999997</v>
      </c>
      <c r="G146" s="120"/>
      <c r="H146" s="121"/>
      <c r="I146" s="38"/>
      <c r="L146" s="88"/>
      <c r="M146" s="88"/>
      <c r="N146" s="38"/>
    </row>
    <row r="147" spans="1:14" s="58" customFormat="1" ht="15.6" customHeight="1" x14ac:dyDescent="0.25">
      <c r="A147" s="77">
        <f t="shared" si="6"/>
        <v>25</v>
      </c>
      <c r="B147" s="78"/>
      <c r="C147" s="57" t="s">
        <v>189</v>
      </c>
      <c r="D147" s="62">
        <f>(12.92+4.12)*(10.764)</f>
        <v>183.41855999999999</v>
      </c>
      <c r="E147" s="57">
        <v>0</v>
      </c>
      <c r="F147" s="57">
        <f t="shared" si="8"/>
        <v>284.298768</v>
      </c>
      <c r="G147" s="122"/>
      <c r="H147" s="123"/>
      <c r="I147" s="38"/>
      <c r="L147" s="88"/>
      <c r="M147" s="88"/>
      <c r="N147" s="38"/>
    </row>
    <row r="148" spans="1:14" s="58" customFormat="1" x14ac:dyDescent="0.25">
      <c r="A148" s="140" t="s">
        <v>190</v>
      </c>
      <c r="B148" s="141"/>
      <c r="C148" s="141"/>
      <c r="D148" s="141"/>
      <c r="E148" s="141"/>
      <c r="F148" s="141"/>
      <c r="G148" s="141"/>
      <c r="H148" s="142"/>
      <c r="J148" s="38"/>
    </row>
    <row r="149" spans="1:14" s="58" customFormat="1" ht="15.6" customHeight="1" x14ac:dyDescent="0.25">
      <c r="A149" s="77">
        <v>1</v>
      </c>
      <c r="B149" s="78"/>
      <c r="C149" s="57" t="s">
        <v>189</v>
      </c>
      <c r="D149" s="62">
        <f>(17.58+4.35)*(10.764)</f>
        <v>236.05452</v>
      </c>
      <c r="E149" s="57">
        <v>0</v>
      </c>
      <c r="F149" s="57">
        <f>(D149+E149)*(($F$103)+1)</f>
        <v>365.88450599999999</v>
      </c>
      <c r="G149" s="118" t="str">
        <f>A148</f>
        <v>2nd For Commercial</v>
      </c>
      <c r="H149" s="119"/>
      <c r="I149" s="38">
        <f>(7.57*2.75)*10.764</f>
        <v>224.07957000000002</v>
      </c>
      <c r="J149" s="58">
        <f>10.764</f>
        <v>10.763999999999999</v>
      </c>
      <c r="L149" s="88"/>
      <c r="M149" s="88"/>
      <c r="N149" s="38"/>
    </row>
    <row r="150" spans="1:14" s="58" customFormat="1" ht="15.6" customHeight="1" x14ac:dyDescent="0.25">
      <c r="A150" s="77">
        <f t="shared" ref="A150:A173" si="9">A149+1</f>
        <v>2</v>
      </c>
      <c r="B150" s="78"/>
      <c r="C150" s="57" t="s">
        <v>189</v>
      </c>
      <c r="D150" s="62">
        <f>(16.68+4.12)*(10.764)</f>
        <v>223.8912</v>
      </c>
      <c r="E150" s="57">
        <v>0</v>
      </c>
      <c r="F150" s="57">
        <f t="shared" ref="F150:F165" si="10">(D150+E150)*(($F$103)+1)</f>
        <v>347.03136000000001</v>
      </c>
      <c r="G150" s="120"/>
      <c r="H150" s="121"/>
      <c r="I150" s="38"/>
      <c r="L150" s="88"/>
      <c r="M150" s="88"/>
      <c r="N150" s="38"/>
    </row>
    <row r="151" spans="1:14" s="58" customFormat="1" ht="15.6" customHeight="1" x14ac:dyDescent="0.25">
      <c r="A151" s="77">
        <f t="shared" si="9"/>
        <v>3</v>
      </c>
      <c r="B151" s="78"/>
      <c r="C151" s="57" t="s">
        <v>189</v>
      </c>
      <c r="D151" s="62">
        <f>(13.88+3.43)*(10.764)</f>
        <v>186.32484000000002</v>
      </c>
      <c r="E151" s="57">
        <v>0</v>
      </c>
      <c r="F151" s="57">
        <f t="shared" si="10"/>
        <v>288.80350200000004</v>
      </c>
      <c r="G151" s="120"/>
      <c r="H151" s="121"/>
      <c r="I151" s="38"/>
      <c r="L151" s="88"/>
      <c r="M151" s="88"/>
      <c r="N151" s="38"/>
    </row>
    <row r="152" spans="1:14" s="58" customFormat="1" ht="15.6" customHeight="1" x14ac:dyDescent="0.25">
      <c r="A152" s="77">
        <f t="shared" si="9"/>
        <v>4</v>
      </c>
      <c r="B152" s="78"/>
      <c r="C152" s="57" t="s">
        <v>189</v>
      </c>
      <c r="D152" s="62">
        <f>(18.49+4.57)*(10.764)</f>
        <v>248.21783999999997</v>
      </c>
      <c r="E152" s="57">
        <v>0</v>
      </c>
      <c r="F152" s="57">
        <f t="shared" si="10"/>
        <v>384.73765199999997</v>
      </c>
      <c r="G152" s="120"/>
      <c r="H152" s="121"/>
      <c r="I152" s="38"/>
      <c r="L152" s="88"/>
      <c r="M152" s="88"/>
      <c r="N152" s="38"/>
    </row>
    <row r="153" spans="1:14" s="58" customFormat="1" ht="15.6" customHeight="1" x14ac:dyDescent="0.25">
      <c r="A153" s="77">
        <f t="shared" si="9"/>
        <v>5</v>
      </c>
      <c r="B153" s="78"/>
      <c r="C153" s="57" t="s">
        <v>189</v>
      </c>
      <c r="D153" s="62">
        <f>(16.68+4.12)*(10.764)</f>
        <v>223.8912</v>
      </c>
      <c r="E153" s="57">
        <v>0</v>
      </c>
      <c r="F153" s="57">
        <f t="shared" si="10"/>
        <v>347.03136000000001</v>
      </c>
      <c r="G153" s="120"/>
      <c r="H153" s="121"/>
      <c r="I153" s="38"/>
      <c r="L153" s="88"/>
      <c r="M153" s="88"/>
      <c r="N153" s="38"/>
    </row>
    <row r="154" spans="1:14" s="58" customFormat="1" ht="15.6" customHeight="1" x14ac:dyDescent="0.25">
      <c r="A154" s="77">
        <f t="shared" si="9"/>
        <v>6</v>
      </c>
      <c r="B154" s="78"/>
      <c r="C154" s="57" t="s">
        <v>189</v>
      </c>
      <c r="D154" s="62">
        <f>(13.89+3.43)*(10.764)</f>
        <v>186.43248</v>
      </c>
      <c r="E154" s="57">
        <v>0</v>
      </c>
      <c r="F154" s="57">
        <f t="shared" si="10"/>
        <v>288.97034400000001</v>
      </c>
      <c r="G154" s="120"/>
      <c r="H154" s="121"/>
      <c r="I154" s="38"/>
      <c r="L154" s="88"/>
      <c r="M154" s="88"/>
      <c r="N154" s="38"/>
    </row>
    <row r="155" spans="1:14" s="58" customFormat="1" ht="15.6" customHeight="1" x14ac:dyDescent="0.25">
      <c r="A155" s="77">
        <f t="shared" si="9"/>
        <v>7</v>
      </c>
      <c r="B155" s="78"/>
      <c r="C155" s="57" t="s">
        <v>189</v>
      </c>
      <c r="D155" s="62">
        <f>(16.68+4.12)*(10.764)</f>
        <v>223.8912</v>
      </c>
      <c r="E155" s="57">
        <v>0</v>
      </c>
      <c r="F155" s="57">
        <f t="shared" si="10"/>
        <v>347.03136000000001</v>
      </c>
      <c r="G155" s="120"/>
      <c r="H155" s="121"/>
      <c r="I155" s="38"/>
      <c r="L155" s="88"/>
      <c r="M155" s="88"/>
      <c r="N155" s="38"/>
    </row>
    <row r="156" spans="1:14" s="58" customFormat="1" ht="15.6" customHeight="1" x14ac:dyDescent="0.25">
      <c r="A156" s="77">
        <f t="shared" si="9"/>
        <v>8</v>
      </c>
      <c r="B156" s="78"/>
      <c r="C156" s="57" t="s">
        <v>189</v>
      </c>
      <c r="D156" s="62">
        <f>(16.68+4.12)*(10.764)</f>
        <v>223.8912</v>
      </c>
      <c r="E156" s="57">
        <v>0</v>
      </c>
      <c r="F156" s="57">
        <f t="shared" si="10"/>
        <v>347.03136000000001</v>
      </c>
      <c r="G156" s="120"/>
      <c r="H156" s="121"/>
      <c r="I156" s="38"/>
      <c r="L156" s="88"/>
      <c r="M156" s="88"/>
      <c r="N156" s="38"/>
    </row>
    <row r="157" spans="1:14" s="58" customFormat="1" ht="15.6" customHeight="1" x14ac:dyDescent="0.25">
      <c r="A157" s="77">
        <f t="shared" si="9"/>
        <v>9</v>
      </c>
      <c r="B157" s="78"/>
      <c r="C157" s="57" t="s">
        <v>189</v>
      </c>
      <c r="D157" s="62">
        <f>(16.67+4.12)*(10.764)</f>
        <v>223.78356000000002</v>
      </c>
      <c r="E157" s="57">
        <v>0</v>
      </c>
      <c r="F157" s="57">
        <f t="shared" si="10"/>
        <v>346.86451800000003</v>
      </c>
      <c r="G157" s="120"/>
      <c r="H157" s="121"/>
      <c r="I157" s="38"/>
      <c r="L157" s="88"/>
      <c r="M157" s="88"/>
      <c r="N157" s="38"/>
    </row>
    <row r="158" spans="1:14" s="58" customFormat="1" ht="15.6" customHeight="1" x14ac:dyDescent="0.25">
      <c r="A158" s="77">
        <f t="shared" si="9"/>
        <v>10</v>
      </c>
      <c r="B158" s="78"/>
      <c r="C158" s="57" t="s">
        <v>189</v>
      </c>
      <c r="D158" s="62">
        <f>(13.88+3.43)*(10.764)</f>
        <v>186.32484000000002</v>
      </c>
      <c r="E158" s="57">
        <v>0</v>
      </c>
      <c r="F158" s="57">
        <f t="shared" si="10"/>
        <v>288.80350200000004</v>
      </c>
      <c r="G158" s="120"/>
      <c r="H158" s="121"/>
      <c r="I158" s="38"/>
      <c r="L158" s="88"/>
      <c r="M158" s="88"/>
      <c r="N158" s="38"/>
    </row>
    <row r="159" spans="1:14" s="58" customFormat="1" ht="15.6" customHeight="1" x14ac:dyDescent="0.25">
      <c r="A159" s="77">
        <f t="shared" si="9"/>
        <v>11</v>
      </c>
      <c r="B159" s="78"/>
      <c r="C159" s="57" t="s">
        <v>189</v>
      </c>
      <c r="D159" s="62">
        <f>(18.56+4.58)*(10.764)</f>
        <v>249.07896</v>
      </c>
      <c r="E159" s="57">
        <v>0</v>
      </c>
      <c r="F159" s="57">
        <f t="shared" si="10"/>
        <v>386.07238799999999</v>
      </c>
      <c r="G159" s="120"/>
      <c r="H159" s="121"/>
      <c r="I159" s="38"/>
      <c r="L159" s="88"/>
      <c r="M159" s="88"/>
      <c r="N159" s="38"/>
    </row>
    <row r="160" spans="1:14" s="58" customFormat="1" ht="15.6" customHeight="1" x14ac:dyDescent="0.25">
      <c r="A160" s="77">
        <f t="shared" si="9"/>
        <v>12</v>
      </c>
      <c r="B160" s="78"/>
      <c r="C160" s="57" t="s">
        <v>189</v>
      </c>
      <c r="D160" s="62">
        <f>(15.7+4.12)*(10.764)</f>
        <v>213.34247999999999</v>
      </c>
      <c r="E160" s="57">
        <v>0</v>
      </c>
      <c r="F160" s="57">
        <f t="shared" si="10"/>
        <v>330.68084399999998</v>
      </c>
      <c r="G160" s="120"/>
      <c r="H160" s="121"/>
      <c r="I160" s="38"/>
      <c r="L160" s="88"/>
      <c r="M160" s="88"/>
      <c r="N160" s="38"/>
    </row>
    <row r="161" spans="1:14" s="58" customFormat="1" ht="15.6" customHeight="1" x14ac:dyDescent="0.25">
      <c r="A161" s="77">
        <f t="shared" si="9"/>
        <v>13</v>
      </c>
      <c r="B161" s="78"/>
      <c r="C161" s="57" t="s">
        <v>189</v>
      </c>
      <c r="D161" s="62">
        <f>(51.16+22.07)*(10.764)</f>
        <v>788.24771999999984</v>
      </c>
      <c r="E161" s="57">
        <v>0</v>
      </c>
      <c r="F161" s="57">
        <f t="shared" si="10"/>
        <v>1221.7839659999997</v>
      </c>
      <c r="G161" s="120"/>
      <c r="H161" s="121"/>
      <c r="I161" s="38">
        <f>9.39*1.5+1.09*1.5</f>
        <v>15.72</v>
      </c>
      <c r="L161" s="88"/>
      <c r="M161" s="88"/>
      <c r="N161" s="38"/>
    </row>
    <row r="162" spans="1:14" s="58" customFormat="1" ht="15.6" customHeight="1" x14ac:dyDescent="0.25">
      <c r="A162" s="77">
        <f t="shared" si="9"/>
        <v>14</v>
      </c>
      <c r="B162" s="78"/>
      <c r="C162" s="57" t="s">
        <v>189</v>
      </c>
      <c r="D162" s="62">
        <f>(75.74+14.39)*(10.764)</f>
        <v>970.15931999999987</v>
      </c>
      <c r="E162" s="57">
        <v>0</v>
      </c>
      <c r="F162" s="57">
        <f t="shared" si="10"/>
        <v>1503.7469459999998</v>
      </c>
      <c r="G162" s="120"/>
      <c r="H162" s="121"/>
      <c r="I162" s="38"/>
      <c r="L162" s="88"/>
      <c r="M162" s="88"/>
      <c r="N162" s="38"/>
    </row>
    <row r="163" spans="1:14" s="58" customFormat="1" ht="15.6" customHeight="1" x14ac:dyDescent="0.25">
      <c r="A163" s="77">
        <f t="shared" si="9"/>
        <v>15</v>
      </c>
      <c r="B163" s="78"/>
      <c r="C163" s="57" t="s">
        <v>189</v>
      </c>
      <c r="D163" s="62">
        <f>(35.18)*(10.764)</f>
        <v>378.67751999999996</v>
      </c>
      <c r="E163" s="57">
        <v>0</v>
      </c>
      <c r="F163" s="57">
        <f t="shared" si="10"/>
        <v>586.95015599999999</v>
      </c>
      <c r="G163" s="120"/>
      <c r="H163" s="121"/>
      <c r="I163" s="38"/>
      <c r="L163" s="88"/>
      <c r="M163" s="88"/>
      <c r="N163" s="38"/>
    </row>
    <row r="164" spans="1:14" s="58" customFormat="1" ht="15.6" customHeight="1" x14ac:dyDescent="0.25">
      <c r="A164" s="77">
        <f t="shared" si="9"/>
        <v>16</v>
      </c>
      <c r="B164" s="78"/>
      <c r="C164" s="57" t="s">
        <v>189</v>
      </c>
      <c r="D164" s="62">
        <f>(19.11+4.12)*(10.764)</f>
        <v>250.04772</v>
      </c>
      <c r="E164" s="57">
        <v>0</v>
      </c>
      <c r="F164" s="57">
        <f t="shared" si="10"/>
        <v>387.57396599999998</v>
      </c>
      <c r="G164" s="120"/>
      <c r="H164" s="121"/>
      <c r="I164" s="38"/>
      <c r="L164" s="88"/>
      <c r="M164" s="88"/>
      <c r="N164" s="38"/>
    </row>
    <row r="165" spans="1:14" s="58" customFormat="1" ht="15.6" customHeight="1" x14ac:dyDescent="0.25">
      <c r="A165" s="77">
        <f t="shared" si="9"/>
        <v>17</v>
      </c>
      <c r="B165" s="78"/>
      <c r="C165" s="57" t="s">
        <v>189</v>
      </c>
      <c r="D165" s="62">
        <f>(14.91+3.39)*(10.764)</f>
        <v>196.9812</v>
      </c>
      <c r="E165" s="57">
        <v>0</v>
      </c>
      <c r="F165" s="57">
        <f t="shared" si="10"/>
        <v>305.32086000000004</v>
      </c>
      <c r="G165" s="120"/>
      <c r="H165" s="121"/>
      <c r="I165" s="38"/>
      <c r="L165" s="88"/>
      <c r="M165" s="88"/>
      <c r="N165" s="38"/>
    </row>
    <row r="166" spans="1:14" s="58" customFormat="1" ht="15.6" customHeight="1" x14ac:dyDescent="0.25">
      <c r="A166" s="77">
        <f t="shared" si="9"/>
        <v>18</v>
      </c>
      <c r="B166" s="78"/>
      <c r="C166" s="57" t="s">
        <v>189</v>
      </c>
      <c r="D166" s="62">
        <f>(19.11+4.12)*(10.764)</f>
        <v>250.04772</v>
      </c>
      <c r="E166" s="57">
        <v>0</v>
      </c>
      <c r="F166" s="57">
        <f t="shared" ref="F166:F173" si="11">(D166+E166)*(($F$103)+1)</f>
        <v>387.57396599999998</v>
      </c>
      <c r="G166" s="120"/>
      <c r="H166" s="121"/>
      <c r="I166" s="38"/>
      <c r="L166" s="88"/>
      <c r="M166" s="88"/>
      <c r="N166" s="38"/>
    </row>
    <row r="167" spans="1:14" s="58" customFormat="1" ht="15.6" customHeight="1" x14ac:dyDescent="0.25">
      <c r="A167" s="77">
        <f t="shared" si="9"/>
        <v>19</v>
      </c>
      <c r="B167" s="78"/>
      <c r="C167" s="57" t="s">
        <v>189</v>
      </c>
      <c r="D167" s="62">
        <f>(19.11+4.12)*(10.764)</f>
        <v>250.04772</v>
      </c>
      <c r="E167" s="57">
        <v>0</v>
      </c>
      <c r="F167" s="57">
        <f t="shared" si="11"/>
        <v>387.57396599999998</v>
      </c>
      <c r="G167" s="120"/>
      <c r="H167" s="121"/>
      <c r="I167" s="38"/>
      <c r="L167" s="88"/>
      <c r="M167" s="88"/>
      <c r="N167" s="38"/>
    </row>
    <row r="168" spans="1:14" s="58" customFormat="1" ht="15.6" customHeight="1" x14ac:dyDescent="0.25">
      <c r="A168" s="77">
        <f t="shared" si="9"/>
        <v>20</v>
      </c>
      <c r="B168" s="78"/>
      <c r="C168" s="57" t="s">
        <v>189</v>
      </c>
      <c r="D168" s="62">
        <f>(19.99+4.61)*(10.764)</f>
        <v>264.79439999999994</v>
      </c>
      <c r="E168" s="57">
        <v>0</v>
      </c>
      <c r="F168" s="57">
        <f t="shared" si="11"/>
        <v>410.43131999999991</v>
      </c>
      <c r="G168" s="120"/>
      <c r="H168" s="121"/>
      <c r="I168" s="38"/>
      <c r="L168" s="88"/>
      <c r="M168" s="88"/>
      <c r="N168" s="38"/>
    </row>
    <row r="169" spans="1:14" s="58" customFormat="1" ht="15.6" customHeight="1" x14ac:dyDescent="0.25">
      <c r="A169" s="77">
        <f t="shared" si="9"/>
        <v>21</v>
      </c>
      <c r="B169" s="78"/>
      <c r="C169" s="57" t="s">
        <v>189</v>
      </c>
      <c r="D169" s="62">
        <f>(15.91+3.44)*(10.764)</f>
        <v>208.2834</v>
      </c>
      <c r="E169" s="57">
        <v>0</v>
      </c>
      <c r="F169" s="57">
        <f t="shared" si="11"/>
        <v>322.83927</v>
      </c>
      <c r="G169" s="120"/>
      <c r="H169" s="121"/>
      <c r="I169" s="38"/>
      <c r="L169" s="88"/>
      <c r="M169" s="88"/>
      <c r="N169" s="38"/>
    </row>
    <row r="170" spans="1:14" s="58" customFormat="1" ht="15.6" customHeight="1" x14ac:dyDescent="0.25">
      <c r="A170" s="77">
        <f t="shared" si="9"/>
        <v>22</v>
      </c>
      <c r="B170" s="78"/>
      <c r="C170" s="57" t="s">
        <v>189</v>
      </c>
      <c r="D170" s="62">
        <f>(19.11+4.12)*(10.764)</f>
        <v>250.04772</v>
      </c>
      <c r="E170" s="57">
        <v>0</v>
      </c>
      <c r="F170" s="57">
        <f t="shared" si="11"/>
        <v>387.57396599999998</v>
      </c>
      <c r="G170" s="120"/>
      <c r="H170" s="121"/>
      <c r="I170" s="38"/>
      <c r="L170" s="88"/>
      <c r="M170" s="88"/>
      <c r="N170" s="38"/>
    </row>
    <row r="171" spans="1:14" s="58" customFormat="1" ht="15.6" customHeight="1" x14ac:dyDescent="0.25">
      <c r="A171" s="77">
        <f t="shared" si="9"/>
        <v>23</v>
      </c>
      <c r="B171" s="78"/>
      <c r="C171" s="57" t="s">
        <v>189</v>
      </c>
      <c r="D171" s="62">
        <f>(20.15+4.35)*(10.764)</f>
        <v>263.71799999999996</v>
      </c>
      <c r="E171" s="57">
        <v>0</v>
      </c>
      <c r="F171" s="57">
        <f t="shared" si="11"/>
        <v>408.76289999999995</v>
      </c>
      <c r="G171" s="120"/>
      <c r="H171" s="121"/>
      <c r="I171" s="38"/>
      <c r="L171" s="88"/>
      <c r="M171" s="88"/>
      <c r="N171" s="38"/>
    </row>
    <row r="172" spans="1:14" s="58" customFormat="1" ht="15.6" customHeight="1" x14ac:dyDescent="0.25">
      <c r="A172" s="77">
        <f t="shared" si="9"/>
        <v>24</v>
      </c>
      <c r="B172" s="78"/>
      <c r="C172" s="57" t="s">
        <v>189</v>
      </c>
      <c r="D172" s="62">
        <f>(15.91+3.43)*(10.764)</f>
        <v>208.17576</v>
      </c>
      <c r="E172" s="57">
        <v>0</v>
      </c>
      <c r="F172" s="57">
        <f t="shared" si="11"/>
        <v>322.67242800000002</v>
      </c>
      <c r="G172" s="120"/>
      <c r="H172" s="121"/>
      <c r="I172" s="38"/>
      <c r="L172" s="88"/>
      <c r="M172" s="88"/>
      <c r="N172" s="38"/>
    </row>
    <row r="173" spans="1:14" s="58" customFormat="1" ht="15.6" customHeight="1" x14ac:dyDescent="0.25">
      <c r="A173" s="77">
        <f t="shared" si="9"/>
        <v>25</v>
      </c>
      <c r="B173" s="78"/>
      <c r="C173" s="57" t="s">
        <v>189</v>
      </c>
      <c r="D173" s="62">
        <f>(19.11+4.12)*(10.764)</f>
        <v>250.04772</v>
      </c>
      <c r="E173" s="57">
        <v>0</v>
      </c>
      <c r="F173" s="57">
        <f t="shared" si="11"/>
        <v>387.57396599999998</v>
      </c>
      <c r="G173" s="122"/>
      <c r="H173" s="123"/>
      <c r="I173" s="38"/>
      <c r="L173" s="88"/>
      <c r="M173" s="88"/>
      <c r="N173" s="38"/>
    </row>
    <row r="174" spans="1:14" s="50" customFormat="1" x14ac:dyDescent="0.25">
      <c r="A174" s="77"/>
      <c r="B174" s="143"/>
      <c r="C174" s="143"/>
      <c r="D174" s="143"/>
      <c r="E174" s="143"/>
      <c r="F174" s="143"/>
      <c r="G174" s="143"/>
      <c r="H174" s="78"/>
      <c r="I174" s="38"/>
      <c r="N174" s="38"/>
    </row>
    <row r="175" spans="1:14" ht="47.25" customHeight="1" x14ac:dyDescent="0.25">
      <c r="A175" s="144" t="s">
        <v>120</v>
      </c>
      <c r="B175" s="144" t="s">
        <v>121</v>
      </c>
      <c r="C175" s="75" t="s">
        <v>57</v>
      </c>
      <c r="D175" s="75" t="s">
        <v>58</v>
      </c>
      <c r="E175" s="187" t="s">
        <v>59</v>
      </c>
      <c r="F175" s="45" t="s">
        <v>152</v>
      </c>
      <c r="G175" s="144" t="s">
        <v>60</v>
      </c>
      <c r="H175" s="189"/>
      <c r="I175" s="38"/>
    </row>
    <row r="176" spans="1:14" s="50" customFormat="1" x14ac:dyDescent="0.25">
      <c r="A176" s="145"/>
      <c r="B176" s="145"/>
      <c r="C176" s="76"/>
      <c r="D176" s="76"/>
      <c r="E176" s="188"/>
      <c r="F176" s="15">
        <v>0.5</v>
      </c>
      <c r="G176" s="145"/>
      <c r="H176" s="190"/>
      <c r="I176" s="38"/>
    </row>
    <row r="177" spans="1:14" s="58" customFormat="1" x14ac:dyDescent="0.25">
      <c r="A177" s="140" t="s">
        <v>191</v>
      </c>
      <c r="B177" s="141"/>
      <c r="C177" s="141"/>
      <c r="D177" s="141"/>
      <c r="E177" s="141"/>
      <c r="F177" s="141"/>
      <c r="G177" s="141"/>
      <c r="H177" s="142"/>
      <c r="I177" s="58">
        <f>4.27*2.9+2.45*2.29+3.1*2.75+2.1*1.2+0.9*2.29+2.6*1.2</f>
        <v>34.219500000000004</v>
      </c>
      <c r="J177" s="38">
        <f>(1*2.75+1.48*2.9)</f>
        <v>7.0419999999999998</v>
      </c>
      <c r="K177" s="58">
        <f>10.764</f>
        <v>10.763999999999999</v>
      </c>
    </row>
    <row r="178" spans="1:14" s="58" customFormat="1" ht="15.75" customHeight="1" x14ac:dyDescent="0.25">
      <c r="A178" s="77">
        <v>1</v>
      </c>
      <c r="B178" s="78"/>
      <c r="C178" s="56">
        <v>1</v>
      </c>
      <c r="D178" s="62">
        <f>(4.27*2.9+2.45*2.29+3.1*2.75+2.1*1.2+2.6*1.2+0.95*2.5+1.48*2.9+1*2.75)*10.764</f>
        <v>447.51868200000001</v>
      </c>
      <c r="E178" s="57">
        <f>(1.5*5.3+0.9*2.8)*10.764</f>
        <v>112.69907999999998</v>
      </c>
      <c r="F178" s="57">
        <f t="shared" ref="F178:F187" si="12">D178*(($F$176)+1)+(IF(E178&lt;101,E178,IF(E178&lt;201,E178/2,IF(E178&lt;=301,E178/3,E178/4))))</f>
        <v>727.62756300000001</v>
      </c>
      <c r="G178" s="118" t="str">
        <f>A177</f>
        <v>3rd Floor For Residential</v>
      </c>
      <c r="H178" s="119"/>
      <c r="I178" s="38">
        <f>3602500/F178</f>
        <v>4951.0219007467695</v>
      </c>
      <c r="J178" s="72">
        <f>4.27*2.9+2.45*2.29+3.1*2.75+2.1*1.2+2.4*0.9+2.6*1.2</f>
        <v>34.3185</v>
      </c>
      <c r="K178" s="38">
        <f>I178+J177</f>
        <v>4958.0639007467698</v>
      </c>
      <c r="L178" s="74">
        <f>1.48*2.9+1*2.75</f>
        <v>7.0419999999999998</v>
      </c>
      <c r="M178" s="64"/>
      <c r="N178" s="38"/>
    </row>
    <row r="179" spans="1:14" s="58" customFormat="1" ht="15.75" customHeight="1" x14ac:dyDescent="0.25">
      <c r="A179" s="77">
        <f t="shared" ref="A179:A187" si="13">A178+1</f>
        <v>2</v>
      </c>
      <c r="B179" s="78"/>
      <c r="C179" s="56">
        <v>2</v>
      </c>
      <c r="D179" s="62">
        <f>(3.5*4.5+2.6*2.76+3.2*3.9+2.15*1.2+2.6*1.2+0.9*2.7+3.2*3.5+1.2*2.3+1.45*3.2+2*3.5)*(10.764)</f>
        <v>744.17990399999996</v>
      </c>
      <c r="E179" s="57">
        <f>(0.5*2.6*4.3+1.4*2.55+0.5*1.7*3.3)*10.764</f>
        <v>128.79125999999999</v>
      </c>
      <c r="F179" s="57">
        <f t="shared" si="12"/>
        <v>1180.6654859999999</v>
      </c>
      <c r="G179" s="120"/>
      <c r="H179" s="121"/>
      <c r="I179" s="73">
        <f>3.5*4.5+2.6*1.46+3.2*2.6+2.15*1.2+2.6*1.2+0.9*2.7+3.2*3.5+1.2*2.3+1.3*(2.6+3.2)</f>
        <v>57.495999999999995</v>
      </c>
      <c r="J179" s="58">
        <f>4.27*2.9+2.45*2.29+3.1*2.75+2.1*1.2+2.29*0.9+2.75*1+2.9*1.48+2.6*1.2</f>
        <v>41.261500000000005</v>
      </c>
      <c r="K179" s="58">
        <f>2.75*1+2.9*1.48</f>
        <v>7.0419999999999998</v>
      </c>
      <c r="L179" s="64"/>
      <c r="M179" s="64"/>
      <c r="N179" s="38"/>
    </row>
    <row r="180" spans="1:14" s="58" customFormat="1" ht="15.75" customHeight="1" x14ac:dyDescent="0.25">
      <c r="A180" s="77">
        <f t="shared" si="13"/>
        <v>3</v>
      </c>
      <c r="B180" s="78"/>
      <c r="C180" s="56">
        <v>1</v>
      </c>
      <c r="D180" s="62">
        <f>(4.27*2.9+2.45*2.29+3.05*2.75+2.12*1.2+1.18*0.94+0.9*2.4+1.5*2.9+1*2.75)*(10.764)</f>
        <v>422.96276879999999</v>
      </c>
      <c r="E180" s="57">
        <f>(1.1*2.9+1.6*5.2)*10.764</f>
        <v>123.89363999999999</v>
      </c>
      <c r="F180" s="57">
        <f t="shared" si="12"/>
        <v>696.39097319999996</v>
      </c>
      <c r="G180" s="120"/>
      <c r="H180" s="121"/>
      <c r="I180" s="38"/>
      <c r="L180" s="64"/>
      <c r="M180" s="64"/>
      <c r="N180" s="38"/>
    </row>
    <row r="181" spans="1:14" s="58" customFormat="1" ht="15.75" customHeight="1" x14ac:dyDescent="0.25">
      <c r="A181" s="77">
        <f t="shared" si="13"/>
        <v>4</v>
      </c>
      <c r="B181" s="78"/>
      <c r="C181" s="56">
        <v>1</v>
      </c>
      <c r="D181" s="62">
        <f>(4.27*2.75+2.45*2.29+3.05*3.06+2.12*1.2+1.2*0.94+0.9*2.4+1.5*2.75+1*3.06)*(10.764)</f>
        <v>427.36309199999999</v>
      </c>
      <c r="E181" s="69">
        <f>(1.1*3.2+1.6*5)*10.764</f>
        <v>124.00127999999999</v>
      </c>
      <c r="F181" s="57">
        <f t="shared" si="12"/>
        <v>703.04527799999994</v>
      </c>
      <c r="G181" s="120"/>
      <c r="H181" s="121"/>
      <c r="I181" s="38"/>
      <c r="L181" s="64"/>
      <c r="M181" s="64"/>
      <c r="N181" s="38"/>
    </row>
    <row r="182" spans="1:14" s="58" customFormat="1" ht="15.75" customHeight="1" x14ac:dyDescent="0.25">
      <c r="A182" s="77">
        <f t="shared" si="13"/>
        <v>5</v>
      </c>
      <c r="B182" s="78"/>
      <c r="C182" s="56">
        <v>1</v>
      </c>
      <c r="D182" s="62">
        <f>(4.27*3.05+2.45*2.29+3.05*2.75+2.12*1.2+1.22*2.1+0.9*2.4+1.5*3.05+1.22*2.75)*(10.764)</f>
        <v>454.42916999999989</v>
      </c>
      <c r="E182" s="69">
        <f>(0.85*2.9+1.6*5.35)*10.764</f>
        <v>118.67309999999999</v>
      </c>
      <c r="F182" s="57">
        <f t="shared" si="12"/>
        <v>740.98030499999982</v>
      </c>
      <c r="G182" s="120"/>
      <c r="H182" s="121"/>
      <c r="I182" s="38"/>
      <c r="L182" s="64"/>
      <c r="M182" s="64"/>
      <c r="N182" s="38"/>
    </row>
    <row r="183" spans="1:14" s="58" customFormat="1" ht="15.75" customHeight="1" x14ac:dyDescent="0.25">
      <c r="A183" s="77">
        <f t="shared" si="13"/>
        <v>6</v>
      </c>
      <c r="B183" s="78"/>
      <c r="C183" s="56">
        <v>1</v>
      </c>
      <c r="D183" s="62">
        <f>(4.27*2.75+2.45*2.29+3.05*2.75+2.12*1.32+1.22*2.1+0.9*2.4+1.5*2.75+1.22*2.75)*(10.764)</f>
        <v>438.53504759999998</v>
      </c>
      <c r="E183" s="57">
        <f>(0.8*3+1.6*5.1)*10.764</f>
        <v>113.66784</v>
      </c>
      <c r="F183" s="57">
        <f t="shared" si="12"/>
        <v>714.63649140000007</v>
      </c>
      <c r="G183" s="120"/>
      <c r="H183" s="121"/>
      <c r="I183" s="38">
        <f>3800000/F183</f>
        <v>5317.3886944335227</v>
      </c>
      <c r="L183" s="64"/>
      <c r="M183" s="64"/>
      <c r="N183" s="38"/>
    </row>
    <row r="184" spans="1:14" s="58" customFormat="1" ht="15.75" customHeight="1" x14ac:dyDescent="0.25">
      <c r="A184" s="77">
        <f t="shared" si="13"/>
        <v>7</v>
      </c>
      <c r="B184" s="78"/>
      <c r="C184" s="56">
        <v>2</v>
      </c>
      <c r="D184" s="62">
        <f>(4.27*3.05+3.2*2.44+2.75*2.29+3.35*2.75+3.39*2.9+2.12*1.35+1.22*2.45+0.9*3.05+1.5*3.05+1.04*2.9)*(10.764)</f>
        <v>671.2376579999999</v>
      </c>
      <c r="E184" s="57">
        <f>(1.6*3.05+1.3*2.5+0.8*5.8)*10.764</f>
        <v>137.45627999999999</v>
      </c>
      <c r="F184" s="57">
        <f t="shared" si="12"/>
        <v>1075.5846269999997</v>
      </c>
      <c r="G184" s="120"/>
      <c r="H184" s="121"/>
      <c r="I184" s="38"/>
      <c r="L184" s="64"/>
      <c r="M184" s="64"/>
      <c r="N184" s="38"/>
    </row>
    <row r="185" spans="1:14" s="58" customFormat="1" ht="15.75" customHeight="1" x14ac:dyDescent="0.25">
      <c r="A185" s="77">
        <f t="shared" si="13"/>
        <v>8</v>
      </c>
      <c r="B185" s="78"/>
      <c r="C185" s="56" t="s">
        <v>227</v>
      </c>
      <c r="D185" s="62">
        <f>(4.27*2.9+2.45*2.29+3.15*2.44+3.35*2.75+2.1*1.35+1.22*1.25+0.9*2.8+1.48*2.9)*(10.764)</f>
        <v>495.83289600000006</v>
      </c>
      <c r="E185" s="57">
        <f>(2.5*5.2+1.65*3)*10.764</f>
        <v>193.21379999999999</v>
      </c>
      <c r="F185" s="57">
        <f t="shared" si="12"/>
        <v>840.35624400000006</v>
      </c>
      <c r="G185" s="120"/>
      <c r="H185" s="121"/>
      <c r="I185" s="38"/>
      <c r="L185" s="64"/>
      <c r="M185" s="64"/>
      <c r="N185" s="38"/>
    </row>
    <row r="186" spans="1:14" s="58" customFormat="1" ht="15.75" customHeight="1" x14ac:dyDescent="0.25">
      <c r="A186" s="77">
        <f t="shared" si="13"/>
        <v>9</v>
      </c>
      <c r="B186" s="78"/>
      <c r="C186" s="56">
        <v>2</v>
      </c>
      <c r="D186" s="62">
        <f>(4.27*2.75+2.45*2.29+3.15*2.44+3.35*2.75+3.52*3.08+2.1*1.2+1.2*2.1+0.9*3.4+1.47*2.75+1.22*2.75)*(10.764)</f>
        <v>652.1972184</v>
      </c>
      <c r="E186" s="57">
        <f>(2.45*5.05+1.45*5.9)*10.764</f>
        <v>225.26361</v>
      </c>
      <c r="F186" s="57">
        <f t="shared" si="12"/>
        <v>1053.3836976</v>
      </c>
      <c r="G186" s="120"/>
      <c r="H186" s="121"/>
      <c r="I186" s="38"/>
      <c r="L186" s="64"/>
      <c r="M186" s="64"/>
      <c r="N186" s="38"/>
    </row>
    <row r="187" spans="1:14" s="58" customFormat="1" ht="15.75" customHeight="1" x14ac:dyDescent="0.25">
      <c r="A187" s="77">
        <f t="shared" si="13"/>
        <v>10</v>
      </c>
      <c r="B187" s="78"/>
      <c r="C187" s="56">
        <v>1</v>
      </c>
      <c r="D187" s="62">
        <f>(4.27*2.75+2.45*2.26+3.35*2.75+1.8*1.2+1.2*0.9+0.9*1.15+1.4*1.2+1.22*2.75+1.48*2.75)*(10.764)</f>
        <v>429.18220799999995</v>
      </c>
      <c r="E187" s="57">
        <f>(1.45*3+2.45*5)*10.764</f>
        <v>178.6824</v>
      </c>
      <c r="F187" s="57">
        <f t="shared" si="12"/>
        <v>733.11451199999988</v>
      </c>
      <c r="G187" s="122"/>
      <c r="H187" s="123"/>
      <c r="I187" s="38">
        <f>4100000/F187</f>
        <v>5592.5778754738394</v>
      </c>
      <c r="L187" s="64"/>
      <c r="M187" s="64"/>
      <c r="N187" s="38"/>
    </row>
    <row r="188" spans="1:14" s="58" customFormat="1" x14ac:dyDescent="0.25">
      <c r="A188" s="140" t="s">
        <v>228</v>
      </c>
      <c r="B188" s="141"/>
      <c r="C188" s="141"/>
      <c r="D188" s="141"/>
      <c r="E188" s="141"/>
      <c r="F188" s="141"/>
      <c r="G188" s="141"/>
      <c r="H188" s="142"/>
      <c r="J188" s="38"/>
    </row>
    <row r="189" spans="1:14" s="58" customFormat="1" ht="15.75" customHeight="1" x14ac:dyDescent="0.25">
      <c r="A189" s="77">
        <v>1</v>
      </c>
      <c r="B189" s="78"/>
      <c r="C189" s="56">
        <v>1</v>
      </c>
      <c r="D189" s="62">
        <f>(4.27*2.9+2.45*2.29+3.1*2.75+2.1*1.2+2.6*1.2+0.95*2.5+1.48*2.9+1*2.75)*10.764</f>
        <v>447.51868200000001</v>
      </c>
      <c r="E189" s="57">
        <v>0</v>
      </c>
      <c r="F189" s="57">
        <f t="shared" ref="F189:F198" si="14">D189*(($F$176)+1)+(IF(E189&lt;101,E189,IF(E189&lt;201,E189/2,IF(E189&lt;=301,E189/3,E189/4))))</f>
        <v>671.27802300000008</v>
      </c>
      <c r="G189" s="118" t="str">
        <f>A188</f>
        <v>4th to 6th, 8th to 11th, 13th to 16th, 18th to 20th &amp; 22nd Floor</v>
      </c>
      <c r="H189" s="119"/>
      <c r="I189" s="38">
        <v>655</v>
      </c>
      <c r="J189" s="58">
        <f>3602500/D189</f>
        <v>8049.9432647149242</v>
      </c>
      <c r="K189" s="58">
        <f>I189/D189</f>
        <v>1.4636260481299861</v>
      </c>
      <c r="L189" s="88"/>
      <c r="M189" s="88"/>
      <c r="N189" s="38"/>
    </row>
    <row r="190" spans="1:14" s="58" customFormat="1" ht="15.75" customHeight="1" x14ac:dyDescent="0.25">
      <c r="A190" s="77">
        <f t="shared" ref="A190:A198" si="15">A189+1</f>
        <v>2</v>
      </c>
      <c r="B190" s="78"/>
      <c r="C190" s="56">
        <v>2</v>
      </c>
      <c r="D190" s="62">
        <f>(3.5*4.5+2.6*2.76+3.2*3.9+2.15*1.2+2.6*1.2+0.9*2.7+3.2*3.5+1.2*2.3+1.45*3.2+2*3.5)*(10.764)</f>
        <v>744.17990399999996</v>
      </c>
      <c r="E190" s="57">
        <v>0</v>
      </c>
      <c r="F190" s="57">
        <f t="shared" si="14"/>
        <v>1116.2698559999999</v>
      </c>
      <c r="G190" s="120"/>
      <c r="H190" s="121"/>
      <c r="I190" s="38">
        <v>1100</v>
      </c>
      <c r="J190" s="58">
        <f>6050000/F190</f>
        <v>5419.8364019963292</v>
      </c>
      <c r="K190" s="63">
        <f t="shared" ref="K190:K198" si="16">I190/D190</f>
        <v>1.4781372005444533</v>
      </c>
      <c r="L190" s="88"/>
      <c r="M190" s="88"/>
      <c r="N190" s="38"/>
    </row>
    <row r="191" spans="1:14" s="58" customFormat="1" ht="15.75" customHeight="1" x14ac:dyDescent="0.25">
      <c r="A191" s="77">
        <f t="shared" si="15"/>
        <v>3</v>
      </c>
      <c r="B191" s="78"/>
      <c r="C191" s="56">
        <v>1</v>
      </c>
      <c r="D191" s="62">
        <f>(4.27*2.9+2.45*2.29+3.05*2.75+2.12*1.2+1.18*0.94+0.9*2.4+1.5*2.9+1*2.75)*(10.764)</f>
        <v>422.96276879999999</v>
      </c>
      <c r="E191" s="57">
        <v>0</v>
      </c>
      <c r="F191" s="57">
        <f t="shared" si="14"/>
        <v>634.44415319999996</v>
      </c>
      <c r="G191" s="120"/>
      <c r="H191" s="121"/>
      <c r="I191" s="38">
        <v>620</v>
      </c>
      <c r="K191" s="63">
        <f t="shared" si="16"/>
        <v>1.4658500599450397</v>
      </c>
      <c r="L191" s="88"/>
      <c r="M191" s="88"/>
      <c r="N191" s="38"/>
    </row>
    <row r="192" spans="1:14" s="58" customFormat="1" ht="15.75" customHeight="1" x14ac:dyDescent="0.25">
      <c r="A192" s="77">
        <f t="shared" si="15"/>
        <v>4</v>
      </c>
      <c r="B192" s="78"/>
      <c r="C192" s="56">
        <v>1</v>
      </c>
      <c r="D192" s="62">
        <f>(4.27*2.75+2.45*2.29+3.05*3.06+2.12*1.2+1.2*0.94+0.9*2.4+1.5*2.75+1*3.06)*(10.764)</f>
        <v>427.36309199999999</v>
      </c>
      <c r="E192" s="57">
        <v>0</v>
      </c>
      <c r="F192" s="57">
        <f t="shared" si="14"/>
        <v>641.04463799999996</v>
      </c>
      <c r="G192" s="120"/>
      <c r="H192" s="121"/>
      <c r="I192" s="38">
        <v>630</v>
      </c>
      <c r="J192" s="60"/>
      <c r="K192" s="63">
        <f t="shared" si="16"/>
        <v>1.4741563129649016</v>
      </c>
      <c r="L192" s="88"/>
      <c r="M192" s="88"/>
      <c r="N192" s="38"/>
    </row>
    <row r="193" spans="1:14" s="58" customFormat="1" ht="15.75" customHeight="1" x14ac:dyDescent="0.25">
      <c r="A193" s="77">
        <f t="shared" si="15"/>
        <v>5</v>
      </c>
      <c r="B193" s="78"/>
      <c r="C193" s="56">
        <v>1</v>
      </c>
      <c r="D193" s="62">
        <f>(4.27*3.05+2.45*2.29+3.05*2.75+2.12*1.2+1.22*2.1+0.9*2.4+1.5*3.05+1.22*2.75)*(10.764)</f>
        <v>454.42916999999989</v>
      </c>
      <c r="E193" s="57">
        <v>0</v>
      </c>
      <c r="F193" s="57">
        <f t="shared" si="14"/>
        <v>681.64375499999983</v>
      </c>
      <c r="G193" s="120"/>
      <c r="H193" s="121"/>
      <c r="I193" s="38">
        <v>665</v>
      </c>
      <c r="K193" s="63">
        <f t="shared" si="16"/>
        <v>1.4633743692113783</v>
      </c>
      <c r="L193" s="88"/>
      <c r="M193" s="88"/>
      <c r="N193" s="38"/>
    </row>
    <row r="194" spans="1:14" s="58" customFormat="1" ht="15.75" customHeight="1" x14ac:dyDescent="0.25">
      <c r="A194" s="77">
        <f t="shared" si="15"/>
        <v>6</v>
      </c>
      <c r="B194" s="78"/>
      <c r="C194" s="56">
        <v>1</v>
      </c>
      <c r="D194" s="62">
        <f>(4.27*2.75+2.45*2.29+3.05*2.75+2.12*1.32+1.22*2.1+0.9*2.4+1.5*2.75+1.22*2.75)*(10.764)</f>
        <v>438.53504759999998</v>
      </c>
      <c r="E194" s="57">
        <v>0</v>
      </c>
      <c r="F194" s="57">
        <f t="shared" si="14"/>
        <v>657.80257140000003</v>
      </c>
      <c r="G194" s="120"/>
      <c r="H194" s="121"/>
      <c r="I194" s="38">
        <v>645</v>
      </c>
      <c r="J194" s="58">
        <f>3547500/F194</f>
        <v>5392.9555070754168</v>
      </c>
      <c r="K194" s="63">
        <f t="shared" si="16"/>
        <v>1.4708060473842046</v>
      </c>
      <c r="L194" s="88"/>
      <c r="M194" s="88"/>
      <c r="N194" s="38"/>
    </row>
    <row r="195" spans="1:14" s="58" customFormat="1" ht="15.75" customHeight="1" x14ac:dyDescent="0.25">
      <c r="A195" s="77">
        <f t="shared" si="15"/>
        <v>7</v>
      </c>
      <c r="B195" s="78"/>
      <c r="C195" s="56">
        <v>2</v>
      </c>
      <c r="D195" s="62">
        <f>(4.27*3.05+3.2*2.44+2.75*2.29+3.35*2.75+3.39*2.9+2.12*1.35+1.22*2.45+0.9*3.05+1.5*3.05+1.04*2.9)*(10.764)</f>
        <v>671.2376579999999</v>
      </c>
      <c r="E195" s="57">
        <v>0</v>
      </c>
      <c r="F195" s="57">
        <f t="shared" si="14"/>
        <v>1006.8564869999998</v>
      </c>
      <c r="G195" s="120"/>
      <c r="H195" s="121"/>
      <c r="I195" s="38">
        <v>985</v>
      </c>
      <c r="K195" s="63">
        <f t="shared" si="16"/>
        <v>1.4674385268175765</v>
      </c>
      <c r="L195" s="88"/>
      <c r="M195" s="88"/>
      <c r="N195" s="38"/>
    </row>
    <row r="196" spans="1:14" s="58" customFormat="1" ht="15.75" customHeight="1" x14ac:dyDescent="0.25">
      <c r="A196" s="77">
        <f t="shared" si="15"/>
        <v>8</v>
      </c>
      <c r="B196" s="78"/>
      <c r="C196" s="56">
        <v>2</v>
      </c>
      <c r="D196" s="62">
        <f>(4.27*2.9+3.15*2.44+2.45*2.29+3.35*2.75+3.35*2.9+2.1*1.35+1.22*2.45+0.9*3.05+1.48*2.9+1.05*2.9)*(10.764)</f>
        <v>651.36193199999991</v>
      </c>
      <c r="E196" s="57">
        <v>0</v>
      </c>
      <c r="F196" s="57">
        <f t="shared" si="14"/>
        <v>977.04289799999992</v>
      </c>
      <c r="G196" s="120"/>
      <c r="H196" s="121"/>
      <c r="I196" s="38">
        <v>955</v>
      </c>
      <c r="K196" s="63">
        <f t="shared" si="16"/>
        <v>1.4661587561122624</v>
      </c>
      <c r="L196" s="88"/>
      <c r="M196" s="88"/>
      <c r="N196" s="38"/>
    </row>
    <row r="197" spans="1:14" s="58" customFormat="1" ht="15.75" customHeight="1" x14ac:dyDescent="0.25">
      <c r="A197" s="77">
        <f t="shared" si="15"/>
        <v>9</v>
      </c>
      <c r="B197" s="78"/>
      <c r="C197" s="56">
        <v>2</v>
      </c>
      <c r="D197" s="62">
        <f>(4.27*2.75+2.45*2.29+3.15*2.44+3.35*2.75+3.52*3.08+2.1*1.2+1.2*2.1+0.9*3.4+1.48*2.75+1.22*2.75)*(10.764)</f>
        <v>652.49322840000002</v>
      </c>
      <c r="E197" s="57">
        <v>0</v>
      </c>
      <c r="F197" s="57">
        <f t="shared" si="14"/>
        <v>978.73984259999997</v>
      </c>
      <c r="G197" s="120"/>
      <c r="H197" s="121"/>
      <c r="I197" s="38">
        <v>960</v>
      </c>
      <c r="J197" s="58">
        <f>5280000/F197</f>
        <v>5394.6920010672102</v>
      </c>
      <c r="K197" s="63">
        <f t="shared" si="16"/>
        <v>1.4712796366546936</v>
      </c>
      <c r="L197" s="88"/>
      <c r="M197" s="88"/>
      <c r="N197" s="38"/>
    </row>
    <row r="198" spans="1:14" s="58" customFormat="1" ht="15.75" customHeight="1" x14ac:dyDescent="0.25">
      <c r="A198" s="77">
        <f t="shared" si="15"/>
        <v>10</v>
      </c>
      <c r="B198" s="78"/>
      <c r="C198" s="56">
        <v>1</v>
      </c>
      <c r="D198" s="62">
        <f>(4.27*2.75+2.45*2.26+3.35*2.75+1.8*1.2+1.2*0.9+0.9*1.15+1.4*1.2+1.22*2.75+1.48*2.75)*(10.764)</f>
        <v>429.18220799999995</v>
      </c>
      <c r="E198" s="57">
        <v>0</v>
      </c>
      <c r="F198" s="57">
        <f t="shared" si="14"/>
        <v>643.77331199999992</v>
      </c>
      <c r="G198" s="122"/>
      <c r="H198" s="123"/>
      <c r="I198" s="38">
        <v>630</v>
      </c>
      <c r="K198" s="63">
        <f t="shared" si="16"/>
        <v>1.4679080079666305</v>
      </c>
      <c r="L198" s="88"/>
      <c r="M198" s="88"/>
      <c r="N198" s="38"/>
    </row>
    <row r="199" spans="1:14" s="58" customFormat="1" x14ac:dyDescent="0.25">
      <c r="A199" s="140" t="s">
        <v>200</v>
      </c>
      <c r="B199" s="141"/>
      <c r="C199" s="141"/>
      <c r="D199" s="141"/>
      <c r="E199" s="141"/>
      <c r="F199" s="141"/>
      <c r="G199" s="141"/>
      <c r="H199" s="142"/>
      <c r="J199" s="38"/>
    </row>
    <row r="200" spans="1:14" s="58" customFormat="1" ht="15.75" customHeight="1" x14ac:dyDescent="0.25">
      <c r="A200" s="77">
        <v>1</v>
      </c>
      <c r="B200" s="78"/>
      <c r="C200" s="56">
        <v>1</v>
      </c>
      <c r="D200" s="62">
        <f>(4.27*2.9+2.45*2.29+3.1*2.75+2.1*1.2+2.6*1.2+0.95*2.5+1.48*2.9+1*2.75)*10.764</f>
        <v>447.51868200000001</v>
      </c>
      <c r="E200" s="57">
        <v>0</v>
      </c>
      <c r="F200" s="57">
        <f>D200*(($F$176)+1)+(IF(E200&lt;101,E200,IF(E200&lt;201,E200/2,IF(E200&lt;=301,E200/3,E200/4))))</f>
        <v>671.27802300000008</v>
      </c>
      <c r="G200" s="118" t="str">
        <f>A199</f>
        <v>7th, 12th &amp; 17th Floor (Part Refuge Area)</v>
      </c>
      <c r="H200" s="119"/>
      <c r="I200" s="38"/>
      <c r="L200" s="88"/>
      <c r="M200" s="88"/>
      <c r="N200" s="38"/>
    </row>
    <row r="201" spans="1:14" s="58" customFormat="1" ht="15.75" customHeight="1" x14ac:dyDescent="0.25">
      <c r="A201" s="77">
        <f t="shared" ref="A201:A209" si="17">A200+1</f>
        <v>2</v>
      </c>
      <c r="B201" s="78"/>
      <c r="C201" s="56">
        <v>2</v>
      </c>
      <c r="D201" s="62">
        <f>(3.5*4.5+2.6*2.76+3.2*3.9+2.15*1.2+2.6*1.2+0.9*2.7+3.2*3.5+1.2*2.3+1.45*3.2+2*3.5)*(10.764)</f>
        <v>744.17990399999996</v>
      </c>
      <c r="E201" s="57">
        <v>0</v>
      </c>
      <c r="F201" s="57">
        <f>D201*(($F$176)+1)+(IF(E201&lt;101,E201,IF(E201&lt;201,E201/2,IF(E201&lt;=301,E201/3,E201/4))))</f>
        <v>1116.2698559999999</v>
      </c>
      <c r="G201" s="120"/>
      <c r="H201" s="121"/>
      <c r="I201" s="38">
        <f>5800000/F201</f>
        <v>5195.8762200956544</v>
      </c>
      <c r="L201" s="88"/>
      <c r="M201" s="88"/>
      <c r="N201" s="38"/>
    </row>
    <row r="202" spans="1:14" s="58" customFormat="1" ht="15.75" customHeight="1" x14ac:dyDescent="0.25">
      <c r="A202" s="77">
        <f t="shared" si="17"/>
        <v>3</v>
      </c>
      <c r="B202" s="78"/>
      <c r="C202" s="56">
        <v>1</v>
      </c>
      <c r="D202" s="62">
        <f>(4.27*2.9+2.45*2.29+3.05*2.75+2.12*1.2+1.18*0.94+0.9*2.4+1.5*2.9+1*2.75)*(10.764)</f>
        <v>422.96276879999999</v>
      </c>
      <c r="E202" s="57">
        <v>0</v>
      </c>
      <c r="F202" s="57">
        <f>D202*(($F$176)+1)+(IF(E202&lt;101,E202,IF(E202&lt;201,E202/2,IF(E202&lt;=301,E202/3,E202/4))))</f>
        <v>634.44415319999996</v>
      </c>
      <c r="G202" s="120"/>
      <c r="H202" s="121"/>
      <c r="I202" s="38">
        <f>3800000/F202</f>
        <v>5989.4948685926356</v>
      </c>
      <c r="L202" s="88"/>
      <c r="M202" s="88"/>
      <c r="N202" s="38"/>
    </row>
    <row r="203" spans="1:14" s="58" customFormat="1" ht="15.75" customHeight="1" x14ac:dyDescent="0.25">
      <c r="A203" s="77">
        <f t="shared" si="17"/>
        <v>4</v>
      </c>
      <c r="B203" s="78"/>
      <c r="C203" s="56">
        <v>1</v>
      </c>
      <c r="D203" s="62">
        <f>(4.27*2.75+2.45*2.29+3.05*3.06+2.12*1.2+1.2*0.94+0.9*2.4+1.5*2.75+1*3.06)*(10.764)</f>
        <v>427.36309199999999</v>
      </c>
      <c r="E203" s="57">
        <v>0</v>
      </c>
      <c r="F203" s="57">
        <f>D203*(($F$176)+1)+(IF(E203&lt;101,E203,IF(E203&lt;201,E203/2,IF(E203&lt;=301,E203/3,E203/4))))</f>
        <v>641.04463799999996</v>
      </c>
      <c r="G203" s="120"/>
      <c r="H203" s="121"/>
      <c r="I203" s="38">
        <f>3700000/F203</f>
        <v>5771.828950232948</v>
      </c>
      <c r="J203" s="58">
        <f>3800000/F203</f>
        <v>5927.8243272662712</v>
      </c>
      <c r="L203" s="88"/>
      <c r="M203" s="88"/>
      <c r="N203" s="38"/>
    </row>
    <row r="204" spans="1:14" s="58" customFormat="1" ht="15.75" customHeight="1" x14ac:dyDescent="0.25">
      <c r="A204" s="77">
        <f t="shared" si="17"/>
        <v>5</v>
      </c>
      <c r="B204" s="78"/>
      <c r="C204" s="89" t="s">
        <v>192</v>
      </c>
      <c r="D204" s="90"/>
      <c r="E204" s="90"/>
      <c r="F204" s="91"/>
      <c r="G204" s="120"/>
      <c r="H204" s="121"/>
      <c r="I204" s="38"/>
      <c r="L204" s="88"/>
      <c r="M204" s="88"/>
      <c r="N204" s="38"/>
    </row>
    <row r="205" spans="1:14" s="58" customFormat="1" ht="15.75" customHeight="1" x14ac:dyDescent="0.25">
      <c r="A205" s="77">
        <f t="shared" si="17"/>
        <v>6</v>
      </c>
      <c r="B205" s="78"/>
      <c r="C205" s="56">
        <v>1</v>
      </c>
      <c r="D205" s="62">
        <f>(4.27*2.75+2.45*2.29+3.05*2.75+2.12*1.32+1.22*2.1+0.9*2.4+1.5*2.75+1.22*2.75)*(10.764)</f>
        <v>438.53504759999998</v>
      </c>
      <c r="E205" s="57">
        <v>0</v>
      </c>
      <c r="F205" s="57">
        <f>D205*(($F$176)+1)+(IF(E205&lt;101,E205,IF(E205&lt;201,E205/2,IF(E205&lt;=301,E205/3,E205/4))))</f>
        <v>657.80257140000003</v>
      </c>
      <c r="G205" s="120"/>
      <c r="H205" s="121"/>
      <c r="I205" s="38"/>
      <c r="L205" s="88"/>
      <c r="M205" s="88"/>
      <c r="N205" s="38"/>
    </row>
    <row r="206" spans="1:14" s="58" customFormat="1" ht="15.75" customHeight="1" x14ac:dyDescent="0.25">
      <c r="A206" s="77">
        <f t="shared" si="17"/>
        <v>7</v>
      </c>
      <c r="B206" s="78"/>
      <c r="C206" s="56">
        <v>2</v>
      </c>
      <c r="D206" s="62">
        <f>(4.27*3.05+3.2*2.44+2.75*2.29+3.35*2.75+3.39*2.9+2.12*1.35+1.22*2.45+0.9*3.05+1.5*3.05+1.04*2.9)*(10.764)</f>
        <v>671.2376579999999</v>
      </c>
      <c r="E206" s="57">
        <v>0</v>
      </c>
      <c r="F206" s="57">
        <f>D206*(($F$176)+1)+(IF(E206&lt;101,E206,IF(E206&lt;201,E206/2,IF(E206&lt;=301,E206/3,E206/4))))</f>
        <v>1006.8564869999998</v>
      </c>
      <c r="G206" s="120"/>
      <c r="H206" s="121"/>
      <c r="I206" s="38"/>
      <c r="L206" s="88"/>
      <c r="M206" s="88"/>
      <c r="N206" s="38"/>
    </row>
    <row r="207" spans="1:14" s="58" customFormat="1" ht="15.75" customHeight="1" x14ac:dyDescent="0.25">
      <c r="A207" s="77">
        <f t="shared" si="17"/>
        <v>8</v>
      </c>
      <c r="B207" s="78"/>
      <c r="C207" s="56">
        <v>2</v>
      </c>
      <c r="D207" s="62">
        <f>(4.27*2.9+3.15*2.44+2.45*2.29+3.35*2.75+3.35*2.9+2.1*1.35+1.22*2.45+0.9*3.05+1.48*2.9+1.05*2.9)*(10.764)</f>
        <v>651.36193199999991</v>
      </c>
      <c r="E207" s="57">
        <v>0</v>
      </c>
      <c r="F207" s="57">
        <f>D207*(($F$176)+1)+(IF(E207&lt;101,E207,IF(E207&lt;201,E207/2,IF(E207&lt;=301,E207/3,E207/4))))</f>
        <v>977.04289799999992</v>
      </c>
      <c r="G207" s="120"/>
      <c r="H207" s="121"/>
      <c r="I207" s="38"/>
      <c r="L207" s="88"/>
      <c r="M207" s="88"/>
      <c r="N207" s="38"/>
    </row>
    <row r="208" spans="1:14" s="58" customFormat="1" ht="15.75" customHeight="1" x14ac:dyDescent="0.25">
      <c r="A208" s="77">
        <f t="shared" si="17"/>
        <v>9</v>
      </c>
      <c r="B208" s="78"/>
      <c r="C208" s="56">
        <v>2</v>
      </c>
      <c r="D208" s="62">
        <f>(4.27*2.75+2.45*2.29+3.15*2.44+3.35*2.75+3.52*3.08+2.1*1.2+1.2*2.1+0.9*3.4+1.48*2.75+1.22*2.75)*(10.764)</f>
        <v>652.49322840000002</v>
      </c>
      <c r="E208" s="57">
        <v>0</v>
      </c>
      <c r="F208" s="57">
        <f>D208*(($F$176)+1)+(IF(E208&lt;101,E208,IF(E208&lt;201,E208/2,IF(E208&lt;=301,E208/3,E208/4))))</f>
        <v>978.73984259999997</v>
      </c>
      <c r="G208" s="120"/>
      <c r="H208" s="121"/>
      <c r="I208" s="38">
        <f>5800000/F208</f>
        <v>5925.987425414738</v>
      </c>
      <c r="L208" s="88"/>
      <c r="M208" s="88"/>
      <c r="N208" s="38"/>
    </row>
    <row r="209" spans="1:14" s="58" customFormat="1" ht="15.75" customHeight="1" x14ac:dyDescent="0.25">
      <c r="A209" s="77">
        <f t="shared" si="17"/>
        <v>10</v>
      </c>
      <c r="B209" s="78"/>
      <c r="C209" s="56">
        <v>1</v>
      </c>
      <c r="D209" s="62">
        <f>(4.27*2.75+2.45*2.26+3.35*2.75+1.8*1.2+1.2*0.9+0.9*1.15+1.4*1.2+1.22*2.75+1.48*2.75)*(10.764)</f>
        <v>429.18220799999995</v>
      </c>
      <c r="E209" s="57">
        <v>0</v>
      </c>
      <c r="F209" s="57">
        <f>D209*(($F$176)+1)+(IF(E209&lt;101,E209,IF(E209&lt;201,E209/2,IF(E209&lt;=301,E209/3,E209/4))))</f>
        <v>643.77331199999992</v>
      </c>
      <c r="G209" s="122"/>
      <c r="H209" s="123"/>
      <c r="I209" s="38">
        <f>4100000/F209</f>
        <v>6368.7014102255926</v>
      </c>
      <c r="L209" s="88"/>
      <c r="M209" s="88"/>
      <c r="N209" s="38"/>
    </row>
    <row r="210" spans="1:14" s="68" customFormat="1" x14ac:dyDescent="0.25">
      <c r="A210" s="140" t="s">
        <v>229</v>
      </c>
      <c r="B210" s="141"/>
      <c r="C210" s="141"/>
      <c r="D210" s="141"/>
      <c r="E210" s="141"/>
      <c r="F210" s="141"/>
      <c r="G210" s="141"/>
      <c r="H210" s="142"/>
      <c r="J210" s="38"/>
    </row>
    <row r="211" spans="1:14" s="68" customFormat="1" ht="15.75" customHeight="1" x14ac:dyDescent="0.25">
      <c r="A211" s="77">
        <v>1</v>
      </c>
      <c r="B211" s="78"/>
      <c r="C211" s="56">
        <v>1</v>
      </c>
      <c r="D211" s="62">
        <f>(4.27*2.9+2.45*2.29+3.1*2.75+2.1*1.2+2.6*1.2+0.95*2.5+1.48*2.9+1*2.75)*10.764</f>
        <v>447.51868200000001</v>
      </c>
      <c r="E211" s="69">
        <v>0</v>
      </c>
      <c r="F211" s="69">
        <f>D211*(($F$176)+1)+(IF(E211&lt;101,E211,IF(E211&lt;201,E211/2,IF(E211&lt;=301,E211/3,E211/4))))</f>
        <v>671.27802300000008</v>
      </c>
      <c r="G211" s="118" t="str">
        <f>A210</f>
        <v>21st Floor (Part Refuge Area)</v>
      </c>
      <c r="H211" s="119"/>
      <c r="I211" s="38"/>
      <c r="L211" s="88"/>
      <c r="M211" s="88"/>
      <c r="N211" s="38"/>
    </row>
    <row r="212" spans="1:14" s="68" customFormat="1" ht="15.75" customHeight="1" x14ac:dyDescent="0.25">
      <c r="A212" s="77">
        <f t="shared" ref="A212:A220" si="18">A211+1</f>
        <v>2</v>
      </c>
      <c r="B212" s="78"/>
      <c r="C212" s="56">
        <v>2</v>
      </c>
      <c r="D212" s="62">
        <f>(3.5*4.5+2.6*2.76+3.2*3.9+2.15*1.2+2.6*1.2+0.9*2.7+3.2*3.5+1.2*2.3+1.45*3.2+2*3.5)*(10.764)</f>
        <v>744.17990399999996</v>
      </c>
      <c r="E212" s="69">
        <v>0</v>
      </c>
      <c r="F212" s="69">
        <f>D212*(($F$176)+1)+(IF(E212&lt;101,E212,IF(E212&lt;201,E212/2,IF(E212&lt;=301,E212/3,E212/4))))</f>
        <v>1116.2698559999999</v>
      </c>
      <c r="G212" s="120"/>
      <c r="H212" s="121"/>
      <c r="I212" s="38"/>
      <c r="L212" s="88"/>
      <c r="M212" s="88"/>
      <c r="N212" s="38"/>
    </row>
    <row r="213" spans="1:14" s="68" customFormat="1" ht="15.75" customHeight="1" x14ac:dyDescent="0.25">
      <c r="A213" s="77">
        <f t="shared" si="18"/>
        <v>3</v>
      </c>
      <c r="B213" s="78"/>
      <c r="C213" s="56">
        <v>1</v>
      </c>
      <c r="D213" s="62">
        <f>(4.27*2.9+2.45*2.29+3.05*2.75+2.12*1.2+1.18*0.94+0.9*2.4+1.5*2.9+1*2.75)*(10.764)</f>
        <v>422.96276879999999</v>
      </c>
      <c r="E213" s="69">
        <v>0</v>
      </c>
      <c r="F213" s="69">
        <f>D213*(($F$176)+1)+(IF(E213&lt;101,E213,IF(E213&lt;201,E213/2,IF(E213&lt;=301,E213/3,E213/4))))</f>
        <v>634.44415319999996</v>
      </c>
      <c r="G213" s="120"/>
      <c r="H213" s="121"/>
      <c r="I213" s="38"/>
      <c r="L213" s="88"/>
      <c r="M213" s="88"/>
      <c r="N213" s="38"/>
    </row>
    <row r="214" spans="1:14" s="68" customFormat="1" ht="15.75" customHeight="1" x14ac:dyDescent="0.25">
      <c r="A214" s="77">
        <f t="shared" si="18"/>
        <v>4</v>
      </c>
      <c r="B214" s="78"/>
      <c r="C214" s="56">
        <v>1</v>
      </c>
      <c r="D214" s="62">
        <f>(4.27*2.75+2.45*2.29+3.05*3.06+2.12*1.2+1.2*0.94+0.9*2.4+1.5*2.75+1*3.06)*(10.764)</f>
        <v>427.36309199999999</v>
      </c>
      <c r="E214" s="69">
        <v>0</v>
      </c>
      <c r="F214" s="69">
        <f>D214*(($F$176)+1)+(IF(E214&lt;101,E214,IF(E214&lt;201,E214/2,IF(E214&lt;=301,E214/3,E214/4))))</f>
        <v>641.04463799999996</v>
      </c>
      <c r="G214" s="120"/>
      <c r="H214" s="121"/>
      <c r="I214" s="38"/>
      <c r="L214" s="88"/>
      <c r="M214" s="88"/>
      <c r="N214" s="38"/>
    </row>
    <row r="215" spans="1:14" s="68" customFormat="1" ht="15.75" customHeight="1" x14ac:dyDescent="0.25">
      <c r="A215" s="77">
        <f t="shared" si="18"/>
        <v>5</v>
      </c>
      <c r="B215" s="78"/>
      <c r="C215" s="89" t="s">
        <v>192</v>
      </c>
      <c r="D215" s="90"/>
      <c r="E215" s="90"/>
      <c r="F215" s="91"/>
      <c r="G215" s="120"/>
      <c r="H215" s="121"/>
      <c r="I215" s="38"/>
      <c r="L215" s="88"/>
      <c r="M215" s="88"/>
      <c r="N215" s="38"/>
    </row>
    <row r="216" spans="1:14" s="68" customFormat="1" ht="15.75" customHeight="1" x14ac:dyDescent="0.25">
      <c r="A216" s="77">
        <f t="shared" si="18"/>
        <v>6</v>
      </c>
      <c r="B216" s="78"/>
      <c r="C216" s="56">
        <v>1</v>
      </c>
      <c r="D216" s="62">
        <f>(4.27*2.75+2.45*2.29+3.05*2.75+2.12*1.32+1.22*2.1+0.9*2.4+1.5*2.75+1.22*2.75)*(10.764)</f>
        <v>438.53504759999998</v>
      </c>
      <c r="E216" s="69">
        <v>0</v>
      </c>
      <c r="F216" s="69">
        <f>D216*(($F$176)+1)+(IF(E216&lt;101,E216,IF(E216&lt;201,E216/2,IF(E216&lt;=301,E216/3,E216/4))))</f>
        <v>657.80257140000003</v>
      </c>
      <c r="G216" s="120"/>
      <c r="H216" s="121"/>
      <c r="I216" s="38"/>
      <c r="L216" s="88"/>
      <c r="M216" s="88"/>
      <c r="N216" s="38"/>
    </row>
    <row r="217" spans="1:14" s="68" customFormat="1" ht="15.75" customHeight="1" x14ac:dyDescent="0.25">
      <c r="A217" s="77">
        <f t="shared" si="18"/>
        <v>7</v>
      </c>
      <c r="B217" s="78"/>
      <c r="C217" s="56">
        <v>2</v>
      </c>
      <c r="D217" s="62">
        <f>(4.27*3.05+3.2*2.44+2.75*2.29+3.35*2.75+3.39*2.9+2.12*1.35+1.22*2.45+0.9*3.05+1.5*3.05+1.04*2.9)*(10.764)</f>
        <v>671.2376579999999</v>
      </c>
      <c r="E217" s="69">
        <v>0</v>
      </c>
      <c r="F217" s="69">
        <f>D217*(($F$176)+1)+(IF(E217&lt;101,E217,IF(E217&lt;201,E217/2,IF(E217&lt;=301,E217/3,E217/4))))</f>
        <v>1006.8564869999998</v>
      </c>
      <c r="G217" s="120"/>
      <c r="H217" s="121"/>
      <c r="I217" s="38"/>
      <c r="L217" s="88"/>
      <c r="M217" s="88"/>
      <c r="N217" s="38"/>
    </row>
    <row r="218" spans="1:14" s="68" customFormat="1" ht="15.75" customHeight="1" x14ac:dyDescent="0.25">
      <c r="A218" s="77">
        <f t="shared" si="18"/>
        <v>8</v>
      </c>
      <c r="B218" s="78"/>
      <c r="C218" s="56">
        <v>2</v>
      </c>
      <c r="D218" s="62">
        <f>(4.27*2.9+3.15*2.44+2.45*2.29+3.35*2.75+3.35*2.9+2.1*1.35+1.22*2.45+0.9*3.05+1.48*2.9+1.05*2.9)*(10.764)</f>
        <v>651.36193199999991</v>
      </c>
      <c r="E218" s="69">
        <v>0</v>
      </c>
      <c r="F218" s="69">
        <f>D218*(($F$176)+1)+(IF(E218&lt;101,E218,IF(E218&lt;201,E218/2,IF(E218&lt;=301,E218/3,E218/4))))</f>
        <v>977.04289799999992</v>
      </c>
      <c r="G218" s="120"/>
      <c r="H218" s="121"/>
      <c r="I218" s="38"/>
      <c r="L218" s="88"/>
      <c r="M218" s="88"/>
      <c r="N218" s="38"/>
    </row>
    <row r="219" spans="1:14" s="68" customFormat="1" ht="15.75" customHeight="1" x14ac:dyDescent="0.25">
      <c r="A219" s="77">
        <f t="shared" si="18"/>
        <v>9</v>
      </c>
      <c r="B219" s="78"/>
      <c r="C219" s="56">
        <v>2</v>
      </c>
      <c r="D219" s="62">
        <f>(4.27*2.75+2.45*2.29+3.15*2.44+3.35*2.75+3.52*3.08+2.1*1.2+1.2*2.1+0.9*3.4+1.48*2.75+1.22*2.75)*(10.764)</f>
        <v>652.49322840000002</v>
      </c>
      <c r="E219" s="69">
        <v>0</v>
      </c>
      <c r="F219" s="69">
        <f>D219*(($F$176)+1)+(IF(E219&lt;101,E219,IF(E219&lt;201,E219/2,IF(E219&lt;=301,E219/3,E219/4))))</f>
        <v>978.73984259999997</v>
      </c>
      <c r="G219" s="120"/>
      <c r="H219" s="121"/>
      <c r="I219" s="38"/>
      <c r="L219" s="88"/>
      <c r="M219" s="88"/>
      <c r="N219" s="38"/>
    </row>
    <row r="220" spans="1:14" s="68" customFormat="1" ht="15.75" customHeight="1" x14ac:dyDescent="0.25">
      <c r="A220" s="77">
        <f t="shared" si="18"/>
        <v>10</v>
      </c>
      <c r="B220" s="78"/>
      <c r="C220" s="56">
        <v>1</v>
      </c>
      <c r="D220" s="62">
        <f>(4.27*2.75+2.45*2.26+3.35*2.75+1.8*1.2+1.2*0.9+0.9*1.15+1.4*1.2+1.22*2.75+1.48*2.75)*(10.764)</f>
        <v>429.18220799999995</v>
      </c>
      <c r="E220" s="69">
        <v>0</v>
      </c>
      <c r="F220" s="69">
        <f>D220*(($F$176)+1)+(IF(E220&lt;101,E220,IF(E220&lt;201,E220/2,IF(E220&lt;=301,E220/3,E220/4))))</f>
        <v>643.77331199999992</v>
      </c>
      <c r="G220" s="122"/>
      <c r="H220" s="123"/>
      <c r="I220" s="38"/>
      <c r="L220" s="88"/>
      <c r="M220" s="88"/>
      <c r="N220" s="38"/>
    </row>
    <row r="221" spans="1:14" s="60" customFormat="1" hidden="1" x14ac:dyDescent="0.25">
      <c r="A221" s="79" t="s">
        <v>194</v>
      </c>
      <c r="B221" s="80"/>
      <c r="C221" s="80"/>
      <c r="D221" s="80"/>
      <c r="E221" s="80"/>
      <c r="F221" s="80"/>
      <c r="G221" s="80"/>
      <c r="H221" s="81"/>
      <c r="J221" s="38"/>
    </row>
    <row r="222" spans="1:14" s="60" customFormat="1" ht="15.75" hidden="1" customHeight="1" x14ac:dyDescent="0.25">
      <c r="A222" s="77">
        <v>1</v>
      </c>
      <c r="B222" s="78"/>
      <c r="C222" s="56">
        <v>1</v>
      </c>
      <c r="D222" s="62">
        <f>(37.68+6.18)*(10.764)</f>
        <v>472.10903999999999</v>
      </c>
      <c r="E222" s="59">
        <v>0</v>
      </c>
      <c r="F222" s="59">
        <f t="shared" ref="F222:F231" si="19">D222*(($F$176)+1)+(IF(E222&lt;101,E222,IF(E222&lt;201,E222/2,IF(E222&lt;=301,E222/3,E222/4))))</f>
        <v>708.16355999999996</v>
      </c>
      <c r="G222" s="118" t="str">
        <f>A221</f>
        <v>20th Floor (Part Terrace Area)</v>
      </c>
      <c r="H222" s="119"/>
      <c r="I222" s="38"/>
      <c r="L222" s="88"/>
      <c r="M222" s="88"/>
      <c r="N222" s="38"/>
    </row>
    <row r="223" spans="1:14" s="60" customFormat="1" ht="15.75" hidden="1" customHeight="1" x14ac:dyDescent="0.25">
      <c r="A223" s="77">
        <f t="shared" ref="A223:A231" si="20">A222+1</f>
        <v>2</v>
      </c>
      <c r="B223" s="78"/>
      <c r="C223" s="56">
        <v>2</v>
      </c>
      <c r="D223" s="62">
        <f>(54.39+19.38)*(10.764)</f>
        <v>794.06027999999992</v>
      </c>
      <c r="E223" s="59">
        <v>0</v>
      </c>
      <c r="F223" s="59">
        <f t="shared" si="19"/>
        <v>1191.09042</v>
      </c>
      <c r="G223" s="120"/>
      <c r="H223" s="121"/>
      <c r="I223" s="38"/>
      <c r="L223" s="88"/>
      <c r="M223" s="88"/>
      <c r="N223" s="38"/>
    </row>
    <row r="224" spans="1:14" s="60" customFormat="1" ht="15.75" hidden="1" customHeight="1" x14ac:dyDescent="0.25">
      <c r="A224" s="77">
        <f t="shared" si="20"/>
        <v>3</v>
      </c>
      <c r="B224" s="78"/>
      <c r="C224" s="56">
        <v>1</v>
      </c>
      <c r="D224" s="62">
        <f>(35.36+7.09)*(10.764)</f>
        <v>456.93180000000001</v>
      </c>
      <c r="E224" s="59">
        <v>0</v>
      </c>
      <c r="F224" s="59">
        <f t="shared" si="19"/>
        <v>685.39769999999999</v>
      </c>
      <c r="G224" s="120"/>
      <c r="H224" s="121"/>
      <c r="I224" s="38"/>
      <c r="L224" s="88"/>
      <c r="M224" s="88"/>
      <c r="N224" s="38"/>
    </row>
    <row r="225" spans="1:14" s="60" customFormat="1" ht="15.75" hidden="1" customHeight="1" x14ac:dyDescent="0.25">
      <c r="A225" s="77">
        <f t="shared" si="20"/>
        <v>4</v>
      </c>
      <c r="B225" s="78"/>
      <c r="C225" s="56">
        <v>1</v>
      </c>
      <c r="D225" s="62">
        <f>(35.7+7.17)*(10.764)</f>
        <v>461.45268000000004</v>
      </c>
      <c r="E225" s="59">
        <v>0</v>
      </c>
      <c r="F225" s="59">
        <f t="shared" si="19"/>
        <v>692.17902000000004</v>
      </c>
      <c r="G225" s="120"/>
      <c r="H225" s="121"/>
      <c r="I225" s="38"/>
      <c r="L225" s="88"/>
      <c r="M225" s="88"/>
      <c r="N225" s="38"/>
    </row>
    <row r="226" spans="1:14" s="60" customFormat="1" ht="15.75" hidden="1" customHeight="1" x14ac:dyDescent="0.25">
      <c r="A226" s="77">
        <f t="shared" si="20"/>
        <v>5</v>
      </c>
      <c r="B226" s="78"/>
      <c r="C226" s="56">
        <v>1</v>
      </c>
      <c r="D226" s="62">
        <f>(37.64+7.91)*(10.764)</f>
        <v>490.30019999999996</v>
      </c>
      <c r="E226" s="59">
        <v>0</v>
      </c>
      <c r="F226" s="59">
        <f t="shared" si="19"/>
        <v>735.45029999999997</v>
      </c>
      <c r="G226" s="120"/>
      <c r="H226" s="121"/>
      <c r="I226" s="38"/>
      <c r="L226" s="88"/>
      <c r="M226" s="88"/>
      <c r="N226" s="38"/>
    </row>
    <row r="227" spans="1:14" s="60" customFormat="1" ht="15.75" hidden="1" customHeight="1" x14ac:dyDescent="0.25">
      <c r="A227" s="77">
        <f t="shared" si="20"/>
        <v>6</v>
      </c>
      <c r="B227" s="78"/>
      <c r="C227" s="56">
        <v>1</v>
      </c>
      <c r="D227" s="62">
        <f>(36.59+7.91)*(10.764)</f>
        <v>478.99799999999999</v>
      </c>
      <c r="E227" s="59">
        <v>0</v>
      </c>
      <c r="F227" s="59">
        <f t="shared" si="19"/>
        <v>718.49699999999996</v>
      </c>
      <c r="G227" s="120"/>
      <c r="H227" s="121"/>
      <c r="I227" s="38"/>
      <c r="L227" s="88"/>
      <c r="M227" s="88"/>
      <c r="N227" s="38"/>
    </row>
    <row r="228" spans="1:14" s="60" customFormat="1" ht="15.75" hidden="1" customHeight="1" x14ac:dyDescent="0.25">
      <c r="A228" s="77">
        <f t="shared" si="20"/>
        <v>7</v>
      </c>
      <c r="B228" s="78"/>
      <c r="C228" s="56">
        <v>2</v>
      </c>
      <c r="D228" s="62">
        <f>(53.48+12.47)*(10.764)</f>
        <v>709.88580000000002</v>
      </c>
      <c r="E228" s="59">
        <v>0</v>
      </c>
      <c r="F228" s="59">
        <f t="shared" si="19"/>
        <v>1064.8287</v>
      </c>
      <c r="G228" s="120"/>
      <c r="H228" s="121"/>
      <c r="I228" s="38"/>
      <c r="L228" s="88"/>
      <c r="M228" s="88"/>
      <c r="N228" s="38"/>
    </row>
    <row r="229" spans="1:14" s="60" customFormat="1" ht="15.75" hidden="1" customHeight="1" x14ac:dyDescent="0.25">
      <c r="A229" s="77">
        <f t="shared" si="20"/>
        <v>8</v>
      </c>
      <c r="B229" s="78"/>
      <c r="C229" s="89" t="s">
        <v>193</v>
      </c>
      <c r="D229" s="90"/>
      <c r="E229" s="90"/>
      <c r="F229" s="91"/>
      <c r="G229" s="120"/>
      <c r="H229" s="121"/>
      <c r="I229" s="38"/>
      <c r="L229" s="88"/>
      <c r="M229" s="88"/>
      <c r="N229" s="38"/>
    </row>
    <row r="230" spans="1:14" s="60" customFormat="1" ht="15.75" hidden="1" customHeight="1" x14ac:dyDescent="0.25">
      <c r="A230" s="77">
        <f t="shared" si="20"/>
        <v>9</v>
      </c>
      <c r="B230" s="78"/>
      <c r="C230" s="56">
        <v>2</v>
      </c>
      <c r="D230" s="62">
        <f>(57.31+6.47)*(10.764)</f>
        <v>686.52791999999999</v>
      </c>
      <c r="E230" s="59">
        <v>0</v>
      </c>
      <c r="F230" s="59">
        <f t="shared" si="19"/>
        <v>1029.79188</v>
      </c>
      <c r="G230" s="120"/>
      <c r="H230" s="121"/>
      <c r="I230" s="38"/>
      <c r="L230" s="88"/>
      <c r="M230" s="88"/>
      <c r="N230" s="38"/>
    </row>
    <row r="231" spans="1:14" s="60" customFormat="1" ht="15.75" hidden="1" customHeight="1" x14ac:dyDescent="0.25">
      <c r="A231" s="77">
        <f t="shared" si="20"/>
        <v>10</v>
      </c>
      <c r="B231" s="78"/>
      <c r="C231" s="56">
        <v>1</v>
      </c>
      <c r="D231" s="62">
        <f>(35.36+6.6)*(10.764)</f>
        <v>451.65744000000001</v>
      </c>
      <c r="E231" s="59">
        <v>0</v>
      </c>
      <c r="F231" s="59">
        <f t="shared" si="19"/>
        <v>677.48616000000004</v>
      </c>
      <c r="G231" s="122"/>
      <c r="H231" s="123"/>
      <c r="I231" s="38"/>
      <c r="L231" s="88"/>
      <c r="M231" s="88"/>
      <c r="N231" s="38"/>
    </row>
    <row r="232" spans="1:14" s="50" customFormat="1" hidden="1" x14ac:dyDescent="0.25">
      <c r="A232" s="140" t="s">
        <v>116</v>
      </c>
      <c r="B232" s="141"/>
      <c r="C232" s="141"/>
      <c r="D232" s="141"/>
      <c r="E232" s="141"/>
      <c r="F232" s="141"/>
      <c r="G232" s="141"/>
      <c r="H232" s="142"/>
      <c r="J232" s="38"/>
    </row>
    <row r="233" spans="1:14" s="50" customFormat="1" hidden="1" x14ac:dyDescent="0.25">
      <c r="A233" s="77">
        <v>1</v>
      </c>
      <c r="B233" s="78"/>
      <c r="C233" s="56"/>
      <c r="D233" s="44"/>
      <c r="E233" s="44">
        <v>0</v>
      </c>
      <c r="F233" s="44">
        <f>D233*(($F$176)+1)+(IF(E233&lt;101,E233,IF(E233&lt;201,E233/2,IF(E233&lt;=301,E233/3,E233/4))))</f>
        <v>0</v>
      </c>
      <c r="G233" s="77" t="str">
        <f>A232</f>
        <v>Ground Floor</v>
      </c>
      <c r="H233" s="78"/>
      <c r="I233" s="38"/>
      <c r="L233" s="88"/>
      <c r="M233" s="88"/>
      <c r="N233" s="38"/>
    </row>
    <row r="234" spans="1:14" s="50" customFormat="1" hidden="1" x14ac:dyDescent="0.25">
      <c r="A234" s="77">
        <f t="shared" ref="A234:A236" si="21">A233+1</f>
        <v>2</v>
      </c>
      <c r="B234" s="78"/>
      <c r="C234" s="56"/>
      <c r="D234" s="44"/>
      <c r="E234" s="44">
        <v>0</v>
      </c>
      <c r="F234" s="44">
        <f>D234*(($F$176)+1)+(IF(E234&lt;101,E234,IF(E234&lt;201,E234/2,IF(E234&lt;=301,E234/3,E234/4))))</f>
        <v>0</v>
      </c>
      <c r="G234" s="77" t="str">
        <f t="shared" ref="G234:G236" si="22">G233</f>
        <v>Ground Floor</v>
      </c>
      <c r="H234" s="78"/>
      <c r="I234" s="38"/>
      <c r="L234" s="88"/>
      <c r="M234" s="88"/>
      <c r="N234" s="38"/>
    </row>
    <row r="235" spans="1:14" s="50" customFormat="1" hidden="1" x14ac:dyDescent="0.25">
      <c r="A235" s="77">
        <f t="shared" si="21"/>
        <v>3</v>
      </c>
      <c r="B235" s="78"/>
      <c r="C235" s="56"/>
      <c r="D235" s="44"/>
      <c r="E235" s="44">
        <v>0</v>
      </c>
      <c r="F235" s="44">
        <f>D235*(($F$176)+1)+(IF(E235&lt;101,E235,IF(E235&lt;201,E235/2,IF(E235&lt;=301,E235/3,E235/4))))</f>
        <v>0</v>
      </c>
      <c r="G235" s="77" t="str">
        <f t="shared" si="22"/>
        <v>Ground Floor</v>
      </c>
      <c r="H235" s="78"/>
      <c r="I235" s="38"/>
      <c r="L235" s="88"/>
      <c r="M235" s="88"/>
      <c r="N235" s="38"/>
    </row>
    <row r="236" spans="1:14" s="50" customFormat="1" hidden="1" x14ac:dyDescent="0.25">
      <c r="A236" s="77">
        <f t="shared" si="21"/>
        <v>4</v>
      </c>
      <c r="B236" s="78"/>
      <c r="C236" s="56"/>
      <c r="D236" s="44"/>
      <c r="E236" s="44">
        <v>0</v>
      </c>
      <c r="F236" s="44">
        <f>D236*(($F$176)+1)+(IF(E236&lt;101,E236,IF(E236&lt;201,E236/2,IF(E236&lt;=301,E236/3,E236/4))))</f>
        <v>0</v>
      </c>
      <c r="G236" s="77" t="str">
        <f t="shared" si="22"/>
        <v>Ground Floor</v>
      </c>
      <c r="H236" s="78"/>
      <c r="I236" s="38"/>
      <c r="L236" s="88"/>
      <c r="M236" s="88"/>
      <c r="N236" s="38"/>
    </row>
    <row r="237" spans="1:14" s="50" customFormat="1" hidden="1" x14ac:dyDescent="0.25">
      <c r="A237" s="180" t="s">
        <v>117</v>
      </c>
      <c r="B237" s="180"/>
      <c r="C237" s="180"/>
      <c r="D237" s="180"/>
      <c r="E237" s="180"/>
      <c r="F237" s="180"/>
      <c r="G237" s="180"/>
      <c r="H237" s="180"/>
      <c r="I237" s="38"/>
      <c r="L237" s="88"/>
      <c r="M237" s="88"/>
    </row>
    <row r="238" spans="1:14" s="50" customFormat="1" hidden="1" x14ac:dyDescent="0.25">
      <c r="A238" s="95">
        <f>LEFT(A237,SUM(LEN(A237)-LEN(SUBSTITUTE(A237,{"0","1","2","3","4","5","6","7","8","9"},""))))*100+1</f>
        <v>201</v>
      </c>
      <c r="B238" s="95"/>
      <c r="C238" s="56"/>
      <c r="D238" s="44"/>
      <c r="E238" s="44">
        <v>0</v>
      </c>
      <c r="F238" s="44">
        <f t="shared" ref="F238:F239" si="23">D238*(($F$176)+1)+(IF(E238&lt;101,E238,IF(E238&lt;201,E238/2,IF(E238&lt;=301,E238/3,E238/4))))</f>
        <v>0</v>
      </c>
      <c r="G238" s="95" t="str">
        <f>A237</f>
        <v>2nd Floor</v>
      </c>
      <c r="H238" s="95"/>
      <c r="I238" s="38"/>
      <c r="N238" s="38"/>
    </row>
    <row r="239" spans="1:14" s="50" customFormat="1" hidden="1" x14ac:dyDescent="0.25">
      <c r="A239" s="95">
        <f>A238+1</f>
        <v>202</v>
      </c>
      <c r="B239" s="95"/>
      <c r="C239" s="56"/>
      <c r="D239" s="44"/>
      <c r="E239" s="44">
        <v>0</v>
      </c>
      <c r="F239" s="44">
        <f t="shared" si="23"/>
        <v>0</v>
      </c>
      <c r="G239" s="95" t="str">
        <f>G238</f>
        <v>2nd Floor</v>
      </c>
      <c r="H239" s="95"/>
      <c r="I239" s="38"/>
      <c r="N239" s="38"/>
    </row>
    <row r="240" spans="1:14" s="50" customFormat="1" hidden="1" x14ac:dyDescent="0.25">
      <c r="A240" s="95">
        <f>A239+1</f>
        <v>203</v>
      </c>
      <c r="B240" s="95"/>
      <c r="C240" s="56"/>
      <c r="D240" s="44"/>
      <c r="E240" s="44">
        <v>0</v>
      </c>
      <c r="F240" s="44">
        <f>D240*(($F$176)+1)+(IF(E240&lt;101,E240,IF(E240&lt;201,E240/2,IF(E240&lt;=301,E240/3,E240/4))))</f>
        <v>0</v>
      </c>
      <c r="G240" s="95" t="str">
        <f>G239</f>
        <v>2nd Floor</v>
      </c>
      <c r="H240" s="95"/>
      <c r="I240" s="38"/>
      <c r="N240" s="38"/>
    </row>
    <row r="241" spans="1:16" s="50" customFormat="1" hidden="1" x14ac:dyDescent="0.25">
      <c r="A241" s="95">
        <f>A240+1</f>
        <v>204</v>
      </c>
      <c r="B241" s="95"/>
      <c r="C241" s="56"/>
      <c r="D241" s="44"/>
      <c r="E241" s="44">
        <v>0</v>
      </c>
      <c r="F241" s="44">
        <f>D241*(($F$176)+1)+(IF(E241&lt;101,E241,IF(E241&lt;201,E241/2,IF(E241&lt;=301,E241/3,E241/4))))</f>
        <v>0</v>
      </c>
      <c r="G241" s="95" t="str">
        <f>G240</f>
        <v>2nd Floor</v>
      </c>
      <c r="H241" s="95"/>
      <c r="I241" s="38"/>
      <c r="N241" s="38"/>
    </row>
    <row r="242" spans="1:16" s="50" customFormat="1" hidden="1" x14ac:dyDescent="0.25">
      <c r="A242" s="95">
        <f>A241+1</f>
        <v>205</v>
      </c>
      <c r="B242" s="95"/>
      <c r="C242" s="56"/>
      <c r="D242" s="44"/>
      <c r="E242" s="44">
        <v>0</v>
      </c>
      <c r="F242" s="44">
        <f>D242*(($F$176)+1)+(IF(E242&lt;101,E242,IF(E242&lt;201,E242/2,IF(E242&lt;=301,E242/3,E242/4))))</f>
        <v>0</v>
      </c>
      <c r="G242" s="95" t="str">
        <f>G241</f>
        <v>2nd Floor</v>
      </c>
      <c r="H242" s="95"/>
      <c r="I242" s="38"/>
      <c r="N242" s="38"/>
    </row>
    <row r="243" spans="1:16" s="50" customFormat="1" ht="15.75" hidden="1" customHeight="1" x14ac:dyDescent="0.25">
      <c r="A243" s="140" t="s">
        <v>153</v>
      </c>
      <c r="B243" s="141"/>
      <c r="C243" s="141"/>
      <c r="D243" s="141"/>
      <c r="E243" s="141"/>
      <c r="F243" s="141"/>
      <c r="G243" s="141"/>
      <c r="H243" s="142"/>
      <c r="I243" s="38"/>
      <c r="P243" s="39"/>
    </row>
    <row r="244" spans="1:16" s="50" customFormat="1" hidden="1" x14ac:dyDescent="0.25">
      <c r="A244" s="77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10^ROW(INDIRECT("1:"&amp;LEN((LEFT(A243,SUM(LEN(A243)-LEN(SUBSTITUTE(A243,{"0","1","2"},""))))))))/10))*100+1&amp;""&amp;" ,..,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",LEN(A243))),LEN(A243)))))))/10))*100+1</f>
        <v>301 ,.., 1501</v>
      </c>
      <c r="B244" s="78"/>
      <c r="C244" s="56"/>
      <c r="D244" s="44"/>
      <c r="E244" s="44">
        <v>0</v>
      </c>
      <c r="F244" s="44">
        <f>D244*(($F$176)+1)+(IF(E244&lt;101,E244,IF(E244&lt;201,E244/2,IF(E244&lt;=301,E244/3,E244/4))))</f>
        <v>0</v>
      </c>
      <c r="G244" s="77" t="str">
        <f>A243</f>
        <v>3rd, 5th, 7th, 9th, 11th, 13th, 15th Floor</v>
      </c>
      <c r="H244" s="78"/>
      <c r="I244" s="38"/>
    </row>
    <row r="245" spans="1:16" s="50" customFormat="1" hidden="1" x14ac:dyDescent="0.25">
      <c r="A245" s="77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,..,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302 ,.., 1502</v>
      </c>
      <c r="B245" s="78"/>
      <c r="C245" s="56"/>
      <c r="D245" s="44"/>
      <c r="E245" s="44">
        <v>0</v>
      </c>
      <c r="F245" s="44">
        <f>D245*(($F$176)+1)+(IF(E245&lt;101,E245,IF(E245&lt;201,E245/2,IF(E245&lt;=301,E245/3,E245/4))))</f>
        <v>0</v>
      </c>
      <c r="G245" s="77" t="str">
        <f>G244</f>
        <v>3rd, 5th, 7th, 9th, 11th, 13th, 15th Floor</v>
      </c>
      <c r="H245" s="78"/>
      <c r="I245" s="38"/>
    </row>
    <row r="246" spans="1:16" s="50" customFormat="1" ht="15.75" hidden="1" customHeight="1" x14ac:dyDescent="0.25">
      <c r="A246" s="77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,..,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303 ,.., 1503</v>
      </c>
      <c r="B246" s="78"/>
      <c r="C246" s="56"/>
      <c r="D246" s="44"/>
      <c r="E246" s="44">
        <v>0</v>
      </c>
      <c r="F246" s="44">
        <f>D246*(($F$176)+1)+(IF(E246&lt;101,E246,IF(E246&lt;201,E246/2,IF(E246&lt;=301,E246/3,E246/4))))</f>
        <v>0</v>
      </c>
      <c r="G246" s="77" t="str">
        <f>G245</f>
        <v>3rd, 5th, 7th, 9th, 11th, 13th, 15th Floor</v>
      </c>
      <c r="H246" s="78"/>
      <c r="I246" s="38"/>
    </row>
    <row r="247" spans="1:16" s="50" customFormat="1" ht="15.75" hidden="1" customHeight="1" x14ac:dyDescent="0.25">
      <c r="A247" s="77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,..,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304 ,.., 1504</v>
      </c>
      <c r="B247" s="78"/>
      <c r="C247" s="56"/>
      <c r="D247" s="44"/>
      <c r="E247" s="44">
        <v>0</v>
      </c>
      <c r="F247" s="44">
        <f>D247*(($F$176)+1)+(IF(E247&lt;101,E247,IF(E247&lt;201,E247/2,IF(E247&lt;=301,E247/3,E247/4))))</f>
        <v>0</v>
      </c>
      <c r="G247" s="77" t="str">
        <f>G246</f>
        <v>3rd, 5th, 7th, 9th, 11th, 13th, 15th Floor</v>
      </c>
      <c r="H247" s="78"/>
      <c r="I247" s="38"/>
    </row>
    <row r="248" spans="1:16" s="50" customFormat="1" ht="15.75" hidden="1" customHeight="1" x14ac:dyDescent="0.25">
      <c r="A248" s="77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,..,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305 ,.., 1505</v>
      </c>
      <c r="B248" s="78"/>
      <c r="C248" s="56"/>
      <c r="D248" s="44"/>
      <c r="E248" s="44">
        <v>0</v>
      </c>
      <c r="F248" s="44">
        <f>D248*(($F$176)+1)+(IF(E248&lt;101,E248,IF(E248&lt;201,E248/2,IF(E248&lt;=301,E248/3,E248/4))))</f>
        <v>0</v>
      </c>
      <c r="G248" s="77" t="str">
        <f>G247</f>
        <v>3rd, 5th, 7th, 9th, 11th, 13th, 15th Floor</v>
      </c>
      <c r="H248" s="78"/>
      <c r="I248" s="38"/>
    </row>
    <row r="249" spans="1:16" s="50" customFormat="1" hidden="1" x14ac:dyDescent="0.25">
      <c r="A249" s="140" t="s">
        <v>147</v>
      </c>
      <c r="B249" s="141"/>
      <c r="C249" s="141"/>
      <c r="D249" s="141"/>
      <c r="E249" s="141"/>
      <c r="F249" s="141"/>
      <c r="G249" s="141"/>
      <c r="H249" s="142"/>
      <c r="I249" s="38"/>
      <c r="P249" s="39"/>
    </row>
    <row r="250" spans="1:16" s="50" customFormat="1" hidden="1" x14ac:dyDescent="0.25">
      <c r="A250" s="77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10^ROW(INDIRECT("1:"&amp;LEN((LEFT(A249,SUM(LEN(A249)-LEN(SUBSTITUTE(A249,{"0","1","2"},""))))))))/10))*100+1&amp;""&amp;" to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",LEN(A249))),LEN(A249)))))))/10))*100+1</f>
        <v>201 to 501</v>
      </c>
      <c r="B250" s="78"/>
      <c r="C250" s="56"/>
      <c r="D250" s="44"/>
      <c r="E250" s="44">
        <v>0</v>
      </c>
      <c r="F250" s="44">
        <f>D250*(($F$176)+1)+(IF(E250&lt;101,E250,IF(E250&lt;201,E250/2,IF(E250&lt;=301,E250/3,E250/4))))</f>
        <v>0</v>
      </c>
      <c r="G250" s="77" t="str">
        <f>A249</f>
        <v>2nd to 5th Floor</v>
      </c>
      <c r="H250" s="78"/>
      <c r="I250" s="38"/>
    </row>
    <row r="251" spans="1:16" s="50" customFormat="1" hidden="1" x14ac:dyDescent="0.25">
      <c r="A251" s="77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to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202 to 502</v>
      </c>
      <c r="B251" s="78"/>
      <c r="C251" s="56"/>
      <c r="D251" s="44"/>
      <c r="E251" s="44">
        <v>0</v>
      </c>
      <c r="F251" s="44">
        <f>D251*(($F$176)+1)+(IF(E251&lt;101,E251,IF(E251&lt;201,E251/2,IF(E251&lt;=301,E251/3,E251/4))))</f>
        <v>0</v>
      </c>
      <c r="G251" s="77" t="str">
        <f>G250</f>
        <v>2nd to 5th Floor</v>
      </c>
      <c r="H251" s="78"/>
      <c r="I251" s="38"/>
    </row>
    <row r="252" spans="1:16" s="50" customFormat="1" hidden="1" x14ac:dyDescent="0.25">
      <c r="A252" s="77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10^ROW(INDIRECT("1:"&amp;LEN((LEFT(A251,SUM(LEN(A251)-LEN(SUBSTITUTE(A251,{"0","1","2"},""))))))))/10))*1+1&amp;""&amp;" to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",LEN(A251))),LEN(A251)))))))/10))*1+1</f>
        <v>203 to 503</v>
      </c>
      <c r="B252" s="78"/>
      <c r="C252" s="56"/>
      <c r="D252" s="44"/>
      <c r="E252" s="44">
        <v>0</v>
      </c>
      <c r="F252" s="44">
        <f>D252*(($F$176)+1)+(IF(E252&lt;101,E252,IF(E252&lt;201,E252/2,IF(E252&lt;=301,E252/3,E252/4))))</f>
        <v>0</v>
      </c>
      <c r="G252" s="77" t="str">
        <f>G251</f>
        <v>2nd to 5th Floor</v>
      </c>
      <c r="H252" s="78"/>
      <c r="I252" s="38"/>
    </row>
    <row r="253" spans="1:16" s="50" customFormat="1" hidden="1" x14ac:dyDescent="0.25">
      <c r="A253" s="77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to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204 to 504</v>
      </c>
      <c r="B253" s="78"/>
      <c r="C253" s="56"/>
      <c r="D253" s="44"/>
      <c r="E253" s="44">
        <v>0</v>
      </c>
      <c r="F253" s="44">
        <f>D253*(($F$176)+1)+(IF(E253&lt;101,E253,IF(E253&lt;201,E253/2,IF(E253&lt;=301,E253/3,E253/4))))</f>
        <v>0</v>
      </c>
      <c r="G253" s="77" t="str">
        <f>G252</f>
        <v>2nd to 5th Floor</v>
      </c>
      <c r="H253" s="78"/>
      <c r="I253" s="38"/>
    </row>
    <row r="254" spans="1:16" s="50" customFormat="1" hidden="1" x14ac:dyDescent="0.25">
      <c r="A254" s="77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to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205 to 505</v>
      </c>
      <c r="B254" s="78"/>
      <c r="C254" s="56"/>
      <c r="D254" s="44"/>
      <c r="E254" s="44">
        <v>0</v>
      </c>
      <c r="F254" s="44">
        <f>D254*(($F$176)+1)+(IF(E254&lt;101,E254,IF(E254&lt;201,E254/2,IF(E254&lt;=301,E254/3,E254/4))))</f>
        <v>0</v>
      </c>
      <c r="G254" s="77" t="str">
        <f>G253</f>
        <v>2nd to 5th Floor</v>
      </c>
      <c r="H254" s="78"/>
      <c r="I254" s="38"/>
    </row>
    <row r="255" spans="1:16" s="50" customFormat="1" hidden="1" x14ac:dyDescent="0.25">
      <c r="A255" s="140" t="s">
        <v>148</v>
      </c>
      <c r="B255" s="141"/>
      <c r="C255" s="141"/>
      <c r="D255" s="141"/>
      <c r="E255" s="141"/>
      <c r="F255" s="141"/>
      <c r="G255" s="141"/>
      <c r="H255" s="142"/>
      <c r="I255" s="38"/>
      <c r="P255" s="39"/>
    </row>
    <row r="256" spans="1:16" s="50" customFormat="1" hidden="1" x14ac:dyDescent="0.25">
      <c r="A256" s="77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10^ROW(INDIRECT("1:"&amp;LEN((LEFT(A255,SUM(LEN(A255)-LEN(SUBSTITUTE(A255,{"0","1","2"},""))))))))/10))*100+1&amp;""&amp;" &amp;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",LEN(A255))),LEN(A255)))))))/10))*100+1</f>
        <v>201 &amp; 501</v>
      </c>
      <c r="B256" s="78"/>
      <c r="C256" s="56"/>
      <c r="D256" s="44"/>
      <c r="E256" s="44">
        <v>0</v>
      </c>
      <c r="F256" s="44">
        <f>D256*(($F$176)+1)+(IF(E256&lt;101,E256,IF(E256&lt;201,E256/2,IF(E256&lt;=301,E256/3,E256/4))))</f>
        <v>0</v>
      </c>
      <c r="G256" s="77" t="str">
        <f>A255</f>
        <v>2nd &amp; 5th Floor</v>
      </c>
      <c r="H256" s="78"/>
      <c r="I256" s="38"/>
    </row>
    <row r="257" spans="1:9" s="50" customFormat="1" hidden="1" x14ac:dyDescent="0.25">
      <c r="A257" s="77" t="str">
        <f ca="1">(SUMPRODUCT(MID(0&amp;(LEFT(A256,SUM(LEN(A256)-LEN(SUBSTITUTE(A256,{"0","1","2"},""))))), LARGE(INDEX(ISNUMBER(--MID((LEFT(A256,SUM(LEN(A256)-LEN(SUBSTITUTE(A256,{"0","1","2"},""))))), ROW(INDIRECT("1:"&amp;LEN((LEFT(A256,SUM(LEN(A256)-LEN(SUBSTITUTE(A256,{"0","1","2"},"")))))))), 1)) * ROW(INDIRECT("1:"&amp;LEN((LEFT(A256,SUM(LEN(A256)-LEN(SUBSTITUTE(A256,{"0","1","2"},"")))))))), 0), ROW(INDIRECT("1:"&amp;LEN((LEFT(A256,SUM(LEN(A256)-LEN(SUBSTITUTE(A256,{"0","1","2"},"")))))))))+1, 1) * 10^ROW(INDIRECT("1:"&amp;LEN((LEFT(A256,SUM(LEN(A256)-LEN(SUBSTITUTE(A256,{"0","1","2"},""))))))))/10))*1+1&amp;""&amp;" &amp; "&amp;""&amp;(SUMPRODUCT(MID(0&amp;(--TRIM(RIGHT(SUBSTITUTE(LEFT(A256,_xlfn.AGGREGATE(16,6,FIND({0,1,2,3,4,5,6,7,8,9},A256,ROW(INDIRECT("1:"&amp;LEN(A256)))),1))," ",REPT(" ",LEN(A256))),LEN(A256)))), LARGE(INDEX(ISNUMBER(--MID((--TRIM(RIGHT(SUBSTITUTE(LEFT(A256,_xlfn.AGGREGATE(16,6,FIND({0,1,2,3,4,5,6,7,8,9},A256,ROW(INDIRECT("1:"&amp;LEN(A256)))),1))," ",REPT(" ",LEN(A256))),LEN(A256)))), ROW(INDIRECT("1:"&amp;LEN((--TRIM(RIGHT(SUBSTITUTE(LEFT(A256,_xlfn.AGGREGATE(16,6,FIND({0,1,2,3,4,5,6,7,8,9},A256,ROW(INDIRECT("1:"&amp;LEN(A256)))),1))," ",REPT(" ",LEN(A256))),LEN(A256))))))), 1)) * ROW(INDIRECT("1:"&amp;LEN((--TRIM(RIGHT(SUBSTITUTE(LEFT(A256,_xlfn.AGGREGATE(16,6,FIND({0,1,2,3,4,5,6,7,8,9},A256,ROW(INDIRECT("1:"&amp;LEN(A256)))),1))," ",REPT(" ",LEN(A256))),LEN(A256))))))), 0), ROW(INDIRECT("1:"&amp;LEN((--TRIM(RIGHT(SUBSTITUTE(LEFT(A256,_xlfn.AGGREGATE(16,6,FIND({0,1,2,3,4,5,6,7,8,9},A256,ROW(INDIRECT("1:"&amp;LEN(A256)))),1))," ",REPT(" ",LEN(A256))),LEN(A256))))))))+1, 1) * 10^ROW(INDIRECT("1:"&amp;LEN((--TRIM(RIGHT(SUBSTITUTE(LEFT(A256,_xlfn.AGGREGATE(16,6,FIND({0,1,2,3,4,5,6,7,8,9},A256,ROW(INDIRECT("1:"&amp;LEN(A256)))),1))," ",REPT(" ",LEN(A256))),LEN(A256)))))))/10))*1+1</f>
        <v>202 &amp; 502</v>
      </c>
      <c r="B257" s="78"/>
      <c r="C257" s="56"/>
      <c r="D257" s="44"/>
      <c r="E257" s="44">
        <v>0</v>
      </c>
      <c r="F257" s="44">
        <f>D257*(($F$176)+1)+(IF(E257&lt;101,E257,IF(E257&lt;201,E257/2,IF(E257&lt;=301,E257/3,E257/4))))</f>
        <v>0</v>
      </c>
      <c r="G257" s="77" t="str">
        <f t="shared" ref="G257:G260" si="24">G256</f>
        <v>2nd &amp; 5th Floor</v>
      </c>
      <c r="H257" s="78"/>
      <c r="I257" s="38"/>
    </row>
    <row r="258" spans="1:9" s="50" customFormat="1" hidden="1" x14ac:dyDescent="0.25">
      <c r="A258" s="77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10^ROW(INDIRECT("1:"&amp;LEN((LEFT(A257,SUM(LEN(A257)-LEN(SUBSTITUTE(A257,{"0","1","2"},""))))))))/10))*1+1&amp;""&amp;" &amp;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",LEN(A257))),LEN(A257)))))))/10))*1+1</f>
        <v>203 &amp; 503</v>
      </c>
      <c r="B258" s="78"/>
      <c r="C258" s="56"/>
      <c r="D258" s="44"/>
      <c r="E258" s="44">
        <v>0</v>
      </c>
      <c r="F258" s="44">
        <f>D258*(($F$176)+1)+(IF(E258&lt;101,E258,IF(E258&lt;201,E258/2,IF(E258&lt;=301,E258/3,E258/4))))</f>
        <v>0</v>
      </c>
      <c r="G258" s="77" t="str">
        <f t="shared" si="24"/>
        <v>2nd &amp; 5th Floor</v>
      </c>
      <c r="H258" s="78"/>
      <c r="I258" s="38"/>
    </row>
    <row r="259" spans="1:9" s="50" customFormat="1" hidden="1" x14ac:dyDescent="0.25">
      <c r="A259" s="77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&amp;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204 &amp; 504</v>
      </c>
      <c r="B259" s="78"/>
      <c r="C259" s="56"/>
      <c r="D259" s="44"/>
      <c r="E259" s="44">
        <v>0</v>
      </c>
      <c r="F259" s="44">
        <f>D259*(($F$176)+1)+(IF(E259&lt;101,E259,IF(E259&lt;201,E259/2,IF(E259&lt;=301,E259/3,E259/4))))</f>
        <v>0</v>
      </c>
      <c r="G259" s="77" t="str">
        <f t="shared" si="24"/>
        <v>2nd &amp; 5th Floor</v>
      </c>
      <c r="H259" s="78"/>
      <c r="I259" s="38"/>
    </row>
    <row r="260" spans="1:9" s="50" customFormat="1" hidden="1" x14ac:dyDescent="0.25">
      <c r="A260" s="77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&amp;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205 &amp; 505</v>
      </c>
      <c r="B260" s="78"/>
      <c r="C260" s="56"/>
      <c r="D260" s="44"/>
      <c r="E260" s="44">
        <v>0</v>
      </c>
      <c r="F260" s="44">
        <f>D260*(($F$176)+1)+(IF(E260&lt;101,E260,IF(E260&lt;201,E260/2,IF(E260&lt;=301,E260/3,E260/4))))</f>
        <v>0</v>
      </c>
      <c r="G260" s="77" t="str">
        <f t="shared" si="24"/>
        <v>2nd &amp; 5th Floor</v>
      </c>
      <c r="H260" s="78"/>
      <c r="I260" s="38"/>
    </row>
    <row r="261" spans="1:9" s="37" customFormat="1" x14ac:dyDescent="0.25">
      <c r="A261" s="139" t="s">
        <v>68</v>
      </c>
      <c r="B261" s="139"/>
      <c r="C261" s="139"/>
      <c r="D261" s="139"/>
      <c r="E261" s="139"/>
      <c r="F261" s="139"/>
      <c r="G261" s="139"/>
      <c r="H261" s="139"/>
    </row>
    <row r="262" spans="1:9" s="37" customFormat="1" x14ac:dyDescent="0.25">
      <c r="A262" s="47" t="s">
        <v>157</v>
      </c>
      <c r="B262" s="182" t="s">
        <v>215</v>
      </c>
      <c r="C262" s="182"/>
      <c r="D262" s="182"/>
      <c r="E262" s="182"/>
      <c r="F262" s="182"/>
      <c r="G262" s="182"/>
      <c r="H262" s="182"/>
    </row>
    <row r="263" spans="1:9" s="37" customFormat="1" x14ac:dyDescent="0.25">
      <c r="A263" s="47" t="s">
        <v>157</v>
      </c>
      <c r="B263" s="182" t="str">
        <f>(IF(F175="Saleable area Loading :","We have considered Saleable area of Flats as per our Calculation.","We considered Saleable area of Flat as per Builder area Sheet."))</f>
        <v>We have considered Saleable area of Flats as per our Calculation.</v>
      </c>
      <c r="C263" s="182"/>
      <c r="D263" s="182"/>
      <c r="E263" s="182"/>
      <c r="F263" s="182"/>
      <c r="G263" s="182"/>
      <c r="H263" s="182"/>
    </row>
    <row r="264" spans="1:9" s="37" customFormat="1" x14ac:dyDescent="0.25">
      <c r="A264" s="47" t="s">
        <v>157</v>
      </c>
      <c r="B264" s="182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64" s="182"/>
      <c r="D264" s="182"/>
      <c r="E264" s="182"/>
      <c r="F264" s="182"/>
      <c r="G264" s="182"/>
      <c r="H264" s="182"/>
    </row>
    <row r="265" spans="1:9" s="37" customFormat="1" x14ac:dyDescent="0.25">
      <c r="A265" s="47" t="s">
        <v>157</v>
      </c>
      <c r="B265" s="92" t="s">
        <v>124</v>
      </c>
      <c r="C265" s="93"/>
      <c r="D265" s="93"/>
      <c r="E265" s="93"/>
      <c r="F265" s="93"/>
      <c r="G265" s="93"/>
      <c r="H265" s="94"/>
    </row>
    <row r="266" spans="1:9" s="37" customFormat="1" x14ac:dyDescent="0.25">
      <c r="A266" s="47" t="s">
        <v>157</v>
      </c>
      <c r="B266" s="183" t="s">
        <v>198</v>
      </c>
      <c r="C266" s="184"/>
      <c r="D266" s="184"/>
      <c r="E266" s="184"/>
      <c r="F266" s="184"/>
      <c r="G266" s="184"/>
      <c r="H266" s="185"/>
    </row>
    <row r="267" spans="1:9" s="37" customFormat="1" x14ac:dyDescent="0.25">
      <c r="A267" s="47" t="s">
        <v>157</v>
      </c>
      <c r="B267" s="92" t="s">
        <v>156</v>
      </c>
      <c r="C267" s="93"/>
      <c r="D267" s="93"/>
      <c r="E267" s="93"/>
      <c r="F267" s="93"/>
      <c r="G267" s="93"/>
      <c r="H267" s="94"/>
    </row>
    <row r="268" spans="1:9" s="37" customFormat="1" x14ac:dyDescent="0.25">
      <c r="A268" s="47" t="s">
        <v>157</v>
      </c>
      <c r="B268" s="92" t="s">
        <v>125</v>
      </c>
      <c r="C268" s="93"/>
      <c r="D268" s="93"/>
      <c r="E268" s="93"/>
      <c r="F268" s="93"/>
      <c r="G268" s="93"/>
      <c r="H268" s="94"/>
    </row>
    <row r="269" spans="1:9" s="37" customFormat="1" ht="34.5" customHeight="1" x14ac:dyDescent="0.25">
      <c r="A269" s="47" t="s">
        <v>157</v>
      </c>
      <c r="B269" s="92" t="s">
        <v>158</v>
      </c>
      <c r="C269" s="93"/>
      <c r="D269" s="93"/>
      <c r="E269" s="93"/>
      <c r="F269" s="93"/>
      <c r="G269" s="93"/>
      <c r="H269" s="94"/>
    </row>
    <row r="270" spans="1:9" s="37" customFormat="1" x14ac:dyDescent="0.25">
      <c r="A270" s="47" t="s">
        <v>157</v>
      </c>
      <c r="B270" s="92" t="s">
        <v>126</v>
      </c>
      <c r="C270" s="93"/>
      <c r="D270" s="93"/>
      <c r="E270" s="93"/>
      <c r="F270" s="93"/>
      <c r="G270" s="93"/>
      <c r="H270" s="94"/>
    </row>
    <row r="271" spans="1:9" s="37" customFormat="1" hidden="1" x14ac:dyDescent="0.25">
      <c r="A271" s="47" t="s">
        <v>157</v>
      </c>
      <c r="B271" s="85" t="s">
        <v>187</v>
      </c>
      <c r="C271" s="86"/>
      <c r="D271" s="86"/>
      <c r="E271" s="86"/>
      <c r="F271" s="86"/>
      <c r="G271" s="86"/>
      <c r="H271" s="87"/>
    </row>
    <row r="272" spans="1:9" s="37" customFormat="1" x14ac:dyDescent="0.25">
      <c r="A272" s="47" t="s">
        <v>157</v>
      </c>
      <c r="B272" s="85" t="s">
        <v>231</v>
      </c>
      <c r="C272" s="86"/>
      <c r="D272" s="86"/>
      <c r="E272" s="86"/>
      <c r="F272" s="86"/>
      <c r="G272" s="86"/>
      <c r="H272" s="87"/>
    </row>
    <row r="273" spans="1:8" s="37" customFormat="1" x14ac:dyDescent="0.25">
      <c r="A273" s="47" t="s">
        <v>157</v>
      </c>
      <c r="B273" s="92" t="s">
        <v>233</v>
      </c>
      <c r="C273" s="93"/>
      <c r="D273" s="93"/>
      <c r="E273" s="93"/>
      <c r="F273" s="93"/>
      <c r="G273" s="93"/>
      <c r="H273" s="94"/>
    </row>
    <row r="274" spans="1:8" x14ac:dyDescent="0.25">
      <c r="A274" s="147" t="s">
        <v>61</v>
      </c>
      <c r="B274" s="147"/>
      <c r="C274" s="147"/>
      <c r="D274" s="147"/>
      <c r="E274" s="147"/>
      <c r="F274" s="147"/>
      <c r="G274" s="147"/>
      <c r="H274" s="147"/>
    </row>
    <row r="275" spans="1:8" x14ac:dyDescent="0.25">
      <c r="A275" s="98" t="s">
        <v>62</v>
      </c>
      <c r="B275" s="98"/>
      <c r="C275" s="98"/>
      <c r="D275" s="98"/>
      <c r="E275" s="98"/>
      <c r="F275" s="98"/>
      <c r="G275" s="98"/>
      <c r="H275" s="98"/>
    </row>
    <row r="276" spans="1:8" ht="15.75" customHeight="1" x14ac:dyDescent="0.25">
      <c r="A276" s="186" t="s">
        <v>63</v>
      </c>
      <c r="B276" s="186"/>
      <c r="C276" s="186"/>
      <c r="D276" s="186"/>
      <c r="E276" s="186"/>
      <c r="F276" s="186"/>
      <c r="G276" s="186"/>
      <c r="H276" s="186"/>
    </row>
    <row r="277" spans="1:8" x14ac:dyDescent="0.25">
      <c r="A277" s="98" t="s">
        <v>64</v>
      </c>
      <c r="B277" s="98"/>
      <c r="C277" s="98"/>
      <c r="D277" s="98"/>
      <c r="E277" s="98"/>
      <c r="F277" s="98"/>
      <c r="G277" s="98"/>
      <c r="H277" s="98"/>
    </row>
    <row r="278" spans="1:8" x14ac:dyDescent="0.25">
      <c r="A278" s="98" t="s">
        <v>65</v>
      </c>
      <c r="B278" s="98"/>
      <c r="C278" s="98"/>
      <c r="D278" s="98"/>
      <c r="E278" s="98"/>
      <c r="F278" s="98"/>
      <c r="G278" s="98"/>
      <c r="H278" s="98"/>
    </row>
    <row r="279" spans="1:8" x14ac:dyDescent="0.25">
      <c r="A279" s="98" t="s">
        <v>127</v>
      </c>
      <c r="B279" s="98"/>
      <c r="C279" s="98"/>
      <c r="D279" s="98"/>
      <c r="E279" s="98"/>
      <c r="F279" s="98"/>
      <c r="G279" s="98"/>
      <c r="H279" s="98"/>
    </row>
    <row r="280" spans="1:8" ht="35.25" customHeight="1" x14ac:dyDescent="0.25">
      <c r="A280" s="136" t="s">
        <v>128</v>
      </c>
      <c r="B280" s="136"/>
      <c r="C280" s="136"/>
      <c r="D280" s="136"/>
      <c r="E280" s="136"/>
      <c r="F280" s="136"/>
      <c r="G280" s="136"/>
      <c r="H280" s="136"/>
    </row>
    <row r="281" spans="1:8" x14ac:dyDescent="0.25">
      <c r="A281" s="179" t="s">
        <v>77</v>
      </c>
      <c r="B281" s="179"/>
      <c r="C281" s="179" t="s">
        <v>235</v>
      </c>
      <c r="D281" s="179"/>
      <c r="E281" s="179" t="s">
        <v>103</v>
      </c>
      <c r="F281" s="179"/>
      <c r="G281" s="179" t="s">
        <v>234</v>
      </c>
      <c r="H281" s="179"/>
    </row>
    <row r="282" spans="1:8" x14ac:dyDescent="0.25">
      <c r="A282" s="178" t="s">
        <v>79</v>
      </c>
      <c r="B282" s="178"/>
      <c r="C282" s="178"/>
      <c r="D282" s="178"/>
      <c r="E282" s="178"/>
      <c r="F282" s="178"/>
      <c r="G282" s="178"/>
      <c r="H282" s="178"/>
    </row>
    <row r="283" spans="1:8" x14ac:dyDescent="0.25">
      <c r="A283" s="178"/>
      <c r="B283" s="178"/>
      <c r="C283" s="178"/>
      <c r="D283" s="178"/>
      <c r="E283" s="178"/>
      <c r="F283" s="178"/>
      <c r="G283" s="178"/>
      <c r="H283" s="178"/>
    </row>
    <row r="284" spans="1:8" x14ac:dyDescent="0.25">
      <c r="A284" s="178"/>
      <c r="B284" s="178"/>
      <c r="C284" s="178"/>
      <c r="D284" s="178"/>
      <c r="E284" s="178"/>
      <c r="F284" s="178"/>
      <c r="G284" s="178"/>
      <c r="H284" s="178"/>
    </row>
    <row r="285" spans="1:8" x14ac:dyDescent="0.25">
      <c r="A285" s="178"/>
      <c r="B285" s="178"/>
      <c r="C285" s="178"/>
      <c r="D285" s="178"/>
      <c r="E285" s="178"/>
      <c r="F285" s="178"/>
      <c r="G285" s="178"/>
      <c r="H285" s="178"/>
    </row>
    <row r="286" spans="1:8" x14ac:dyDescent="0.25">
      <c r="A286" s="40" t="s">
        <v>66</v>
      </c>
      <c r="B286" s="41"/>
      <c r="C286" s="41"/>
      <c r="D286" s="40" t="str">
        <f>E8</f>
        <v>Om Maitri Icon</v>
      </c>
      <c r="F286" s="41"/>
      <c r="G286" s="41"/>
      <c r="H286" s="41"/>
    </row>
    <row r="287" spans="1:8" x14ac:dyDescent="0.25">
      <c r="A287" s="41"/>
      <c r="B287" s="41"/>
      <c r="C287" s="41"/>
      <c r="D287" s="41"/>
      <c r="E287" s="41"/>
      <c r="F287" s="41"/>
      <c r="G287" s="41"/>
      <c r="H287" s="41"/>
    </row>
    <row r="288" spans="1:8" x14ac:dyDescent="0.25">
      <c r="A288" s="41"/>
      <c r="B288" s="41"/>
      <c r="C288" s="41"/>
      <c r="D288" s="41"/>
      <c r="E288" s="41"/>
      <c r="F288" s="41"/>
      <c r="G288" s="41"/>
      <c r="H288" s="41"/>
    </row>
    <row r="289" ht="15" customHeight="1" x14ac:dyDescent="0.25"/>
    <row r="331" spans="1:1" x14ac:dyDescent="0.25">
      <c r="A331" s="43" t="s">
        <v>223</v>
      </c>
    </row>
    <row r="375" spans="1:1" x14ac:dyDescent="0.25">
      <c r="A375" s="43" t="s">
        <v>67</v>
      </c>
    </row>
    <row r="420" spans="1:1" x14ac:dyDescent="0.25">
      <c r="A420" s="43" t="s">
        <v>199</v>
      </c>
    </row>
  </sheetData>
  <mergeCells count="549">
    <mergeCell ref="B273:H273"/>
    <mergeCell ref="A210:H210"/>
    <mergeCell ref="A211:B211"/>
    <mergeCell ref="G211:H220"/>
    <mergeCell ref="L211:M211"/>
    <mergeCell ref="A212:B212"/>
    <mergeCell ref="L212:M212"/>
    <mergeCell ref="A213:B213"/>
    <mergeCell ref="L213:M213"/>
    <mergeCell ref="A214:B214"/>
    <mergeCell ref="L214:M214"/>
    <mergeCell ref="A215:B215"/>
    <mergeCell ref="C215:F215"/>
    <mergeCell ref="L215:M215"/>
    <mergeCell ref="A216:B216"/>
    <mergeCell ref="L216:M216"/>
    <mergeCell ref="A217:B217"/>
    <mergeCell ref="L217:M217"/>
    <mergeCell ref="A218:B218"/>
    <mergeCell ref="L218:M218"/>
    <mergeCell ref="A219:B219"/>
    <mergeCell ref="L219:M219"/>
    <mergeCell ref="A220:B220"/>
    <mergeCell ref="L220:M220"/>
    <mergeCell ref="A200:B200"/>
    <mergeCell ref="G200:H209"/>
    <mergeCell ref="L200:M200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A207:B207"/>
    <mergeCell ref="L207:M207"/>
    <mergeCell ref="A208:B208"/>
    <mergeCell ref="L208:M208"/>
    <mergeCell ref="A209:B209"/>
    <mergeCell ref="L209:M209"/>
    <mergeCell ref="C204:F204"/>
    <mergeCell ref="L194:M194"/>
    <mergeCell ref="A195:B195"/>
    <mergeCell ref="L195:M195"/>
    <mergeCell ref="A196:B196"/>
    <mergeCell ref="L196:M196"/>
    <mergeCell ref="A197:B197"/>
    <mergeCell ref="L197:M197"/>
    <mergeCell ref="L198:M198"/>
    <mergeCell ref="A199:H19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83:B183"/>
    <mergeCell ref="A187:B187"/>
    <mergeCell ref="G178:H187"/>
    <mergeCell ref="A188:H188"/>
    <mergeCell ref="A189:B189"/>
    <mergeCell ref="G189:H198"/>
    <mergeCell ref="A194:B194"/>
    <mergeCell ref="A198:B198"/>
    <mergeCell ref="A184:B184"/>
    <mergeCell ref="L168:M168"/>
    <mergeCell ref="A169:B169"/>
    <mergeCell ref="L169:M169"/>
    <mergeCell ref="A166:B166"/>
    <mergeCell ref="L170:M170"/>
    <mergeCell ref="A177:H177"/>
    <mergeCell ref="A178:B178"/>
    <mergeCell ref="A179:B179"/>
    <mergeCell ref="A180:B180"/>
    <mergeCell ref="A171:B171"/>
    <mergeCell ref="L171:M171"/>
    <mergeCell ref="A172:B172"/>
    <mergeCell ref="L172:M172"/>
    <mergeCell ref="A173:B173"/>
    <mergeCell ref="L173:M173"/>
    <mergeCell ref="B175:B176"/>
    <mergeCell ref="C175:C176"/>
    <mergeCell ref="A170:B170"/>
    <mergeCell ref="L163:M163"/>
    <mergeCell ref="A164:B164"/>
    <mergeCell ref="L164:M164"/>
    <mergeCell ref="A165:B165"/>
    <mergeCell ref="L165:M165"/>
    <mergeCell ref="A162:B162"/>
    <mergeCell ref="L166:M166"/>
    <mergeCell ref="A167:B167"/>
    <mergeCell ref="L167:M167"/>
    <mergeCell ref="L158:M158"/>
    <mergeCell ref="A159:B159"/>
    <mergeCell ref="L159:M159"/>
    <mergeCell ref="A160:B160"/>
    <mergeCell ref="L160:M160"/>
    <mergeCell ref="A161:B161"/>
    <mergeCell ref="L161:M161"/>
    <mergeCell ref="A158:B158"/>
    <mergeCell ref="L162:M162"/>
    <mergeCell ref="L149:M149"/>
    <mergeCell ref="A144:B144"/>
    <mergeCell ref="L144:M144"/>
    <mergeCell ref="A145:B145"/>
    <mergeCell ref="L145:M145"/>
    <mergeCell ref="A146:B146"/>
    <mergeCell ref="L146:M146"/>
    <mergeCell ref="G149:H173"/>
    <mergeCell ref="L150:M150"/>
    <mergeCell ref="A151:B151"/>
    <mergeCell ref="L151:M151"/>
    <mergeCell ref="A152:B152"/>
    <mergeCell ref="L152:M152"/>
    <mergeCell ref="A153:B153"/>
    <mergeCell ref="L153:M153"/>
    <mergeCell ref="A150:B150"/>
    <mergeCell ref="L154:M154"/>
    <mergeCell ref="A155:B155"/>
    <mergeCell ref="L155:M155"/>
    <mergeCell ref="A156:B156"/>
    <mergeCell ref="L156:M156"/>
    <mergeCell ref="A157:B157"/>
    <mergeCell ref="L157:M157"/>
    <mergeCell ref="A154:B154"/>
    <mergeCell ref="L141:M141"/>
    <mergeCell ref="A138:B138"/>
    <mergeCell ref="L142:M142"/>
    <mergeCell ref="A143:B143"/>
    <mergeCell ref="L143:M143"/>
    <mergeCell ref="A147:B147"/>
    <mergeCell ref="L147:M147"/>
    <mergeCell ref="A142:B142"/>
    <mergeCell ref="A148:H148"/>
    <mergeCell ref="L136:M136"/>
    <mergeCell ref="A137:B137"/>
    <mergeCell ref="L137:M137"/>
    <mergeCell ref="A134:B134"/>
    <mergeCell ref="L138:M138"/>
    <mergeCell ref="A139:B139"/>
    <mergeCell ref="L139:M139"/>
    <mergeCell ref="A140:B140"/>
    <mergeCell ref="L140:M140"/>
    <mergeCell ref="L124:M124"/>
    <mergeCell ref="G123:H147"/>
    <mergeCell ref="A125:B125"/>
    <mergeCell ref="L125:M125"/>
    <mergeCell ref="A121:B121"/>
    <mergeCell ref="L126:M126"/>
    <mergeCell ref="A127:B127"/>
    <mergeCell ref="L127:M127"/>
    <mergeCell ref="A128:B128"/>
    <mergeCell ref="L128:M128"/>
    <mergeCell ref="A129:B129"/>
    <mergeCell ref="L129:M129"/>
    <mergeCell ref="A126:B126"/>
    <mergeCell ref="L130:M130"/>
    <mergeCell ref="A131:B131"/>
    <mergeCell ref="L131:M131"/>
    <mergeCell ref="A132:B132"/>
    <mergeCell ref="L132:M132"/>
    <mergeCell ref="A133:B133"/>
    <mergeCell ref="L133:M133"/>
    <mergeCell ref="A130:B130"/>
    <mergeCell ref="L134:M134"/>
    <mergeCell ref="A135:B135"/>
    <mergeCell ref="L135:M135"/>
    <mergeCell ref="L118:M118"/>
    <mergeCell ref="G105:H121"/>
    <mergeCell ref="A119:B119"/>
    <mergeCell ref="L119:M119"/>
    <mergeCell ref="A120:B120"/>
    <mergeCell ref="L120:M120"/>
    <mergeCell ref="L121:M121"/>
    <mergeCell ref="A122:H122"/>
    <mergeCell ref="A123:B123"/>
    <mergeCell ref="L123:M123"/>
    <mergeCell ref="A81:E81"/>
    <mergeCell ref="A112:B112"/>
    <mergeCell ref="L117:M117"/>
    <mergeCell ref="A117:B117"/>
    <mergeCell ref="A113:B113"/>
    <mergeCell ref="L112:M112"/>
    <mergeCell ref="L113:M113"/>
    <mergeCell ref="A114:B114"/>
    <mergeCell ref="L114:M114"/>
    <mergeCell ref="L115:M115"/>
    <mergeCell ref="A116:B116"/>
    <mergeCell ref="L116:M116"/>
    <mergeCell ref="L110:M110"/>
    <mergeCell ref="E70:F79"/>
    <mergeCell ref="A70:B70"/>
    <mergeCell ref="B102:B103"/>
    <mergeCell ref="A102:A103"/>
    <mergeCell ref="A109:B109"/>
    <mergeCell ref="L108:M108"/>
    <mergeCell ref="L107:M107"/>
    <mergeCell ref="L106:M106"/>
    <mergeCell ref="L105:M105"/>
    <mergeCell ref="L109:M109"/>
    <mergeCell ref="A110:B110"/>
    <mergeCell ref="F87:H87"/>
    <mergeCell ref="A94:B94"/>
    <mergeCell ref="A88:E88"/>
    <mergeCell ref="G102:H103"/>
    <mergeCell ref="F80:H80"/>
    <mergeCell ref="F84:H84"/>
    <mergeCell ref="C102:C103"/>
    <mergeCell ref="E92:F92"/>
    <mergeCell ref="A92:B92"/>
    <mergeCell ref="F85:H85"/>
    <mergeCell ref="E102:E103"/>
    <mergeCell ref="A111:B111"/>
    <mergeCell ref="A100:H100"/>
    <mergeCell ref="C98:D98"/>
    <mergeCell ref="A89:E89"/>
    <mergeCell ref="F89:H89"/>
    <mergeCell ref="A90:E90"/>
    <mergeCell ref="F90:H90"/>
    <mergeCell ref="C94:D94"/>
    <mergeCell ref="E94:F94"/>
    <mergeCell ref="G94:H94"/>
    <mergeCell ref="A104:H104"/>
    <mergeCell ref="E98:F98"/>
    <mergeCell ref="G98:H98"/>
    <mergeCell ref="G97:H97"/>
    <mergeCell ref="A101:H101"/>
    <mergeCell ref="F86:H86"/>
    <mergeCell ref="C93:D93"/>
    <mergeCell ref="C92:D92"/>
    <mergeCell ref="F88:H88"/>
    <mergeCell ref="G92:H92"/>
    <mergeCell ref="A87:E87"/>
    <mergeCell ref="G248:H248"/>
    <mergeCell ref="B269:H269"/>
    <mergeCell ref="A115:B115"/>
    <mergeCell ref="E41:H41"/>
    <mergeCell ref="A41:D41"/>
    <mergeCell ref="A279:H279"/>
    <mergeCell ref="A276:H276"/>
    <mergeCell ref="G253:H253"/>
    <mergeCell ref="A238:B238"/>
    <mergeCell ref="A97:B97"/>
    <mergeCell ref="D175:D176"/>
    <mergeCell ref="E175:E176"/>
    <mergeCell ref="G175:H176"/>
    <mergeCell ref="A75:B75"/>
    <mergeCell ref="F81:H81"/>
    <mergeCell ref="G93:H93"/>
    <mergeCell ref="A48:B48"/>
    <mergeCell ref="C48:E48"/>
    <mergeCell ref="G48:H48"/>
    <mergeCell ref="G50:H50"/>
    <mergeCell ref="D55:H55"/>
    <mergeCell ref="C50:E50"/>
    <mergeCell ref="A63:C63"/>
    <mergeCell ref="A275:H275"/>
    <mergeCell ref="B271:H271"/>
    <mergeCell ref="B268:H268"/>
    <mergeCell ref="B264:H264"/>
    <mergeCell ref="A258:B258"/>
    <mergeCell ref="G258:H258"/>
    <mergeCell ref="G257:H257"/>
    <mergeCell ref="A255:H255"/>
    <mergeCell ref="A256:B256"/>
    <mergeCell ref="A257:B257"/>
    <mergeCell ref="A260:B260"/>
    <mergeCell ref="G256:H256"/>
    <mergeCell ref="B270:H270"/>
    <mergeCell ref="A274:H274"/>
    <mergeCell ref="A232:H232"/>
    <mergeCell ref="G260:H260"/>
    <mergeCell ref="A282:H285"/>
    <mergeCell ref="A281:B281"/>
    <mergeCell ref="E281:F281"/>
    <mergeCell ref="C281:D281"/>
    <mergeCell ref="G281:H281"/>
    <mergeCell ref="A91:H91"/>
    <mergeCell ref="A237:H237"/>
    <mergeCell ref="A98:B98"/>
    <mergeCell ref="A246:B246"/>
    <mergeCell ref="A93:B93"/>
    <mergeCell ref="A277:H277"/>
    <mergeCell ref="A96:H96"/>
    <mergeCell ref="A280:H280"/>
    <mergeCell ref="A278:H278"/>
    <mergeCell ref="A259:B259"/>
    <mergeCell ref="G259:H259"/>
    <mergeCell ref="B262:H262"/>
    <mergeCell ref="B263:H263"/>
    <mergeCell ref="B265:H265"/>
    <mergeCell ref="B266:H266"/>
    <mergeCell ref="G250:H25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G52:H52"/>
    <mergeCell ref="A52:B53"/>
    <mergeCell ref="C53:H53"/>
    <mergeCell ref="C49:E49"/>
    <mergeCell ref="C52:E52"/>
    <mergeCell ref="D59:H59"/>
    <mergeCell ref="A54:H54"/>
    <mergeCell ref="A55:C55"/>
    <mergeCell ref="A56:C56"/>
    <mergeCell ref="D56:H56"/>
    <mergeCell ref="A73:B73"/>
    <mergeCell ref="E69:F69"/>
    <mergeCell ref="A62:C62"/>
    <mergeCell ref="A49:B49"/>
    <mergeCell ref="C51:H51"/>
    <mergeCell ref="D62:H62"/>
    <mergeCell ref="A60:C60"/>
    <mergeCell ref="D64:H64"/>
    <mergeCell ref="G70:H79"/>
    <mergeCell ref="A78:B78"/>
    <mergeCell ref="A79:B79"/>
    <mergeCell ref="D60:H60"/>
    <mergeCell ref="A65:C65"/>
    <mergeCell ref="D65:H65"/>
    <mergeCell ref="G69:H69"/>
    <mergeCell ref="D63:H63"/>
    <mergeCell ref="A64:C64"/>
    <mergeCell ref="A242:B242"/>
    <mergeCell ref="A239:B239"/>
    <mergeCell ref="A240:B240"/>
    <mergeCell ref="A95:B95"/>
    <mergeCell ref="C95:D95"/>
    <mergeCell ref="E95:F95"/>
    <mergeCell ref="G95:H95"/>
    <mergeCell ref="C97:D97"/>
    <mergeCell ref="L222:M222"/>
    <mergeCell ref="L223:M223"/>
    <mergeCell ref="L224:M224"/>
    <mergeCell ref="L225:M225"/>
    <mergeCell ref="A226:B226"/>
    <mergeCell ref="L226:M226"/>
    <mergeCell ref="A227:B227"/>
    <mergeCell ref="L227:M227"/>
    <mergeCell ref="L236:M236"/>
    <mergeCell ref="G233:H233"/>
    <mergeCell ref="L233:M233"/>
    <mergeCell ref="A234:B234"/>
    <mergeCell ref="G234:H234"/>
    <mergeCell ref="G242:H242"/>
    <mergeCell ref="E97:F97"/>
    <mergeCell ref="L111:M111"/>
    <mergeCell ref="A77:B77"/>
    <mergeCell ref="G254:H254"/>
    <mergeCell ref="A261:H261"/>
    <mergeCell ref="A253:B253"/>
    <mergeCell ref="A254:B254"/>
    <mergeCell ref="A247:B247"/>
    <mergeCell ref="A244:B244"/>
    <mergeCell ref="G236:H236"/>
    <mergeCell ref="G252:H252"/>
    <mergeCell ref="A245:B245"/>
    <mergeCell ref="G239:H239"/>
    <mergeCell ref="A236:B236"/>
    <mergeCell ref="G246:H246"/>
    <mergeCell ref="G244:H244"/>
    <mergeCell ref="A249:H249"/>
    <mergeCell ref="A243:H243"/>
    <mergeCell ref="G240:H240"/>
    <mergeCell ref="A250:B250"/>
    <mergeCell ref="A251:B251"/>
    <mergeCell ref="A252:B252"/>
    <mergeCell ref="G251:H251"/>
    <mergeCell ref="A248:B248"/>
    <mergeCell ref="G247:H247"/>
    <mergeCell ref="A241:B241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E93:F93"/>
    <mergeCell ref="A82:E82"/>
    <mergeCell ref="A80:E80"/>
    <mergeCell ref="A85:E85"/>
    <mergeCell ref="A16:B16"/>
    <mergeCell ref="C16:H16"/>
    <mergeCell ref="A38:B38"/>
    <mergeCell ref="C38:H38"/>
    <mergeCell ref="A42:D42"/>
    <mergeCell ref="E42:H42"/>
    <mergeCell ref="E43:H43"/>
    <mergeCell ref="E44:H44"/>
    <mergeCell ref="A47:B47"/>
    <mergeCell ref="C47:H47"/>
    <mergeCell ref="F83:H83"/>
    <mergeCell ref="A83:E83"/>
    <mergeCell ref="F82:H82"/>
    <mergeCell ref="A86:E86"/>
    <mergeCell ref="A84:E84"/>
    <mergeCell ref="E45:H45"/>
    <mergeCell ref="A43:D43"/>
    <mergeCell ref="C37:H37"/>
    <mergeCell ref="A58:C58"/>
    <mergeCell ref="D58:H58"/>
    <mergeCell ref="B272:H272"/>
    <mergeCell ref="L229:M229"/>
    <mergeCell ref="A230:B230"/>
    <mergeCell ref="L230:M230"/>
    <mergeCell ref="A231:B231"/>
    <mergeCell ref="L231:M231"/>
    <mergeCell ref="C229:F229"/>
    <mergeCell ref="A228:B228"/>
    <mergeCell ref="L228:M228"/>
    <mergeCell ref="B267:H267"/>
    <mergeCell ref="G245:H245"/>
    <mergeCell ref="G241:H241"/>
    <mergeCell ref="G238:H238"/>
    <mergeCell ref="G222:H231"/>
    <mergeCell ref="A223:B223"/>
    <mergeCell ref="A224:B224"/>
    <mergeCell ref="A225:B225"/>
    <mergeCell ref="A229:B229"/>
    <mergeCell ref="L234:M234"/>
    <mergeCell ref="A235:B235"/>
    <mergeCell ref="G235:H235"/>
    <mergeCell ref="L235:M235"/>
    <mergeCell ref="A233:B233"/>
    <mergeCell ref="L237:M237"/>
    <mergeCell ref="D102:D103"/>
    <mergeCell ref="A105:B105"/>
    <mergeCell ref="A106:B106"/>
    <mergeCell ref="A107:B107"/>
    <mergeCell ref="A108:B108"/>
    <mergeCell ref="A221:H221"/>
    <mergeCell ref="A222:B222"/>
    <mergeCell ref="A99:B99"/>
    <mergeCell ref="C99:D99"/>
    <mergeCell ref="E99:F99"/>
    <mergeCell ref="G99:H99"/>
    <mergeCell ref="A174:H174"/>
    <mergeCell ref="A175:A176"/>
    <mergeCell ref="A118:B118"/>
    <mergeCell ref="A124:B124"/>
    <mergeCell ref="A136:B136"/>
    <mergeCell ref="A141:B141"/>
    <mergeCell ref="A149:B149"/>
    <mergeCell ref="A163:B163"/>
    <mergeCell ref="A168:B168"/>
    <mergeCell ref="A185:B185"/>
    <mergeCell ref="A186:B186"/>
    <mergeCell ref="A181:B181"/>
    <mergeCell ref="A182:B182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85" max="16383" man="1"/>
    <brk id="330" max="16383" man="1"/>
    <brk id="37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4" zoomScale="85" zoomScaleNormal="85" workbookViewId="0">
      <selection activeCell="B17" sqref="B17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207" t="s">
        <v>104</v>
      </c>
      <c r="C3" s="207"/>
      <c r="D3" s="207"/>
      <c r="E3" s="207"/>
      <c r="F3" s="207"/>
      <c r="G3" s="207"/>
      <c r="H3" s="207"/>
    </row>
    <row r="4" spans="1:9" x14ac:dyDescent="0.25">
      <c r="A4" s="3"/>
      <c r="B4" s="4" t="s">
        <v>105</v>
      </c>
      <c r="C4" s="4" t="s">
        <v>106</v>
      </c>
      <c r="D4" s="4" t="s">
        <v>69</v>
      </c>
      <c r="E4" s="4" t="s">
        <v>107</v>
      </c>
      <c r="F4" s="4" t="s">
        <v>113</v>
      </c>
      <c r="G4" s="4" t="s">
        <v>114</v>
      </c>
      <c r="H4" s="4" t="s">
        <v>108</v>
      </c>
    </row>
    <row r="5" spans="1:9" ht="15" customHeight="1" x14ac:dyDescent="0.25">
      <c r="A5" s="3"/>
      <c r="B5" s="6" t="s">
        <v>109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109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109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109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109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110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110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111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112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2025-07-13T10:08:53Z</cp:lastPrinted>
  <dcterms:created xsi:type="dcterms:W3CDTF">2019-07-16T09:29:46Z</dcterms:created>
  <dcterms:modified xsi:type="dcterms:W3CDTF">2025-07-13T10:10:26Z</dcterms:modified>
</cp:coreProperties>
</file>