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3C7C96B8-AB75-49BF-A2D1-5867921847B3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9" i="1" l="1"/>
  <c r="D178" i="1"/>
  <c r="D177" i="1"/>
  <c r="D176" i="1"/>
  <c r="D175" i="1"/>
  <c r="D174" i="1"/>
  <c r="D173" i="1"/>
  <c r="D161" i="1"/>
  <c r="D160" i="1"/>
  <c r="D159" i="1"/>
  <c r="D158" i="1"/>
  <c r="D156" i="1"/>
  <c r="D155" i="1"/>
  <c r="D154" i="1"/>
  <c r="D153" i="1"/>
  <c r="D151" i="1"/>
  <c r="D150" i="1"/>
  <c r="D149" i="1"/>
  <c r="D148" i="1"/>
  <c r="D147" i="1"/>
  <c r="D146" i="1"/>
  <c r="D145" i="1"/>
  <c r="D144" i="1"/>
  <c r="D142" i="1"/>
  <c r="G116" i="1" l="1"/>
  <c r="G115" i="1" l="1"/>
  <c r="I164" i="1" l="1"/>
  <c r="I166" i="1"/>
  <c r="I141" i="1"/>
  <c r="L168" i="1"/>
  <c r="L143" i="1"/>
  <c r="L142" i="1"/>
  <c r="L141" i="1"/>
  <c r="I150" i="1"/>
  <c r="I149" i="1"/>
  <c r="I148" i="1"/>
  <c r="I147" i="1"/>
  <c r="I146" i="1"/>
  <c r="I145" i="1"/>
  <c r="I144" i="1"/>
  <c r="I138" i="1"/>
  <c r="I135" i="1"/>
  <c r="G111" i="1"/>
  <c r="C116" i="1"/>
  <c r="G112" i="1"/>
  <c r="D171" i="1"/>
  <c r="D170" i="1"/>
  <c r="D169" i="1"/>
  <c r="D168" i="1"/>
  <c r="M132" i="1" s="1"/>
  <c r="D167" i="1"/>
  <c r="D166" i="1"/>
  <c r="D165" i="1"/>
  <c r="J164" i="1" s="1"/>
  <c r="I165" i="1"/>
  <c r="E115" i="1"/>
  <c r="D141" i="1"/>
  <c r="D140" i="1"/>
  <c r="D139" i="1"/>
  <c r="E139" i="1"/>
  <c r="E138" i="1"/>
  <c r="D138" i="1"/>
  <c r="D137" i="1"/>
  <c r="I137" i="1" s="1"/>
  <c r="I140" i="1" s="1"/>
  <c r="L138" i="1"/>
  <c r="J138" i="1"/>
  <c r="D136" i="1"/>
  <c r="I136" i="1" s="1"/>
  <c r="I139" i="1" s="1"/>
  <c r="D135" i="1"/>
  <c r="C115" i="1" s="1"/>
  <c r="K132" i="1"/>
  <c r="J132" i="1"/>
  <c r="L136" i="1"/>
  <c r="L135" i="1"/>
  <c r="I133" i="1"/>
  <c r="K133" i="1" s="1"/>
  <c r="J133" i="1"/>
  <c r="L134" i="1"/>
  <c r="J135" i="1"/>
  <c r="E116" i="1" l="1"/>
  <c r="I142" i="1"/>
  <c r="K142" i="1"/>
  <c r="K151" i="1"/>
  <c r="K161" i="1"/>
  <c r="K162" i="1"/>
  <c r="K163" i="1"/>
  <c r="K171" i="1"/>
  <c r="K179" i="1"/>
  <c r="K180" i="1"/>
  <c r="K181" i="1"/>
  <c r="K182" i="1"/>
  <c r="K183" i="1"/>
  <c r="K184" i="1"/>
  <c r="K185" i="1"/>
  <c r="I123" i="1"/>
  <c r="N138" i="1" l="1"/>
  <c r="N137" i="1"/>
  <c r="N134" i="1"/>
  <c r="K178" i="1" l="1"/>
  <c r="K177" i="1"/>
  <c r="K176" i="1"/>
  <c r="K175" i="1"/>
  <c r="K174" i="1"/>
  <c r="K173" i="1"/>
  <c r="K172" i="1"/>
  <c r="K170" i="1"/>
  <c r="K169" i="1"/>
  <c r="K168" i="1"/>
  <c r="K167" i="1"/>
  <c r="K166" i="1"/>
  <c r="K165" i="1"/>
  <c r="K160" i="1"/>
  <c r="K159" i="1"/>
  <c r="K158" i="1"/>
  <c r="K156" i="1"/>
  <c r="K155" i="1"/>
  <c r="K154" i="1"/>
  <c r="K153" i="1"/>
  <c r="K152" i="1"/>
  <c r="K150" i="1"/>
  <c r="K149" i="1"/>
  <c r="K148" i="1"/>
  <c r="K147" i="1"/>
  <c r="K146" i="1"/>
  <c r="K145" i="1"/>
  <c r="K144" i="1"/>
  <c r="K143" i="1"/>
  <c r="K141" i="1"/>
  <c r="K140" i="1"/>
  <c r="K139" i="1"/>
  <c r="K137" i="1"/>
  <c r="K136" i="1"/>
  <c r="K135" i="1"/>
  <c r="D130" i="1"/>
  <c r="K129" i="1" s="1"/>
  <c r="D129" i="1"/>
  <c r="K128" i="1" s="1"/>
  <c r="D128" i="1"/>
  <c r="K127" i="1" s="1"/>
  <c r="D127" i="1"/>
  <c r="K126" i="1" s="1"/>
  <c r="D126" i="1"/>
  <c r="K125" i="1" s="1"/>
  <c r="D125" i="1"/>
  <c r="K124" i="1" s="1"/>
  <c r="D124" i="1"/>
  <c r="J122" i="1"/>
  <c r="A174" i="1"/>
  <c r="A175" i="1" s="1"/>
  <c r="A176" i="1" s="1"/>
  <c r="A177" i="1" s="1"/>
  <c r="A178" i="1" s="1"/>
  <c r="A179" i="1" s="1"/>
  <c r="G173" i="1"/>
  <c r="A166" i="1"/>
  <c r="A167" i="1" s="1"/>
  <c r="A168" i="1" s="1"/>
  <c r="A169" i="1" s="1"/>
  <c r="A170" i="1" s="1"/>
  <c r="A171" i="1" s="1"/>
  <c r="G165" i="1"/>
  <c r="A154" i="1"/>
  <c r="A155" i="1" s="1"/>
  <c r="A156" i="1" s="1"/>
  <c r="A158" i="1" s="1"/>
  <c r="A159" i="1" s="1"/>
  <c r="A160" i="1" s="1"/>
  <c r="A161" i="1" s="1"/>
  <c r="G153" i="1"/>
  <c r="A145" i="1"/>
  <c r="A146" i="1" s="1"/>
  <c r="A147" i="1" s="1"/>
  <c r="A148" i="1" s="1"/>
  <c r="A149" i="1" s="1"/>
  <c r="A150" i="1" s="1"/>
  <c r="A151" i="1" s="1"/>
  <c r="G144" i="1"/>
  <c r="L139" i="1"/>
  <c r="J137" i="1" l="1"/>
  <c r="K134" i="1"/>
  <c r="K164" i="1"/>
  <c r="E111" i="1"/>
  <c r="E112" i="1" s="1"/>
  <c r="K123" i="1"/>
  <c r="J165" i="1"/>
  <c r="C111" i="1"/>
  <c r="C112" i="1" s="1"/>
  <c r="A136" i="1"/>
  <c r="A137" i="1" s="1"/>
  <c r="A138" i="1" s="1"/>
  <c r="A139" i="1" s="1"/>
  <c r="A140" i="1" s="1"/>
  <c r="A141" i="1" s="1"/>
  <c r="A142" i="1" s="1"/>
  <c r="G135" i="1"/>
  <c r="J123" i="1"/>
  <c r="E42" i="1"/>
  <c r="C117" i="1" l="1"/>
  <c r="C118" i="1" s="1"/>
  <c r="K138" i="1"/>
  <c r="G117" i="1"/>
  <c r="E117" i="1"/>
  <c r="C14" i="1"/>
  <c r="K117" i="1" l="1"/>
  <c r="E118" i="1"/>
  <c r="J117" i="1"/>
  <c r="G118" i="1"/>
  <c r="E29" i="1"/>
  <c r="F108" i="1" l="1"/>
  <c r="B183" i="1" l="1"/>
  <c r="B18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A125" i="1"/>
  <c r="A126" i="1" s="1"/>
  <c r="A127" i="1" s="1"/>
  <c r="A128" i="1" s="1"/>
  <c r="A129" i="1" s="1"/>
  <c r="A130" i="1" s="1"/>
  <c r="G124" i="1"/>
  <c r="J91" i="1"/>
  <c r="J90" i="1"/>
  <c r="J89" i="1"/>
  <c r="J88" i="1"/>
  <c r="C80" i="1"/>
  <c r="J77" i="1"/>
  <c r="J76" i="1"/>
  <c r="J75" i="1"/>
  <c r="J74" i="1"/>
  <c r="C66" i="1"/>
  <c r="D54" i="1"/>
  <c r="G49" i="1"/>
  <c r="G50" i="1" s="1"/>
  <c r="C49" i="1"/>
  <c r="C50" i="1" s="1"/>
  <c r="E43" i="1"/>
  <c r="E26" i="1"/>
  <c r="E24" i="1"/>
  <c r="E7" i="1"/>
  <c r="E3" i="1"/>
  <c r="H81" i="1"/>
  <c r="H67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C85" i="1" s="1"/>
  <c r="J84" i="1"/>
  <c r="J85" i="1"/>
  <c r="C84" i="1" s="1"/>
  <c r="J83" i="1"/>
  <c r="D86" i="1" l="1"/>
  <c r="D72" i="1"/>
  <c r="J68" i="1"/>
  <c r="E70" i="1"/>
  <c r="D71" i="1"/>
  <c r="G70" i="1"/>
  <c r="D64" i="1" s="1"/>
  <c r="D65" i="1" s="1"/>
  <c r="D70" i="1"/>
  <c r="E84" i="1"/>
  <c r="D85" i="1"/>
  <c r="G84" i="1"/>
  <c r="D84" i="1"/>
  <c r="J81" i="1" s="1"/>
  <c r="I67" i="1" l="1"/>
  <c r="J67" i="1"/>
  <c r="I81" i="1"/>
  <c r="F65" i="1"/>
  <c r="I68" i="1" l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<sst xmlns="http://schemas.openxmlformats.org/spreadsheetml/2006/main" count="329" uniqueCount="239">
  <si>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</si>
  <si>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</si>
  <si>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</si>
  <si>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</si>
  <si>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</si>
  <si>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</si>
  <si>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</si>
  <si>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</si>
  <si>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</si>
  <si>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</si>
  <si>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</si>
  <si>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</si>
  <si>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</si>
  <si>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</si>
  <si>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</si>
  <si>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</si>
  <si>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</si>
  <si>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</si>
  <si>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</si>
  <si>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</si>
  <si>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</si>
  <si>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</si>
  <si>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</si>
  <si>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</si>
  <si>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</si>
  <si>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</si>
  <si>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</si>
  <si>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</si>
  <si>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</si>
  <si>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</si>
  <si>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</si>
  <si>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</si>
  <si>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</si>
  <si>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</si>
  <si>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</si>
  <si>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</si>
  <si>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</si>
  <si>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</si>
  <si>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</si>
  <si>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</si>
  <si>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</si>
  <si>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</si>
  <si>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</si>
  <si>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</si>
  <si>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</si>
  <si>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</si>
  <si>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</si>
  <si>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</si>
  <si>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</si>
  <si>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</si>
  <si>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</si>
  <si>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</si>
  <si>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</si>
  <si>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</si>
  <si>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</si>
  <si>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</si>
  <si>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</si>
  <si>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</si>
  <si>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</si>
  <si>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</si>
  <si>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</si>
  <si>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</si>
  <si>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</si>
  <si>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</si>
  <si>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</si>
  <si>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</si>
  <si>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</si>
  <si>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</si>
  <si>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</si>
  <si>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</si>
  <si>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</si>
  <si>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</si>
  <si>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</si>
  <si>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</si>
  <si>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</si>
  <si>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</si>
  <si>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</si>
  <si>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</si>
  <si>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</si>
  <si>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</si>
  <si>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</si>
  <si>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</si>
  <si>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</si>
  <si>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</si>
  <si>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</si>
  <si>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</si>
  <si>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</si>
  <si>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</si>
  <si>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</si>
  <si>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</si>
  <si>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</si>
  <si>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</si>
  <si>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</si>
  <si>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</si>
  <si>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</si>
  <si>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</si>
  <si>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</si>
  <si>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</si>
  <si>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</si>
  <si>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</si>
  <si>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</si>
  <si>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</si>
  <si>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</si>
  <si>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</si>
  <si>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</si>
  <si>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</si>
  <si>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</si>
  <si>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</si>
  <si>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</si>
  <si>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</si>
  <si>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</si>
  <si>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</si>
  <si>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</si>
  <si>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</si>
  <si>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</si>
  <si>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</si>
  <si>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</si>
  <si>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</si>
  <si>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</si>
  <si>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</si>
  <si>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</si>
  <si>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</si>
  <si>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</si>
  <si>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</si>
  <si>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</si>
  <si>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</si>
  <si>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</si>
  <si>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</si>
  <si>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</si>
  <si>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</si>
  <si>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</si>
  <si>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</si>
  <si>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</si>
  <si>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</si>
  <si>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</si>
  <si>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</si>
  <si>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</si>
  <si>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</si>
  <si>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</si>
  <si>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</si>
  <si>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</si>
  <si>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</si>
  <si>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</si>
  <si>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</si>
  <si>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</si>
  <si>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</si>
  <si>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</si>
  <si>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</si>
  <si>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</si>
  <si>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</si>
  <si>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</si>
  <si>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</si>
  <si>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</si>
  <si>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</si>
  <si>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</si>
  <si>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</si>
  <si>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</si>
  <si>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</si>
  <si>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</si>
  <si>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</si>
  <si>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</si>
  <si>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</si>
  <si>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</si>
  <si>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</si>
  <si>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</si>
  <si>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</si>
  <si>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Badlapur</t>
  </si>
  <si>
    <t>Sai Balaji Enterprises</t>
  </si>
  <si>
    <t>Balaji Govind</t>
  </si>
  <si>
    <t>Wing A &amp; B</t>
  </si>
  <si>
    <t>P51700032267</t>
  </si>
  <si>
    <t>Survey No</t>
  </si>
  <si>
    <t>Kanchangaon</t>
  </si>
  <si>
    <t>Thane</t>
  </si>
  <si>
    <t>Kalyan</t>
  </si>
  <si>
    <t>Thakurli East</t>
  </si>
  <si>
    <t>Balaji Gopal</t>
  </si>
  <si>
    <t>2.6KM from Thakurli Railway Station</t>
  </si>
  <si>
    <t>Open Plot</t>
  </si>
  <si>
    <t>https://goo.gl/maps/57Af2gDfGbrgwcde8</t>
  </si>
  <si>
    <t>B Wing = G + 1st to 14th Floor + 15th Floor</t>
  </si>
  <si>
    <t>Shop</t>
  </si>
  <si>
    <t>Wing A</t>
  </si>
  <si>
    <t>1st Floor For Residential</t>
  </si>
  <si>
    <t>8th &amp; 13th Floor ( Part Refuge Area)</t>
  </si>
  <si>
    <t>Wing B</t>
  </si>
  <si>
    <t>Builder Saleable area</t>
  </si>
  <si>
    <t>a wing gr + st on cc</t>
  </si>
  <si>
    <t>As per RERA - 31/12/2025</t>
  </si>
  <si>
    <t>Approved Plans, CC, Builder Saleable Area, Cost Sheet</t>
  </si>
  <si>
    <t>Internal Road</t>
  </si>
  <si>
    <t>Building</t>
  </si>
  <si>
    <t>2 Wings</t>
  </si>
  <si>
    <t>Kalyan-Dombivli Municipal Corporation (KDMC)</t>
  </si>
  <si>
    <t>Layout Plan :</t>
  </si>
  <si>
    <t>cost sheet</t>
  </si>
  <si>
    <t>visitor</t>
  </si>
  <si>
    <t>market</t>
  </si>
  <si>
    <t>6300-7100</t>
  </si>
  <si>
    <t>Office No. 1031, Wing J, Akshar Business Park, Plot No. 03 Sector 25, Near APMC Market,
Vashi, Navi Mumbai, Maharashtra 400703 TEL: 022-46090378/79/8
E mail : vsjcapf@gmail.com. Web site : www.vsjadon.com</t>
  </si>
  <si>
    <t>ss life spaces firm</t>
  </si>
  <si>
    <t>Mangesh Laxman Bapardekar</t>
  </si>
  <si>
    <t>Rate 6600 OC 2.5L Park 3L Bhargav verbal   30/01/2025</t>
  </si>
  <si>
    <t>Other Charges</t>
  </si>
  <si>
    <t>Recommended Rates / Other charges of the Property have been revised on 30/01/2025.</t>
  </si>
  <si>
    <t xml:space="preserve">As per Layout </t>
  </si>
  <si>
    <t>19.2213093,73.1103424</t>
  </si>
  <si>
    <t>Latitude &amp; Longitude</t>
  </si>
  <si>
    <t>30, H.No.2(Pt), 3A, 3B, 4, 5 &amp; 6</t>
  </si>
  <si>
    <t>Other Plot</t>
  </si>
  <si>
    <t>24.00 M. WD D.P Road</t>
  </si>
  <si>
    <t>KDMC/TPD/BP/DOM/2021-22/42/257</t>
  </si>
  <si>
    <t>Wing A = Gr + 1st to 14th Floor
Wing B = Gr + 1st to 14th Floor + 15th(Pt) Floor</t>
  </si>
  <si>
    <t>Wing A = Gr + 1st to 14th Floor</t>
  </si>
  <si>
    <t>Wing B = Gr + 1st to 14th Floor + 15th(Pt) Floor</t>
  </si>
  <si>
    <t>https://bellamaisonrealty.com/Property_for_sale.php?projectname=Balaji%20Govind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</si>
  <si>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</si>
  <si>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Kids Play Area, Garden, CCTV surveillance, Gymnasium, Video Door Phone, Gazebo, Lift, etc.</t>
  </si>
  <si>
    <t>Building Details Floor Wise</t>
  </si>
  <si>
    <t xml:space="preserve">Details of Residential &amp; Commercial in Building   </t>
  </si>
  <si>
    <t>Ground Floor For Commercial, Meter Room, Driver Room &amp; Parking</t>
  </si>
  <si>
    <t>Ground Floor For Meter Room &amp; Parking</t>
  </si>
  <si>
    <t>2nd to 7th, 9th to 12th &amp;14th Floor</t>
  </si>
  <si>
    <t>8th &amp; 13th Floor (Part Refuge Area)</t>
  </si>
  <si>
    <t>Refuge Area</t>
  </si>
  <si>
    <t>1st to 7th, 9th to 12th &amp;14th Floor</t>
  </si>
  <si>
    <t>15th Floor For Society Office, Fitness Center &amp; Part Terrace Area</t>
  </si>
  <si>
    <r>
      <t xml:space="preserve">Shop No.
</t>
    </r>
    <r>
      <rPr>
        <b/>
        <sz val="11"/>
        <rFont val="Times New Roman"/>
        <family val="1"/>
      </rPr>
      <t>(Approved Plan)</t>
    </r>
  </si>
  <si>
    <t>Grand Total</t>
  </si>
  <si>
    <t>-</t>
  </si>
  <si>
    <t>We have updated revised approved plans &amp; CC on 05/04/2025</t>
  </si>
  <si>
    <t>We considered Gross carpet area = Net carpet + Encl Balcony + Open Balcony Area</t>
  </si>
  <si>
    <t>Flats - 210, Shops - 7</t>
  </si>
  <si>
    <t xml:space="preserve">As per the revised approved plan dated 08/09/2022, the approved structure of Wing A is reduced to Gr + 1st to 14th Floor (earlier it was Wing A = Gr + 1st to 15th Floor) </t>
  </si>
  <si>
    <r>
      <t xml:space="preserve">Flat No.
</t>
    </r>
    <r>
      <rPr>
        <b/>
        <sz val="11"/>
        <rFont val="Times New Roman"/>
        <family val="1"/>
      </rPr>
      <t>(Approved Plan)</t>
    </r>
  </si>
  <si>
    <t>Mr. Suraj 8356002318</t>
  </si>
  <si>
    <t>Mr. Manish Telramani 9136695258</t>
  </si>
  <si>
    <t>Gaurav Panchal</t>
  </si>
  <si>
    <t xml:space="preserve">Construction work is in process at the time of Visit.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</si>
</sst>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  <numFmt numFmtId="170" formatCode="0.0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8">
    <xf numFmtId="0" fontId="0" fillId="0" borderId="0" xfId="0"/>
    <xf numFmtId="0" fontId="4" fillId="0" borderId="0" xfId="4" applyFont="1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6" fillId="0" borderId="0" xfId="0" applyFont="1" applyFill="1" applyBorder="1" applyProtection="1">
      <protection hidden="1"/>
    </xf>
    <xf numFmtId="0" fontId="16" fillId="0" borderId="11" xfId="0" applyFont="1" applyFill="1" applyBorder="1" applyProtection="1">
      <protection hidden="1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11" fillId="0" borderId="5" xfId="1" applyFont="1" applyFill="1" applyBorder="1" applyAlignment="1" applyProtection="1">
      <alignment horizontal="center" vertical="top"/>
      <protection locked="0"/>
    </xf>
    <xf numFmtId="0" fontId="5" fillId="0" borderId="1" xfId="1" applyFont="1" applyFill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/>
    <xf numFmtId="0" fontId="14" fillId="0" borderId="0" xfId="1" applyFont="1" applyFill="1"/>
    <xf numFmtId="0" fontId="11" fillId="0" borderId="0" xfId="1" applyFont="1" applyFill="1"/>
    <xf numFmtId="1" fontId="6" fillId="0" borderId="0" xfId="1" applyNumberFormat="1" applyFont="1" applyFill="1"/>
    <xf numFmtId="0" fontId="6" fillId="0" borderId="0" xfId="1" applyNumberFormat="1" applyFont="1" applyFill="1"/>
    <xf numFmtId="14" fontId="6" fillId="0" borderId="0" xfId="1" applyNumberFormat="1" applyFont="1" applyFill="1"/>
    <xf numFmtId="0" fontId="6" fillId="0" borderId="0" xfId="1" applyFont="1" applyFill="1" applyProtection="1">
      <protection hidden="1"/>
    </xf>
    <xf numFmtId="0" fontId="21" fillId="0" borderId="0" xfId="1" applyFont="1" applyFill="1"/>
    <xf numFmtId="0" fontId="6" fillId="0" borderId="10" xfId="1" applyFont="1" applyFill="1" applyBorder="1"/>
    <xf numFmtId="0" fontId="16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5" fillId="0" borderId="0" xfId="1" applyFont="1" applyFill="1"/>
    <xf numFmtId="0" fontId="5" fillId="0" borderId="0" xfId="2" applyFont="1" applyFill="1"/>
    <xf numFmtId="0" fontId="6" fillId="0" borderId="0" xfId="0" applyFont="1" applyFill="1" applyAlignment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0" fontId="22" fillId="2" borderId="30" xfId="0" applyFont="1" applyFill="1" applyBorder="1"/>
    <xf numFmtId="0" fontId="23" fillId="0" borderId="31" xfId="0" applyFont="1" applyFill="1" applyBorder="1"/>
    <xf numFmtId="0" fontId="23" fillId="0" borderId="1" xfId="0" applyFont="1" applyFill="1" applyBorder="1"/>
    <xf numFmtId="0" fontId="23" fillId="0" borderId="5" xfId="0" applyFont="1" applyFill="1" applyBorder="1"/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Alignment="1">
      <alignment horizontal="center" vertical="center"/>
    </xf>
    <xf numFmtId="170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68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2" applyNumberFormat="1" applyFont="1" applyFill="1"/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24" fillId="0" borderId="0" xfId="10" applyFill="1"/>
    <xf numFmtId="1" fontId="12" fillId="0" borderId="3" xfId="1" applyNumberFormat="1" applyFont="1" applyFill="1" applyBorder="1" applyAlignment="1" applyProtection="1">
      <alignment horizontal="center" vertical="top" wrapText="1"/>
      <protection locked="0"/>
    </xf>
    <xf numFmtId="0" fontId="9" fillId="0" borderId="0" xfId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1" fontId="25" fillId="0" borderId="3" xfId="1" applyNumberFormat="1" applyFont="1" applyFill="1" applyBorder="1" applyAlignment="1" applyProtection="1">
      <alignment horizontal="center" vertical="top" wrapText="1"/>
      <protection locked="0"/>
    </xf>
    <xf numFmtId="2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7" xfId="1" applyFont="1" applyFill="1" applyBorder="1" applyAlignment="1" applyProtection="1">
      <alignment horizontal="center" vertical="top" wrapText="1"/>
      <protection locked="0"/>
    </xf>
    <xf numFmtId="9" fontId="11" fillId="0" borderId="7" xfId="8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1" applyNumberFormat="1" applyFont="1" applyFill="1" applyAlignment="1">
      <alignment horizontal="center" vertical="center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Fill="1" applyBorder="1" applyAlignment="1" applyProtection="1">
      <alignment vertical="top" wrapText="1"/>
      <protection locked="0"/>
    </xf>
    <xf numFmtId="1" fontId="7" fillId="0" borderId="21" xfId="0" applyNumberFormat="1" applyFont="1" applyFill="1" applyBorder="1" applyAlignment="1" applyProtection="1">
      <alignment vertical="top" wrapText="1"/>
      <protection locked="0"/>
    </xf>
    <xf numFmtId="1" fontId="7" fillId="0" borderId="9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Fill="1" applyBorder="1" applyAlignment="1" applyProtection="1">
      <alignment horizontal="left" vertical="top" wrapText="1"/>
      <protection locked="0"/>
    </xf>
    <xf numFmtId="1" fontId="12" fillId="0" borderId="8" xfId="0" applyNumberFormat="1" applyFont="1" applyFill="1" applyBorder="1" applyAlignment="1" applyProtection="1">
      <alignment vertical="top" wrapText="1"/>
      <protection locked="0"/>
    </xf>
    <xf numFmtId="1" fontId="12" fillId="0" borderId="21" xfId="0" applyNumberFormat="1" applyFont="1" applyFill="1" applyBorder="1" applyAlignment="1" applyProtection="1">
      <alignment vertical="top" wrapText="1"/>
      <protection locked="0"/>
    </xf>
    <xf numFmtId="1" fontId="12" fillId="0" borderId="9" xfId="0" applyNumberFormat="1" applyFont="1" applyFill="1" applyBorder="1" applyAlignment="1" applyProtection="1">
      <alignment vertical="top" wrapText="1"/>
      <protection locked="0"/>
    </xf>
    <xf numFmtId="1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168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8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6" fillId="0" borderId="0" xfId="1" applyFont="1" applyFill="1" applyAlignment="1">
      <alignment horizontal="center" vertical="center"/>
    </xf>
    <xf numFmtId="170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top" wrapText="1"/>
    </xf>
    <xf numFmtId="1" fontId="9" fillId="0" borderId="0" xfId="1" applyNumberFormat="1" applyFont="1" applyFill="1" applyAlignment="1">
      <alignment horizontal="center" vertical="center"/>
    </xf>
    <xf numFmtId="1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6" xfId="1" applyFont="1" applyFill="1" applyBorder="1" applyAlignment="1" applyProtection="1">
      <alignment horizontal="left" vertical="top"/>
      <protection locked="0"/>
    </xf>
    <xf numFmtId="0" fontId="6" fillId="0" borderId="4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18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9" xfId="8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0" fontId="7" fillId="0" borderId="16" xfId="1" applyFont="1" applyFill="1" applyBorder="1" applyAlignment="1" applyProtection="1">
      <alignment horizontal="center" vertical="top"/>
      <protection locked="0"/>
    </xf>
    <xf numFmtId="0" fontId="5" fillId="0" borderId="16" xfId="1" applyFont="1" applyFill="1" applyBorder="1" applyAlignment="1" applyProtection="1">
      <alignment horizontal="left" vertical="top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18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29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10" xfId="8" applyFont="1" applyFill="1" applyBorder="1" applyAlignment="1" applyProtection="1">
      <alignment horizontal="center" vertical="center" wrapText="1"/>
      <protection locked="0"/>
    </xf>
    <xf numFmtId="9" fontId="11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6" xfId="1" applyFont="1" applyFill="1" applyBorder="1" applyAlignment="1" applyProtection="1">
      <alignment horizontal="center" vertical="top" wrapText="1"/>
      <protection locked="0"/>
    </xf>
    <xf numFmtId="0" fontId="11" fillId="0" borderId="7" xfId="1" applyFont="1" applyFill="1" applyBorder="1" applyAlignment="1" applyProtection="1">
      <alignment horizontal="center" vertical="top" wrapText="1"/>
      <protection locked="0"/>
    </xf>
    <xf numFmtId="1" fontId="5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 wrapText="1"/>
      <protection locked="0"/>
    </xf>
    <xf numFmtId="0" fontId="5" fillId="0" borderId="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center" vertical="top" wrapText="1"/>
      <protection locked="0"/>
    </xf>
    <xf numFmtId="164" fontId="11" fillId="0" borderId="1" xfId="1" applyNumberFormat="1" applyFont="1" applyFill="1" applyBorder="1" applyAlignment="1" applyProtection="1">
      <alignment horizontal="left" vertical="top"/>
      <protection locked="0"/>
    </xf>
    <xf numFmtId="2" fontId="11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11" fillId="0" borderId="8" xfId="1" applyFont="1" applyFill="1" applyBorder="1" applyAlignment="1" applyProtection="1">
      <alignment horizontal="left" vertical="top" wrapText="1"/>
      <protection locked="0"/>
    </xf>
    <xf numFmtId="0" fontId="11" fillId="0" borderId="9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5" fillId="0" borderId="8" xfId="1" applyFont="1" applyFill="1" applyBorder="1" applyAlignment="1" applyProtection="1">
      <alignment horizontal="left" vertical="top" wrapText="1"/>
      <protection locked="0"/>
    </xf>
    <xf numFmtId="0" fontId="5" fillId="0" borderId="9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/>
      <protection locked="0"/>
    </xf>
    <xf numFmtId="2" fontId="11" fillId="0" borderId="1" xfId="1" applyNumberFormat="1" applyFont="1" applyFill="1" applyBorder="1" applyAlignment="1" applyProtection="1">
      <alignment horizontal="left" vertical="top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11" fillId="0" borderId="17" xfId="1" applyFont="1" applyFill="1" applyBorder="1" applyAlignment="1" applyProtection="1">
      <alignment horizontal="left" vertical="top" wrapText="1"/>
      <protection locked="0"/>
    </xf>
    <xf numFmtId="0" fontId="11" fillId="0" borderId="24" xfId="1" applyFont="1" applyFill="1" applyBorder="1" applyAlignment="1" applyProtection="1">
      <alignment horizontal="left" vertical="top" wrapText="1"/>
      <protection locked="0"/>
    </xf>
    <xf numFmtId="0" fontId="11" fillId="0" borderId="18" xfId="1" applyFont="1" applyFill="1" applyBorder="1" applyAlignment="1" applyProtection="1">
      <alignment horizontal="left" vertical="top" wrapText="1"/>
      <protection locked="0"/>
    </xf>
    <xf numFmtId="14" fontId="5" fillId="0" borderId="8" xfId="1" applyNumberFormat="1" applyFont="1" applyFill="1" applyBorder="1" applyAlignment="1" applyProtection="1">
      <alignment horizontal="left" vertical="top" wrapText="1"/>
      <protection locked="0"/>
    </xf>
    <xf numFmtId="14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5" fillId="0" borderId="18" xfId="1" applyFont="1" applyFill="1" applyBorder="1" applyAlignment="1" applyProtection="1">
      <alignment horizontal="left" vertical="top" wrapText="1"/>
      <protection locked="0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0" fontId="5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14" fontId="11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11" fillId="0" borderId="25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Fill="1" applyBorder="1" applyAlignment="1" applyProtection="1">
      <alignment horizontal="left" vertical="top" wrapText="1"/>
      <protection locked="0"/>
    </xf>
    <xf numFmtId="0" fontId="11" fillId="0" borderId="17" xfId="1" applyFont="1" applyFill="1" applyBorder="1" applyAlignment="1" applyProtection="1">
      <alignment horizontal="left" vertical="top"/>
      <protection locked="0"/>
    </xf>
    <xf numFmtId="0" fontId="11" fillId="0" borderId="24" xfId="1" applyFont="1" applyFill="1" applyBorder="1" applyAlignment="1" applyProtection="1">
      <alignment horizontal="left" vertical="top"/>
      <protection locked="0"/>
    </xf>
    <xf numFmtId="0" fontId="11" fillId="0" borderId="18" xfId="1" applyFont="1" applyFill="1" applyBorder="1" applyAlignment="1" applyProtection="1">
      <alignment horizontal="left" vertical="top"/>
      <protection locked="0"/>
    </xf>
    <xf numFmtId="0" fontId="11" fillId="0" borderId="19" xfId="1" applyFont="1" applyFill="1" applyBorder="1" applyAlignment="1" applyProtection="1">
      <alignment horizontal="left" vertical="top"/>
      <protection locked="0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20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21" xfId="1" applyFont="1" applyFill="1" applyBorder="1" applyAlignment="1" applyProtection="1">
      <alignment horizontal="left" vertical="top" wrapText="1"/>
      <protection locked="0"/>
    </xf>
    <xf numFmtId="0" fontId="7" fillId="0" borderId="8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left" vertical="top"/>
      <protection locked="0"/>
    </xf>
    <xf numFmtId="0" fontId="5" fillId="0" borderId="3" xfId="1" applyFont="1" applyFill="1" applyBorder="1" applyAlignment="1" applyProtection="1">
      <alignment horizontal="left" vertical="top"/>
      <protection locked="0"/>
    </xf>
    <xf numFmtId="0" fontId="11" fillId="0" borderId="5" xfId="1" applyFont="1" applyFill="1" applyBorder="1" applyAlignment="1" applyProtection="1">
      <alignment horizontal="center" vertical="top" wrapText="1"/>
      <protection locked="0"/>
    </xf>
    <xf numFmtId="0" fontId="6" fillId="0" borderId="8" xfId="1" applyFont="1" applyFill="1" applyBorder="1" applyAlignment="1" applyProtection="1">
      <alignment horizontal="left"/>
      <protection locked="0"/>
    </xf>
    <xf numFmtId="0" fontId="6" fillId="0" borderId="21" xfId="1" applyFont="1" applyFill="1" applyBorder="1" applyAlignment="1" applyProtection="1">
      <alignment horizontal="left"/>
      <protection locked="0"/>
    </xf>
    <xf numFmtId="0" fontId="6" fillId="0" borderId="9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left"/>
      <protection locked="0"/>
    </xf>
    <xf numFmtId="0" fontId="5" fillId="0" borderId="1" xfId="1" applyFont="1" applyFill="1" applyBorder="1" applyAlignment="1" applyProtection="1">
      <alignment vertical="top"/>
      <protection locked="0"/>
    </xf>
    <xf numFmtId="0" fontId="6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265</xdr:row>
      <xdr:rowOff>21770</xdr:rowOff>
    </xdr:from>
    <xdr:to>
      <xdr:col>7</xdr:col>
      <xdr:colOff>658397</xdr:colOff>
      <xdr:row>277</xdr:row>
      <xdr:rowOff>21771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44929" y="54961970"/>
          <a:ext cx="6109418" cy="2400301"/>
          <a:chOff x="209225" y="53082824"/>
          <a:chExt cx="6109418" cy="2400301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209225" y="53082824"/>
            <a:ext cx="6109418" cy="2400301"/>
            <a:chOff x="209225" y="53082824"/>
            <a:chExt cx="6109418" cy="2400301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9225" y="53082824"/>
              <a:ext cx="6109418" cy="2400301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981075" y="53563557"/>
              <a:ext cx="1871942" cy="1155327"/>
            </a:xfrm>
            <a:prstGeom prst="rect">
              <a:avLst/>
            </a:prstGeom>
            <a:noFill/>
            <a:ln w="28575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2864783" y="53685141"/>
              <a:ext cx="1930214" cy="1355351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467100" y="55121175"/>
              <a:ext cx="650306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100" b="1">
                  <a:solidFill>
                    <a:srgbClr val="FF0000"/>
                  </a:solidFill>
                </a:rPr>
                <a:t>WING A</a:t>
              </a:r>
            </a:p>
          </xdr:txBody>
        </xdr:sp>
      </xdr:grp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771650" y="54768750"/>
            <a:ext cx="643894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ysClr val="windowText" lastClr="000000"/>
                </a:solidFill>
              </a:rPr>
              <a:t>WING B</a:t>
            </a:r>
          </a:p>
        </xdr:txBody>
      </xdr:sp>
    </xdr:grpSp>
    <xdr:clientData/>
  </xdr:twoCellAnchor>
  <xdr:twoCellAnchor editAs="oneCell">
    <xdr:from>
      <xdr:col>1</xdr:col>
      <xdr:colOff>145597</xdr:colOff>
      <xdr:row>281</xdr:row>
      <xdr:rowOff>95250</xdr:rowOff>
    </xdr:from>
    <xdr:to>
      <xdr:col>6</xdr:col>
      <xdr:colOff>216630</xdr:colOff>
      <xdr:row>298</xdr:row>
      <xdr:rowOff>81962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7597" y="59925857"/>
          <a:ext cx="4207604" cy="34565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1001605</xdr:colOff>
      <xdr:row>203</xdr:row>
      <xdr:rowOff>0</xdr:rowOff>
    </xdr:from>
    <xdr:ext cx="708912" cy="31149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846905" y="4227195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13</xdr:col>
      <xdr:colOff>47412</xdr:colOff>
      <xdr:row>203</xdr:row>
      <xdr:rowOff>150668</xdr:rowOff>
    </xdr:from>
    <xdr:ext cx="708912" cy="31149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210712" y="42422618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B</a:t>
          </a:r>
        </a:p>
      </xdr:txBody>
    </xdr:sp>
    <xdr:clientData/>
  </xdr:oneCellAnchor>
  <xdr:twoCellAnchor editAs="oneCell">
    <xdr:from>
      <xdr:col>8</xdr:col>
      <xdr:colOff>287431</xdr:colOff>
      <xdr:row>16</xdr:row>
      <xdr:rowOff>14569</xdr:rowOff>
    </xdr:from>
    <xdr:to>
      <xdr:col>19</xdr:col>
      <xdr:colOff>450527</xdr:colOff>
      <xdr:row>27</xdr:row>
      <xdr:rowOff>96160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0460" y="3880598"/>
          <a:ext cx="8399420" cy="2513267"/>
        </a:xfrm>
        <a:prstGeom prst="rect">
          <a:avLst/>
        </a:prstGeom>
      </xdr:spPr>
    </xdr:pic>
    <xdr:clientData/>
  </xdr:twoCellAnchor>
  <xdr:twoCellAnchor editAs="oneCell">
    <xdr:from>
      <xdr:col>8</xdr:col>
      <xdr:colOff>1088653</xdr:colOff>
      <xdr:row>0</xdr:row>
      <xdr:rowOff>28575</xdr:rowOff>
    </xdr:from>
    <xdr:to>
      <xdr:col>17</xdr:col>
      <xdr:colOff>435678</xdr:colOff>
      <xdr:row>15</xdr:row>
      <xdr:rowOff>74511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3278" y="28575"/>
          <a:ext cx="6357425" cy="3931015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298</xdr:row>
      <xdr:rowOff>203229</xdr:rowOff>
    </xdr:from>
    <xdr:to>
      <xdr:col>7</xdr:col>
      <xdr:colOff>421820</xdr:colOff>
      <xdr:row>321</xdr:row>
      <xdr:rowOff>89170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80999" y="61744254"/>
          <a:ext cx="5736771" cy="4486516"/>
          <a:chOff x="380999" y="63503658"/>
          <a:chExt cx="5715000" cy="458040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80999" y="63503658"/>
            <a:ext cx="5715000" cy="4580405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 rot="619101">
            <a:off x="2381251" y="65395928"/>
            <a:ext cx="1755321" cy="639536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2</xdr:col>
      <xdr:colOff>89808</xdr:colOff>
      <xdr:row>249</xdr:row>
      <xdr:rowOff>115003</xdr:rowOff>
    </xdr:from>
    <xdr:to>
      <xdr:col>6</xdr:col>
      <xdr:colOff>68036</xdr:colOff>
      <xdr:row>264</xdr:row>
      <xdr:rowOff>69354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4629" y="53414182"/>
          <a:ext cx="3311978" cy="30159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14</xdr:col>
      <xdr:colOff>71637</xdr:colOff>
      <xdr:row>136</xdr:row>
      <xdr:rowOff>163069</xdr:rowOff>
    </xdr:from>
    <xdr:to>
      <xdr:col>22</xdr:col>
      <xdr:colOff>101012</xdr:colOff>
      <xdr:row>151</xdr:row>
      <xdr:rowOff>136278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42458" y="29758605"/>
          <a:ext cx="5132054" cy="3034816"/>
        </a:xfrm>
        <a:prstGeom prst="rect">
          <a:avLst/>
        </a:prstGeom>
      </xdr:spPr>
    </xdr:pic>
    <xdr:clientData/>
  </xdr:twoCellAnchor>
  <xdr:twoCellAnchor editAs="oneCell">
    <xdr:from>
      <xdr:col>8</xdr:col>
      <xdr:colOff>414618</xdr:colOff>
      <xdr:row>107</xdr:row>
      <xdr:rowOff>201705</xdr:rowOff>
    </xdr:from>
    <xdr:to>
      <xdr:col>15</xdr:col>
      <xdr:colOff>65172</xdr:colOff>
      <xdr:row>119</xdr:row>
      <xdr:rowOff>105658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47647" y="22478999"/>
          <a:ext cx="5287113" cy="2324424"/>
        </a:xfrm>
        <a:prstGeom prst="rect">
          <a:avLst/>
        </a:prstGeom>
      </xdr:spPr>
    </xdr:pic>
    <xdr:clientData/>
  </xdr:twoCellAnchor>
  <xdr:twoCellAnchor editAs="oneCell">
    <xdr:from>
      <xdr:col>13</xdr:col>
      <xdr:colOff>598713</xdr:colOff>
      <xdr:row>143</xdr:row>
      <xdr:rowOff>81643</xdr:rowOff>
    </xdr:from>
    <xdr:to>
      <xdr:col>20</xdr:col>
      <xdr:colOff>402041</xdr:colOff>
      <xdr:row>161</xdr:row>
      <xdr:rowOff>180141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25892" y="31105929"/>
          <a:ext cx="4525006" cy="3772426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50</xdr:row>
      <xdr:rowOff>352425</xdr:rowOff>
    </xdr:from>
    <xdr:to>
      <xdr:col>21</xdr:col>
      <xdr:colOff>125104</xdr:colOff>
      <xdr:row>61</xdr:row>
      <xdr:rowOff>28901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34200" y="11601450"/>
          <a:ext cx="9164329" cy="233395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205</xdr:row>
      <xdr:rowOff>180975</xdr:rowOff>
    </xdr:from>
    <xdr:to>
      <xdr:col>7</xdr:col>
      <xdr:colOff>581025</xdr:colOff>
      <xdr:row>243</xdr:row>
      <xdr:rowOff>41578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96E32191-ABB1-4B19-A609-47F0118C3309}"/>
            </a:ext>
          </a:extLst>
        </xdr:cNvPr>
        <xdr:cNvGrpSpPr/>
      </xdr:nvGrpSpPr>
      <xdr:grpSpPr>
        <a:xfrm>
          <a:off x="257175" y="43129200"/>
          <a:ext cx="6019800" cy="7452028"/>
          <a:chOff x="201704" y="402489"/>
          <a:chExt cx="6324397" cy="7566328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D2FE01EF-09AD-4741-8D6F-E31AA86FA02F}"/>
              </a:ext>
            </a:extLst>
          </xdr:cNvPr>
          <xdr:cNvGrpSpPr/>
        </xdr:nvGrpSpPr>
        <xdr:grpSpPr>
          <a:xfrm>
            <a:off x="201704" y="402489"/>
            <a:ext cx="6324397" cy="7566328"/>
            <a:chOff x="201704" y="402489"/>
            <a:chExt cx="6324397" cy="7566328"/>
          </a:xfrm>
        </xdr:grpSpPr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A9AFD082-A357-4C6C-A57A-978EC694E1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06824" y="402489"/>
              <a:ext cx="5145628" cy="351278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D1A3F2A4-897F-4273-989E-A4A1BB508E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15352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7F20CEDF-78AB-40A2-A368-EB965EE537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1704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44057F62-46CB-4BB5-AB87-6B0AFD9C6E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42648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87A3E14E-8D9C-451D-A4BB-EDFEAB6F3E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85A04732-F65C-49E9-A6AE-A342E3E6D8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8065" y="616881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A559FEED-AE04-45AA-BFFA-E614EC8397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91211" y="6168817"/>
              <a:ext cx="239809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D8170B7E-1A1D-4E8B-8F94-2E2F5BE1FB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03858" y="616881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8" name="TextBox 83">
            <a:extLst>
              <a:ext uri="{FF2B5EF4-FFF2-40B4-BE49-F238E27FC236}">
                <a16:creationId xmlns:a16="http://schemas.microsoft.com/office/drawing/2014/main" id="{A3E45BF2-103E-480C-9CC0-14A9FC0757EE}"/>
              </a:ext>
            </a:extLst>
          </xdr:cNvPr>
          <xdr:cNvSpPr txBox="1"/>
        </xdr:nvSpPr>
        <xdr:spPr>
          <a:xfrm>
            <a:off x="441870" y="5546433"/>
            <a:ext cx="943347" cy="3798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9" name="TextBox 84">
            <a:extLst>
              <a:ext uri="{FF2B5EF4-FFF2-40B4-BE49-F238E27FC236}">
                <a16:creationId xmlns:a16="http://schemas.microsoft.com/office/drawing/2014/main" id="{89C51F21-7697-4642-A672-CFC8E3BF4194}"/>
              </a:ext>
            </a:extLst>
          </xdr:cNvPr>
          <xdr:cNvSpPr txBox="1"/>
        </xdr:nvSpPr>
        <xdr:spPr>
          <a:xfrm>
            <a:off x="1970173" y="5276200"/>
            <a:ext cx="1083511" cy="3798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0" name="TextBox 85">
            <a:extLst>
              <a:ext uri="{FF2B5EF4-FFF2-40B4-BE49-F238E27FC236}">
                <a16:creationId xmlns:a16="http://schemas.microsoft.com/office/drawing/2014/main" id="{D64B6F1A-7F18-411E-98D2-873AD9187C4C}"/>
              </a:ext>
            </a:extLst>
          </xdr:cNvPr>
          <xdr:cNvSpPr txBox="1"/>
        </xdr:nvSpPr>
        <xdr:spPr>
          <a:xfrm>
            <a:off x="1104527" y="7486794"/>
            <a:ext cx="918441" cy="3798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86">
            <a:extLst>
              <a:ext uri="{FF2B5EF4-FFF2-40B4-BE49-F238E27FC236}">
                <a16:creationId xmlns:a16="http://schemas.microsoft.com/office/drawing/2014/main" id="{1AA70C59-8ECD-4105-83E7-697FCD012283}"/>
              </a:ext>
            </a:extLst>
          </xdr:cNvPr>
          <xdr:cNvSpPr txBox="1"/>
        </xdr:nvSpPr>
        <xdr:spPr>
          <a:xfrm>
            <a:off x="3695868" y="5341606"/>
            <a:ext cx="948923" cy="3798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87">
            <a:extLst>
              <a:ext uri="{FF2B5EF4-FFF2-40B4-BE49-F238E27FC236}">
                <a16:creationId xmlns:a16="http://schemas.microsoft.com/office/drawing/2014/main" id="{36C94DAD-0128-4D1E-B20D-787350B4F726}"/>
              </a:ext>
            </a:extLst>
          </xdr:cNvPr>
          <xdr:cNvSpPr txBox="1"/>
        </xdr:nvSpPr>
        <xdr:spPr>
          <a:xfrm>
            <a:off x="5278155" y="5276200"/>
            <a:ext cx="977757" cy="3798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llamaisonrealty.com/Property_for_sale.php?projectname=Balaji%20Govind" TargetMode="External"/><Relationship Id="rId1" Type="http://schemas.openxmlformats.org/officeDocument/2006/relationships/hyperlink" Target="https://goo.gl/maps/57Af2gDfGbrgwcde8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81"/>
  <sheetViews>
    <sheetView tabSelected="1" view="pageBreakPreview" topLeftCell="A155" zoomScaleNormal="100" zoomScaleSheetLayoutView="100" workbookViewId="0">
      <selection activeCell="I192" sqref="I192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10" ht="46.5" customHeight="1" x14ac:dyDescent="0.25">
      <c r="A1" s="204" t="s">
        <v>199</v>
      </c>
      <c r="B1" s="204"/>
      <c r="C1" s="204"/>
      <c r="D1" s="204"/>
      <c r="E1" s="204"/>
      <c r="F1" s="204"/>
      <c r="G1" s="204"/>
      <c r="H1" s="204"/>
    </row>
    <row r="2" spans="1:10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10" x14ac:dyDescent="0.25">
      <c r="A3" s="176" t="s">
        <v>1</v>
      </c>
      <c r="B3" s="176"/>
      <c r="C3" s="176"/>
      <c r="D3" s="176"/>
      <c r="E3" s="176" t="str">
        <f ca="1">TEXT(TODAY(),"DD/MM/YYYY")</f>
        <v>11/07/2025</v>
      </c>
      <c r="F3" s="176"/>
      <c r="G3" s="176"/>
      <c r="H3" s="176"/>
    </row>
    <row r="4" spans="1:10" ht="15" customHeight="1" x14ac:dyDescent="0.25">
      <c r="A4" s="176" t="s">
        <v>2</v>
      </c>
      <c r="B4" s="176"/>
      <c r="C4" s="176"/>
      <c r="D4" s="176"/>
      <c r="E4" s="176" t="s">
        <v>166</v>
      </c>
      <c r="F4" s="176"/>
      <c r="G4" s="176"/>
      <c r="H4" s="176"/>
    </row>
    <row r="5" spans="1:10" x14ac:dyDescent="0.25">
      <c r="A5" s="176" t="s">
        <v>3</v>
      </c>
      <c r="B5" s="176"/>
      <c r="C5" s="176"/>
      <c r="D5" s="176"/>
      <c r="E5" s="203">
        <v>45846</v>
      </c>
      <c r="F5" s="176"/>
      <c r="G5" s="176"/>
      <c r="H5" s="176"/>
    </row>
    <row r="6" spans="1:10" ht="16.5" customHeight="1" x14ac:dyDescent="0.25">
      <c r="A6" s="176" t="s">
        <v>4</v>
      </c>
      <c r="B6" s="176"/>
      <c r="C6" s="176"/>
      <c r="D6" s="176"/>
      <c r="E6" s="176" t="s">
        <v>167</v>
      </c>
      <c r="F6" s="176"/>
      <c r="G6" s="176"/>
      <c r="H6" s="176"/>
      <c r="J6" s="22" t="s">
        <v>200</v>
      </c>
    </row>
    <row r="7" spans="1:10" ht="15" customHeight="1" x14ac:dyDescent="0.25">
      <c r="A7" s="176" t="s">
        <v>5</v>
      </c>
      <c r="B7" s="176"/>
      <c r="C7" s="176"/>
      <c r="D7" s="176"/>
      <c r="E7" s="176" t="str">
        <f>E6</f>
        <v>Sai Balaji Enterprises</v>
      </c>
      <c r="F7" s="176"/>
      <c r="G7" s="176"/>
      <c r="H7" s="176"/>
    </row>
    <row r="8" spans="1:10" x14ac:dyDescent="0.25">
      <c r="A8" s="176" t="s">
        <v>6</v>
      </c>
      <c r="B8" s="176"/>
      <c r="C8" s="176"/>
      <c r="D8" s="176"/>
      <c r="E8" s="170" t="s">
        <v>168</v>
      </c>
      <c r="F8" s="170"/>
      <c r="G8" s="170"/>
      <c r="H8" s="170"/>
    </row>
    <row r="9" spans="1:10" x14ac:dyDescent="0.25">
      <c r="A9" s="176" t="s">
        <v>164</v>
      </c>
      <c r="B9" s="176"/>
      <c r="C9" s="176"/>
      <c r="D9" s="176"/>
      <c r="E9" s="176" t="s">
        <v>236</v>
      </c>
      <c r="F9" s="176"/>
      <c r="G9" s="176"/>
      <c r="H9" s="176"/>
    </row>
    <row r="10" spans="1:10" x14ac:dyDescent="0.25">
      <c r="A10" s="176" t="s">
        <v>165</v>
      </c>
      <c r="B10" s="176"/>
      <c r="C10" s="176"/>
      <c r="D10" s="176"/>
      <c r="E10" s="176" t="s">
        <v>235</v>
      </c>
      <c r="F10" s="176"/>
      <c r="G10" s="176"/>
      <c r="H10" s="176"/>
    </row>
    <row r="11" spans="1:10" x14ac:dyDescent="0.25">
      <c r="A11" s="176" t="s">
        <v>7</v>
      </c>
      <c r="B11" s="176"/>
      <c r="C11" s="176"/>
      <c r="D11" s="176"/>
      <c r="E11" s="176" t="s">
        <v>169</v>
      </c>
      <c r="F11" s="176"/>
      <c r="G11" s="176"/>
      <c r="H11" s="176"/>
    </row>
    <row r="12" spans="1:10" ht="36" customHeight="1" x14ac:dyDescent="0.25">
      <c r="A12" s="126" t="s">
        <v>8</v>
      </c>
      <c r="B12" s="126"/>
      <c r="C12" s="126"/>
      <c r="D12" s="126"/>
      <c r="E12" s="179" t="s">
        <v>189</v>
      </c>
      <c r="F12" s="179"/>
      <c r="G12" s="179"/>
      <c r="H12" s="179"/>
    </row>
    <row r="13" spans="1:10" x14ac:dyDescent="0.25">
      <c r="A13" s="126" t="s">
        <v>9</v>
      </c>
      <c r="B13" s="126"/>
      <c r="C13" s="126"/>
      <c r="D13" s="126"/>
      <c r="E13" s="179" t="s">
        <v>170</v>
      </c>
      <c r="F13" s="176"/>
      <c r="G13" s="176"/>
      <c r="H13" s="176"/>
    </row>
    <row r="14" spans="1:10" ht="34.5" customHeight="1" x14ac:dyDescent="0.25">
      <c r="A14" s="168" t="s">
        <v>10</v>
      </c>
      <c r="B14" s="168"/>
      <c r="C14" s="16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Balaji Govind, Survey No.30, H.No.2(Pt), 3A, 3B, 4, 5 &amp; 6, near Balaji Gopal, Internal Road, Kanchangaon, Kanchangaon, Thakurli East, Kalyan, Thane - 421201.</v>
      </c>
      <c r="D14" s="168"/>
      <c r="E14" s="168"/>
      <c r="F14" s="168"/>
      <c r="G14" s="168"/>
      <c r="H14" s="168"/>
    </row>
    <row r="15" spans="1:10" x14ac:dyDescent="0.25">
      <c r="A15" s="179" t="s">
        <v>171</v>
      </c>
      <c r="B15" s="179"/>
      <c r="C15" s="179" t="s">
        <v>208</v>
      </c>
      <c r="D15" s="179"/>
      <c r="E15" s="179"/>
      <c r="F15" s="179"/>
      <c r="G15" s="179"/>
      <c r="H15" s="179"/>
    </row>
    <row r="16" spans="1:10" ht="15.75" customHeight="1" x14ac:dyDescent="0.25">
      <c r="A16" s="179" t="s">
        <v>163</v>
      </c>
      <c r="B16" s="179"/>
      <c r="C16" s="179" t="s">
        <v>172</v>
      </c>
      <c r="D16" s="179"/>
      <c r="E16" s="179"/>
      <c r="F16" s="179"/>
      <c r="G16" s="179"/>
      <c r="H16" s="179"/>
    </row>
    <row r="17" spans="1:8" ht="15.75" customHeight="1" x14ac:dyDescent="0.25">
      <c r="A17" s="168" t="s">
        <v>11</v>
      </c>
      <c r="B17" s="168"/>
      <c r="C17" s="176" t="s">
        <v>190</v>
      </c>
      <c r="D17" s="176"/>
      <c r="E17" s="168" t="s">
        <v>72</v>
      </c>
      <c r="F17" s="168"/>
      <c r="G17" s="179" t="s">
        <v>172</v>
      </c>
      <c r="H17" s="179"/>
    </row>
    <row r="18" spans="1:8" x14ac:dyDescent="0.25">
      <c r="A18" s="126" t="s">
        <v>13</v>
      </c>
      <c r="B18" s="126"/>
      <c r="C18" s="179" t="s">
        <v>175</v>
      </c>
      <c r="D18" s="179"/>
      <c r="E18" s="168" t="s">
        <v>12</v>
      </c>
      <c r="F18" s="168"/>
      <c r="G18" s="228" t="s">
        <v>173</v>
      </c>
      <c r="H18" s="228"/>
    </row>
    <row r="19" spans="1:8" x14ac:dyDescent="0.25">
      <c r="A19" s="126" t="s">
        <v>73</v>
      </c>
      <c r="B19" s="126"/>
      <c r="C19" s="179" t="s">
        <v>174</v>
      </c>
      <c r="D19" s="179"/>
      <c r="E19" s="168" t="s">
        <v>14</v>
      </c>
      <c r="F19" s="168"/>
      <c r="G19" s="179">
        <v>421201</v>
      </c>
      <c r="H19" s="179"/>
    </row>
    <row r="20" spans="1:8" ht="32.25" customHeight="1" x14ac:dyDescent="0.25">
      <c r="A20" s="126" t="s">
        <v>121</v>
      </c>
      <c r="B20" s="126"/>
      <c r="C20" s="179" t="s">
        <v>176</v>
      </c>
      <c r="D20" s="179"/>
      <c r="E20" s="168" t="s">
        <v>15</v>
      </c>
      <c r="F20" s="168"/>
      <c r="G20" s="179" t="s">
        <v>177</v>
      </c>
      <c r="H20" s="179"/>
    </row>
    <row r="21" spans="1:8" ht="15" customHeight="1" x14ac:dyDescent="0.25">
      <c r="A21" s="168" t="s">
        <v>75</v>
      </c>
      <c r="B21" s="168"/>
      <c r="C21" s="168"/>
      <c r="D21" s="168"/>
      <c r="E21" s="176" t="s">
        <v>16</v>
      </c>
      <c r="F21" s="176"/>
      <c r="G21" s="176"/>
      <c r="H21" s="176"/>
    </row>
    <row r="22" spans="1:8" ht="18.75" customHeight="1" x14ac:dyDescent="0.25">
      <c r="A22" s="168"/>
      <c r="B22" s="168"/>
      <c r="C22" s="168"/>
      <c r="D22" s="168"/>
      <c r="E22" s="176"/>
      <c r="F22" s="176"/>
      <c r="G22" s="176"/>
      <c r="H22" s="176"/>
    </row>
    <row r="23" spans="1:8" ht="15" customHeight="1" x14ac:dyDescent="0.25">
      <c r="A23" s="168" t="s">
        <v>17</v>
      </c>
      <c r="B23" s="168"/>
      <c r="C23" s="168"/>
      <c r="D23" s="168"/>
      <c r="E23" s="179" t="s">
        <v>18</v>
      </c>
      <c r="F23" s="179"/>
      <c r="G23" s="179"/>
      <c r="H23" s="179"/>
    </row>
    <row r="24" spans="1:8" ht="15" customHeight="1" x14ac:dyDescent="0.25">
      <c r="A24" s="126" t="s">
        <v>19</v>
      </c>
      <c r="B24" s="126"/>
      <c r="C24" s="126"/>
      <c r="D24" s="126"/>
      <c r="E24" s="179" t="str">
        <f>IF(AND(G18="Mumbai"),"Upper Class","Middle Class")</f>
        <v>Middle Class</v>
      </c>
      <c r="F24" s="179"/>
      <c r="G24" s="179"/>
      <c r="H24" s="179"/>
    </row>
    <row r="25" spans="1:8" x14ac:dyDescent="0.25">
      <c r="A25" s="126" t="s">
        <v>20</v>
      </c>
      <c r="B25" s="126"/>
      <c r="C25" s="126"/>
      <c r="D25" s="126"/>
      <c r="E25" s="179" t="s">
        <v>21</v>
      </c>
      <c r="F25" s="179"/>
      <c r="G25" s="179"/>
      <c r="H25" s="179"/>
    </row>
    <row r="26" spans="1:8" ht="15.75" customHeight="1" x14ac:dyDescent="0.25">
      <c r="A26" s="126" t="s">
        <v>22</v>
      </c>
      <c r="B26" s="126"/>
      <c r="C26" s="126"/>
      <c r="D26" s="126"/>
      <c r="E26" s="179" t="str">
        <f>IF(AND(G18="Mumbai"),"Developed","Developing")</f>
        <v>Developing</v>
      </c>
      <c r="F26" s="179"/>
      <c r="G26" s="179"/>
      <c r="H26" s="179"/>
    </row>
    <row r="27" spans="1:8" x14ac:dyDescent="0.25">
      <c r="A27" s="126" t="s">
        <v>23</v>
      </c>
      <c r="B27" s="126"/>
      <c r="C27" s="126"/>
      <c r="D27" s="126"/>
      <c r="E27" s="179" t="s">
        <v>24</v>
      </c>
      <c r="F27" s="179"/>
      <c r="G27" s="179"/>
      <c r="H27" s="179"/>
    </row>
    <row r="28" spans="1:8" ht="15.75" customHeight="1" x14ac:dyDescent="0.25">
      <c r="A28" s="126" t="s">
        <v>80</v>
      </c>
      <c r="B28" s="126"/>
      <c r="C28" s="126"/>
      <c r="D28" s="126"/>
      <c r="E28" s="179" t="s">
        <v>81</v>
      </c>
      <c r="F28" s="179"/>
      <c r="G28" s="179"/>
      <c r="H28" s="179"/>
    </row>
    <row r="29" spans="1:8" ht="15" customHeight="1" x14ac:dyDescent="0.25">
      <c r="A29" s="126" t="s">
        <v>32</v>
      </c>
      <c r="B29" s="126"/>
      <c r="C29" s="126"/>
      <c r="D29" s="126"/>
      <c r="E29" s="17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79"/>
      <c r="G29" s="179"/>
      <c r="H29" s="179"/>
    </row>
    <row r="30" spans="1:8" ht="15.75" customHeight="1" x14ac:dyDescent="0.25">
      <c r="A30" s="126" t="s">
        <v>92</v>
      </c>
      <c r="B30" s="126"/>
      <c r="C30" s="126"/>
      <c r="D30" s="126"/>
      <c r="E30" s="179" t="s">
        <v>33</v>
      </c>
      <c r="F30" s="179"/>
      <c r="G30" s="179"/>
      <c r="H30" s="179"/>
    </row>
    <row r="31" spans="1:8" s="23" customFormat="1" x14ac:dyDescent="0.25">
      <c r="A31" s="202" t="s">
        <v>93</v>
      </c>
      <c r="B31" s="202"/>
      <c r="C31" s="201" t="s">
        <v>205</v>
      </c>
      <c r="D31" s="201"/>
      <c r="E31" s="201"/>
      <c r="F31" s="201" t="s">
        <v>30</v>
      </c>
      <c r="G31" s="201"/>
      <c r="H31" s="201"/>
    </row>
    <row r="32" spans="1:8" s="23" customFormat="1" x14ac:dyDescent="0.25">
      <c r="A32" s="184" t="s">
        <v>25</v>
      </c>
      <c r="B32" s="184" t="s">
        <v>29</v>
      </c>
      <c r="C32" s="181" t="s">
        <v>210</v>
      </c>
      <c r="D32" s="181"/>
      <c r="E32" s="181"/>
      <c r="F32" s="181" t="s">
        <v>190</v>
      </c>
      <c r="G32" s="181"/>
      <c r="H32" s="181"/>
    </row>
    <row r="33" spans="1:8" x14ac:dyDescent="0.25">
      <c r="A33" s="184" t="s">
        <v>26</v>
      </c>
      <c r="B33" s="184" t="s">
        <v>29</v>
      </c>
      <c r="C33" s="181" t="s">
        <v>209</v>
      </c>
      <c r="D33" s="181"/>
      <c r="E33" s="181"/>
      <c r="F33" s="181" t="s">
        <v>178</v>
      </c>
      <c r="G33" s="181"/>
      <c r="H33" s="181"/>
    </row>
    <row r="34" spans="1:8" s="23" customFormat="1" x14ac:dyDescent="0.25">
      <c r="A34" s="184" t="s">
        <v>28</v>
      </c>
      <c r="B34" s="184" t="s">
        <v>29</v>
      </c>
      <c r="C34" s="181" t="s">
        <v>209</v>
      </c>
      <c r="D34" s="181"/>
      <c r="E34" s="181"/>
      <c r="F34" s="181" t="s">
        <v>178</v>
      </c>
      <c r="G34" s="181"/>
      <c r="H34" s="181"/>
    </row>
    <row r="35" spans="1:8" x14ac:dyDescent="0.25">
      <c r="A35" s="184" t="s">
        <v>27</v>
      </c>
      <c r="B35" s="184" t="s">
        <v>29</v>
      </c>
      <c r="C35" s="181" t="s">
        <v>209</v>
      </c>
      <c r="D35" s="181"/>
      <c r="E35" s="181"/>
      <c r="F35" s="181" t="s">
        <v>191</v>
      </c>
      <c r="G35" s="181"/>
      <c r="H35" s="181"/>
    </row>
    <row r="36" spans="1:8" x14ac:dyDescent="0.25">
      <c r="A36" s="126" t="s">
        <v>31</v>
      </c>
      <c r="B36" s="126"/>
      <c r="C36" s="126"/>
      <c r="D36" s="126"/>
      <c r="E36" s="126"/>
      <c r="F36" s="126"/>
      <c r="G36" s="126"/>
      <c r="H36" s="126"/>
    </row>
    <row r="37" spans="1:8" ht="15.75" customHeight="1" x14ac:dyDescent="0.25">
      <c r="A37" s="118" t="s">
        <v>207</v>
      </c>
      <c r="B37" s="118"/>
      <c r="C37" s="225" t="s">
        <v>206</v>
      </c>
      <c r="D37" s="226"/>
      <c r="E37" s="226"/>
      <c r="F37" s="226"/>
      <c r="G37" s="226"/>
      <c r="H37" s="227"/>
    </row>
    <row r="38" spans="1:8" x14ac:dyDescent="0.25">
      <c r="A38" s="118" t="s">
        <v>162</v>
      </c>
      <c r="B38" s="118"/>
      <c r="C38" s="186" t="s">
        <v>179</v>
      </c>
      <c r="D38" s="179"/>
      <c r="E38" s="179"/>
      <c r="F38" s="179"/>
      <c r="G38" s="179"/>
      <c r="H38" s="179"/>
    </row>
    <row r="39" spans="1:8" x14ac:dyDescent="0.25">
      <c r="A39" s="170" t="s">
        <v>34</v>
      </c>
      <c r="B39" s="170"/>
      <c r="C39" s="170"/>
      <c r="D39" s="170"/>
      <c r="E39" s="170"/>
      <c r="F39" s="170"/>
      <c r="G39" s="170"/>
      <c r="H39" s="170"/>
    </row>
    <row r="40" spans="1:8" x14ac:dyDescent="0.25">
      <c r="A40" s="176" t="s">
        <v>35</v>
      </c>
      <c r="B40" s="176"/>
      <c r="C40" s="176"/>
      <c r="D40" s="176"/>
      <c r="E40" s="185">
        <v>2372.75</v>
      </c>
      <c r="F40" s="185"/>
      <c r="G40" s="185"/>
      <c r="H40" s="185"/>
    </row>
    <row r="41" spans="1:8" x14ac:dyDescent="0.25">
      <c r="A41" s="176" t="s">
        <v>36</v>
      </c>
      <c r="B41" s="176"/>
      <c r="C41" s="176"/>
      <c r="D41" s="176"/>
      <c r="E41" s="174">
        <v>1.1000000000000001</v>
      </c>
      <c r="F41" s="174"/>
      <c r="G41" s="174"/>
      <c r="H41" s="174"/>
    </row>
    <row r="42" spans="1:8" x14ac:dyDescent="0.25">
      <c r="A42" s="176" t="s">
        <v>37</v>
      </c>
      <c r="B42" s="176"/>
      <c r="C42" s="176"/>
      <c r="D42" s="176"/>
      <c r="E42" s="174">
        <f>E44/E40-E41</f>
        <v>4.0610999894637025</v>
      </c>
      <c r="F42" s="174"/>
      <c r="G42" s="174"/>
      <c r="H42" s="174"/>
    </row>
    <row r="43" spans="1:8" x14ac:dyDescent="0.25">
      <c r="A43" s="176" t="s">
        <v>38</v>
      </c>
      <c r="B43" s="176"/>
      <c r="C43" s="176"/>
      <c r="D43" s="176"/>
      <c r="E43" s="174">
        <f>E41+E42</f>
        <v>5.1610999894637022</v>
      </c>
      <c r="F43" s="174"/>
      <c r="G43" s="174"/>
      <c r="H43" s="174"/>
    </row>
    <row r="44" spans="1:8" x14ac:dyDescent="0.25">
      <c r="A44" s="176" t="s">
        <v>91</v>
      </c>
      <c r="B44" s="176"/>
      <c r="C44" s="176"/>
      <c r="D44" s="176"/>
      <c r="E44" s="175">
        <v>12246</v>
      </c>
      <c r="F44" s="175"/>
      <c r="G44" s="175"/>
      <c r="H44" s="175"/>
    </row>
    <row r="45" spans="1:8" x14ac:dyDescent="0.25">
      <c r="A45" s="176" t="s">
        <v>39</v>
      </c>
      <c r="B45" s="176"/>
      <c r="C45" s="176"/>
      <c r="D45" s="176"/>
      <c r="E45" s="176" t="s">
        <v>192</v>
      </c>
      <c r="F45" s="176"/>
      <c r="G45" s="176"/>
      <c r="H45" s="176"/>
    </row>
    <row r="46" spans="1:8" x14ac:dyDescent="0.25">
      <c r="A46" s="170" t="s">
        <v>40</v>
      </c>
      <c r="B46" s="170"/>
      <c r="C46" s="170"/>
      <c r="D46" s="170"/>
      <c r="E46" s="170"/>
      <c r="F46" s="170"/>
      <c r="G46" s="170"/>
      <c r="H46" s="170"/>
    </row>
    <row r="47" spans="1:8" ht="33.75" customHeight="1" x14ac:dyDescent="0.25">
      <c r="A47" s="177" t="s">
        <v>149</v>
      </c>
      <c r="B47" s="178"/>
      <c r="C47" s="197" t="s">
        <v>193</v>
      </c>
      <c r="D47" s="198"/>
      <c r="E47" s="198"/>
      <c r="F47" s="198"/>
      <c r="G47" s="198"/>
      <c r="H47" s="199"/>
    </row>
    <row r="48" spans="1:8" ht="15.75" customHeight="1" x14ac:dyDescent="0.25">
      <c r="A48" s="182" t="s">
        <v>41</v>
      </c>
      <c r="B48" s="183"/>
      <c r="C48" s="182" t="s">
        <v>211</v>
      </c>
      <c r="D48" s="200"/>
      <c r="E48" s="183"/>
      <c r="F48" s="19" t="s">
        <v>42</v>
      </c>
      <c r="G48" s="191">
        <v>44812</v>
      </c>
      <c r="H48" s="183"/>
    </row>
    <row r="49" spans="1:14" x14ac:dyDescent="0.25">
      <c r="A49" s="182" t="s">
        <v>43</v>
      </c>
      <c r="B49" s="183"/>
      <c r="C49" s="182" t="str">
        <f>C48</f>
        <v>KDMC/TPD/BP/DOM/2021-22/42/257</v>
      </c>
      <c r="D49" s="200"/>
      <c r="E49" s="183"/>
      <c r="F49" s="19" t="s">
        <v>42</v>
      </c>
      <c r="G49" s="191">
        <f>G48</f>
        <v>44812</v>
      </c>
      <c r="H49" s="192"/>
    </row>
    <row r="50" spans="1:14" s="24" customFormat="1" ht="15.75" customHeight="1" x14ac:dyDescent="0.25">
      <c r="A50" s="193" t="s">
        <v>153</v>
      </c>
      <c r="B50" s="194"/>
      <c r="C50" s="182" t="str">
        <f>C49</f>
        <v>KDMC/TPD/BP/DOM/2021-22/42/257</v>
      </c>
      <c r="D50" s="200"/>
      <c r="E50" s="183"/>
      <c r="F50" s="19" t="s">
        <v>42</v>
      </c>
      <c r="G50" s="191">
        <f>G49</f>
        <v>44812</v>
      </c>
      <c r="H50" s="192"/>
    </row>
    <row r="51" spans="1:14" s="24" customFormat="1" ht="33.75" customHeight="1" x14ac:dyDescent="0.25">
      <c r="A51" s="195"/>
      <c r="B51" s="196"/>
      <c r="C51" s="182" t="s">
        <v>212</v>
      </c>
      <c r="D51" s="200"/>
      <c r="E51" s="200"/>
      <c r="F51" s="200"/>
      <c r="G51" s="200"/>
      <c r="H51" s="183"/>
      <c r="I51" s="24" t="s">
        <v>187</v>
      </c>
    </row>
    <row r="52" spans="1:14" x14ac:dyDescent="0.25">
      <c r="A52" s="218" t="s">
        <v>44</v>
      </c>
      <c r="B52" s="219"/>
      <c r="C52" s="218" t="s">
        <v>105</v>
      </c>
      <c r="D52" s="220"/>
      <c r="E52" s="219"/>
      <c r="F52" s="46" t="s">
        <v>42</v>
      </c>
      <c r="G52" s="221" t="s">
        <v>29</v>
      </c>
      <c r="H52" s="222"/>
    </row>
    <row r="53" spans="1:14" x14ac:dyDescent="0.25">
      <c r="A53" s="209" t="s">
        <v>46</v>
      </c>
      <c r="B53" s="209"/>
      <c r="C53" s="209"/>
      <c r="D53" s="209"/>
      <c r="E53" s="209"/>
      <c r="F53" s="209"/>
      <c r="G53" s="209"/>
      <c r="H53" s="209"/>
    </row>
    <row r="54" spans="1:14" x14ac:dyDescent="0.25">
      <c r="A54" s="168" t="s">
        <v>90</v>
      </c>
      <c r="B54" s="168"/>
      <c r="C54" s="168"/>
      <c r="D54" s="126">
        <f>E44</f>
        <v>12246</v>
      </c>
      <c r="E54" s="126"/>
      <c r="F54" s="126"/>
      <c r="G54" s="126"/>
      <c r="H54" s="126"/>
    </row>
    <row r="55" spans="1:14" x14ac:dyDescent="0.25">
      <c r="A55" s="179" t="s">
        <v>47</v>
      </c>
      <c r="B55" s="176"/>
      <c r="C55" s="176"/>
      <c r="D55" s="176" t="s">
        <v>232</v>
      </c>
      <c r="E55" s="176"/>
      <c r="F55" s="176"/>
      <c r="G55" s="176"/>
      <c r="H55" s="176"/>
      <c r="I55" s="25"/>
    </row>
    <row r="56" spans="1:14" ht="33.75" customHeight="1" x14ac:dyDescent="0.25">
      <c r="A56" s="188" t="s">
        <v>48</v>
      </c>
      <c r="B56" s="189"/>
      <c r="C56" s="190"/>
      <c r="D56" s="167" t="s">
        <v>212</v>
      </c>
      <c r="E56" s="187"/>
      <c r="F56" s="187"/>
      <c r="G56" s="187"/>
      <c r="H56" s="187"/>
      <c r="I56" s="26" t="s">
        <v>180</v>
      </c>
    </row>
    <row r="57" spans="1:14" ht="15.75" customHeight="1" x14ac:dyDescent="0.25">
      <c r="A57" s="188" t="s">
        <v>88</v>
      </c>
      <c r="B57" s="189"/>
      <c r="C57" s="189"/>
      <c r="D57" s="212" t="s">
        <v>213</v>
      </c>
      <c r="E57" s="213"/>
      <c r="F57" s="213"/>
      <c r="G57" s="213"/>
      <c r="H57" s="214"/>
      <c r="I57" s="26"/>
    </row>
    <row r="58" spans="1:14" ht="15.75" customHeight="1" x14ac:dyDescent="0.25">
      <c r="A58" s="210"/>
      <c r="B58" s="211"/>
      <c r="C58" s="211"/>
      <c r="D58" s="215" t="s">
        <v>214</v>
      </c>
      <c r="E58" s="216"/>
      <c r="F58" s="216"/>
      <c r="G58" s="216"/>
      <c r="H58" s="217"/>
      <c r="I58" s="26"/>
    </row>
    <row r="59" spans="1:14" ht="15.75" customHeight="1" x14ac:dyDescent="0.25">
      <c r="A59" s="126" t="s">
        <v>45</v>
      </c>
      <c r="B59" s="126"/>
      <c r="C59" s="126"/>
      <c r="D59" s="146" t="s">
        <v>188</v>
      </c>
      <c r="E59" s="146"/>
      <c r="F59" s="146"/>
      <c r="G59" s="146"/>
      <c r="H59" s="146"/>
      <c r="J59" s="27"/>
      <c r="K59" s="25"/>
      <c r="N59" s="25"/>
    </row>
    <row r="60" spans="1:14" ht="15.75" customHeight="1" x14ac:dyDescent="0.25">
      <c r="A60" s="126" t="s">
        <v>86</v>
      </c>
      <c r="B60" s="126"/>
      <c r="C60" s="126"/>
      <c r="D60" s="160" t="str">
        <f>(IF(G52="NA","60 Years After Completion",IF(G52&lt;&gt;"NA",""&amp;60-ROUNDDOWN((E3-G52)/360,0)&amp;" Years"," ")))</f>
        <v>60 Years After Completion</v>
      </c>
      <c r="E60" s="160"/>
      <c r="F60" s="160"/>
      <c r="G60" s="160"/>
      <c r="H60" s="160"/>
      <c r="N60" s="25"/>
    </row>
    <row r="61" spans="1:14" ht="15.75" customHeight="1" x14ac:dyDescent="0.25">
      <c r="A61" s="126" t="s">
        <v>87</v>
      </c>
      <c r="B61" s="126"/>
      <c r="C61" s="126"/>
      <c r="D61" s="168" t="s">
        <v>24</v>
      </c>
      <c r="E61" s="168"/>
      <c r="F61" s="168"/>
      <c r="G61" s="168"/>
      <c r="H61" s="168"/>
      <c r="J61" s="28"/>
      <c r="K61" s="28"/>
    </row>
    <row r="62" spans="1:14" ht="33" customHeight="1" x14ac:dyDescent="0.25">
      <c r="A62" s="176" t="s">
        <v>216</v>
      </c>
      <c r="B62" s="176"/>
      <c r="C62" s="176"/>
      <c r="D62" s="179" t="s">
        <v>217</v>
      </c>
      <c r="E62" s="179"/>
      <c r="F62" s="179"/>
      <c r="G62" s="179"/>
      <c r="H62" s="179"/>
      <c r="I62" s="71" t="s">
        <v>215</v>
      </c>
    </row>
    <row r="63" spans="1:14" x14ac:dyDescent="0.25">
      <c r="A63" s="168" t="s">
        <v>147</v>
      </c>
      <c r="B63" s="168"/>
      <c r="C63" s="168"/>
      <c r="D63" s="168" t="s">
        <v>29</v>
      </c>
      <c r="E63" s="168"/>
      <c r="F63" s="168"/>
      <c r="G63" s="168"/>
      <c r="H63" s="168"/>
      <c r="I63" s="29"/>
      <c r="J63" s="29"/>
      <c r="K63" s="29"/>
      <c r="L63" s="29"/>
      <c r="M63" s="29"/>
      <c r="N63" s="29"/>
    </row>
    <row r="64" spans="1:14" ht="15.75" customHeight="1" x14ac:dyDescent="0.25">
      <c r="A64" s="223" t="s">
        <v>85</v>
      </c>
      <c r="B64" s="223"/>
      <c r="C64" s="223"/>
      <c r="D64" s="167" t="str">
        <f ca="1">(IF(G70&gt;95%,"Nothing",IF(G70&gt;0%,"Cement, Aggregate, Steel, etc",IF(G70=0%,"Work not yet Started"))))</f>
        <v>Cement, Aggregate, Steel, etc</v>
      </c>
      <c r="E64" s="167"/>
      <c r="F64" s="167"/>
      <c r="G64" s="167"/>
      <c r="H64" s="167"/>
      <c r="J64" s="28"/>
    </row>
    <row r="65" spans="1:10" ht="33.75" customHeight="1" thickBot="1" x14ac:dyDescent="0.3">
      <c r="A65" s="167" t="s">
        <v>118</v>
      </c>
      <c r="B65" s="167"/>
      <c r="C65" s="167"/>
      <c r="D65" s="167" t="str">
        <f ca="1">(IF(D64="Nothing","Yes",IF(D64="Cement, Aggregate, Steel, etc","Under Construction",IF(D64="Work not yet Started","Work not yet Started"))))</f>
        <v>Under Construction</v>
      </c>
      <c r="E65" s="167"/>
      <c r="F65" s="167" t="str">
        <f ca="1">(IF(D64="Nothing","Yes",IF(D64="Cement, Aggregate, Steel, etc","Under Construction",IF(D64="Work not yet Started","Work not yet Started"))))</f>
        <v>Under Construction</v>
      </c>
      <c r="G65" s="167"/>
      <c r="H65" s="167"/>
    </row>
    <row r="66" spans="1:10" ht="15.75" customHeight="1" x14ac:dyDescent="0.25">
      <c r="A66" s="162" t="s">
        <v>139</v>
      </c>
      <c r="B66" s="163"/>
      <c r="C66" s="164" t="str">
        <f>D57</f>
        <v>Wing A = Gr + 1st to 14th Floor</v>
      </c>
      <c r="D66" s="165"/>
      <c r="E66" s="165"/>
      <c r="F66" s="165"/>
      <c r="G66" s="165"/>
      <c r="H66" s="166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11 Floor, Painting upto 7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11 Floor, Painting upto 7 Floor</v>
      </c>
    </row>
    <row r="67" spans="1:10" x14ac:dyDescent="0.25">
      <c r="A67" s="17" t="s">
        <v>141</v>
      </c>
      <c r="B67" s="70">
        <v>0</v>
      </c>
      <c r="C67" s="70" t="s">
        <v>71</v>
      </c>
      <c r="D67" s="70">
        <v>1</v>
      </c>
      <c r="E67" s="70" t="s">
        <v>70</v>
      </c>
      <c r="F67" s="70">
        <v>0</v>
      </c>
      <c r="G67" s="70" t="s">
        <v>79</v>
      </c>
      <c r="H67" s="18">
        <f ca="1">--TRIM(RIGHT(SUBSTITUTE(LEFT(C66,_xlfn.AGGREGATE(16,6,FIND({0,1,2,3,4,5,6,7,8,9},C66,ROW(INDIRECT("1:"&amp;LEN(C66)))),1))," ",REPT(" ",LEN(C66))),LEN(C66)))</f>
        <v>14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6" customHeight="1" x14ac:dyDescent="0.25">
      <c r="A68" s="169" t="s">
        <v>89</v>
      </c>
      <c r="B68" s="170"/>
      <c r="C68" s="171" t="str">
        <f ca="1">I66</f>
        <v>Excavation, Plinth, RCC Slab, Brickwork, Internal Plaster, External Plaster Completed, Flooring upto 11 Floor, Painting upto 7 Floor Completed</v>
      </c>
      <c r="D68" s="171"/>
      <c r="E68" s="171"/>
      <c r="F68" s="171"/>
      <c r="G68" s="171"/>
      <c r="H68" s="172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25">
      <c r="A69" s="156" t="s">
        <v>49</v>
      </c>
      <c r="B69" s="157"/>
      <c r="C69" s="78" t="s">
        <v>138</v>
      </c>
      <c r="D69" s="78" t="s">
        <v>82</v>
      </c>
      <c r="E69" s="157" t="s">
        <v>84</v>
      </c>
      <c r="F69" s="157"/>
      <c r="G69" s="157" t="s">
        <v>83</v>
      </c>
      <c r="H69" s="224"/>
      <c r="I69" s="15" t="s">
        <v>140</v>
      </c>
      <c r="J69" s="30">
        <f ca="1">H67*25%</f>
        <v>3.5</v>
      </c>
    </row>
    <row r="70" spans="1:10" x14ac:dyDescent="0.25">
      <c r="A70" s="156" t="s">
        <v>127</v>
      </c>
      <c r="B70" s="157"/>
      <c r="C70" s="78">
        <f ca="1">J71</f>
        <v>14</v>
      </c>
      <c r="D70" s="79">
        <f ca="1">((100/H67)*C70)/100</f>
        <v>1</v>
      </c>
      <c r="E70" s="147">
        <f ca="1">(((C71/H67*10)+(40/(D67+F67+H67)*C72)+(7.5/(H67)*C73)+(7.5/(H67)*C74)+(10/H67*C75)+(10/H67*C76)+(5/H67*C77)+(5/H67*C78)+(5/H67*C79))/100)</f>
        <v>0.85357142857142865</v>
      </c>
      <c r="F70" s="148"/>
      <c r="G70" s="147">
        <f ca="1">((((C70/H67)*20)+((C71/H67)*25)+(30/(H67+F67+D67)*C72)+(5/H67*C73)+(5/H67*C74)+(5/H67*C75)+(5/H67*C76)+(0/H67*C77)+(0/H67*C78)+(5/H67*C79))/100)</f>
        <v>0.93928571428571428</v>
      </c>
      <c r="H70" s="153"/>
      <c r="I70" s="15" t="s">
        <v>100</v>
      </c>
      <c r="J70" s="31">
        <f ca="1">H67*50%</f>
        <v>7</v>
      </c>
    </row>
    <row r="71" spans="1:10" x14ac:dyDescent="0.25">
      <c r="A71" s="156" t="s">
        <v>50</v>
      </c>
      <c r="B71" s="157"/>
      <c r="C71" s="78">
        <f ca="1">J79</f>
        <v>14</v>
      </c>
      <c r="D71" s="79">
        <f ca="1">((100/H67)*C71)/100</f>
        <v>1</v>
      </c>
      <c r="E71" s="149"/>
      <c r="F71" s="150"/>
      <c r="G71" s="149"/>
      <c r="H71" s="154"/>
      <c r="I71" s="15" t="s">
        <v>101</v>
      </c>
      <c r="J71" s="31">
        <f ca="1">H67</f>
        <v>14</v>
      </c>
    </row>
    <row r="72" spans="1:10" ht="15.75" customHeight="1" x14ac:dyDescent="0.25">
      <c r="A72" s="156" t="s">
        <v>128</v>
      </c>
      <c r="B72" s="157"/>
      <c r="C72" s="78">
        <v>15</v>
      </c>
      <c r="D72" s="79">
        <f ca="1">((100/(D67+F67+H67))*C72)/100</f>
        <v>1</v>
      </c>
      <c r="E72" s="149"/>
      <c r="F72" s="150"/>
      <c r="G72" s="149"/>
      <c r="H72" s="154"/>
      <c r="I72" s="15" t="s">
        <v>102</v>
      </c>
      <c r="J72" s="32">
        <f ca="1">(IF(B67&gt;1,(H67/(B67+2)),H67/4))</f>
        <v>3.5</v>
      </c>
    </row>
    <row r="73" spans="1:10" ht="15.75" customHeight="1" x14ac:dyDescent="0.25">
      <c r="A73" s="156" t="s">
        <v>135</v>
      </c>
      <c r="B73" s="157" t="s">
        <v>129</v>
      </c>
      <c r="C73" s="78">
        <v>14</v>
      </c>
      <c r="D73" s="79">
        <f ca="1">((100/H67)*C73)/100</f>
        <v>1</v>
      </c>
      <c r="E73" s="149"/>
      <c r="F73" s="150"/>
      <c r="G73" s="149"/>
      <c r="H73" s="154"/>
      <c r="I73" s="15" t="s">
        <v>103</v>
      </c>
      <c r="J73" s="32">
        <f ca="1">(IF(B67&gt;1,(H67/(B67+2)+J72),H67/4+J72))</f>
        <v>7</v>
      </c>
    </row>
    <row r="74" spans="1:10" ht="15.75" customHeight="1" x14ac:dyDescent="0.25">
      <c r="A74" s="156" t="s">
        <v>136</v>
      </c>
      <c r="B74" s="157" t="s">
        <v>129</v>
      </c>
      <c r="C74" s="78">
        <v>14</v>
      </c>
      <c r="D74" s="79">
        <f ca="1">((100/H67)*C74)/100</f>
        <v>1</v>
      </c>
      <c r="E74" s="149"/>
      <c r="F74" s="150"/>
      <c r="G74" s="149"/>
      <c r="H74" s="154"/>
      <c r="I74" s="15" t="s">
        <v>145</v>
      </c>
      <c r="J74" s="32">
        <f>(IF(B67&gt;1,(H67/(B67+2)+J73),0))</f>
        <v>0</v>
      </c>
    </row>
    <row r="75" spans="1:10" x14ac:dyDescent="0.25">
      <c r="A75" s="180" t="s">
        <v>134</v>
      </c>
      <c r="B75" s="181" t="s">
        <v>131</v>
      </c>
      <c r="C75" s="78">
        <v>14</v>
      </c>
      <c r="D75" s="79">
        <f ca="1">((100/(H67))*C75)/100</f>
        <v>1</v>
      </c>
      <c r="E75" s="149"/>
      <c r="F75" s="150"/>
      <c r="G75" s="149"/>
      <c r="H75" s="154"/>
      <c r="I75" s="15" t="s">
        <v>142</v>
      </c>
      <c r="J75" s="32">
        <f>(IF(B67&gt;2,(H67/(B67+2)+J74),0))</f>
        <v>0</v>
      </c>
    </row>
    <row r="76" spans="1:10" ht="15.75" customHeight="1" x14ac:dyDescent="0.25">
      <c r="A76" s="156" t="s">
        <v>130</v>
      </c>
      <c r="B76" s="157" t="s">
        <v>130</v>
      </c>
      <c r="C76" s="78">
        <v>11</v>
      </c>
      <c r="D76" s="79">
        <f ca="1">((100/H67)*C76)/100</f>
        <v>0.7857142857142857</v>
      </c>
      <c r="E76" s="149"/>
      <c r="F76" s="150"/>
      <c r="G76" s="149"/>
      <c r="H76" s="154"/>
      <c r="I76" s="15" t="s">
        <v>143</v>
      </c>
      <c r="J76" s="33">
        <f>(IF(B67&gt;3,(H67/(B67+2)+J75),0))</f>
        <v>0</v>
      </c>
    </row>
    <row r="77" spans="1:10" ht="15.75" customHeight="1" x14ac:dyDescent="0.25">
      <c r="A77" s="156" t="s">
        <v>137</v>
      </c>
      <c r="B77" s="157"/>
      <c r="C77" s="78">
        <v>7</v>
      </c>
      <c r="D77" s="79">
        <f ca="1">((100/H67)*C77)/100</f>
        <v>0.5</v>
      </c>
      <c r="E77" s="149"/>
      <c r="F77" s="150"/>
      <c r="G77" s="149"/>
      <c r="H77" s="154"/>
      <c r="I77" s="15" t="s">
        <v>144</v>
      </c>
      <c r="J77" s="32">
        <f>(IF(B67&gt;4,(H67/(B67+2)+J76),0))</f>
        <v>0</v>
      </c>
    </row>
    <row r="78" spans="1:10" ht="15.75" customHeight="1" x14ac:dyDescent="0.25">
      <c r="A78" s="156" t="s">
        <v>132</v>
      </c>
      <c r="B78" s="157" t="s">
        <v>132</v>
      </c>
      <c r="C78" s="78">
        <v>0</v>
      </c>
      <c r="D78" s="79">
        <f ca="1">((100/(H67))*C78)/100</f>
        <v>0</v>
      </c>
      <c r="E78" s="149"/>
      <c r="F78" s="150"/>
      <c r="G78" s="149"/>
      <c r="H78" s="154"/>
      <c r="I78" s="15" t="s">
        <v>146</v>
      </c>
      <c r="J78" s="32">
        <f ca="1">(IF(B67=1,(H67/(B67+3)+J73),IF(B67=0,(H67/4+J73),IF(B67&gt;1,0))))</f>
        <v>10.5</v>
      </c>
    </row>
    <row r="79" spans="1:10" ht="16.5" thickBot="1" x14ac:dyDescent="0.3">
      <c r="A79" s="158" t="s">
        <v>133</v>
      </c>
      <c r="B79" s="159"/>
      <c r="C79" s="80">
        <v>0</v>
      </c>
      <c r="D79" s="81">
        <f ca="1">((100/(H67))*C79)/100</f>
        <v>0</v>
      </c>
      <c r="E79" s="151"/>
      <c r="F79" s="152"/>
      <c r="G79" s="151"/>
      <c r="H79" s="155"/>
      <c r="I79" s="16" t="s">
        <v>104</v>
      </c>
      <c r="J79" s="34">
        <f ca="1">(IF(B67&gt;1.5,(H67/(B67+2)+J73+MAX(0,J74-J73)+MAX(0,J75-J74)+MAX(0,J76-J75)+MAX(0,J77-J76)+MAX(0,J78-J77)),IF(B67=1,(H67/(B67+3)+J78),IF(B67=0,H67/4+J78))))</f>
        <v>14</v>
      </c>
    </row>
    <row r="80" spans="1:10" ht="15.75" customHeight="1" x14ac:dyDescent="0.25">
      <c r="A80" s="162" t="s">
        <v>139</v>
      </c>
      <c r="B80" s="163"/>
      <c r="C80" s="164" t="str">
        <f>D58</f>
        <v>Wing B = Gr + 1st to 14th Floor + 15th(Pt) Floor</v>
      </c>
      <c r="D80" s="165"/>
      <c r="E80" s="165"/>
      <c r="F80" s="165"/>
      <c r="G80" s="165"/>
      <c r="H80" s="166"/>
      <c r="I80" s="49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13 Floor Completed</v>
      </c>
      <c r="J80" s="50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13 Floor</v>
      </c>
    </row>
    <row r="81" spans="1:10" x14ac:dyDescent="0.25">
      <c r="A81" s="17" t="s">
        <v>141</v>
      </c>
      <c r="B81" s="55">
        <v>0</v>
      </c>
      <c r="C81" s="55" t="s">
        <v>71</v>
      </c>
      <c r="D81" s="55">
        <v>1</v>
      </c>
      <c r="E81" s="55" t="s">
        <v>70</v>
      </c>
      <c r="F81" s="55">
        <v>0</v>
      </c>
      <c r="G81" s="55" t="s">
        <v>79</v>
      </c>
      <c r="H81" s="18">
        <f ca="1">--TRIM(RIGHT(SUBSTITUTE(LEFT(C80,_xlfn.AGGREGATE(16,6,FIND({0,1,2,3,4,5,6,7,8,9},C80,ROW(INDIRECT("1:"&amp;LEN(C80)))),1))," ",REPT(" ",LEN(C80))),LEN(C80)))</f>
        <v>15</v>
      </c>
      <c r="I81" s="51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52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0.6" customHeight="1" x14ac:dyDescent="0.25">
      <c r="A82" s="169" t="s">
        <v>89</v>
      </c>
      <c r="B82" s="170"/>
      <c r="C82" s="171" t="str">
        <f ca="1">(IF($G$52="NA",I80,"All work Completed. OC Received."))</f>
        <v>Excavation, Plinth, RCC Slab, Brickwork, Internal Plaster Completed, External Plaster upto 13 Floor Completed</v>
      </c>
      <c r="D82" s="171"/>
      <c r="E82" s="171"/>
      <c r="F82" s="171"/>
      <c r="G82" s="171"/>
      <c r="H82" s="172"/>
      <c r="I82" s="51" t="str">
        <f ca="1">IF(I81&lt;&gt;""," Completed","")</f>
        <v xml:space="preserve"> Completed</v>
      </c>
      <c r="J82" s="52" t="str">
        <f ca="1">IF(J80&lt;&gt;"","Completed","")</f>
        <v>Completed</v>
      </c>
    </row>
    <row r="83" spans="1:10" ht="15.75" customHeight="1" x14ac:dyDescent="0.25">
      <c r="A83" s="135" t="s">
        <v>49</v>
      </c>
      <c r="B83" s="136"/>
      <c r="C83" s="44" t="s">
        <v>138</v>
      </c>
      <c r="D83" s="44" t="s">
        <v>82</v>
      </c>
      <c r="E83" s="136" t="s">
        <v>84</v>
      </c>
      <c r="F83" s="136"/>
      <c r="G83" s="136" t="s">
        <v>83</v>
      </c>
      <c r="H83" s="173"/>
      <c r="I83" s="15" t="s">
        <v>140</v>
      </c>
      <c r="J83" s="30">
        <f ca="1">H81*25%</f>
        <v>3.75</v>
      </c>
    </row>
    <row r="84" spans="1:10" x14ac:dyDescent="0.25">
      <c r="A84" s="135" t="s">
        <v>127</v>
      </c>
      <c r="B84" s="136"/>
      <c r="C84" s="44">
        <f ca="1">J85</f>
        <v>15</v>
      </c>
      <c r="D84" s="20">
        <f ca="1">((100/H81)*C84)/100</f>
        <v>1</v>
      </c>
      <c r="E84" s="137">
        <f ca="1">(((C85/H81*10)+(40/(D81+F81+H81)*C86)+(7.5/(H81)*C87)+(7.5/(H81)*C88)+(10/H81*C89)+(10/H81*C90)+(5/H81*C91)+(5/H81*C92)+(5/H81*C93))/100)</f>
        <v>0.73666666666666669</v>
      </c>
      <c r="F84" s="138"/>
      <c r="G84" s="137">
        <f ca="1">((((C84/H81)*20)+((C85/H81)*25)+(30/(H81+F81+D81)*C86)+(5/H81*C87)+(5/H81*C88)+(5/H81*C89)+(5/H81*C90)+(0/H81*C91)+(0/H81*C92)+(5/H81*C93))/100)</f>
        <v>0.89333333333333331</v>
      </c>
      <c r="H84" s="234"/>
      <c r="I84" s="15" t="s">
        <v>100</v>
      </c>
      <c r="J84" s="31">
        <f ca="1">H81*50%</f>
        <v>7.5</v>
      </c>
    </row>
    <row r="85" spans="1:10" x14ac:dyDescent="0.25">
      <c r="A85" s="135" t="s">
        <v>50</v>
      </c>
      <c r="B85" s="136"/>
      <c r="C85" s="44">
        <f ca="1">J93</f>
        <v>15</v>
      </c>
      <c r="D85" s="20">
        <f ca="1">((100/H81)*C85)/100</f>
        <v>1</v>
      </c>
      <c r="E85" s="139"/>
      <c r="F85" s="140"/>
      <c r="G85" s="139"/>
      <c r="H85" s="235"/>
      <c r="I85" s="15" t="s">
        <v>101</v>
      </c>
      <c r="J85" s="31">
        <f ca="1">H81</f>
        <v>15</v>
      </c>
    </row>
    <row r="86" spans="1:10" ht="15.75" customHeight="1" x14ac:dyDescent="0.25">
      <c r="A86" s="135" t="s">
        <v>128</v>
      </c>
      <c r="B86" s="136"/>
      <c r="C86" s="44">
        <v>16</v>
      </c>
      <c r="D86" s="20">
        <f ca="1">((100/(D81+F81+H81))*C86)/100</f>
        <v>1</v>
      </c>
      <c r="E86" s="139"/>
      <c r="F86" s="140"/>
      <c r="G86" s="139"/>
      <c r="H86" s="235"/>
      <c r="I86" s="15" t="s">
        <v>102</v>
      </c>
      <c r="J86" s="32">
        <f ca="1">(IF(B81&gt;1,(H81/(B81+2)),H81/4))</f>
        <v>3.75</v>
      </c>
    </row>
    <row r="87" spans="1:10" ht="15.75" customHeight="1" x14ac:dyDescent="0.25">
      <c r="A87" s="135" t="s">
        <v>135</v>
      </c>
      <c r="B87" s="136" t="s">
        <v>129</v>
      </c>
      <c r="C87" s="44">
        <v>15</v>
      </c>
      <c r="D87" s="20">
        <f ca="1">((100/H81)*C87)/100</f>
        <v>1</v>
      </c>
      <c r="E87" s="139"/>
      <c r="F87" s="140"/>
      <c r="G87" s="139"/>
      <c r="H87" s="235"/>
      <c r="I87" s="15" t="s">
        <v>103</v>
      </c>
      <c r="J87" s="32">
        <f ca="1">(IF(B81&gt;1,(H81/(B81+2)+J86),H81/4+J86))</f>
        <v>7.5</v>
      </c>
    </row>
    <row r="88" spans="1:10" ht="15.75" customHeight="1" x14ac:dyDescent="0.25">
      <c r="A88" s="135" t="s">
        <v>136</v>
      </c>
      <c r="B88" s="136" t="s">
        <v>129</v>
      </c>
      <c r="C88" s="44">
        <v>15</v>
      </c>
      <c r="D88" s="20">
        <f ca="1">((100/H81)*C88)/100</f>
        <v>1</v>
      </c>
      <c r="E88" s="139"/>
      <c r="F88" s="140"/>
      <c r="G88" s="139"/>
      <c r="H88" s="235"/>
      <c r="I88" s="15" t="s">
        <v>145</v>
      </c>
      <c r="J88" s="32">
        <f>(IF(B81&gt;1,(H81/(B81+2)+J87),0))</f>
        <v>0</v>
      </c>
    </row>
    <row r="89" spans="1:10" ht="15" customHeight="1" x14ac:dyDescent="0.25">
      <c r="A89" s="230" t="s">
        <v>134</v>
      </c>
      <c r="B89" s="231" t="s">
        <v>131</v>
      </c>
      <c r="C89" s="44">
        <v>13</v>
      </c>
      <c r="D89" s="20">
        <f ca="1">((100/(H81))*C89)/100</f>
        <v>0.8666666666666667</v>
      </c>
      <c r="E89" s="139"/>
      <c r="F89" s="140"/>
      <c r="G89" s="139"/>
      <c r="H89" s="235"/>
      <c r="I89" s="15" t="s">
        <v>142</v>
      </c>
      <c r="J89" s="32">
        <f>(IF(B81&gt;2,(H81/(B81+2)+J88),0))</f>
        <v>0</v>
      </c>
    </row>
    <row r="90" spans="1:10" ht="15.75" customHeight="1" x14ac:dyDescent="0.25">
      <c r="A90" s="135" t="s">
        <v>130</v>
      </c>
      <c r="B90" s="136" t="s">
        <v>130</v>
      </c>
      <c r="C90" s="44">
        <v>0</v>
      </c>
      <c r="D90" s="20">
        <f ca="1">((100/H81)*C90)/100</f>
        <v>0</v>
      </c>
      <c r="E90" s="139"/>
      <c r="F90" s="140"/>
      <c r="G90" s="139"/>
      <c r="H90" s="235"/>
      <c r="I90" s="15" t="s">
        <v>143</v>
      </c>
      <c r="J90" s="33">
        <f>(IF(B81&gt;3,(H81/(B81+2)+J89),0))</f>
        <v>0</v>
      </c>
    </row>
    <row r="91" spans="1:10" ht="15.75" customHeight="1" x14ac:dyDescent="0.25">
      <c r="A91" s="135" t="s">
        <v>137</v>
      </c>
      <c r="B91" s="136"/>
      <c r="C91" s="44">
        <v>0</v>
      </c>
      <c r="D91" s="20">
        <f ca="1">((100/H81)*C91)/100</f>
        <v>0</v>
      </c>
      <c r="E91" s="139"/>
      <c r="F91" s="140"/>
      <c r="G91" s="139"/>
      <c r="H91" s="235"/>
      <c r="I91" s="15" t="s">
        <v>144</v>
      </c>
      <c r="J91" s="32">
        <f>(IF(B81&gt;4,(H81/(B81+2)+J90),0))</f>
        <v>0</v>
      </c>
    </row>
    <row r="92" spans="1:10" ht="15.75" customHeight="1" x14ac:dyDescent="0.25">
      <c r="A92" s="135" t="s">
        <v>132</v>
      </c>
      <c r="B92" s="136" t="s">
        <v>132</v>
      </c>
      <c r="C92" s="44">
        <v>0</v>
      </c>
      <c r="D92" s="20">
        <f ca="1">((100/(H81))*C92)/100</f>
        <v>0</v>
      </c>
      <c r="E92" s="139"/>
      <c r="F92" s="140"/>
      <c r="G92" s="139"/>
      <c r="H92" s="235"/>
      <c r="I92" s="15" t="s">
        <v>146</v>
      </c>
      <c r="J92" s="32">
        <f ca="1">(IF(B81=1,(H81/(B81+3)+J87),IF(B81=0,(H81/4+J87),IF(B81&gt;1,0))))</f>
        <v>11.25</v>
      </c>
    </row>
    <row r="93" spans="1:10" ht="16.5" thickBot="1" x14ac:dyDescent="0.3">
      <c r="A93" s="143" t="s">
        <v>133</v>
      </c>
      <c r="B93" s="144"/>
      <c r="C93" s="45">
        <v>0</v>
      </c>
      <c r="D93" s="21">
        <f ca="1">((100/(H81))*C93)/100</f>
        <v>0</v>
      </c>
      <c r="E93" s="141"/>
      <c r="F93" s="142"/>
      <c r="G93" s="141"/>
      <c r="H93" s="236"/>
      <c r="I93" s="16" t="s">
        <v>104</v>
      </c>
      <c r="J93" s="34">
        <f ca="1">(IF(B81&gt;1.5,(H81/(B81+2)+J87+MAX(0,J88-J87)+MAX(0,J89-J88)+MAX(0,J90-J89)+MAX(0,J91-J90)+MAX(0,J92-J91)),IF(B81=1,(H81/(B81+3)+J92),IF(B81=0,H81/4+J92))))</f>
        <v>15</v>
      </c>
    </row>
    <row r="94" spans="1:10" x14ac:dyDescent="0.25">
      <c r="A94" s="134" t="s">
        <v>155</v>
      </c>
      <c r="B94" s="134"/>
      <c r="C94" s="134"/>
      <c r="D94" s="134"/>
      <c r="E94" s="134"/>
      <c r="F94" s="145" t="s">
        <v>160</v>
      </c>
      <c r="G94" s="145"/>
      <c r="H94" s="145"/>
    </row>
    <row r="95" spans="1:10" x14ac:dyDescent="0.25">
      <c r="A95" s="126" t="s">
        <v>158</v>
      </c>
      <c r="B95" s="126"/>
      <c r="C95" s="126"/>
      <c r="D95" s="126"/>
      <c r="E95" s="126"/>
      <c r="F95" s="130">
        <v>6600</v>
      </c>
      <c r="G95" s="130"/>
      <c r="H95" s="130"/>
      <c r="I95" s="22" t="s">
        <v>202</v>
      </c>
    </row>
    <row r="96" spans="1:10" x14ac:dyDescent="0.25">
      <c r="A96" s="126" t="s">
        <v>157</v>
      </c>
      <c r="B96" s="126"/>
      <c r="C96" s="126"/>
      <c r="D96" s="126"/>
      <c r="E96" s="126"/>
      <c r="F96" s="130">
        <v>10000</v>
      </c>
      <c r="G96" s="130"/>
      <c r="H96" s="130"/>
    </row>
    <row r="97" spans="1:8" hidden="1" x14ac:dyDescent="0.25">
      <c r="A97" s="126" t="s">
        <v>159</v>
      </c>
      <c r="B97" s="126"/>
      <c r="C97" s="126"/>
      <c r="D97" s="126"/>
      <c r="E97" s="126"/>
      <c r="F97" s="133"/>
      <c r="G97" s="133"/>
      <c r="H97" s="133"/>
    </row>
    <row r="98" spans="1:8" s="35" customFormat="1" hidden="1" x14ac:dyDescent="0.25">
      <c r="A98" s="126" t="s">
        <v>156</v>
      </c>
      <c r="B98" s="126"/>
      <c r="C98" s="126"/>
      <c r="D98" s="126"/>
      <c r="E98" s="126"/>
      <c r="F98" s="133"/>
      <c r="G98" s="133"/>
      <c r="H98" s="133"/>
    </row>
    <row r="99" spans="1:8" s="35" customFormat="1" hidden="1" x14ac:dyDescent="0.25">
      <c r="A99" s="126" t="s">
        <v>94</v>
      </c>
      <c r="B99" s="126"/>
      <c r="C99" s="126"/>
      <c r="D99" s="126"/>
      <c r="E99" s="126"/>
      <c r="F99" s="133"/>
      <c r="G99" s="133"/>
      <c r="H99" s="133"/>
    </row>
    <row r="100" spans="1:8" s="35" customFormat="1" x14ac:dyDescent="0.25">
      <c r="A100" s="126" t="s">
        <v>203</v>
      </c>
      <c r="B100" s="126"/>
      <c r="C100" s="126"/>
      <c r="D100" s="126"/>
      <c r="E100" s="126"/>
      <c r="F100" s="130">
        <v>250000</v>
      </c>
      <c r="G100" s="130"/>
      <c r="H100" s="130"/>
    </row>
    <row r="101" spans="1:8" s="35" customFormat="1" hidden="1" x14ac:dyDescent="0.25">
      <c r="A101" s="126" t="s">
        <v>95</v>
      </c>
      <c r="B101" s="126"/>
      <c r="C101" s="126"/>
      <c r="D101" s="126"/>
      <c r="E101" s="126"/>
      <c r="F101" s="133"/>
      <c r="G101" s="133"/>
      <c r="H101" s="133"/>
    </row>
    <row r="102" spans="1:8" s="35" customFormat="1" hidden="1" x14ac:dyDescent="0.25">
      <c r="A102" s="126" t="s">
        <v>161</v>
      </c>
      <c r="B102" s="126"/>
      <c r="C102" s="126"/>
      <c r="D102" s="126"/>
      <c r="E102" s="126"/>
      <c r="F102" s="133"/>
      <c r="G102" s="133"/>
      <c r="H102" s="133"/>
    </row>
    <row r="103" spans="1:8" s="35" customFormat="1" hidden="1" x14ac:dyDescent="0.25">
      <c r="A103" s="126" t="s">
        <v>96</v>
      </c>
      <c r="B103" s="126"/>
      <c r="C103" s="126"/>
      <c r="D103" s="126"/>
      <c r="E103" s="126"/>
      <c r="F103" s="133"/>
      <c r="G103" s="133"/>
      <c r="H103" s="133"/>
    </row>
    <row r="104" spans="1:8" s="35" customFormat="1" hidden="1" x14ac:dyDescent="0.25">
      <c r="A104" s="126" t="s">
        <v>97</v>
      </c>
      <c r="B104" s="126"/>
      <c r="C104" s="126"/>
      <c r="D104" s="126"/>
      <c r="E104" s="126"/>
      <c r="F104" s="133"/>
      <c r="G104" s="133"/>
      <c r="H104" s="133"/>
    </row>
    <row r="105" spans="1:8" s="35" customFormat="1" hidden="1" x14ac:dyDescent="0.25">
      <c r="A105" s="126" t="s">
        <v>98</v>
      </c>
      <c r="B105" s="126"/>
      <c r="C105" s="126"/>
      <c r="D105" s="126"/>
      <c r="E105" s="126"/>
      <c r="F105" s="133"/>
      <c r="G105" s="133"/>
      <c r="H105" s="133"/>
    </row>
    <row r="106" spans="1:8" s="35" customFormat="1" hidden="1" x14ac:dyDescent="0.25">
      <c r="A106" s="126" t="s">
        <v>99</v>
      </c>
      <c r="B106" s="126"/>
      <c r="C106" s="126"/>
      <c r="D106" s="126"/>
      <c r="E106" s="126"/>
      <c r="F106" s="133"/>
      <c r="G106" s="133"/>
      <c r="H106" s="133"/>
    </row>
    <row r="107" spans="1:8" x14ac:dyDescent="0.25">
      <c r="A107" s="126" t="s">
        <v>51</v>
      </c>
      <c r="B107" s="126"/>
      <c r="C107" s="126"/>
      <c r="D107" s="126"/>
      <c r="E107" s="126"/>
      <c r="F107" s="130">
        <v>300000</v>
      </c>
      <c r="G107" s="130"/>
      <c r="H107" s="130"/>
    </row>
    <row r="108" spans="1:8" s="36" customFormat="1" x14ac:dyDescent="0.25">
      <c r="A108" s="208" t="s">
        <v>52</v>
      </c>
      <c r="B108" s="208"/>
      <c r="C108" s="208"/>
      <c r="D108" s="208"/>
      <c r="E108" s="208"/>
      <c r="F108" s="130">
        <f>F95*0.8</f>
        <v>5280</v>
      </c>
      <c r="G108" s="130"/>
      <c r="H108" s="130"/>
    </row>
    <row r="109" spans="1:8" s="37" customFormat="1" ht="15.75" customHeight="1" x14ac:dyDescent="0.25">
      <c r="A109" s="96" t="s">
        <v>74</v>
      </c>
      <c r="B109" s="96"/>
      <c r="C109" s="96"/>
      <c r="D109" s="96"/>
      <c r="E109" s="96"/>
      <c r="F109" s="96"/>
      <c r="G109" s="96"/>
      <c r="H109" s="96"/>
    </row>
    <row r="110" spans="1:8" s="37" customFormat="1" ht="15.75" customHeight="1" x14ac:dyDescent="0.25">
      <c r="A110" s="132" t="s">
        <v>53</v>
      </c>
      <c r="B110" s="132"/>
      <c r="C110" s="131" t="s">
        <v>77</v>
      </c>
      <c r="D110" s="131"/>
      <c r="E110" s="161" t="s">
        <v>54</v>
      </c>
      <c r="F110" s="161"/>
      <c r="G110" s="132" t="s">
        <v>55</v>
      </c>
      <c r="H110" s="132"/>
    </row>
    <row r="111" spans="1:8" s="37" customFormat="1" x14ac:dyDescent="0.25">
      <c r="A111" s="127" t="s">
        <v>182</v>
      </c>
      <c r="B111" s="127"/>
      <c r="C111" s="128">
        <f>COUNT(D124:D130)</f>
        <v>7</v>
      </c>
      <c r="D111" s="233"/>
      <c r="E111" s="129">
        <f>SUM(D124:D130)</f>
        <v>1375.2086400000001</v>
      </c>
      <c r="F111" s="232"/>
      <c r="G111" s="129">
        <f>SUM(F124:F130)</f>
        <v>2754</v>
      </c>
      <c r="H111" s="232"/>
    </row>
    <row r="112" spans="1:8" s="37" customFormat="1" x14ac:dyDescent="0.25">
      <c r="A112" s="96" t="s">
        <v>148</v>
      </c>
      <c r="B112" s="96"/>
      <c r="C112" s="97">
        <f t="shared" ref="C112:G112" si="0">SUM(C111)</f>
        <v>7</v>
      </c>
      <c r="D112" s="97"/>
      <c r="E112" s="97">
        <f t="shared" si="0"/>
        <v>1375.2086400000001</v>
      </c>
      <c r="F112" s="97"/>
      <c r="G112" s="97">
        <f t="shared" si="0"/>
        <v>2754</v>
      </c>
      <c r="H112" s="97"/>
    </row>
    <row r="113" spans="1:14" s="37" customFormat="1" ht="15.75" customHeight="1" x14ac:dyDescent="0.25">
      <c r="A113" s="96" t="s">
        <v>69</v>
      </c>
      <c r="B113" s="96"/>
      <c r="C113" s="96"/>
      <c r="D113" s="96"/>
      <c r="E113" s="96"/>
      <c r="F113" s="96"/>
      <c r="G113" s="96"/>
      <c r="H113" s="96"/>
      <c r="J113" s="37" t="s">
        <v>195</v>
      </c>
      <c r="K113" s="37" t="s">
        <v>196</v>
      </c>
      <c r="L113" s="37" t="s">
        <v>197</v>
      </c>
    </row>
    <row r="114" spans="1:14" s="37" customFormat="1" x14ac:dyDescent="0.25">
      <c r="A114" s="132" t="s">
        <v>53</v>
      </c>
      <c r="B114" s="132"/>
      <c r="C114" s="131" t="s">
        <v>77</v>
      </c>
      <c r="D114" s="131"/>
      <c r="E114" s="161" t="s">
        <v>54</v>
      </c>
      <c r="F114" s="161"/>
      <c r="G114" s="132" t="s">
        <v>55</v>
      </c>
      <c r="H114" s="132"/>
      <c r="J114" s="37">
        <v>6000</v>
      </c>
      <c r="K114" s="37">
        <v>6000</v>
      </c>
      <c r="L114" s="37" t="s">
        <v>198</v>
      </c>
    </row>
    <row r="115" spans="1:14" s="37" customFormat="1" x14ac:dyDescent="0.25">
      <c r="A115" s="127" t="s">
        <v>182</v>
      </c>
      <c r="B115" s="127"/>
      <c r="C115" s="128">
        <f>COUNT(D135:D142)+COUNT(D144:D151)*11+COUNT(D153:D161)*2</f>
        <v>112</v>
      </c>
      <c r="D115" s="128"/>
      <c r="E115" s="129">
        <f>SUM(D135:D142)+SUM(D144:D151)*11+SUM(D153:D161)*2</f>
        <v>56054.993904000003</v>
      </c>
      <c r="F115" s="129"/>
      <c r="G115" s="129">
        <f>SUM(F135:F142)+SUM(F144:F151)*11+SUM(F153:F161)*2</f>
        <v>81602</v>
      </c>
      <c r="H115" s="129"/>
    </row>
    <row r="116" spans="1:14" s="37" customFormat="1" x14ac:dyDescent="0.25">
      <c r="A116" s="127" t="s">
        <v>185</v>
      </c>
      <c r="B116" s="127"/>
      <c r="C116" s="128">
        <f>COUNT(F165:F171)*12+COUNT(F173:F179)*2</f>
        <v>98</v>
      </c>
      <c r="D116" s="128"/>
      <c r="E116" s="129">
        <f>SUM(D165:D171)*12+SUM(D173:D179)*2</f>
        <v>41655.312971999992</v>
      </c>
      <c r="F116" s="129"/>
      <c r="G116" s="129">
        <f>SUM(F165:F171)*12+SUM(F173:F179)*2</f>
        <v>59598</v>
      </c>
      <c r="H116" s="129"/>
    </row>
    <row r="117" spans="1:14" s="36" customFormat="1" x14ac:dyDescent="0.25">
      <c r="A117" s="96" t="s">
        <v>148</v>
      </c>
      <c r="B117" s="96"/>
      <c r="C117" s="97">
        <f>SUM(C115:D116)</f>
        <v>210</v>
      </c>
      <c r="D117" s="97"/>
      <c r="E117" s="97">
        <f t="shared" ref="E117" si="1">SUM(E115:F116)</f>
        <v>97710.306875999988</v>
      </c>
      <c r="F117" s="97"/>
      <c r="G117" s="97">
        <f t="shared" ref="G117" si="2">SUM(G115:H116)</f>
        <v>141200</v>
      </c>
      <c r="H117" s="97"/>
      <c r="J117" s="66">
        <f>G111+G117</f>
        <v>143954</v>
      </c>
      <c r="K117" s="66">
        <f>E111+E117</f>
        <v>99085.515515999985</v>
      </c>
    </row>
    <row r="118" spans="1:14" s="36" customFormat="1" x14ac:dyDescent="0.25">
      <c r="A118" s="96" t="s">
        <v>228</v>
      </c>
      <c r="B118" s="96"/>
      <c r="C118" s="97">
        <f>C112+C117</f>
        <v>217</v>
      </c>
      <c r="D118" s="97"/>
      <c r="E118" s="97">
        <f>E112+E117</f>
        <v>99085.515515999985</v>
      </c>
      <c r="F118" s="97"/>
      <c r="G118" s="97">
        <f>G112+G117</f>
        <v>143954</v>
      </c>
      <c r="H118" s="97"/>
      <c r="J118" s="66"/>
      <c r="K118" s="66"/>
    </row>
    <row r="119" spans="1:14" x14ac:dyDescent="0.25">
      <c r="A119" s="118" t="s">
        <v>218</v>
      </c>
      <c r="B119" s="118"/>
      <c r="C119" s="118"/>
      <c r="D119" s="118"/>
      <c r="E119" s="118"/>
      <c r="F119" s="118"/>
      <c r="G119" s="118"/>
      <c r="H119" s="118"/>
    </row>
    <row r="120" spans="1:14" x14ac:dyDescent="0.25">
      <c r="A120" s="118" t="s">
        <v>219</v>
      </c>
      <c r="B120" s="118"/>
      <c r="C120" s="118"/>
      <c r="D120" s="118"/>
      <c r="E120" s="118"/>
      <c r="F120" s="118"/>
      <c r="G120" s="118"/>
      <c r="H120" s="118"/>
    </row>
    <row r="121" spans="1:14" s="54" customFormat="1" ht="47.25" x14ac:dyDescent="0.25">
      <c r="A121" s="72" t="s">
        <v>227</v>
      </c>
      <c r="B121" s="72" t="s">
        <v>119</v>
      </c>
      <c r="C121" s="72" t="s">
        <v>56</v>
      </c>
      <c r="D121" s="72" t="s">
        <v>57</v>
      </c>
      <c r="E121" s="75" t="s">
        <v>154</v>
      </c>
      <c r="F121" s="72" t="s">
        <v>186</v>
      </c>
      <c r="G121" s="116" t="s">
        <v>59</v>
      </c>
      <c r="H121" s="117"/>
      <c r="J121" s="38"/>
    </row>
    <row r="122" spans="1:14" s="48" customFormat="1" x14ac:dyDescent="0.25">
      <c r="A122" s="113" t="s">
        <v>182</v>
      </c>
      <c r="B122" s="114"/>
      <c r="C122" s="114"/>
      <c r="D122" s="114"/>
      <c r="E122" s="114"/>
      <c r="F122" s="114"/>
      <c r="G122" s="114"/>
      <c r="H122" s="115"/>
      <c r="J122" s="59">
        <f>10.764</f>
        <v>10.763999999999999</v>
      </c>
    </row>
    <row r="123" spans="1:14" s="48" customFormat="1" x14ac:dyDescent="0.25">
      <c r="A123" s="113" t="s">
        <v>220</v>
      </c>
      <c r="B123" s="114"/>
      <c r="C123" s="114"/>
      <c r="D123" s="114"/>
      <c r="E123" s="114"/>
      <c r="F123" s="114"/>
      <c r="G123" s="114"/>
      <c r="H123" s="115"/>
      <c r="I123" s="38">
        <f>(5.9*3.2)*10.764</f>
        <v>203.22432000000001</v>
      </c>
      <c r="J123" s="48">
        <f>5.75*3.2</f>
        <v>18.400000000000002</v>
      </c>
      <c r="K123" s="48">
        <f>F124/D124</f>
        <v>2.0003594675819354</v>
      </c>
      <c r="L123" s="119"/>
      <c r="M123" s="119"/>
      <c r="N123" s="38"/>
    </row>
    <row r="124" spans="1:14" s="48" customFormat="1" ht="15.75" customHeight="1" x14ac:dyDescent="0.25">
      <c r="A124" s="123">
        <v>1</v>
      </c>
      <c r="B124" s="124"/>
      <c r="C124" s="43" t="s">
        <v>181</v>
      </c>
      <c r="D124" s="59">
        <f>(18.67)*(10.764)</f>
        <v>200.96388000000002</v>
      </c>
      <c r="E124" s="43">
        <v>0</v>
      </c>
      <c r="F124" s="43">
        <v>402</v>
      </c>
      <c r="G124" s="98" t="str">
        <f>A123</f>
        <v>Ground Floor For Commercial, Meter Room, Driver Room &amp; Parking</v>
      </c>
      <c r="H124" s="99"/>
      <c r="I124" s="38"/>
      <c r="K124" s="62">
        <f t="shared" ref="K124:K129" si="3">F125/D125</f>
        <v>2.0015058728578685</v>
      </c>
      <c r="L124" s="119"/>
      <c r="M124" s="119"/>
      <c r="N124" s="38"/>
    </row>
    <row r="125" spans="1:14" s="48" customFormat="1" ht="15.75" customHeight="1" x14ac:dyDescent="0.25">
      <c r="A125" s="123">
        <f t="shared" ref="A125:A130" si="4">A124+1</f>
        <v>2</v>
      </c>
      <c r="B125" s="124"/>
      <c r="C125" s="53" t="s">
        <v>181</v>
      </c>
      <c r="D125" s="59">
        <f>(16.06)*(10.764)</f>
        <v>172.86983999999998</v>
      </c>
      <c r="E125" s="43">
        <v>0</v>
      </c>
      <c r="F125" s="43">
        <v>346</v>
      </c>
      <c r="G125" s="100"/>
      <c r="H125" s="101"/>
      <c r="I125" s="38"/>
      <c r="K125" s="62">
        <f t="shared" si="3"/>
        <v>2.00465438860734</v>
      </c>
      <c r="L125" s="119"/>
      <c r="M125" s="119"/>
      <c r="N125" s="38"/>
    </row>
    <row r="126" spans="1:14" s="48" customFormat="1" ht="15.75" customHeight="1" x14ac:dyDescent="0.25">
      <c r="A126" s="123">
        <f t="shared" si="4"/>
        <v>3</v>
      </c>
      <c r="B126" s="124"/>
      <c r="C126" s="53" t="s">
        <v>181</v>
      </c>
      <c r="D126" s="59">
        <f>(18.63)*(10.764)</f>
        <v>200.53331999999997</v>
      </c>
      <c r="E126" s="43">
        <v>0</v>
      </c>
      <c r="F126" s="56">
        <v>402</v>
      </c>
      <c r="G126" s="100"/>
      <c r="H126" s="101"/>
      <c r="I126" s="38"/>
      <c r="K126" s="62">
        <f t="shared" si="3"/>
        <v>2.0035789302443527</v>
      </c>
      <c r="L126" s="119"/>
      <c r="M126" s="119"/>
      <c r="N126" s="38"/>
    </row>
    <row r="127" spans="1:14" s="54" customFormat="1" ht="15.75" customHeight="1" x14ac:dyDescent="0.25">
      <c r="A127" s="123">
        <f t="shared" si="4"/>
        <v>4</v>
      </c>
      <c r="B127" s="124"/>
      <c r="C127" s="53" t="s">
        <v>181</v>
      </c>
      <c r="D127" s="59">
        <f>(18.64)*(10.764)</f>
        <v>200.64096000000001</v>
      </c>
      <c r="E127" s="43">
        <v>0</v>
      </c>
      <c r="F127" s="43">
        <v>402</v>
      </c>
      <c r="G127" s="100"/>
      <c r="H127" s="101"/>
      <c r="I127" s="38"/>
      <c r="K127" s="62">
        <f t="shared" si="3"/>
        <v>2.0055933967736981</v>
      </c>
      <c r="L127" s="119"/>
      <c r="M127" s="119"/>
      <c r="N127" s="38"/>
    </row>
    <row r="128" spans="1:14" s="54" customFormat="1" ht="15.75" customHeight="1" x14ac:dyDescent="0.25">
      <c r="A128" s="123">
        <f t="shared" si="4"/>
        <v>5</v>
      </c>
      <c r="B128" s="124"/>
      <c r="C128" s="53" t="s">
        <v>181</v>
      </c>
      <c r="D128" s="59">
        <f>(21.03)*(10.764)</f>
        <v>226.36691999999999</v>
      </c>
      <c r="E128" s="53">
        <v>0</v>
      </c>
      <c r="F128" s="53">
        <v>454</v>
      </c>
      <c r="G128" s="100"/>
      <c r="H128" s="101"/>
      <c r="I128" s="38"/>
      <c r="K128" s="62">
        <f t="shared" si="3"/>
        <v>2.0015058728578685</v>
      </c>
      <c r="L128" s="119"/>
      <c r="M128" s="119"/>
      <c r="N128" s="38"/>
    </row>
    <row r="129" spans="1:15" s="54" customFormat="1" ht="15.75" customHeight="1" x14ac:dyDescent="0.25">
      <c r="A129" s="123">
        <f t="shared" si="4"/>
        <v>6</v>
      </c>
      <c r="B129" s="124"/>
      <c r="C129" s="53" t="s">
        <v>181</v>
      </c>
      <c r="D129" s="59">
        <f>(16.06)*(10.764)</f>
        <v>172.86983999999998</v>
      </c>
      <c r="E129" s="53">
        <v>0</v>
      </c>
      <c r="F129" s="56">
        <v>346</v>
      </c>
      <c r="G129" s="100"/>
      <c r="H129" s="101"/>
      <c r="I129" s="38"/>
      <c r="K129" s="62">
        <f t="shared" si="3"/>
        <v>2.0003594675819354</v>
      </c>
      <c r="L129" s="119"/>
      <c r="M129" s="119"/>
      <c r="N129" s="38"/>
    </row>
    <row r="130" spans="1:15" s="48" customFormat="1" ht="15.75" customHeight="1" x14ac:dyDescent="0.25">
      <c r="A130" s="123">
        <f t="shared" si="4"/>
        <v>7</v>
      </c>
      <c r="B130" s="124"/>
      <c r="C130" s="53" t="s">
        <v>181</v>
      </c>
      <c r="D130" s="59">
        <f>(18.67)*(10.764)</f>
        <v>200.96388000000002</v>
      </c>
      <c r="E130" s="53">
        <v>0</v>
      </c>
      <c r="F130" s="53">
        <v>402</v>
      </c>
      <c r="G130" s="102"/>
      <c r="H130" s="103"/>
      <c r="I130" s="38"/>
      <c r="K130" s="62"/>
      <c r="N130" s="38"/>
    </row>
    <row r="131" spans="1:15" x14ac:dyDescent="0.25">
      <c r="A131" s="94"/>
      <c r="B131" s="125"/>
      <c r="C131" s="125"/>
      <c r="D131" s="125"/>
      <c r="E131" s="125"/>
      <c r="F131" s="125"/>
      <c r="G131" s="125"/>
      <c r="H131" s="95"/>
      <c r="I131" s="38"/>
      <c r="K131" s="62"/>
    </row>
    <row r="132" spans="1:15" s="54" customFormat="1" ht="51" customHeight="1" x14ac:dyDescent="0.25">
      <c r="A132" s="72" t="s">
        <v>234</v>
      </c>
      <c r="B132" s="72" t="s">
        <v>120</v>
      </c>
      <c r="C132" s="72" t="s">
        <v>56</v>
      </c>
      <c r="D132" s="72" t="s">
        <v>57</v>
      </c>
      <c r="E132" s="75" t="s">
        <v>58</v>
      </c>
      <c r="F132" s="72" t="s">
        <v>186</v>
      </c>
      <c r="G132" s="116" t="s">
        <v>59</v>
      </c>
      <c r="H132" s="117"/>
      <c r="I132" s="54">
        <v>1.5</v>
      </c>
      <c r="J132" s="38">
        <f>2.75*3.8+2.15*3.6+2.75*3+3.2*3+1.85*1.2+1.88*1.2+1.88*0.9</f>
        <v>42.207999999999998</v>
      </c>
      <c r="K132" s="54">
        <f>2.75*3.8+2.15*3.6+2.75*3+3.2*3+1.85*1.2+1.88*1.2+1.88*0.9</f>
        <v>42.207999999999998</v>
      </c>
      <c r="M132" s="54">
        <f>6600*D168</f>
        <v>2688066.8099999996</v>
      </c>
    </row>
    <row r="133" spans="1:15" s="54" customFormat="1" x14ac:dyDescent="0.25">
      <c r="A133" s="84" t="s">
        <v>182</v>
      </c>
      <c r="B133" s="85"/>
      <c r="C133" s="85"/>
      <c r="D133" s="85"/>
      <c r="E133" s="85"/>
      <c r="F133" s="85"/>
      <c r="G133" s="85"/>
      <c r="H133" s="86"/>
      <c r="I133" s="54">
        <f>2.75*3.8+2.15*3.6+2.75*3+3.2*3+1.85*1.2+1.86*1.2+2.2*0.9*(10.764)</f>
        <v>61.804720000000003</v>
      </c>
      <c r="J133" s="38">
        <f>2.75*0.85+2.75+3.2</f>
        <v>8.2875000000000014</v>
      </c>
      <c r="K133" s="38">
        <f>I133-J133</f>
        <v>53.517220000000002</v>
      </c>
      <c r="N133" s="38"/>
    </row>
    <row r="134" spans="1:15" s="54" customFormat="1" x14ac:dyDescent="0.25">
      <c r="A134" s="84" t="s">
        <v>183</v>
      </c>
      <c r="B134" s="85"/>
      <c r="C134" s="85"/>
      <c r="D134" s="85"/>
      <c r="E134" s="85"/>
      <c r="F134" s="85"/>
      <c r="G134" s="85"/>
      <c r="H134" s="86"/>
      <c r="I134" s="60"/>
      <c r="K134" s="54">
        <f>F135/D135</f>
        <v>1.4522306800061682</v>
      </c>
      <c r="L134" s="119">
        <f>38.56+1*(3.2+2.75)</f>
        <v>44.510000000000005</v>
      </c>
      <c r="M134" s="119"/>
      <c r="N134" s="58">
        <f>2.75*3.8+2.15*3.6+2.75*3+3.2*3+1.85*1.2+1.88*1.2+1.88*0.9</f>
        <v>42.207999999999998</v>
      </c>
    </row>
    <row r="135" spans="1:15" s="54" customFormat="1" ht="15.75" customHeight="1" x14ac:dyDescent="0.25">
      <c r="A135" s="94">
        <v>1</v>
      </c>
      <c r="B135" s="95"/>
      <c r="C135" s="63">
        <v>2</v>
      </c>
      <c r="D135" s="64">
        <f>(38.56+2.75*0.85+2.75+3.2+(2.75*0.9))*(10.764)</f>
        <v>530.90739000000008</v>
      </c>
      <c r="E135" s="65">
        <v>0</v>
      </c>
      <c r="F135" s="65">
        <v>771</v>
      </c>
      <c r="G135" s="104" t="str">
        <f>A134</f>
        <v>1st Floor For Residential</v>
      </c>
      <c r="H135" s="105"/>
      <c r="I135" s="76">
        <f>F135/D135</f>
        <v>1.4522306800061682</v>
      </c>
      <c r="J135" s="54">
        <f>2.75*3.8+2.15*3.6+2.75*3+3.2*3+1.85*1.2+1.88*1.2+1.88*0.9</f>
        <v>42.207999999999998</v>
      </c>
      <c r="K135" s="62">
        <f t="shared" ref="K135:K179" si="5">F136/D136</f>
        <v>1.4265270437976951</v>
      </c>
      <c r="L135" s="122">
        <f>2.75*3.8+2.15*3.6+2.75*3+3.2*3+1.85*1.2+1.88*1.2+1.88*0.9 -(2.75*0.8+2.75+3.2)</f>
        <v>34.058</v>
      </c>
      <c r="M135" s="122"/>
      <c r="N135" s="73"/>
      <c r="O135" s="73"/>
    </row>
    <row r="136" spans="1:15" s="54" customFormat="1" ht="15.75" customHeight="1" x14ac:dyDescent="0.25">
      <c r="A136" s="94">
        <f t="shared" ref="A136:A142" si="6">A135+1</f>
        <v>2</v>
      </c>
      <c r="B136" s="95"/>
      <c r="C136" s="63">
        <v>1</v>
      </c>
      <c r="D136" s="64">
        <f>(27.63+2.75*0.85+2.3*1.15+2.75+(2.75*0.9))*(10.764)</f>
        <v>407.28284999999994</v>
      </c>
      <c r="E136" s="65">
        <v>0</v>
      </c>
      <c r="F136" s="65">
        <v>581</v>
      </c>
      <c r="G136" s="106"/>
      <c r="H136" s="107"/>
      <c r="I136" s="76">
        <f t="shared" ref="I136:I142" si="7">F136/D136</f>
        <v>1.4265270437976951</v>
      </c>
      <c r="K136" s="62">
        <f t="shared" si="5"/>
        <v>1.4238176979304737</v>
      </c>
      <c r="L136" s="122">
        <f>2.75*3.8+2.3*3.5+2.75*3.05+1.2*1.8+1.88*1.2+1.5*0.6-(2.75*0.85+2.75+2.35*1.15)</f>
        <v>24.413499999999999</v>
      </c>
      <c r="M136" s="122"/>
      <c r="N136" s="73"/>
      <c r="O136" s="73"/>
    </row>
    <row r="137" spans="1:15" s="54" customFormat="1" ht="15.75" customHeight="1" x14ac:dyDescent="0.25">
      <c r="A137" s="94">
        <f t="shared" si="6"/>
        <v>3</v>
      </c>
      <c r="B137" s="95"/>
      <c r="C137" s="63">
        <v>1</v>
      </c>
      <c r="D137" s="64">
        <f>(27.63+2.75*0.85+2.3*1.15+2.75+(2.83*0.9))*(10.764)</f>
        <v>408.0578579999999</v>
      </c>
      <c r="E137" s="65">
        <v>0</v>
      </c>
      <c r="F137" s="65">
        <v>581</v>
      </c>
      <c r="G137" s="106"/>
      <c r="H137" s="107"/>
      <c r="I137" s="76">
        <f t="shared" si="7"/>
        <v>1.4238176979304737</v>
      </c>
      <c r="J137" s="61">
        <f>(F138-E138)/D138</f>
        <v>1.5462634118863952</v>
      </c>
      <c r="K137" s="62">
        <f t="shared" si="5"/>
        <v>2.1903595414082773</v>
      </c>
      <c r="L137" s="119"/>
      <c r="M137" s="119"/>
      <c r="N137" s="58">
        <f>5.3*1.4</f>
        <v>7.419999999999999</v>
      </c>
    </row>
    <row r="138" spans="1:15" s="54" customFormat="1" ht="15.75" customHeight="1" x14ac:dyDescent="0.25">
      <c r="A138" s="94">
        <f t="shared" si="6"/>
        <v>4</v>
      </c>
      <c r="B138" s="95"/>
      <c r="C138" s="63">
        <v>2</v>
      </c>
      <c r="D138" s="64">
        <f>(38.65+2.75*0.85+2.75+3.2+(2.75*0.9))*(10.764)</f>
        <v>531.87614999999994</v>
      </c>
      <c r="E138" s="64">
        <f>(7.42*2.66+2.6*2.75+3.92*1.26)*(10.764)</f>
        <v>342.57936959999995</v>
      </c>
      <c r="F138" s="65">
        <v>1165</v>
      </c>
      <c r="G138" s="106"/>
      <c r="H138" s="107"/>
      <c r="I138" s="76">
        <f t="shared" si="7"/>
        <v>2.1903595414082773</v>
      </c>
      <c r="J138" s="38">
        <f>3.8*2.75+3.6*2.22+3*2.75+3*3.2+1.2*1.85+1.2*1.81+0.9*2</f>
        <v>42.483999999999995</v>
      </c>
      <c r="K138" s="62">
        <f t="shared" si="5"/>
        <v>1.7057834946322583</v>
      </c>
      <c r="L138" s="122">
        <f>42.484-(2.75*0.85+2.75+3.2)</f>
        <v>34.1965</v>
      </c>
      <c r="M138" s="122"/>
      <c r="N138" s="58">
        <f>1.9*1.4</f>
        <v>2.6599999999999997</v>
      </c>
    </row>
    <row r="139" spans="1:15" s="54" customFormat="1" ht="15.75" customHeight="1" x14ac:dyDescent="0.25">
      <c r="A139" s="94">
        <f t="shared" si="6"/>
        <v>5</v>
      </c>
      <c r="B139" s="95"/>
      <c r="C139" s="63">
        <v>2</v>
      </c>
      <c r="D139" s="64">
        <f>(38.69+2.75*0.85+2.75+3.2+(2.75*0.9))*(10.764)</f>
        <v>532.30670999999995</v>
      </c>
      <c r="E139" s="64">
        <f>(2*2.8+3.92*1.26)*(10.764)</f>
        <v>113.44394879999999</v>
      </c>
      <c r="F139" s="65">
        <v>908</v>
      </c>
      <c r="G139" s="106"/>
      <c r="H139" s="107"/>
      <c r="I139" s="76">
        <f t="shared" si="7"/>
        <v>1.7057834946322583</v>
      </c>
      <c r="K139" s="62">
        <f t="shared" si="5"/>
        <v>1.4501138328073824</v>
      </c>
      <c r="L139" s="119">
        <f>0.9*1.4</f>
        <v>1.26</v>
      </c>
      <c r="M139" s="119"/>
      <c r="N139" s="38"/>
    </row>
    <row r="140" spans="1:15" s="54" customFormat="1" ht="15.75" customHeight="1" x14ac:dyDescent="0.25">
      <c r="A140" s="94">
        <f t="shared" si="6"/>
        <v>6</v>
      </c>
      <c r="B140" s="95"/>
      <c r="C140" s="63">
        <v>2</v>
      </c>
      <c r="D140" s="64">
        <f>(38.56+2.75*0.85+2.75+3.2+(2.83*0.9))*(10.764)</f>
        <v>531.68239799999992</v>
      </c>
      <c r="E140" s="65">
        <v>0</v>
      </c>
      <c r="F140" s="65">
        <v>771</v>
      </c>
      <c r="G140" s="106"/>
      <c r="H140" s="107"/>
      <c r="I140" s="76">
        <f t="shared" si="7"/>
        <v>1.4501138328073824</v>
      </c>
      <c r="K140" s="62">
        <f t="shared" si="5"/>
        <v>1.4522306800061682</v>
      </c>
      <c r="L140" s="119"/>
      <c r="M140" s="119"/>
      <c r="N140" s="38"/>
    </row>
    <row r="141" spans="1:15" s="54" customFormat="1" ht="15.75" customHeight="1" x14ac:dyDescent="0.25">
      <c r="A141" s="94">
        <f t="shared" si="6"/>
        <v>7</v>
      </c>
      <c r="B141" s="95"/>
      <c r="C141" s="63">
        <v>2</v>
      </c>
      <c r="D141" s="64">
        <f>(38.56+2.75*0.85+2.75+3.2+(2.75*0.9))*(10.764)</f>
        <v>530.90739000000008</v>
      </c>
      <c r="E141" s="65">
        <v>0</v>
      </c>
      <c r="F141" s="65">
        <v>771</v>
      </c>
      <c r="G141" s="106"/>
      <c r="H141" s="107"/>
      <c r="I141" s="76">
        <f t="shared" si="7"/>
        <v>1.4522306800061682</v>
      </c>
      <c r="K141" s="62">
        <f t="shared" si="5"/>
        <v>1.4522306800061682</v>
      </c>
      <c r="L141" s="120">
        <f>771/454</f>
        <v>1.6982378854625551</v>
      </c>
      <c r="M141" s="120"/>
      <c r="N141" s="38"/>
    </row>
    <row r="142" spans="1:15" s="54" customFormat="1" ht="15.75" customHeight="1" x14ac:dyDescent="0.25">
      <c r="A142" s="94">
        <f t="shared" si="6"/>
        <v>8</v>
      </c>
      <c r="B142" s="95"/>
      <c r="C142" s="63">
        <v>2</v>
      </c>
      <c r="D142" s="64">
        <f>(38.56+2.75*0.85+2.75+3.2+(2.75*0.9))*(10.764)</f>
        <v>530.90739000000008</v>
      </c>
      <c r="E142" s="65">
        <v>0</v>
      </c>
      <c r="F142" s="65">
        <v>771</v>
      </c>
      <c r="G142" s="108"/>
      <c r="H142" s="109"/>
      <c r="I142" s="76">
        <f t="shared" si="7"/>
        <v>1.4522306800061682</v>
      </c>
      <c r="J142" s="38"/>
      <c r="K142" s="62" t="e">
        <f t="shared" si="5"/>
        <v>#DIV/0!</v>
      </c>
      <c r="L142" s="61">
        <f>581/342</f>
        <v>1.6988304093567252</v>
      </c>
      <c r="M142" s="61"/>
    </row>
    <row r="143" spans="1:15" s="54" customFormat="1" x14ac:dyDescent="0.25">
      <c r="A143" s="84" t="s">
        <v>222</v>
      </c>
      <c r="B143" s="85"/>
      <c r="C143" s="85"/>
      <c r="D143" s="85"/>
      <c r="E143" s="85"/>
      <c r="F143" s="85"/>
      <c r="G143" s="85"/>
      <c r="H143" s="86"/>
      <c r="I143" s="77"/>
      <c r="K143" s="62">
        <f t="shared" si="5"/>
        <v>1.4522306800061682</v>
      </c>
      <c r="L143" s="61">
        <f>581/342</f>
        <v>1.6988304093567252</v>
      </c>
      <c r="M143" s="61"/>
      <c r="N143" s="38"/>
    </row>
    <row r="144" spans="1:15" s="54" customFormat="1" ht="15.75" customHeight="1" x14ac:dyDescent="0.25">
      <c r="A144" s="94">
        <v>1</v>
      </c>
      <c r="B144" s="95"/>
      <c r="C144" s="63">
        <v>2</v>
      </c>
      <c r="D144" s="64">
        <f>(38.56+2.75*0.85+2.75+3.2+(2.75*0.9))*(10.764)</f>
        <v>530.90739000000008</v>
      </c>
      <c r="E144" s="65">
        <v>0</v>
      </c>
      <c r="F144" s="65">
        <v>771</v>
      </c>
      <c r="G144" s="104" t="str">
        <f>A143</f>
        <v>2nd to 7th, 9th to 12th &amp;14th Floor</v>
      </c>
      <c r="H144" s="105"/>
      <c r="I144" s="74">
        <f t="shared" ref="I144:I150" si="8">F144/D144</f>
        <v>1.4522306800061682</v>
      </c>
      <c r="K144" s="62">
        <f t="shared" si="5"/>
        <v>1.4265270437976951</v>
      </c>
      <c r="L144" s="119"/>
      <c r="M144" s="119"/>
      <c r="N144" s="38"/>
    </row>
    <row r="145" spans="1:14" s="54" customFormat="1" ht="15.75" customHeight="1" x14ac:dyDescent="0.25">
      <c r="A145" s="94">
        <f t="shared" ref="A145:A151" si="9">A144+1</f>
        <v>2</v>
      </c>
      <c r="B145" s="95"/>
      <c r="C145" s="63">
        <v>1</v>
      </c>
      <c r="D145" s="64">
        <f>(27.63+2.75*0.85+2.3*1.15+2.75+(2.75*0.9))*(10.764)</f>
        <v>407.28284999999994</v>
      </c>
      <c r="E145" s="65">
        <v>0</v>
      </c>
      <c r="F145" s="65">
        <v>581</v>
      </c>
      <c r="G145" s="106"/>
      <c r="H145" s="107"/>
      <c r="I145" s="74">
        <f t="shared" si="8"/>
        <v>1.4265270437976951</v>
      </c>
      <c r="K145" s="62">
        <f t="shared" si="5"/>
        <v>1.4238176979304737</v>
      </c>
      <c r="L145" s="119"/>
      <c r="M145" s="119"/>
      <c r="N145" s="38"/>
    </row>
    <row r="146" spans="1:14" s="54" customFormat="1" ht="15.75" customHeight="1" x14ac:dyDescent="0.25">
      <c r="A146" s="94">
        <f t="shared" si="9"/>
        <v>3</v>
      </c>
      <c r="B146" s="95"/>
      <c r="C146" s="63">
        <v>1</v>
      </c>
      <c r="D146" s="64">
        <f>(27.63+2.75*0.85+2.3*1.15+2.75+(2.83*0.9))*(10.764)</f>
        <v>408.0578579999999</v>
      </c>
      <c r="E146" s="65">
        <v>0</v>
      </c>
      <c r="F146" s="65">
        <v>581</v>
      </c>
      <c r="G146" s="106"/>
      <c r="H146" s="107"/>
      <c r="I146" s="74">
        <f t="shared" si="8"/>
        <v>1.4238176979304737</v>
      </c>
      <c r="K146" s="62">
        <f t="shared" si="5"/>
        <v>1.4552259957510787</v>
      </c>
      <c r="L146" s="119"/>
      <c r="M146" s="119"/>
      <c r="N146" s="38"/>
    </row>
    <row r="147" spans="1:14" s="54" customFormat="1" ht="15.75" customHeight="1" x14ac:dyDescent="0.25">
      <c r="A147" s="94">
        <f t="shared" si="9"/>
        <v>4</v>
      </c>
      <c r="B147" s="95"/>
      <c r="C147" s="63">
        <v>2</v>
      </c>
      <c r="D147" s="64">
        <f>(38.65+2.75*0.85+2.75+3.2+(2.75*0.9))*(10.764)</f>
        <v>531.87614999999994</v>
      </c>
      <c r="E147" s="65">
        <v>0</v>
      </c>
      <c r="F147" s="65">
        <v>774</v>
      </c>
      <c r="G147" s="106"/>
      <c r="H147" s="107"/>
      <c r="I147" s="74">
        <f t="shared" si="8"/>
        <v>1.4552259957510787</v>
      </c>
      <c r="K147" s="62">
        <f t="shared" si="5"/>
        <v>1.448413077490607</v>
      </c>
      <c r="L147" s="119"/>
      <c r="M147" s="119"/>
      <c r="N147" s="38"/>
    </row>
    <row r="148" spans="1:14" s="54" customFormat="1" ht="15.75" customHeight="1" x14ac:dyDescent="0.25">
      <c r="A148" s="94">
        <f t="shared" si="9"/>
        <v>5</v>
      </c>
      <c r="B148" s="95"/>
      <c r="C148" s="63">
        <v>2</v>
      </c>
      <c r="D148" s="64">
        <f>(38.69+2.75*0.85+2.75+3.2+(2.75*0.9))*(10.764)</f>
        <v>532.30670999999995</v>
      </c>
      <c r="E148" s="65">
        <v>0</v>
      </c>
      <c r="F148" s="65">
        <v>771</v>
      </c>
      <c r="G148" s="106"/>
      <c r="H148" s="107"/>
      <c r="I148" s="74">
        <f t="shared" si="8"/>
        <v>1.448413077490607</v>
      </c>
      <c r="K148" s="62">
        <f t="shared" si="5"/>
        <v>1.4501138328073824</v>
      </c>
      <c r="L148" s="119"/>
      <c r="M148" s="119"/>
      <c r="N148" s="38"/>
    </row>
    <row r="149" spans="1:14" s="54" customFormat="1" ht="15.75" customHeight="1" x14ac:dyDescent="0.25">
      <c r="A149" s="94">
        <f t="shared" si="9"/>
        <v>6</v>
      </c>
      <c r="B149" s="95"/>
      <c r="C149" s="63">
        <v>2</v>
      </c>
      <c r="D149" s="64">
        <f>(38.56+2.75*0.85+2.75+3.2+(2.83*0.9))*(10.764)</f>
        <v>531.68239799999992</v>
      </c>
      <c r="E149" s="65">
        <v>0</v>
      </c>
      <c r="F149" s="65">
        <v>771</v>
      </c>
      <c r="G149" s="106"/>
      <c r="H149" s="107"/>
      <c r="I149" s="74">
        <f t="shared" si="8"/>
        <v>1.4501138328073824</v>
      </c>
      <c r="K149" s="62">
        <f t="shared" si="5"/>
        <v>1.4522306800061682</v>
      </c>
      <c r="L149" s="119"/>
      <c r="M149" s="119"/>
      <c r="N149" s="38"/>
    </row>
    <row r="150" spans="1:14" s="54" customFormat="1" ht="15.75" customHeight="1" x14ac:dyDescent="0.25">
      <c r="A150" s="94">
        <f t="shared" si="9"/>
        <v>7</v>
      </c>
      <c r="B150" s="95"/>
      <c r="C150" s="63">
        <v>2</v>
      </c>
      <c r="D150" s="64">
        <f>(38.56+2.75*0.85+2.75+3.2+(2.75*0.9))*(10.764)</f>
        <v>530.90739000000008</v>
      </c>
      <c r="E150" s="65">
        <v>0</v>
      </c>
      <c r="F150" s="65">
        <v>771</v>
      </c>
      <c r="G150" s="106"/>
      <c r="H150" s="107"/>
      <c r="I150" s="74">
        <f t="shared" si="8"/>
        <v>1.4522306800061682</v>
      </c>
      <c r="K150" s="62">
        <f t="shared" si="5"/>
        <v>1.4522306800061682</v>
      </c>
      <c r="L150" s="119"/>
      <c r="M150" s="119"/>
      <c r="N150" s="38"/>
    </row>
    <row r="151" spans="1:14" s="54" customFormat="1" ht="15.75" customHeight="1" x14ac:dyDescent="0.25">
      <c r="A151" s="94">
        <f t="shared" si="9"/>
        <v>8</v>
      </c>
      <c r="B151" s="95"/>
      <c r="C151" s="63">
        <v>2</v>
      </c>
      <c r="D151" s="64">
        <f>(38.56+2.75*0.85+2.75+3.2+(2.75*0.9))*(10.764)</f>
        <v>530.90739000000008</v>
      </c>
      <c r="E151" s="65">
        <v>0</v>
      </c>
      <c r="F151" s="65">
        <v>771</v>
      </c>
      <c r="G151" s="108"/>
      <c r="H151" s="109"/>
      <c r="I151" s="121"/>
      <c r="J151" s="38"/>
      <c r="K151" s="62" t="e">
        <f t="shared" si="5"/>
        <v>#DIV/0!</v>
      </c>
    </row>
    <row r="152" spans="1:14" s="54" customFormat="1" x14ac:dyDescent="0.25">
      <c r="A152" s="84" t="s">
        <v>223</v>
      </c>
      <c r="B152" s="85"/>
      <c r="C152" s="85"/>
      <c r="D152" s="85"/>
      <c r="E152" s="85"/>
      <c r="F152" s="85"/>
      <c r="G152" s="85"/>
      <c r="H152" s="85"/>
      <c r="I152" s="121"/>
      <c r="K152" s="62">
        <f t="shared" si="5"/>
        <v>1.4522306800061682</v>
      </c>
      <c r="L152" s="119"/>
      <c r="M152" s="119"/>
      <c r="N152" s="38"/>
    </row>
    <row r="153" spans="1:14" s="54" customFormat="1" ht="15.75" customHeight="1" x14ac:dyDescent="0.25">
      <c r="A153" s="94">
        <v>1</v>
      </c>
      <c r="B153" s="95"/>
      <c r="C153" s="63">
        <v>2</v>
      </c>
      <c r="D153" s="64">
        <f>(38.56+2.75*0.85+2.75+3.2+(2.75*0.9))*(10.764)</f>
        <v>530.90739000000008</v>
      </c>
      <c r="E153" s="65">
        <v>0</v>
      </c>
      <c r="F153" s="68">
        <v>771</v>
      </c>
      <c r="G153" s="112" t="str">
        <f>A152</f>
        <v>8th &amp; 13th Floor (Part Refuge Area)</v>
      </c>
      <c r="H153" s="112"/>
      <c r="I153" s="121"/>
      <c r="K153" s="62">
        <f t="shared" si="5"/>
        <v>1.4265270437976951</v>
      </c>
      <c r="L153" s="119"/>
      <c r="M153" s="119"/>
      <c r="N153" s="38"/>
    </row>
    <row r="154" spans="1:14" s="54" customFormat="1" ht="15.75" customHeight="1" x14ac:dyDescent="0.25">
      <c r="A154" s="94">
        <f t="shared" ref="A154:A161" si="10">A153+1</f>
        <v>2</v>
      </c>
      <c r="B154" s="95"/>
      <c r="C154" s="63">
        <v>1</v>
      </c>
      <c r="D154" s="64">
        <f>(27.63+2.75*0.85+2.3*1.15+2.75+(2.75*0.9))*(10.764)</f>
        <v>407.28284999999994</v>
      </c>
      <c r="E154" s="65">
        <v>0</v>
      </c>
      <c r="F154" s="68">
        <v>581</v>
      </c>
      <c r="G154" s="112"/>
      <c r="H154" s="112"/>
      <c r="I154" s="121"/>
      <c r="K154" s="62">
        <f t="shared" si="5"/>
        <v>1.4238176979304737</v>
      </c>
      <c r="L154" s="119"/>
      <c r="M154" s="119"/>
      <c r="N154" s="38"/>
    </row>
    <row r="155" spans="1:14" s="54" customFormat="1" ht="15.75" customHeight="1" x14ac:dyDescent="0.25">
      <c r="A155" s="94">
        <f t="shared" si="10"/>
        <v>3</v>
      </c>
      <c r="B155" s="95"/>
      <c r="C155" s="63">
        <v>1</v>
      </c>
      <c r="D155" s="64">
        <f>(27.63+2.75*0.85+2.3*1.15+2.75+(2.83*0.9))*(10.764)</f>
        <v>408.0578579999999</v>
      </c>
      <c r="E155" s="65">
        <v>0</v>
      </c>
      <c r="F155" s="68">
        <v>581</v>
      </c>
      <c r="G155" s="112"/>
      <c r="H155" s="112"/>
      <c r="I155" s="38"/>
      <c r="K155" s="62">
        <f t="shared" si="5"/>
        <v>1.4552259957510787</v>
      </c>
      <c r="L155" s="119"/>
      <c r="M155" s="119"/>
      <c r="N155" s="38"/>
    </row>
    <row r="156" spans="1:14" s="54" customFormat="1" ht="15.75" customHeight="1" x14ac:dyDescent="0.25">
      <c r="A156" s="94">
        <f t="shared" si="10"/>
        <v>4</v>
      </c>
      <c r="B156" s="95"/>
      <c r="C156" s="63">
        <v>2</v>
      </c>
      <c r="D156" s="64">
        <f>(38.65+2.75*0.85+2.75+3.2+(2.75*0.9))*(10.764)</f>
        <v>531.87614999999994</v>
      </c>
      <c r="E156" s="65">
        <v>0</v>
      </c>
      <c r="F156" s="68">
        <v>774</v>
      </c>
      <c r="G156" s="112"/>
      <c r="H156" s="112"/>
      <c r="I156" s="38"/>
      <c r="K156" s="62">
        <f>F158/D158</f>
        <v>1.448413077490607</v>
      </c>
      <c r="L156" s="119"/>
      <c r="M156" s="119"/>
      <c r="N156" s="38"/>
    </row>
    <row r="157" spans="1:14" s="69" customFormat="1" x14ac:dyDescent="0.25">
      <c r="A157" s="94" t="s">
        <v>229</v>
      </c>
      <c r="B157" s="95"/>
      <c r="C157" s="110" t="s">
        <v>224</v>
      </c>
      <c r="D157" s="111"/>
      <c r="E157" s="111"/>
      <c r="F157" s="111"/>
      <c r="G157" s="112"/>
      <c r="H157" s="112"/>
      <c r="I157" s="38"/>
      <c r="N157" s="38"/>
    </row>
    <row r="158" spans="1:14" s="54" customFormat="1" x14ac:dyDescent="0.25">
      <c r="A158" s="94">
        <f>A156+1</f>
        <v>5</v>
      </c>
      <c r="B158" s="95"/>
      <c r="C158" s="63">
        <v>2</v>
      </c>
      <c r="D158" s="64">
        <f>(38.69+2.75*0.85+2.75+3.2+(2.75*0.9))*(10.764)</f>
        <v>532.30670999999995</v>
      </c>
      <c r="E158" s="65">
        <v>0</v>
      </c>
      <c r="F158" s="68">
        <v>771</v>
      </c>
      <c r="G158" s="112"/>
      <c r="H158" s="112"/>
      <c r="I158" s="38"/>
      <c r="K158" s="62">
        <f t="shared" si="5"/>
        <v>1.4501138328073824</v>
      </c>
      <c r="L158" s="119"/>
      <c r="M158" s="119"/>
      <c r="N158" s="38"/>
    </row>
    <row r="159" spans="1:14" s="54" customFormat="1" x14ac:dyDescent="0.25">
      <c r="A159" s="94">
        <f t="shared" si="10"/>
        <v>6</v>
      </c>
      <c r="B159" s="95"/>
      <c r="C159" s="63">
        <v>2</v>
      </c>
      <c r="D159" s="64">
        <f>(38.56+2.75*0.85+2.75+3.2+(2.83*0.9))*(10.764)</f>
        <v>531.68239799999992</v>
      </c>
      <c r="E159" s="65">
        <v>0</v>
      </c>
      <c r="F159" s="68">
        <v>771</v>
      </c>
      <c r="G159" s="112"/>
      <c r="H159" s="112"/>
      <c r="I159" s="38"/>
      <c r="K159" s="62">
        <f t="shared" si="5"/>
        <v>1.4522306800061682</v>
      </c>
      <c r="L159" s="119"/>
      <c r="M159" s="119"/>
      <c r="N159" s="38"/>
    </row>
    <row r="160" spans="1:14" s="54" customFormat="1" x14ac:dyDescent="0.25">
      <c r="A160" s="94">
        <f t="shared" si="10"/>
        <v>7</v>
      </c>
      <c r="B160" s="95"/>
      <c r="C160" s="63">
        <v>2</v>
      </c>
      <c r="D160" s="64">
        <f>(38.56+2.75*0.85+2.75+3.2+(2.75*0.9))*(10.764)</f>
        <v>530.90739000000008</v>
      </c>
      <c r="E160" s="65">
        <v>0</v>
      </c>
      <c r="F160" s="68">
        <v>771</v>
      </c>
      <c r="G160" s="112"/>
      <c r="H160" s="112"/>
      <c r="I160" s="38"/>
      <c r="K160" s="62">
        <f t="shared" si="5"/>
        <v>1.4522306800061682</v>
      </c>
      <c r="L160" s="119"/>
      <c r="M160" s="119"/>
      <c r="N160" s="38"/>
    </row>
    <row r="161" spans="1:14" s="54" customFormat="1" x14ac:dyDescent="0.25">
      <c r="A161" s="94">
        <f t="shared" si="10"/>
        <v>8</v>
      </c>
      <c r="B161" s="95"/>
      <c r="C161" s="63">
        <v>2</v>
      </c>
      <c r="D161" s="64">
        <f>(38.56+2.75*0.85+2.75+3.2+(2.75*0.9))*(10.764)</f>
        <v>530.90739000000008</v>
      </c>
      <c r="E161" s="65">
        <v>0</v>
      </c>
      <c r="F161" s="68">
        <v>771</v>
      </c>
      <c r="G161" s="112"/>
      <c r="H161" s="112"/>
      <c r="I161" s="54">
        <v>10</v>
      </c>
      <c r="J161" s="38"/>
      <c r="K161" s="62" t="e">
        <f>#REF!/#REF!</f>
        <v>#REF!</v>
      </c>
    </row>
    <row r="162" spans="1:14" s="54" customFormat="1" x14ac:dyDescent="0.25">
      <c r="A162" s="84" t="s">
        <v>185</v>
      </c>
      <c r="B162" s="85"/>
      <c r="C162" s="85"/>
      <c r="D162" s="85"/>
      <c r="E162" s="85"/>
      <c r="F162" s="85"/>
      <c r="G162" s="85"/>
      <c r="H162" s="86"/>
      <c r="J162" s="38"/>
      <c r="K162" s="62" t="e">
        <f t="shared" si="5"/>
        <v>#DIV/0!</v>
      </c>
    </row>
    <row r="163" spans="1:14" s="54" customFormat="1" ht="15.75" customHeight="1" x14ac:dyDescent="0.25">
      <c r="A163" s="84" t="s">
        <v>221</v>
      </c>
      <c r="B163" s="85"/>
      <c r="C163" s="85"/>
      <c r="D163" s="85"/>
      <c r="E163" s="85"/>
      <c r="F163" s="85"/>
      <c r="G163" s="85"/>
      <c r="H163" s="86"/>
      <c r="I163" s="54">
        <v>11</v>
      </c>
      <c r="J163" s="38"/>
      <c r="K163" s="62" t="e">
        <f t="shared" si="5"/>
        <v>#DIV/0!</v>
      </c>
    </row>
    <row r="164" spans="1:14" s="54" customFormat="1" ht="15.75" customHeight="1" x14ac:dyDescent="0.25">
      <c r="A164" s="84" t="s">
        <v>225</v>
      </c>
      <c r="B164" s="85"/>
      <c r="C164" s="85"/>
      <c r="D164" s="85"/>
      <c r="E164" s="85"/>
      <c r="F164" s="85"/>
      <c r="G164" s="85"/>
      <c r="H164" s="86"/>
      <c r="I164" s="38">
        <f>3661000/F165</f>
        <v>6301.2048192771081</v>
      </c>
      <c r="J164" s="54">
        <f>581/D165</f>
        <v>1.4265270437976951</v>
      </c>
      <c r="K164" s="62">
        <f t="shared" si="5"/>
        <v>1.4265270437976951</v>
      </c>
      <c r="L164" s="119"/>
      <c r="M164" s="119"/>
      <c r="N164" s="38"/>
    </row>
    <row r="165" spans="1:14" s="54" customFormat="1" ht="15.75" customHeight="1" x14ac:dyDescent="0.25">
      <c r="A165" s="94">
        <v>1</v>
      </c>
      <c r="B165" s="95"/>
      <c r="C165" s="63">
        <v>1</v>
      </c>
      <c r="D165" s="64">
        <f>(27.63+2.75*0.85+2.3*1.15+2.75+(2.75*0.9))*(10.764)</f>
        <v>407.28284999999994</v>
      </c>
      <c r="E165" s="65">
        <v>0</v>
      </c>
      <c r="F165" s="65">
        <v>581</v>
      </c>
      <c r="G165" s="104" t="str">
        <f>A164</f>
        <v>1st to 7th, 9th to 12th &amp;14th Floor</v>
      </c>
      <c r="H165" s="105"/>
      <c r="I165" s="83">
        <f>2.75*3.8+1.2*1.8+1.88*1.2+2.75*3.05+2.3*3.5+0.4*1.2-(2.75*0.85+2.3*1.15+2.75)</f>
        <v>24.051000000000002</v>
      </c>
      <c r="J165" s="54">
        <f>771/D166</f>
        <v>1.4522306800061682</v>
      </c>
      <c r="K165" s="62">
        <f t="shared" si="5"/>
        <v>1.4522306800061682</v>
      </c>
      <c r="L165" s="119"/>
      <c r="M165" s="119"/>
      <c r="N165" s="38"/>
    </row>
    <row r="166" spans="1:14" s="54" customFormat="1" ht="15.75" customHeight="1" x14ac:dyDescent="0.25">
      <c r="A166" s="94">
        <f t="shared" ref="A166:A171" si="11">A165+1</f>
        <v>2</v>
      </c>
      <c r="B166" s="95"/>
      <c r="C166" s="63">
        <v>2</v>
      </c>
      <c r="D166" s="64">
        <f>(38.56+2.75*0.85+2.75+3.2+(2.75*0.9))*(10.764)</f>
        <v>530.90739000000008</v>
      </c>
      <c r="E166" s="65">
        <v>0</v>
      </c>
      <c r="F166" s="65">
        <v>771</v>
      </c>
      <c r="G166" s="106"/>
      <c r="H166" s="107"/>
      <c r="I166" s="74">
        <f>F165/D165</f>
        <v>1.4265270437976951</v>
      </c>
      <c r="K166" s="62">
        <f t="shared" si="5"/>
        <v>1.4265270437976951</v>
      </c>
      <c r="L166" s="119"/>
      <c r="M166" s="119"/>
      <c r="N166" s="38"/>
    </row>
    <row r="167" spans="1:14" s="54" customFormat="1" ht="15.75" customHeight="1" x14ac:dyDescent="0.25">
      <c r="A167" s="94">
        <f t="shared" si="11"/>
        <v>3</v>
      </c>
      <c r="B167" s="95"/>
      <c r="C167" s="63">
        <v>1</v>
      </c>
      <c r="D167" s="64">
        <f>(27.63+2.75*0.85+2.3*1.15+2.75+(2.75*0.9))*(10.764)</f>
        <v>407.28284999999994</v>
      </c>
      <c r="E167" s="65">
        <v>0</v>
      </c>
      <c r="F167" s="65">
        <v>581</v>
      </c>
      <c r="G167" s="106"/>
      <c r="H167" s="107"/>
      <c r="I167" s="38"/>
      <c r="K167" s="62">
        <f t="shared" si="5"/>
        <v>1.4265270437976951</v>
      </c>
      <c r="L167" s="119"/>
      <c r="M167" s="119"/>
      <c r="N167" s="38"/>
    </row>
    <row r="168" spans="1:14" s="54" customFormat="1" ht="15.75" customHeight="1" x14ac:dyDescent="0.25">
      <c r="A168" s="94">
        <f t="shared" si="11"/>
        <v>4</v>
      </c>
      <c r="B168" s="95"/>
      <c r="C168" s="63">
        <v>1</v>
      </c>
      <c r="D168" s="64">
        <f>(27.63+2.75*0.85+2.3*1.15+2.75+(2.75*0.9))*(10.764)</f>
        <v>407.28284999999994</v>
      </c>
      <c r="E168" s="65">
        <v>0</v>
      </c>
      <c r="F168" s="65">
        <v>581</v>
      </c>
      <c r="G168" s="106"/>
      <c r="H168" s="107"/>
      <c r="I168" s="38"/>
      <c r="K168" s="62">
        <f t="shared" si="5"/>
        <v>1.4265270437976951</v>
      </c>
      <c r="L168" s="119">
        <f>407*1.67</f>
        <v>679.68999999999994</v>
      </c>
      <c r="M168" s="119"/>
      <c r="N168" s="38"/>
    </row>
    <row r="169" spans="1:14" s="54" customFormat="1" ht="15.75" customHeight="1" x14ac:dyDescent="0.25">
      <c r="A169" s="94">
        <f t="shared" si="11"/>
        <v>5</v>
      </c>
      <c r="B169" s="95"/>
      <c r="C169" s="63">
        <v>1</v>
      </c>
      <c r="D169" s="64">
        <f>(27.63+2.75*0.85+2.3*1.15+2.75+(2.75*0.9))*(10.764)</f>
        <v>407.28284999999994</v>
      </c>
      <c r="E169" s="65">
        <v>0</v>
      </c>
      <c r="F169" s="65">
        <v>581</v>
      </c>
      <c r="G169" s="106"/>
      <c r="H169" s="107"/>
      <c r="I169" s="38"/>
      <c r="K169" s="62">
        <f t="shared" si="5"/>
        <v>1.4238176979304737</v>
      </c>
      <c r="L169" s="119"/>
      <c r="M169" s="119"/>
      <c r="N169" s="38"/>
    </row>
    <row r="170" spans="1:14" s="54" customFormat="1" ht="15.75" customHeight="1" x14ac:dyDescent="0.25">
      <c r="A170" s="94">
        <f t="shared" si="11"/>
        <v>6</v>
      </c>
      <c r="B170" s="95"/>
      <c r="C170" s="63">
        <v>1</v>
      </c>
      <c r="D170" s="64">
        <f>(27.63+2.75*0.85+2.3*1.15+2.75+(2.83*0.9))*(10.764)</f>
        <v>408.0578579999999</v>
      </c>
      <c r="E170" s="65">
        <v>0</v>
      </c>
      <c r="F170" s="65">
        <v>581</v>
      </c>
      <c r="G170" s="106"/>
      <c r="H170" s="107"/>
      <c r="I170" s="38"/>
      <c r="K170" s="62">
        <f t="shared" si="5"/>
        <v>1.4265270437976951</v>
      </c>
      <c r="L170" s="119"/>
      <c r="M170" s="119"/>
      <c r="N170" s="38"/>
    </row>
    <row r="171" spans="1:14" s="54" customFormat="1" ht="15.75" customHeight="1" x14ac:dyDescent="0.25">
      <c r="A171" s="94">
        <f t="shared" si="11"/>
        <v>7</v>
      </c>
      <c r="B171" s="95"/>
      <c r="C171" s="63">
        <v>1</v>
      </c>
      <c r="D171" s="64">
        <f>(27.63+2.75*0.85+2.3*1.15+2.75+(2.75*0.9))*(10.764)</f>
        <v>407.28284999999994</v>
      </c>
      <c r="E171" s="65">
        <v>0</v>
      </c>
      <c r="F171" s="65">
        <v>581</v>
      </c>
      <c r="G171" s="108"/>
      <c r="H171" s="109"/>
      <c r="I171" s="54">
        <v>2</v>
      </c>
      <c r="J171" s="38"/>
      <c r="K171" s="62" t="e">
        <f t="shared" si="5"/>
        <v>#DIV/0!</v>
      </c>
    </row>
    <row r="172" spans="1:14" s="54" customFormat="1" x14ac:dyDescent="0.25">
      <c r="A172" s="84" t="s">
        <v>184</v>
      </c>
      <c r="B172" s="85"/>
      <c r="C172" s="85"/>
      <c r="D172" s="85"/>
      <c r="E172" s="85"/>
      <c r="F172" s="85"/>
      <c r="G172" s="85"/>
      <c r="H172" s="86"/>
      <c r="I172" s="38"/>
      <c r="K172" s="62">
        <f t="shared" si="5"/>
        <v>1.4265270437976951</v>
      </c>
      <c r="L172" s="119"/>
      <c r="M172" s="119"/>
      <c r="N172" s="38"/>
    </row>
    <row r="173" spans="1:14" s="54" customFormat="1" ht="15.75" customHeight="1" x14ac:dyDescent="0.25">
      <c r="A173" s="94">
        <v>1</v>
      </c>
      <c r="B173" s="95"/>
      <c r="C173" s="63">
        <v>1</v>
      </c>
      <c r="D173" s="64">
        <f>(27.63+2.75*0.85+2.3*1.15+2.75+(2.75*0.9))*(10.764)</f>
        <v>407.28284999999994</v>
      </c>
      <c r="E173" s="65">
        <v>0</v>
      </c>
      <c r="F173" s="65">
        <v>581</v>
      </c>
      <c r="G173" s="104" t="str">
        <f>A172</f>
        <v>8th &amp; 13th Floor ( Part Refuge Area)</v>
      </c>
      <c r="H173" s="105"/>
      <c r="I173" s="38"/>
      <c r="K173" s="62">
        <f t="shared" si="5"/>
        <v>1.4522306800061682</v>
      </c>
      <c r="L173" s="119"/>
      <c r="M173" s="119"/>
      <c r="N173" s="38"/>
    </row>
    <row r="174" spans="1:14" s="54" customFormat="1" ht="15.75" customHeight="1" x14ac:dyDescent="0.25">
      <c r="A174" s="94">
        <f t="shared" ref="A174:A179" si="12">A173+1</f>
        <v>2</v>
      </c>
      <c r="B174" s="95"/>
      <c r="C174" s="63">
        <v>2</v>
      </c>
      <c r="D174" s="64">
        <f>(38.56+2.75*0.85+2.75+3.2+(2.75*0.9))*(10.764)</f>
        <v>530.90739000000008</v>
      </c>
      <c r="E174" s="65">
        <v>0</v>
      </c>
      <c r="F174" s="65">
        <v>771</v>
      </c>
      <c r="G174" s="106"/>
      <c r="H174" s="107"/>
      <c r="I174" s="38"/>
      <c r="K174" s="62">
        <f t="shared" si="5"/>
        <v>1.4265270437976951</v>
      </c>
      <c r="L174" s="119"/>
      <c r="M174" s="119"/>
      <c r="N174" s="38"/>
    </row>
    <row r="175" spans="1:14" s="54" customFormat="1" ht="15.75" customHeight="1" x14ac:dyDescent="0.25">
      <c r="A175" s="94">
        <f t="shared" si="12"/>
        <v>3</v>
      </c>
      <c r="B175" s="95"/>
      <c r="C175" s="63">
        <v>1</v>
      </c>
      <c r="D175" s="64">
        <f>(27.63+2.75*0.85+2.3*1.15+2.75+(2.75*0.9))*(10.764)</f>
        <v>407.28284999999994</v>
      </c>
      <c r="E175" s="65">
        <v>0</v>
      </c>
      <c r="F175" s="65">
        <v>581</v>
      </c>
      <c r="G175" s="106"/>
      <c r="H175" s="107"/>
      <c r="I175" s="38"/>
      <c r="K175" s="62">
        <f t="shared" si="5"/>
        <v>1.4265270437976951</v>
      </c>
      <c r="L175" s="119"/>
      <c r="M175" s="119"/>
      <c r="N175" s="38"/>
    </row>
    <row r="176" spans="1:14" s="54" customFormat="1" ht="15.75" customHeight="1" x14ac:dyDescent="0.25">
      <c r="A176" s="94">
        <f t="shared" si="12"/>
        <v>4</v>
      </c>
      <c r="B176" s="95"/>
      <c r="C176" s="63">
        <v>1</v>
      </c>
      <c r="D176" s="64">
        <f>(27.63+2.75*0.85+2.3*1.15+2.75+(2.75*0.9))*(10.764)</f>
        <v>407.28284999999994</v>
      </c>
      <c r="E176" s="65">
        <v>0</v>
      </c>
      <c r="F176" s="65">
        <v>581</v>
      </c>
      <c r="G176" s="106"/>
      <c r="H176" s="107"/>
      <c r="I176" s="38"/>
      <c r="K176" s="62">
        <f t="shared" si="5"/>
        <v>1.4265270437976951</v>
      </c>
      <c r="L176" s="119"/>
      <c r="M176" s="119"/>
      <c r="N176" s="38"/>
    </row>
    <row r="177" spans="1:14" s="54" customFormat="1" ht="15.75" customHeight="1" x14ac:dyDescent="0.25">
      <c r="A177" s="94">
        <f t="shared" si="12"/>
        <v>5</v>
      </c>
      <c r="B177" s="95"/>
      <c r="C177" s="63">
        <v>1</v>
      </c>
      <c r="D177" s="64">
        <f>(27.63+2.75*0.85+2.3*1.15+2.75+(2.75*0.9))*(10.764)</f>
        <v>407.28284999999994</v>
      </c>
      <c r="E177" s="65">
        <v>0</v>
      </c>
      <c r="F177" s="65">
        <v>581</v>
      </c>
      <c r="G177" s="106"/>
      <c r="H177" s="107"/>
      <c r="I177" s="38"/>
      <c r="K177" s="62">
        <f t="shared" si="5"/>
        <v>1.4238176979304737</v>
      </c>
      <c r="L177" s="119"/>
      <c r="M177" s="119"/>
      <c r="N177" s="38"/>
    </row>
    <row r="178" spans="1:14" s="54" customFormat="1" ht="15.75" customHeight="1" x14ac:dyDescent="0.25">
      <c r="A178" s="94">
        <f t="shared" si="12"/>
        <v>6</v>
      </c>
      <c r="B178" s="95"/>
      <c r="C178" s="63">
        <v>1</v>
      </c>
      <c r="D178" s="64">
        <f>(27.63+2.75*0.85+2.3*1.15+2.75+(2.83*0.9))*(10.764)</f>
        <v>408.0578579999999</v>
      </c>
      <c r="E178" s="65">
        <v>0</v>
      </c>
      <c r="F178" s="65">
        <v>581</v>
      </c>
      <c r="G178" s="106"/>
      <c r="H178" s="107"/>
      <c r="I178" s="38"/>
      <c r="K178" s="62">
        <f t="shared" si="5"/>
        <v>1.4265270437976951</v>
      </c>
      <c r="L178" s="119"/>
      <c r="M178" s="119"/>
      <c r="N178" s="38"/>
    </row>
    <row r="179" spans="1:14" s="54" customFormat="1" ht="15.75" customHeight="1" x14ac:dyDescent="0.25">
      <c r="A179" s="94">
        <f t="shared" si="12"/>
        <v>7</v>
      </c>
      <c r="B179" s="95"/>
      <c r="C179" s="63">
        <v>1</v>
      </c>
      <c r="D179" s="64">
        <f>(27.63+2.75*0.85+2.3*1.15+2.75+(2.75*0.9))*(10.764)</f>
        <v>407.28284999999994</v>
      </c>
      <c r="E179" s="65">
        <v>0</v>
      </c>
      <c r="F179" s="65">
        <v>581</v>
      </c>
      <c r="G179" s="108"/>
      <c r="H179" s="109"/>
      <c r="J179" s="38"/>
      <c r="K179" s="62" t="e">
        <f t="shared" si="5"/>
        <v>#DIV/0!</v>
      </c>
    </row>
    <row r="180" spans="1:14" s="48" customFormat="1" x14ac:dyDescent="0.25">
      <c r="A180" s="84" t="s">
        <v>226</v>
      </c>
      <c r="B180" s="85"/>
      <c r="C180" s="85"/>
      <c r="D180" s="85"/>
      <c r="E180" s="85"/>
      <c r="F180" s="85"/>
      <c r="G180" s="85"/>
      <c r="H180" s="86"/>
      <c r="J180" s="38"/>
      <c r="K180" s="62" t="e">
        <f>#REF!/#REF!</f>
        <v>#REF!</v>
      </c>
    </row>
    <row r="181" spans="1:14" s="37" customFormat="1" ht="18" customHeight="1" x14ac:dyDescent="0.25">
      <c r="A181" s="90" t="s">
        <v>67</v>
      </c>
      <c r="B181" s="90"/>
      <c r="C181" s="90"/>
      <c r="D181" s="90"/>
      <c r="E181" s="90"/>
      <c r="F181" s="90"/>
      <c r="G181" s="90"/>
      <c r="H181" s="90"/>
      <c r="K181" s="62" t="e">
        <f t="shared" ref="K181:K185" si="13">F182/D182</f>
        <v>#DIV/0!</v>
      </c>
    </row>
    <row r="182" spans="1:14" s="37" customFormat="1" x14ac:dyDescent="0.25">
      <c r="A182" s="47" t="s">
        <v>151</v>
      </c>
      <c r="B182" s="91" t="s">
        <v>238</v>
      </c>
      <c r="C182" s="92"/>
      <c r="D182" s="92"/>
      <c r="E182" s="92"/>
      <c r="F182" s="92"/>
      <c r="G182" s="92"/>
      <c r="H182" s="93"/>
      <c r="K182" s="62" t="e">
        <f t="shared" si="13"/>
        <v>#DIV/0!</v>
      </c>
    </row>
    <row r="183" spans="1:14" s="37" customFormat="1" x14ac:dyDescent="0.25">
      <c r="A183" s="47" t="s">
        <v>151</v>
      </c>
      <c r="B183" s="91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183" s="92"/>
      <c r="D183" s="92"/>
      <c r="E183" s="92"/>
      <c r="F183" s="92"/>
      <c r="G183" s="92"/>
      <c r="H183" s="93"/>
      <c r="K183" s="62" t="e">
        <f t="shared" si="13"/>
        <v>#DIV/0!</v>
      </c>
    </row>
    <row r="184" spans="1:14" s="37" customFormat="1" x14ac:dyDescent="0.25">
      <c r="A184" s="47" t="s">
        <v>151</v>
      </c>
      <c r="B184" s="91" t="str">
        <f>(IF(F121="Saleable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4" s="92"/>
      <c r="D184" s="92"/>
      <c r="E184" s="92"/>
      <c r="F184" s="92"/>
      <c r="G184" s="92"/>
      <c r="H184" s="93"/>
      <c r="K184" s="62" t="e">
        <f t="shared" si="13"/>
        <v>#DIV/0!</v>
      </c>
    </row>
    <row r="185" spans="1:14" s="37" customFormat="1" x14ac:dyDescent="0.25">
      <c r="A185" s="47" t="s">
        <v>151</v>
      </c>
      <c r="B185" s="87" t="s">
        <v>122</v>
      </c>
      <c r="C185" s="88"/>
      <c r="D185" s="88"/>
      <c r="E185" s="88"/>
      <c r="F185" s="88"/>
      <c r="G185" s="88"/>
      <c r="H185" s="89"/>
      <c r="K185" s="62" t="e">
        <f t="shared" si="13"/>
        <v>#DIV/0!</v>
      </c>
    </row>
    <row r="186" spans="1:14" s="37" customFormat="1" x14ac:dyDescent="0.25">
      <c r="A186" s="47" t="s">
        <v>151</v>
      </c>
      <c r="B186" s="87" t="s">
        <v>231</v>
      </c>
      <c r="C186" s="88"/>
      <c r="D186" s="88"/>
      <c r="E186" s="88"/>
      <c r="F186" s="88"/>
      <c r="G186" s="88"/>
      <c r="H186" s="89"/>
    </row>
    <row r="187" spans="1:14" s="37" customFormat="1" x14ac:dyDescent="0.25">
      <c r="A187" s="47" t="s">
        <v>151</v>
      </c>
      <c r="B187" s="87" t="s">
        <v>150</v>
      </c>
      <c r="C187" s="88"/>
      <c r="D187" s="88"/>
      <c r="E187" s="88"/>
      <c r="F187" s="88"/>
      <c r="G187" s="88"/>
      <c r="H187" s="89"/>
    </row>
    <row r="188" spans="1:14" s="37" customFormat="1" x14ac:dyDescent="0.25">
      <c r="A188" s="47" t="s">
        <v>151</v>
      </c>
      <c r="B188" s="87" t="s">
        <v>123</v>
      </c>
      <c r="C188" s="88"/>
      <c r="D188" s="88"/>
      <c r="E188" s="88"/>
      <c r="F188" s="88"/>
      <c r="G188" s="88"/>
      <c r="H188" s="89"/>
    </row>
    <row r="189" spans="1:14" s="37" customFormat="1" ht="33.75" customHeight="1" x14ac:dyDescent="0.25">
      <c r="A189" s="47" t="s">
        <v>151</v>
      </c>
      <c r="B189" s="87" t="s">
        <v>152</v>
      </c>
      <c r="C189" s="88"/>
      <c r="D189" s="88"/>
      <c r="E189" s="88"/>
      <c r="F189" s="88"/>
      <c r="G189" s="88"/>
      <c r="H189" s="89"/>
    </row>
    <row r="190" spans="1:14" s="37" customFormat="1" x14ac:dyDescent="0.25">
      <c r="A190" s="47" t="s">
        <v>151</v>
      </c>
      <c r="B190" s="87" t="s">
        <v>124</v>
      </c>
      <c r="C190" s="88"/>
      <c r="D190" s="88"/>
      <c r="E190" s="88"/>
      <c r="F190" s="88"/>
      <c r="G190" s="88"/>
      <c r="H190" s="89"/>
    </row>
    <row r="191" spans="1:14" s="37" customFormat="1" x14ac:dyDescent="0.25">
      <c r="A191" s="67" t="s">
        <v>151</v>
      </c>
      <c r="B191" s="91" t="s">
        <v>204</v>
      </c>
      <c r="C191" s="92"/>
      <c r="D191" s="92"/>
      <c r="E191" s="92"/>
      <c r="F191" s="92"/>
      <c r="G191" s="92"/>
      <c r="H191" s="93"/>
    </row>
    <row r="192" spans="1:14" s="37" customFormat="1" ht="31.5" customHeight="1" x14ac:dyDescent="0.25">
      <c r="A192" s="82" t="s">
        <v>151</v>
      </c>
      <c r="B192" s="91" t="s">
        <v>233</v>
      </c>
      <c r="C192" s="92"/>
      <c r="D192" s="92"/>
      <c r="E192" s="92"/>
      <c r="F192" s="92"/>
      <c r="G192" s="92"/>
      <c r="H192" s="93"/>
    </row>
    <row r="193" spans="1:8" x14ac:dyDescent="0.25">
      <c r="A193" s="57" t="s">
        <v>151</v>
      </c>
      <c r="B193" s="91" t="s">
        <v>230</v>
      </c>
      <c r="C193" s="92"/>
      <c r="D193" s="92"/>
      <c r="E193" s="92"/>
      <c r="F193" s="92"/>
      <c r="G193" s="92"/>
      <c r="H193" s="93"/>
    </row>
    <row r="194" spans="1:8" x14ac:dyDescent="0.25">
      <c r="A194" s="209" t="s">
        <v>60</v>
      </c>
      <c r="B194" s="209"/>
      <c r="C194" s="209"/>
      <c r="D194" s="209"/>
      <c r="E194" s="209"/>
      <c r="F194" s="209"/>
      <c r="G194" s="209"/>
      <c r="H194" s="209"/>
    </row>
    <row r="195" spans="1:8" ht="15.75" customHeight="1" x14ac:dyDescent="0.25">
      <c r="A195" s="126" t="s">
        <v>61</v>
      </c>
      <c r="B195" s="126"/>
      <c r="C195" s="126"/>
      <c r="D195" s="126"/>
      <c r="E195" s="126"/>
      <c r="F195" s="126"/>
      <c r="G195" s="126"/>
      <c r="H195" s="126"/>
    </row>
    <row r="196" spans="1:8" x14ac:dyDescent="0.25">
      <c r="A196" s="229" t="s">
        <v>62</v>
      </c>
      <c r="B196" s="229"/>
      <c r="C196" s="229"/>
      <c r="D196" s="229"/>
      <c r="E196" s="229"/>
      <c r="F196" s="229"/>
      <c r="G196" s="229"/>
      <c r="H196" s="229"/>
    </row>
    <row r="197" spans="1:8" x14ac:dyDescent="0.25">
      <c r="A197" s="126" t="s">
        <v>63</v>
      </c>
      <c r="B197" s="126"/>
      <c r="C197" s="126"/>
      <c r="D197" s="126"/>
      <c r="E197" s="126"/>
      <c r="F197" s="126"/>
      <c r="G197" s="126"/>
      <c r="H197" s="126"/>
    </row>
    <row r="198" spans="1:8" x14ac:dyDescent="0.25">
      <c r="A198" s="126" t="s">
        <v>64</v>
      </c>
      <c r="B198" s="126"/>
      <c r="C198" s="126"/>
      <c r="D198" s="126"/>
      <c r="E198" s="126"/>
      <c r="F198" s="126"/>
      <c r="G198" s="126"/>
      <c r="H198" s="126"/>
    </row>
    <row r="199" spans="1:8" hidden="1" x14ac:dyDescent="0.25">
      <c r="A199" s="126" t="s">
        <v>125</v>
      </c>
      <c r="B199" s="126"/>
      <c r="C199" s="126"/>
      <c r="D199" s="126"/>
      <c r="E199" s="126"/>
      <c r="F199" s="126"/>
      <c r="G199" s="126"/>
      <c r="H199" s="126"/>
    </row>
    <row r="200" spans="1:8" x14ac:dyDescent="0.25">
      <c r="A200" s="168" t="s">
        <v>126</v>
      </c>
      <c r="B200" s="168"/>
      <c r="C200" s="168"/>
      <c r="D200" s="168"/>
      <c r="E200" s="168"/>
      <c r="F200" s="168"/>
      <c r="G200" s="168"/>
      <c r="H200" s="168"/>
    </row>
    <row r="201" spans="1:8" x14ac:dyDescent="0.25">
      <c r="A201" s="206" t="s">
        <v>76</v>
      </c>
      <c r="B201" s="206"/>
      <c r="C201" s="206" t="s">
        <v>201</v>
      </c>
      <c r="D201" s="206"/>
      <c r="E201" s="206" t="s">
        <v>106</v>
      </c>
      <c r="F201" s="206"/>
      <c r="G201" s="207" t="s">
        <v>237</v>
      </c>
      <c r="H201" s="207"/>
    </row>
    <row r="202" spans="1:8" x14ac:dyDescent="0.25">
      <c r="A202" s="205" t="s">
        <v>78</v>
      </c>
      <c r="B202" s="205"/>
      <c r="C202" s="205"/>
      <c r="D202" s="205"/>
      <c r="E202" s="205"/>
      <c r="F202" s="205"/>
      <c r="G202" s="205"/>
      <c r="H202" s="205"/>
    </row>
    <row r="203" spans="1:8" x14ac:dyDescent="0.25">
      <c r="A203" s="205"/>
      <c r="B203" s="205"/>
      <c r="C203" s="205"/>
      <c r="D203" s="205"/>
      <c r="E203" s="205"/>
      <c r="F203" s="205"/>
      <c r="G203" s="205"/>
      <c r="H203" s="205"/>
    </row>
    <row r="204" spans="1:8" x14ac:dyDescent="0.25">
      <c r="A204" s="205"/>
      <c r="B204" s="205"/>
      <c r="C204" s="205"/>
      <c r="D204" s="205"/>
      <c r="E204" s="205"/>
      <c r="F204" s="205"/>
      <c r="G204" s="205"/>
      <c r="H204" s="205"/>
    </row>
    <row r="205" spans="1:8" x14ac:dyDescent="0.25">
      <c r="A205" s="39" t="s">
        <v>65</v>
      </c>
      <c r="B205" s="40"/>
      <c r="C205" s="40"/>
      <c r="D205" s="39" t="str">
        <f>E8</f>
        <v>Balaji Govind</v>
      </c>
      <c r="F205" s="40"/>
      <c r="G205" s="40"/>
      <c r="H205" s="40"/>
    </row>
    <row r="206" spans="1:8" x14ac:dyDescent="0.25">
      <c r="A206" s="40"/>
      <c r="B206" s="40"/>
      <c r="C206" s="40"/>
      <c r="D206" s="40"/>
      <c r="E206" s="40"/>
      <c r="F206" s="40"/>
      <c r="G206" s="40"/>
      <c r="H206" s="40"/>
    </row>
    <row r="207" spans="1:8" ht="15" customHeight="1" x14ac:dyDescent="0.25">
      <c r="A207" s="40"/>
      <c r="B207" s="40"/>
      <c r="C207" s="40"/>
      <c r="D207" s="40"/>
      <c r="E207" s="40"/>
      <c r="F207" s="40"/>
      <c r="G207" s="40"/>
      <c r="H207" s="40"/>
    </row>
    <row r="249" spans="1:1" x14ac:dyDescent="0.25">
      <c r="A249" s="42" t="s">
        <v>194</v>
      </c>
    </row>
    <row r="281" spans="1:1" x14ac:dyDescent="0.25">
      <c r="A281" s="42" t="s">
        <v>66</v>
      </c>
    </row>
  </sheetData>
  <mergeCells count="378">
    <mergeCell ref="A199:H199"/>
    <mergeCell ref="A196:H196"/>
    <mergeCell ref="A114:B114"/>
    <mergeCell ref="G132:H132"/>
    <mergeCell ref="A88:B88"/>
    <mergeCell ref="A89:B89"/>
    <mergeCell ref="A90:B90"/>
    <mergeCell ref="F95:H95"/>
    <mergeCell ref="G111:H111"/>
    <mergeCell ref="B193:H193"/>
    <mergeCell ref="F106:H106"/>
    <mergeCell ref="F104:H104"/>
    <mergeCell ref="A120:H120"/>
    <mergeCell ref="G110:H110"/>
    <mergeCell ref="A105:E105"/>
    <mergeCell ref="C111:D111"/>
    <mergeCell ref="E111:F111"/>
    <mergeCell ref="G84:H93"/>
    <mergeCell ref="A85:B85"/>
    <mergeCell ref="A86:B86"/>
    <mergeCell ref="A87:B87"/>
    <mergeCell ref="F96:H96"/>
    <mergeCell ref="A96:E96"/>
    <mergeCell ref="A98:E98"/>
    <mergeCell ref="A16:B16"/>
    <mergeCell ref="C16:H16"/>
    <mergeCell ref="E41:H41"/>
    <mergeCell ref="A41:D41"/>
    <mergeCell ref="A64:C64"/>
    <mergeCell ref="D64:H64"/>
    <mergeCell ref="A70:B70"/>
    <mergeCell ref="G69:H69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37:H37"/>
    <mergeCell ref="E18:F18"/>
    <mergeCell ref="G18:H18"/>
    <mergeCell ref="A19:B19"/>
    <mergeCell ref="C19:D19"/>
    <mergeCell ref="E19:F19"/>
    <mergeCell ref="G19:H19"/>
    <mergeCell ref="C48:E48"/>
    <mergeCell ref="G48:H48"/>
    <mergeCell ref="G50:H50"/>
    <mergeCell ref="D54:H54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202:H204"/>
    <mergeCell ref="A201:B201"/>
    <mergeCell ref="E201:F201"/>
    <mergeCell ref="C201:D201"/>
    <mergeCell ref="G201:H201"/>
    <mergeCell ref="A109:H109"/>
    <mergeCell ref="A107:E107"/>
    <mergeCell ref="F107:H107"/>
    <mergeCell ref="A108:E108"/>
    <mergeCell ref="F108:H108"/>
    <mergeCell ref="A115:B115"/>
    <mergeCell ref="A111:B111"/>
    <mergeCell ref="A197:H197"/>
    <mergeCell ref="A113:H113"/>
    <mergeCell ref="A200:H200"/>
    <mergeCell ref="A198:H198"/>
    <mergeCell ref="A194:H194"/>
    <mergeCell ref="A195:H195"/>
    <mergeCell ref="E114:F114"/>
    <mergeCell ref="B190:H190"/>
    <mergeCell ref="B185:H185"/>
    <mergeCell ref="B186:H186"/>
    <mergeCell ref="B182:H182"/>
    <mergeCell ref="B183:H18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20:B20"/>
    <mergeCell ref="C20:D20"/>
    <mergeCell ref="E20:F20"/>
    <mergeCell ref="G20:H20"/>
    <mergeCell ref="C18:D1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C47:H47"/>
    <mergeCell ref="C50:E50"/>
    <mergeCell ref="A42:D42"/>
    <mergeCell ref="E42:H42"/>
    <mergeCell ref="E43:H43"/>
    <mergeCell ref="E44:H44"/>
    <mergeCell ref="E45:H45"/>
    <mergeCell ref="A43:D43"/>
    <mergeCell ref="A77:B7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A47:B47"/>
    <mergeCell ref="D63:H63"/>
    <mergeCell ref="C68:H68"/>
    <mergeCell ref="A73:B73"/>
    <mergeCell ref="E69:F69"/>
    <mergeCell ref="A62:C62"/>
    <mergeCell ref="D62:H62"/>
    <mergeCell ref="A65:C65"/>
    <mergeCell ref="A75:B75"/>
    <mergeCell ref="A48:B48"/>
    <mergeCell ref="A60:C60"/>
    <mergeCell ref="D59:H59"/>
    <mergeCell ref="E70:F79"/>
    <mergeCell ref="G70:H79"/>
    <mergeCell ref="A78:B78"/>
    <mergeCell ref="A79:B79"/>
    <mergeCell ref="D60:H60"/>
    <mergeCell ref="F105:H105"/>
    <mergeCell ref="E110:F110"/>
    <mergeCell ref="A110:B110"/>
    <mergeCell ref="C110:D110"/>
    <mergeCell ref="A80:B80"/>
    <mergeCell ref="C80:H80"/>
    <mergeCell ref="D65:H65"/>
    <mergeCell ref="A63:C63"/>
    <mergeCell ref="A71:B71"/>
    <mergeCell ref="A82:B82"/>
    <mergeCell ref="C82:H82"/>
    <mergeCell ref="A83:B83"/>
    <mergeCell ref="E83:F83"/>
    <mergeCell ref="G83:H83"/>
    <mergeCell ref="A101:E101"/>
    <mergeCell ref="F101:H101"/>
    <mergeCell ref="A102:E102"/>
    <mergeCell ref="F97:H97"/>
    <mergeCell ref="A103:E103"/>
    <mergeCell ref="A97:E97"/>
    <mergeCell ref="A94:E94"/>
    <mergeCell ref="F98:H98"/>
    <mergeCell ref="F102:H102"/>
    <mergeCell ref="A95:E95"/>
    <mergeCell ref="A84:B84"/>
    <mergeCell ref="E84:F93"/>
    <mergeCell ref="A91:B91"/>
    <mergeCell ref="A92:B92"/>
    <mergeCell ref="A93:B93"/>
    <mergeCell ref="F94:H94"/>
    <mergeCell ref="F99:H99"/>
    <mergeCell ref="F103:H103"/>
    <mergeCell ref="A99:E99"/>
    <mergeCell ref="A106:E106"/>
    <mergeCell ref="G117:H117"/>
    <mergeCell ref="A116:B116"/>
    <mergeCell ref="C116:D116"/>
    <mergeCell ref="E116:F116"/>
    <mergeCell ref="A100:E100"/>
    <mergeCell ref="F100:H100"/>
    <mergeCell ref="C117:D117"/>
    <mergeCell ref="C115:D115"/>
    <mergeCell ref="E115:F115"/>
    <mergeCell ref="G116:H116"/>
    <mergeCell ref="C114:D114"/>
    <mergeCell ref="G114:H114"/>
    <mergeCell ref="A117:B117"/>
    <mergeCell ref="E117:F117"/>
    <mergeCell ref="G115:H115"/>
    <mergeCell ref="A112:B112"/>
    <mergeCell ref="C112:D112"/>
    <mergeCell ref="E112:F112"/>
    <mergeCell ref="G112:H112"/>
    <mergeCell ref="A104:E104"/>
    <mergeCell ref="L126:M126"/>
    <mergeCell ref="L125:M125"/>
    <mergeCell ref="L124:M124"/>
    <mergeCell ref="L123:M123"/>
    <mergeCell ref="A123:H123"/>
    <mergeCell ref="A126:B126"/>
    <mergeCell ref="A127:B127"/>
    <mergeCell ref="A128:B128"/>
    <mergeCell ref="A131:H131"/>
    <mergeCell ref="A124:B124"/>
    <mergeCell ref="A125:B125"/>
    <mergeCell ref="L137:M137"/>
    <mergeCell ref="L138:M138"/>
    <mergeCell ref="A140:B140"/>
    <mergeCell ref="L139:M139"/>
    <mergeCell ref="A141:B141"/>
    <mergeCell ref="L140:M140"/>
    <mergeCell ref="A139:B139"/>
    <mergeCell ref="A143:H143"/>
    <mergeCell ref="L127:M127"/>
    <mergeCell ref="A129:B129"/>
    <mergeCell ref="L128:M128"/>
    <mergeCell ref="A130:B130"/>
    <mergeCell ref="L129:M129"/>
    <mergeCell ref="A134:H134"/>
    <mergeCell ref="A133:H133"/>
    <mergeCell ref="L134:M134"/>
    <mergeCell ref="L135:M135"/>
    <mergeCell ref="A137:B137"/>
    <mergeCell ref="L136:M136"/>
    <mergeCell ref="L150:M150"/>
    <mergeCell ref="L156:M156"/>
    <mergeCell ref="L141:M141"/>
    <mergeCell ref="A145:B145"/>
    <mergeCell ref="L144:M144"/>
    <mergeCell ref="A146:B146"/>
    <mergeCell ref="L145:M145"/>
    <mergeCell ref="A144:B144"/>
    <mergeCell ref="A147:B147"/>
    <mergeCell ref="L146:M146"/>
    <mergeCell ref="L147:M147"/>
    <mergeCell ref="A149:B149"/>
    <mergeCell ref="L148:M148"/>
    <mergeCell ref="A150:B150"/>
    <mergeCell ref="L149:M149"/>
    <mergeCell ref="A148:B148"/>
    <mergeCell ref="A152:H152"/>
    <mergeCell ref="L152:M152"/>
    <mergeCell ref="I151:I154"/>
    <mergeCell ref="A142:B142"/>
    <mergeCell ref="L164:M164"/>
    <mergeCell ref="A166:B166"/>
    <mergeCell ref="L165:M165"/>
    <mergeCell ref="A167:B167"/>
    <mergeCell ref="L166:M166"/>
    <mergeCell ref="A168:B168"/>
    <mergeCell ref="L167:M167"/>
    <mergeCell ref="A161:B161"/>
    <mergeCell ref="L160:M160"/>
    <mergeCell ref="A162:H162"/>
    <mergeCell ref="A163:H163"/>
    <mergeCell ref="A164:H164"/>
    <mergeCell ref="A165:B165"/>
    <mergeCell ref="L158:M158"/>
    <mergeCell ref="A160:B160"/>
    <mergeCell ref="L159:M159"/>
    <mergeCell ref="A153:B153"/>
    <mergeCell ref="A158:B158"/>
    <mergeCell ref="A154:B154"/>
    <mergeCell ref="L153:M153"/>
    <mergeCell ref="A155:B155"/>
    <mergeCell ref="L154:M154"/>
    <mergeCell ref="A156:B156"/>
    <mergeCell ref="A159:B159"/>
    <mergeCell ref="L155:M155"/>
    <mergeCell ref="A157:B157"/>
    <mergeCell ref="L172:M172"/>
    <mergeCell ref="A174:B174"/>
    <mergeCell ref="L173:M173"/>
    <mergeCell ref="A178:B178"/>
    <mergeCell ref="L177:M177"/>
    <mergeCell ref="G173:H179"/>
    <mergeCell ref="A169:B169"/>
    <mergeCell ref="L168:M168"/>
    <mergeCell ref="A170:B170"/>
    <mergeCell ref="L169:M169"/>
    <mergeCell ref="A171:B171"/>
    <mergeCell ref="L170:M170"/>
    <mergeCell ref="G165:H171"/>
    <mergeCell ref="L178:M178"/>
    <mergeCell ref="A175:B175"/>
    <mergeCell ref="L174:M174"/>
    <mergeCell ref="A176:B176"/>
    <mergeCell ref="L175:M175"/>
    <mergeCell ref="A177:B177"/>
    <mergeCell ref="L176:M176"/>
    <mergeCell ref="A172:H172"/>
    <mergeCell ref="A173:B173"/>
    <mergeCell ref="A118:B118"/>
    <mergeCell ref="C118:D118"/>
    <mergeCell ref="E118:F118"/>
    <mergeCell ref="G118:H118"/>
    <mergeCell ref="G124:H130"/>
    <mergeCell ref="G135:H142"/>
    <mergeCell ref="G144:H151"/>
    <mergeCell ref="C157:F157"/>
    <mergeCell ref="G153:H161"/>
    <mergeCell ref="A151:B151"/>
    <mergeCell ref="A138:B138"/>
    <mergeCell ref="A122:H122"/>
    <mergeCell ref="G121:H121"/>
    <mergeCell ref="A119:H119"/>
    <mergeCell ref="A136:B136"/>
    <mergeCell ref="A135:B135"/>
    <mergeCell ref="A180:H180"/>
    <mergeCell ref="B189:H189"/>
    <mergeCell ref="B188:H188"/>
    <mergeCell ref="B187:H187"/>
    <mergeCell ref="A181:H181"/>
    <mergeCell ref="B184:H184"/>
    <mergeCell ref="B192:H192"/>
    <mergeCell ref="B191:H191"/>
    <mergeCell ref="A179:B179"/>
  </mergeCells>
  <dataValidations count="1">
    <dataValidation type="list" allowBlank="1" showInputMessage="1" showErrorMessage="1" sqref="G201:H201" xr:uid="{00000000-0002-0000-0000-000000000000}">
      <formula1>"Kunal Kadam,Pranita Mhatre,Shruti Fule,Pooja Kawale,Gaurav Panchal,Shruti Tathare, Dipti Gothawade,Saurav Panse, Sachin Sawant"</formula1>
    </dataValidation>
  </dataValidations>
  <hyperlinks>
    <hyperlink ref="C38" r:id="rId1" xr:uid="{00000000-0004-0000-0000-000000000000}"/>
    <hyperlink ref="I62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7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93" max="16383" man="1"/>
    <brk id="204" max="7" man="1"/>
    <brk id="248" max="7" man="1"/>
    <brk id="280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7" zoomScale="85" zoomScaleNormal="85" workbookViewId="0">
      <selection activeCell="G25" sqref="G25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37" t="s">
        <v>107</v>
      </c>
      <c r="C3" s="237"/>
      <c r="D3" s="237"/>
      <c r="E3" s="237"/>
      <c r="F3" s="237"/>
      <c r="G3" s="237"/>
      <c r="H3" s="237"/>
    </row>
    <row r="4" spans="1:9" x14ac:dyDescent="0.25">
      <c r="A4" s="3"/>
      <c r="B4" s="4" t="s">
        <v>108</v>
      </c>
      <c r="C4" s="4" t="s">
        <v>109</v>
      </c>
      <c r="D4" s="4" t="s">
        <v>68</v>
      </c>
      <c r="E4" s="4" t="s">
        <v>110</v>
      </c>
      <c r="F4" s="4" t="s">
        <v>116</v>
      </c>
      <c r="G4" s="4" t="s">
        <v>117</v>
      </c>
      <c r="H4" s="4" t="s">
        <v>111</v>
      </c>
    </row>
    <row r="5" spans="1:9" ht="15" customHeight="1" x14ac:dyDescent="0.2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2025-07-11T05:54:32Z</cp:lastPrinted>
  <dcterms:created xsi:type="dcterms:W3CDTF">2019-07-16T09:29:46Z</dcterms:created>
  <dcterms:modified xsi:type="dcterms:W3CDTF">2025-07-11T05:58:16Z</dcterms:modified>
</cp:coreProperties>
</file>