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July 25\Dump\"/>
    </mc:Choice>
  </mc:AlternateContent>
  <xr:revisionPtr revIDLastSave="0" documentId="13_ncr:1_{BDEF1A58-EC6E-44AC-B5E2-9D022922531B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G96" i="1"/>
  <c r="G99" i="1"/>
  <c r="D145" i="1"/>
  <c r="I145" i="1" s="1"/>
  <c r="D144" i="1"/>
  <c r="I144" i="1" s="1"/>
  <c r="D143" i="1"/>
  <c r="I143" i="1" s="1"/>
  <c r="D142" i="1"/>
  <c r="I142" i="1" s="1"/>
  <c r="A142" i="1"/>
  <c r="A143" i="1" s="1"/>
  <c r="A144" i="1" s="1"/>
  <c r="A145" i="1" s="1"/>
  <c r="D141" i="1"/>
  <c r="I141" i="1" s="1"/>
  <c r="G140" i="1"/>
  <c r="D140" i="1"/>
  <c r="I140" i="1" s="1"/>
  <c r="D138" i="1"/>
  <c r="I138" i="1" s="1"/>
  <c r="D137" i="1"/>
  <c r="I137" i="1" s="1"/>
  <c r="D136" i="1"/>
  <c r="I136" i="1" s="1"/>
  <c r="D135" i="1"/>
  <c r="I135" i="1" s="1"/>
  <c r="A135" i="1"/>
  <c r="A136" i="1" s="1"/>
  <c r="A137" i="1" s="1"/>
  <c r="A138" i="1" s="1"/>
  <c r="D134" i="1"/>
  <c r="I134" i="1" s="1"/>
  <c r="G133" i="1"/>
  <c r="D133" i="1"/>
  <c r="I133" i="1" s="1"/>
  <c r="I120" i="1"/>
  <c r="I119" i="1"/>
  <c r="D114" i="1"/>
  <c r="D113" i="1"/>
  <c r="D112" i="1"/>
  <c r="D111" i="1"/>
  <c r="D110" i="1"/>
  <c r="D109" i="1"/>
  <c r="D108" i="1"/>
  <c r="D107" i="1"/>
  <c r="D106" i="1"/>
  <c r="E42" i="1"/>
  <c r="C96" i="1" l="1"/>
  <c r="E96" i="1"/>
  <c r="D150" i="1"/>
  <c r="D149" i="1"/>
  <c r="D148" i="1"/>
  <c r="D147" i="1"/>
  <c r="D124" i="1"/>
  <c r="D122" i="1"/>
  <c r="D121" i="1"/>
  <c r="D120" i="1"/>
  <c r="D119" i="1"/>
  <c r="D131" i="1" l="1"/>
  <c r="D130" i="1"/>
  <c r="D129" i="1"/>
  <c r="D128" i="1"/>
  <c r="D127" i="1"/>
  <c r="D126" i="1"/>
  <c r="C99" i="1" s="1"/>
  <c r="E99" i="1" l="1"/>
  <c r="I126" i="1"/>
  <c r="E121" i="1"/>
  <c r="E119" i="1"/>
  <c r="I110" i="1" l="1"/>
  <c r="I108" i="1"/>
  <c r="I106" i="1"/>
  <c r="I128" i="1"/>
  <c r="I129" i="1"/>
  <c r="I130" i="1"/>
  <c r="I127" i="1"/>
  <c r="I109" i="1"/>
  <c r="I107" i="1"/>
  <c r="Z12" i="1"/>
  <c r="I14" i="1"/>
  <c r="C100" i="1" l="1"/>
  <c r="I131" i="1"/>
  <c r="I111" i="1"/>
  <c r="E100" i="1" l="1"/>
  <c r="E43" i="1"/>
  <c r="E44" i="1" s="1"/>
  <c r="C15" i="1" l="1"/>
  <c r="E30" i="1" l="1"/>
  <c r="A120" i="1" l="1"/>
  <c r="A121" i="1" s="1"/>
  <c r="A122" i="1" s="1"/>
  <c r="A123" i="1" s="1"/>
  <c r="A124" i="1" s="1"/>
  <c r="G119" i="1"/>
  <c r="F93" i="1" l="1"/>
  <c r="B155" i="1" l="1"/>
  <c r="G100" i="1" l="1"/>
  <c r="B15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1" i="1"/>
  <c r="G147" i="1"/>
  <c r="G148" i="1" s="1"/>
  <c r="G149" i="1" s="1"/>
  <c r="G150" i="1" s="1"/>
  <c r="G151" i="1" s="1"/>
  <c r="G152" i="1" s="1"/>
  <c r="G126" i="1"/>
  <c r="A128" i="1"/>
  <c r="A129" i="1" s="1"/>
  <c r="A130" i="1" s="1"/>
  <c r="A131" i="1" s="1"/>
  <c r="G106" i="1"/>
  <c r="C66" i="1"/>
  <c r="B67" i="1" s="1"/>
  <c r="G50" i="1"/>
  <c r="C50" i="1"/>
  <c r="E27" i="1"/>
  <c r="E25" i="1"/>
  <c r="E7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C71" i="1" s="1"/>
  <c r="G70" i="1" s="1"/>
  <c r="D64" i="1" s="1"/>
  <c r="D65" i="1" s="1"/>
  <c r="J67" i="1" l="1"/>
  <c r="D71" i="1"/>
  <c r="I67" i="1" s="1"/>
  <c r="I68" i="1" s="1"/>
  <c r="E70" i="1"/>
  <c r="F65" i="1"/>
  <c r="I66" i="1" l="1"/>
  <c r="C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<sst xmlns="http://schemas.openxmlformats.org/spreadsheetml/2006/main" count="425" uniqueCount="290">
  <si>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</si>
  <si>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</si>
  <si>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</si>
  <si>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</si>
  <si>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</si>
  <si>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</si>
  <si>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</si>
  <si>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</si>
  <si>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</si>
  <si>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</si>
  <si>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</si>
  <si>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</si>
  <si>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</si>
  <si>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</si>
  <si>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</si>
  <si>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</si>
  <si>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</si>
  <si>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</si>
  <si>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</si>
  <si>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</si>
  <si>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</si>
  <si>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</si>
  <si>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</si>
  <si>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</si>
  <si>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</si>
  <si>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</si>
  <si>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</si>
  <si>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</si>
  <si>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</si>
  <si>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</si>
  <si>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</si>
  <si>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</si>
  <si>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</si>
  <si>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</si>
  <si>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</si>
  <si>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</si>
  <si>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</si>
  <si>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</si>
  <si>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</si>
  <si>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</si>
  <si>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</si>
  <si>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</si>
  <si>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</si>
  <si>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</si>
  <si>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</si>
  <si>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</si>
  <si>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</si>
  <si>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</si>
  <si>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</si>
  <si>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</si>
  <si>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</si>
  <si>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</si>
  <si>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</si>
  <si>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</si>
  <si>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</si>
  <si>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</si>
  <si>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</si>
  <si>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</si>
  <si>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</si>
  <si>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</si>
  <si>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</si>
  <si>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</si>
  <si>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</si>
  <si>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</si>
  <si>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</si>
  <si>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</si>
  <si>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</si>
  <si>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</si>
  <si>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</si>
  <si>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</si>
  <si>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</si>
  <si>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</si>
  <si>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</si>
  <si>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</si>
  <si>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</si>
  <si>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</si>
  <si>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</si>
  <si>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</si>
  <si>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</si>
  <si>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</si>
  <si>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</si>
  <si>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</si>
  <si>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</si>
  <si>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</si>
  <si>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</si>
  <si>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</si>
  <si>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</si>
  <si>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</si>
  <si>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</si>
  <si>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</si>
  <si>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</si>
  <si>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</si>
  <si>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</si>
  <si>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</si>
  <si>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</si>
  <si>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</si>
  <si>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</si>
  <si>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</si>
  <si>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</si>
  <si>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</si>
  <si>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</si>
  <si>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</si>
  <si>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</si>
  <si>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</si>
  <si>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</si>
  <si>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</si>
  <si>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</si>
  <si>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</si>
  <si>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</si>
  <si>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</si>
  <si>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</si>
  <si>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</si>
  <si>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</si>
  <si>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</si>
  <si>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</si>
  <si>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</si>
  <si>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</si>
  <si>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</si>
  <si>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</si>
  <si>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</si>
  <si>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</si>
  <si>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</si>
  <si>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</si>
  <si>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</si>
  <si>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</si>
  <si>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</si>
  <si>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</si>
  <si>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</si>
  <si>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</si>
  <si>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</si>
  <si>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</si>
  <si>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</si>
  <si>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</si>
  <si>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</si>
  <si>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</si>
  <si>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</si>
  <si>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</si>
  <si>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</si>
  <si>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</si>
  <si>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</si>
  <si>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</si>
  <si>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</si>
  <si>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</si>
  <si>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</si>
  <si>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</si>
  <si>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</si>
  <si>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</si>
  <si>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</si>
  <si>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</si>
  <si>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</si>
  <si>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</si>
  <si>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</si>
  <si>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</si>
  <si>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</si>
  <si>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</si>
  <si>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</si>
  <si>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</si>
  <si>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</si>
  <si>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</si>
  <si>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</si>
  <si>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</si>
  <si>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</si>
  <si>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</si>
  <si>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</si>
  <si>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</si>
  <si>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</si>
  <si>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</si>
  <si>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</si>
  <si>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</si>
  <si>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</si>
  <si>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</si>
  <si>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</si>
  <si>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</si>
  <si>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</si>
  <si>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</si>
  <si>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</si>
  <si>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</si>
  <si>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</si>
  <si>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</si>
  <si>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</si>
  <si>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</si>
  <si>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</si>
  <si>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</si>
  <si>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</si>
  <si>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</si>
  <si>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</si>
  <si>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</si>
  <si>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</si>
  <si>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</si>
  <si>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</si>
  <si>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</si>
  <si>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</si>
  <si>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</si>
  <si>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</si>
  <si>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</si>
  <si>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</si>
  <si>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</si>
  <si>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</si>
  <si>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</si>
  <si>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</si>
  <si>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</si>
  <si>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</si>
  <si>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</si>
  <si>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</si>
  <si>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</si>
  <si>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</si>
  <si>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</si>
  <si>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</si>
  <si>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</si>
  <si>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</si>
  <si>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</si>
  <si>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</si>
  <si>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</si>
  <si>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</si>
  <si>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</si>
  <si>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</si>
  <si>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</si>
  <si>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</si>
  <si>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</si>
  <si>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</si>
  <si>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</si>
  <si>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</si>
  <si>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</si>
  <si>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</si>
  <si>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</si>
  <si>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</si>
  <si>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</si>
  <si>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Commencement-CC No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</si>
  <si>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</si>
  <si>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</si>
  <si>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Axis Sanpada</t>
  </si>
  <si>
    <t>Haware Elinor</t>
  </si>
  <si>
    <t>Haware Engineers And Builders Private Limited</t>
  </si>
  <si>
    <t>P52000049131</t>
  </si>
  <si>
    <t>Plot No</t>
  </si>
  <si>
    <t>Kalamboli</t>
  </si>
  <si>
    <t>Internal Road</t>
  </si>
  <si>
    <t>Springdale Apartment</t>
  </si>
  <si>
    <t>5.5 KM from Kharghar Railway Station</t>
  </si>
  <si>
    <t>Kharghar</t>
  </si>
  <si>
    <t>Roadpali</t>
  </si>
  <si>
    <t>Rangai</t>
  </si>
  <si>
    <t>Plot No. 9A</t>
  </si>
  <si>
    <t>15.00M Wide Road</t>
  </si>
  <si>
    <t>6.00M Winde Road</t>
  </si>
  <si>
    <t>Plot No. 13A</t>
  </si>
  <si>
    <t>Construction work is in process at the time of Visit.</t>
  </si>
  <si>
    <t>https://maps.app.goo.gl/MZ5gp58qST9yJTxX6</t>
  </si>
  <si>
    <t>19.043560, 73.098805</t>
  </si>
  <si>
    <t>Gr + 1st to 6th Floor</t>
  </si>
  <si>
    <t>As per RERA - 10/11/2027</t>
  </si>
  <si>
    <t>Ground Floor for Commercial &amp; Parking Area</t>
  </si>
  <si>
    <t>Shop</t>
  </si>
  <si>
    <t>1st Floor Residential &amp; Society Office</t>
  </si>
  <si>
    <t>Society Office</t>
  </si>
  <si>
    <t>2BHK</t>
  </si>
  <si>
    <t>1BHK</t>
  </si>
  <si>
    <t>Terrace Area</t>
  </si>
  <si>
    <t>We considered Gross carpet area = Net carpet + Chajja</t>
  </si>
  <si>
    <t>Shops</t>
  </si>
  <si>
    <t>Flats</t>
  </si>
  <si>
    <t>Water, MSEB, Development Charges</t>
  </si>
  <si>
    <t>Gymnasium, Stack Car Parking, Roof Top Garden, Gazeboo Lounge, Kids Play Area, Senior Citizen Area</t>
  </si>
  <si>
    <t>Panvel Municipal Corporation</t>
  </si>
  <si>
    <t>Approved Plans, CC, Builder Saleable Area, Cost sheet</t>
  </si>
  <si>
    <t>Hindu cremation is located on the west side of the project.</t>
  </si>
  <si>
    <t>Builder Saleable area</t>
  </si>
  <si>
    <t>Total Permissible Builtup area of the project (Sq.Mt)</t>
  </si>
  <si>
    <t>14, Sector -16E</t>
  </si>
  <si>
    <t>Mayur Ranvare</t>
  </si>
  <si>
    <t>We have updated revised approved CC from RERA site on 18/01/2024.</t>
  </si>
  <si>
    <t>7000 to 7300</t>
  </si>
  <si>
    <t>smith</t>
  </si>
  <si>
    <t>Recommended Rates/Other Charges of the Property have been revised on 20/02/2024.</t>
  </si>
  <si>
    <t>PMP/NRV/10404/3019/2023</t>
  </si>
  <si>
    <t>PMC/TP/Kalamboli/16E/14/21-23/
10404/3019/2023</t>
  </si>
  <si>
    <t>2nd to 7th Floor</t>
  </si>
  <si>
    <t>8th, 10th &amp; 12th Floor (Refuge Balcony At Mindlanding of Stairecase)</t>
  </si>
  <si>
    <t>9th, 11th &amp; 13th Floor</t>
  </si>
  <si>
    <t>14th Floor</t>
  </si>
  <si>
    <t>Office No. 1031, Wing J, Akshar Business Park, Plot No. 03 Sector 25, Near APMC Market, 
Vashi, Navi Mumbai, Maharashtra 400703 TEL: 022-46090378/79/80                                                                       
E mail : vsjcapf@gmail.com. Web site : www.vsjadon.com</t>
  </si>
  <si>
    <t>Flats - 81, Shops - 09</t>
  </si>
  <si>
    <t>We have updated revised approved plans (On 29/02/2024).</t>
  </si>
  <si>
    <t>Mr.Padmakar : 9867874046</t>
  </si>
  <si>
    <t>Mr. Ashish : 8454892018</t>
  </si>
  <si>
    <t>Gr + 1st to 19th Floor</t>
  </si>
  <si>
    <t>Construction work goes beyond CC permission. Please provide revised approved plans &amp; CC.</t>
  </si>
  <si>
    <t>Gr + 1st to 14th Floor (Residential Units = 81, Commercial Units = 09)</t>
  </si>
  <si>
    <t>Construction stage is reduced due to revision in proposed structure of project.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</si>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</sst>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0.0000"/>
    <numFmt numFmtId="169" formatCode="0.0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0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4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9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8" xfId="1" applyFont="1" applyBorder="1"/>
    <xf numFmtId="0" fontId="18" fillId="0" borderId="8" xfId="0" applyFont="1" applyBorder="1" applyProtection="1">
      <protection hidden="1"/>
    </xf>
    <xf numFmtId="1" fontId="0" fillId="0" borderId="8" xfId="0" applyNumberFormat="1" applyBorder="1"/>
    <xf numFmtId="1" fontId="0" fillId="0" borderId="8" xfId="0" applyNumberFormat="1" applyBorder="1" applyAlignment="1">
      <alignment horizontal="right"/>
    </xf>
    <xf numFmtId="1" fontId="0" fillId="0" borderId="10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5" fillId="2" borderId="25" xfId="0" applyFont="1" applyFill="1" applyBorder="1"/>
    <xf numFmtId="0" fontId="26" fillId="0" borderId="26" xfId="0" applyFont="1" applyBorder="1"/>
    <xf numFmtId="0" fontId="26" fillId="0" borderId="1" xfId="0" applyFont="1" applyBorder="1"/>
    <xf numFmtId="0" fontId="26" fillId="0" borderId="5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/>
    <xf numFmtId="1" fontId="7" fillId="0" borderId="1" xfId="1" applyNumberFormat="1" applyFont="1" applyBorder="1" applyAlignment="1">
      <alignment horizontal="center" vertical="center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69" fontId="7" fillId="0" borderId="0" xfId="1" applyNumberFormat="1" applyFont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1" applyFont="1" applyProtection="1">
      <protection locked="0"/>
    </xf>
    <xf numFmtId="0" fontId="13" fillId="0" borderId="0" xfId="1" applyFont="1" applyProtection="1">
      <protection locked="0"/>
    </xf>
    <xf numFmtId="1" fontId="12" fillId="0" borderId="1" xfId="1" applyNumberFormat="1" applyFont="1" applyBorder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2" fontId="17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26" fillId="0" borderId="7" xfId="0" applyFont="1" applyBorder="1"/>
    <xf numFmtId="1" fontId="13" fillId="0" borderId="6" xfId="0" applyNumberFormat="1" applyFont="1" applyBorder="1" applyAlignment="1" applyProtection="1">
      <alignment vertical="top" wrapText="1"/>
      <protection locked="0"/>
    </xf>
    <xf numFmtId="1" fontId="13" fillId="0" borderId="19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8" fillId="0" borderId="19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6" xfId="1" applyNumberFormat="1" applyFont="1" applyBorder="1" applyAlignment="1" applyProtection="1">
      <alignment horizontal="center" vertical="center" wrapText="1"/>
      <protection locked="0"/>
    </xf>
    <xf numFmtId="1" fontId="13" fillId="0" borderId="19" xfId="1" applyNumberFormat="1" applyFont="1" applyBorder="1" applyAlignment="1" applyProtection="1">
      <alignment horizontal="center" vertical="center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2" fillId="0" borderId="6" xfId="1" applyNumberFormat="1" applyFont="1" applyBorder="1" applyAlignment="1" applyProtection="1">
      <alignment horizontal="center" vertical="center" wrapText="1"/>
      <protection locked="0"/>
    </xf>
    <xf numFmtId="1" fontId="12" fillId="0" borderId="7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5" xfId="1" applyNumberFormat="1" applyFont="1" applyBorder="1" applyAlignment="1" applyProtection="1">
      <alignment horizontal="center" vertical="center" wrapText="1"/>
      <protection locked="0"/>
    </xf>
    <xf numFmtId="1" fontId="12" fillId="0" borderId="16" xfId="1" applyNumberFormat="1" applyFont="1" applyBorder="1" applyAlignment="1" applyProtection="1">
      <alignment horizontal="center" vertical="center" wrapText="1"/>
      <protection locked="0"/>
    </xf>
    <xf numFmtId="1" fontId="12" fillId="0" borderId="23" xfId="1" applyNumberFormat="1" applyFont="1" applyBorder="1" applyAlignment="1" applyProtection="1">
      <alignment horizontal="center" vertical="center" wrapText="1"/>
      <protection locked="0"/>
    </xf>
    <xf numFmtId="1" fontId="12" fillId="0" borderId="24" xfId="1" applyNumberFormat="1" applyFont="1" applyBorder="1" applyAlignment="1" applyProtection="1">
      <alignment horizontal="center" vertical="center" wrapText="1"/>
      <protection locked="0"/>
    </xf>
    <xf numFmtId="1" fontId="12" fillId="0" borderId="17" xfId="1" applyNumberFormat="1" applyFont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4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6" xfId="1" applyFont="1" applyBorder="1" applyAlignment="1" applyProtection="1">
      <alignment horizontal="center" vertical="top"/>
      <protection locked="0"/>
    </xf>
    <xf numFmtId="0" fontId="12" fillId="0" borderId="19" xfId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center" vertical="top"/>
      <protection locked="0"/>
    </xf>
    <xf numFmtId="0" fontId="13" fillId="0" borderId="19" xfId="1" applyFont="1" applyBorder="1" applyAlignment="1" applyProtection="1">
      <alignment horizontal="center" vertical="top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6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8" fillId="0" borderId="14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8" fillId="0" borderId="28" xfId="0" applyNumberFormat="1" applyFont="1" applyBorder="1" applyAlignment="1" applyProtection="1">
      <alignment horizontal="center" vertical="center" wrapText="1"/>
      <protection locked="0"/>
    </xf>
    <xf numFmtId="1" fontId="10" fillId="0" borderId="28" xfId="0" applyNumberFormat="1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1" fontId="10" fillId="0" borderId="28" xfId="0" applyNumberFormat="1" applyFont="1" applyBorder="1" applyAlignment="1" applyProtection="1">
      <alignment horizontal="center" vertical="top" wrapText="1"/>
      <protection locked="0"/>
    </xf>
    <xf numFmtId="0" fontId="10" fillId="0" borderId="28" xfId="0" applyFont="1" applyBorder="1" applyAlignment="1" applyProtection="1">
      <alignment horizontal="center" vertical="top" wrapText="1"/>
      <protection locked="0"/>
    </xf>
    <xf numFmtId="1" fontId="8" fillId="0" borderId="28" xfId="0" applyNumberFormat="1" applyFont="1" applyBorder="1" applyAlignment="1" applyProtection="1">
      <alignment horizontal="center" vertical="top" wrapText="1"/>
      <protection locked="0"/>
    </xf>
    <xf numFmtId="1" fontId="8" fillId="0" borderId="29" xfId="0" applyNumberFormat="1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7" fillId="0" borderId="23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1" fontId="12" fillId="0" borderId="22" xfId="1" applyNumberFormat="1" applyFont="1" applyBorder="1" applyAlignment="1" applyProtection="1">
      <alignment horizontal="center" vertical="center" wrapText="1"/>
      <protection locked="0"/>
    </xf>
    <xf numFmtId="1" fontId="12" fillId="0" borderId="2" xfId="1" applyNumberFormat="1" applyFont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Border="1" applyAlignment="1" applyProtection="1">
      <alignment horizontal="center" vertical="center" wrapText="1"/>
      <protection locked="0"/>
    </xf>
    <xf numFmtId="1" fontId="17" fillId="0" borderId="6" xfId="0" applyNumberFormat="1" applyFont="1" applyBorder="1" applyAlignment="1" applyProtection="1">
      <alignment vertical="top" wrapText="1"/>
      <protection locked="0"/>
    </xf>
    <xf numFmtId="1" fontId="17" fillId="0" borderId="19" xfId="0" applyNumberFormat="1" applyFont="1" applyBorder="1" applyAlignment="1" applyProtection="1">
      <alignment vertical="top" wrapText="1"/>
      <protection locked="0"/>
    </xf>
    <xf numFmtId="1" fontId="17" fillId="0" borderId="7" xfId="0" applyNumberFormat="1" applyFont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62346</xdr:colOff>
      <xdr:row>226</xdr:row>
      <xdr:rowOff>76200</xdr:rowOff>
    </xdr:from>
    <xdr:to>
      <xdr:col>6</xdr:col>
      <xdr:colOff>718093</xdr:colOff>
      <xdr:row>246</xdr:row>
      <xdr:rowOff>36367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5128" y="54316745"/>
          <a:ext cx="4922947" cy="397798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533400</xdr:colOff>
      <xdr:row>255</xdr:row>
      <xdr:rowOff>173182</xdr:rowOff>
    </xdr:from>
    <xdr:to>
      <xdr:col>6</xdr:col>
      <xdr:colOff>283042</xdr:colOff>
      <xdr:row>268</xdr:row>
      <xdr:rowOff>129989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16182" y="60038673"/>
          <a:ext cx="4016842" cy="256838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606136</xdr:colOff>
      <xdr:row>269</xdr:row>
      <xdr:rowOff>25978</xdr:rowOff>
    </xdr:from>
    <xdr:to>
      <xdr:col>6</xdr:col>
      <xdr:colOff>59767</xdr:colOff>
      <xdr:row>283</xdr:row>
      <xdr:rowOff>117750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8136" y="51634160"/>
          <a:ext cx="3601336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684068</xdr:colOff>
      <xdr:row>270</xdr:row>
      <xdr:rowOff>147204</xdr:rowOff>
    </xdr:from>
    <xdr:to>
      <xdr:col>6</xdr:col>
      <xdr:colOff>43295</xdr:colOff>
      <xdr:row>273</xdr:row>
      <xdr:rowOff>155864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035136" y="51954545"/>
          <a:ext cx="917864" cy="606137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103908</xdr:colOff>
      <xdr:row>273</xdr:row>
      <xdr:rowOff>34637</xdr:rowOff>
    </xdr:from>
    <xdr:to>
      <xdr:col>3</xdr:col>
      <xdr:colOff>692727</xdr:colOff>
      <xdr:row>275</xdr:row>
      <xdr:rowOff>69273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511135" y="52439455"/>
          <a:ext cx="588819" cy="432954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545524</xdr:colOff>
      <xdr:row>268</xdr:row>
      <xdr:rowOff>181842</xdr:rowOff>
    </xdr:from>
    <xdr:to>
      <xdr:col>6</xdr:col>
      <xdr:colOff>199160</xdr:colOff>
      <xdr:row>270</xdr:row>
      <xdr:rowOff>43297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896592" y="51790024"/>
          <a:ext cx="1212273" cy="259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FFFF00"/>
              </a:solidFill>
            </a:rPr>
            <a:t>Hindu cremation</a:t>
          </a:r>
        </a:p>
      </xdr:txBody>
    </xdr:sp>
    <xdr:clientData/>
  </xdr:twoCellAnchor>
  <xdr:twoCellAnchor editAs="oneCell">
    <xdr:from>
      <xdr:col>8</xdr:col>
      <xdr:colOff>304800</xdr:colOff>
      <xdr:row>50</xdr:row>
      <xdr:rowOff>9525</xdr:rowOff>
    </xdr:from>
    <xdr:to>
      <xdr:col>13</xdr:col>
      <xdr:colOff>708471</xdr:colOff>
      <xdr:row>64</xdr:row>
      <xdr:rowOff>371025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96125" y="11058525"/>
          <a:ext cx="477564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600075</xdr:colOff>
      <xdr:row>180</xdr:row>
      <xdr:rowOff>22225</xdr:rowOff>
    </xdr:from>
    <xdr:to>
      <xdr:col>16</xdr:col>
      <xdr:colOff>239953</xdr:colOff>
      <xdr:row>211</xdr:row>
      <xdr:rowOff>50072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391400" y="36236275"/>
          <a:ext cx="6288328" cy="6219097"/>
          <a:chOff x="209550" y="35966400"/>
          <a:chExt cx="6567728" cy="6123847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33984" y="40038247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86505" y="40038247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63460" y="40038247"/>
            <a:ext cx="153686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9550" y="40038247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6566" y="3596640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04478" y="3596640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342900</xdr:colOff>
      <xdr:row>181</xdr:row>
      <xdr:rowOff>133350</xdr:rowOff>
    </xdr:from>
    <xdr:to>
      <xdr:col>7</xdr:col>
      <xdr:colOff>456634</xdr:colOff>
      <xdr:row>218</xdr:row>
      <xdr:rowOff>58876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43CE0B11-D523-4133-97E7-8F858A769C46}"/>
            </a:ext>
          </a:extLst>
        </xdr:cNvPr>
        <xdr:cNvGrpSpPr/>
      </xdr:nvGrpSpPr>
      <xdr:grpSpPr>
        <a:xfrm>
          <a:off x="342900" y="36547425"/>
          <a:ext cx="5790634" cy="7316926"/>
          <a:chOff x="692340" y="265255"/>
          <a:chExt cx="5790634" cy="7316926"/>
        </a:xfrm>
      </xdr:grpSpPr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E9AD1A36-06FB-45AC-96B3-74CBC29D8F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7302" y="265255"/>
            <a:ext cx="2437594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E7FBA532-720B-43D1-AF11-39A4A0E78A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39650" y="3681702"/>
            <a:ext cx="1489641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B6E62732-40F9-418B-8905-9F0D4AB156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01791" y="3681702"/>
            <a:ext cx="1489641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88A19BC0-20D5-40CE-AECF-E366C12B8A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3932" y="3681702"/>
            <a:ext cx="1489641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5E15F58C-F82A-4F9E-8F5D-67D465EE36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2340" y="5782181"/>
            <a:ext cx="1354219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61803F45-3B8C-495C-91B6-576E36AD7A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23620" y="265255"/>
            <a:ext cx="2437594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1C93831D-BA32-4627-8A04-251FC7B6A3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73020" y="5782181"/>
            <a:ext cx="1354219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17916265-D4FE-44FE-82B4-5E566590DE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53700" y="5782181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D1E86D47-7B6F-4E73-A224-48996812AF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28755" y="5782181"/>
            <a:ext cx="1354219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MZ5gp58qST9yJTxX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55"/>
  <sheetViews>
    <sheetView tabSelected="1" view="pageBreakPreview" zoomScaleNormal="100" zoomScaleSheetLayoutView="100" workbookViewId="0">
      <selection activeCell="J7" sqref="J7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140625" style="38" customWidth="1"/>
    <col min="5" max="6" width="11.7109375" style="38" customWidth="1"/>
    <col min="7" max="7" width="11.42578125" style="38" customWidth="1"/>
    <col min="8" max="8" width="16.7109375" style="38" customWidth="1"/>
    <col min="9" max="9" width="17.42578125" style="19" customWidth="1"/>
    <col min="10" max="10" width="15.1406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26" ht="46.5" customHeight="1" x14ac:dyDescent="0.25">
      <c r="A1" s="158" t="s">
        <v>280</v>
      </c>
      <c r="B1" s="158"/>
      <c r="C1" s="158"/>
      <c r="D1" s="158"/>
      <c r="E1" s="158"/>
      <c r="F1" s="158"/>
      <c r="G1" s="158"/>
      <c r="H1" s="158"/>
    </row>
    <row r="2" spans="1:26" ht="16.5" customHeight="1" x14ac:dyDescent="0.25">
      <c r="A2" s="159" t="s">
        <v>0</v>
      </c>
      <c r="B2" s="159"/>
      <c r="C2" s="159"/>
      <c r="D2" s="159"/>
      <c r="E2" s="159"/>
      <c r="F2" s="159"/>
      <c r="G2" s="159"/>
      <c r="H2" s="159"/>
    </row>
    <row r="3" spans="1:26" x14ac:dyDescent="0.25">
      <c r="A3" s="84" t="s">
        <v>1</v>
      </c>
      <c r="B3" s="84"/>
      <c r="C3" s="84"/>
      <c r="D3" s="84"/>
      <c r="E3" s="84" t="str">
        <f ca="1">TEXT(TODAY(),"DD/MM/YYYY")</f>
        <v>11/07/2025</v>
      </c>
      <c r="F3" s="84"/>
      <c r="G3" s="84"/>
      <c r="H3" s="84"/>
    </row>
    <row r="4" spans="1:26" ht="15" customHeight="1" x14ac:dyDescent="0.25">
      <c r="A4" s="84" t="s">
        <v>2</v>
      </c>
      <c r="B4" s="84"/>
      <c r="C4" s="84"/>
      <c r="D4" s="84"/>
      <c r="E4" s="84" t="s">
        <v>230</v>
      </c>
      <c r="F4" s="84"/>
      <c r="G4" s="84"/>
      <c r="H4" s="84"/>
    </row>
    <row r="5" spans="1:26" x14ac:dyDescent="0.25">
      <c r="A5" s="84" t="s">
        <v>3</v>
      </c>
      <c r="B5" s="84"/>
      <c r="C5" s="84"/>
      <c r="D5" s="84"/>
      <c r="E5" s="160">
        <v>45846</v>
      </c>
      <c r="F5" s="161"/>
      <c r="G5" s="161"/>
      <c r="H5" s="161"/>
    </row>
    <row r="6" spans="1:26" x14ac:dyDescent="0.25">
      <c r="A6" s="84" t="s">
        <v>4</v>
      </c>
      <c r="B6" s="84"/>
      <c r="C6" s="84"/>
      <c r="D6" s="84"/>
      <c r="E6" s="144" t="s">
        <v>232</v>
      </c>
      <c r="F6" s="144"/>
      <c r="G6" s="144"/>
      <c r="H6" s="144"/>
    </row>
    <row r="7" spans="1:26" x14ac:dyDescent="0.25">
      <c r="A7" s="84" t="s">
        <v>5</v>
      </c>
      <c r="B7" s="84"/>
      <c r="C7" s="84"/>
      <c r="D7" s="84"/>
      <c r="E7" s="144" t="str">
        <f>E6</f>
        <v>Haware Engineers And Builders Private Limited</v>
      </c>
      <c r="F7" s="144"/>
      <c r="G7" s="144"/>
      <c r="H7" s="144"/>
    </row>
    <row r="8" spans="1:26" x14ac:dyDescent="0.25">
      <c r="A8" s="84" t="s">
        <v>6</v>
      </c>
      <c r="B8" s="84"/>
      <c r="C8" s="84"/>
      <c r="D8" s="84"/>
      <c r="E8" s="95" t="s">
        <v>231</v>
      </c>
      <c r="F8" s="95"/>
      <c r="G8" s="95"/>
      <c r="H8" s="95"/>
    </row>
    <row r="9" spans="1:26" x14ac:dyDescent="0.25">
      <c r="A9" s="84" t="s">
        <v>163</v>
      </c>
      <c r="B9" s="84"/>
      <c r="C9" s="84"/>
      <c r="D9" s="84"/>
      <c r="E9" s="84" t="s">
        <v>284</v>
      </c>
      <c r="F9" s="84"/>
      <c r="G9" s="84"/>
      <c r="H9" s="84"/>
    </row>
    <row r="10" spans="1:26" x14ac:dyDescent="0.25">
      <c r="A10" s="84" t="s">
        <v>164</v>
      </c>
      <c r="B10" s="84"/>
      <c r="C10" s="84"/>
      <c r="D10" s="84"/>
      <c r="E10" s="84" t="s">
        <v>283</v>
      </c>
      <c r="F10" s="84"/>
      <c r="G10" s="84"/>
      <c r="H10" s="84"/>
    </row>
    <row r="11" spans="1:26" x14ac:dyDescent="0.25">
      <c r="A11" s="84" t="s">
        <v>7</v>
      </c>
      <c r="B11" s="84"/>
      <c r="C11" s="84"/>
      <c r="D11" s="84"/>
      <c r="E11" s="84" t="s">
        <v>120</v>
      </c>
      <c r="F11" s="84"/>
      <c r="G11" s="84"/>
      <c r="H11" s="84"/>
    </row>
    <row r="12" spans="1:26" x14ac:dyDescent="0.25">
      <c r="A12" s="84" t="s">
        <v>166</v>
      </c>
      <c r="B12" s="84"/>
      <c r="C12" s="84"/>
      <c r="D12" s="84"/>
      <c r="E12" s="84" t="s">
        <v>29</v>
      </c>
      <c r="F12" s="84"/>
      <c r="G12" s="84"/>
      <c r="H12" s="84"/>
      <c r="S12" s="50" t="s">
        <v>174</v>
      </c>
      <c r="T12" s="50" t="s">
        <v>184</v>
      </c>
      <c r="U12" s="50" t="s">
        <v>167</v>
      </c>
      <c r="V12" s="50" t="s">
        <v>189</v>
      </c>
      <c r="W12" s="50" t="s">
        <v>207</v>
      </c>
      <c r="X12"/>
      <c r="Y12" t="s">
        <v>189</v>
      </c>
      <c r="Z12" t="e">
        <f ca="1">OFFSET($S$12,1,MATCH($G19,$S$12:$W$12,0)-1,15,1)</f>
        <v>#VALUE!</v>
      </c>
    </row>
    <row r="13" spans="1:26" x14ac:dyDescent="0.25">
      <c r="A13" s="84" t="s">
        <v>8</v>
      </c>
      <c r="B13" s="84"/>
      <c r="C13" s="84"/>
      <c r="D13" s="84"/>
      <c r="E13" s="144" t="s">
        <v>264</v>
      </c>
      <c r="F13" s="144"/>
      <c r="G13" s="144"/>
      <c r="H13" s="144"/>
      <c r="S13" s="50" t="s">
        <v>175</v>
      </c>
      <c r="T13" s="50" t="s">
        <v>182</v>
      </c>
      <c r="U13" s="50" t="s">
        <v>204</v>
      </c>
      <c r="V13" s="50" t="s">
        <v>190</v>
      </c>
      <c r="W13" s="50" t="s">
        <v>208</v>
      </c>
      <c r="X13"/>
      <c r="Y13"/>
      <c r="Z13"/>
    </row>
    <row r="14" spans="1:26" x14ac:dyDescent="0.25">
      <c r="A14" s="84" t="s">
        <v>9</v>
      </c>
      <c r="B14" s="84"/>
      <c r="C14" s="84"/>
      <c r="D14" s="84"/>
      <c r="E14" s="144" t="s">
        <v>233</v>
      </c>
      <c r="F14" s="84"/>
      <c r="G14" s="84"/>
      <c r="H14" s="84"/>
      <c r="I14" s="187" t="e">
        <f ca="1">OFFSET($D$4,1,MATCH($J12,$D$4:$H$4,0)-1,15,1)</f>
        <v>#N/A</v>
      </c>
      <c r="J14" s="188"/>
      <c r="K14" s="188"/>
      <c r="L14" s="188"/>
      <c r="M14" s="188"/>
      <c r="N14" s="188"/>
      <c r="O14" s="188"/>
      <c r="P14" s="188"/>
      <c r="S14" s="50" t="s">
        <v>176</v>
      </c>
      <c r="T14" s="50" t="s">
        <v>183</v>
      </c>
      <c r="U14" s="50" t="s">
        <v>205</v>
      </c>
      <c r="V14" s="50" t="s">
        <v>191</v>
      </c>
      <c r="W14" s="50" t="s">
        <v>221</v>
      </c>
      <c r="X14"/>
      <c r="Y14"/>
      <c r="Z14"/>
    </row>
    <row r="15" spans="1:26" ht="33.6" customHeight="1" x14ac:dyDescent="0.25">
      <c r="A15" s="144" t="s">
        <v>10</v>
      </c>
      <c r="B15" s="144"/>
      <c r="C15" s="144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Haware Elinor, Plot No.14, Sector -16E, near Springdale Apartment, Internal Road, Roadpali, Kalamboli, Kharghar, Panvel, Raigad - 410218.</v>
      </c>
      <c r="D15" s="144"/>
      <c r="E15" s="144"/>
      <c r="F15" s="144"/>
      <c r="G15" s="144"/>
      <c r="H15" s="144"/>
      <c r="S15" s="50" t="s">
        <v>177</v>
      </c>
      <c r="T15" s="50" t="s">
        <v>185</v>
      </c>
      <c r="U15" s="50" t="s">
        <v>206</v>
      </c>
      <c r="V15" s="50" t="s">
        <v>192</v>
      </c>
      <c r="W15" s="50" t="s">
        <v>209</v>
      </c>
      <c r="X15"/>
      <c r="Y15"/>
      <c r="Z15"/>
    </row>
    <row r="16" spans="1:26" x14ac:dyDescent="0.25">
      <c r="A16" s="144" t="s">
        <v>234</v>
      </c>
      <c r="B16" s="144"/>
      <c r="C16" s="144" t="s">
        <v>268</v>
      </c>
      <c r="D16" s="144"/>
      <c r="E16" s="144"/>
      <c r="F16" s="144"/>
      <c r="G16" s="144"/>
      <c r="H16" s="144"/>
      <c r="S16" s="50" t="s">
        <v>178</v>
      </c>
      <c r="T16" s="50" t="s">
        <v>186</v>
      </c>
      <c r="U16" s="50"/>
      <c r="V16" s="50" t="s">
        <v>193</v>
      </c>
      <c r="W16" s="50" t="s">
        <v>210</v>
      </c>
      <c r="X16"/>
      <c r="Y16"/>
      <c r="Z16"/>
    </row>
    <row r="17" spans="1:26" ht="15.75" customHeight="1" x14ac:dyDescent="0.25">
      <c r="A17" s="144" t="s">
        <v>159</v>
      </c>
      <c r="B17" s="144"/>
      <c r="C17" s="144" t="s">
        <v>240</v>
      </c>
      <c r="D17" s="144"/>
      <c r="E17" s="144"/>
      <c r="F17" s="144"/>
      <c r="G17" s="144"/>
      <c r="H17" s="144"/>
      <c r="S17" s="50" t="s">
        <v>179</v>
      </c>
      <c r="T17" s="50" t="s">
        <v>184</v>
      </c>
      <c r="U17" s="50"/>
      <c r="V17" s="50" t="s">
        <v>194</v>
      </c>
      <c r="W17" s="50" t="s">
        <v>211</v>
      </c>
      <c r="X17"/>
      <c r="Y17"/>
      <c r="Z17"/>
    </row>
    <row r="18" spans="1:26" ht="15.75" customHeight="1" x14ac:dyDescent="0.25">
      <c r="A18" s="144" t="s">
        <v>11</v>
      </c>
      <c r="B18" s="144"/>
      <c r="C18" s="84" t="s">
        <v>236</v>
      </c>
      <c r="D18" s="84"/>
      <c r="E18" s="144" t="s">
        <v>73</v>
      </c>
      <c r="F18" s="144"/>
      <c r="G18" s="144" t="s">
        <v>235</v>
      </c>
      <c r="H18" s="144"/>
      <c r="S18" s="50" t="s">
        <v>180</v>
      </c>
      <c r="T18" s="50" t="s">
        <v>187</v>
      </c>
      <c r="U18" s="50"/>
      <c r="V18" s="50" t="s">
        <v>195</v>
      </c>
      <c r="W18" s="50" t="s">
        <v>212</v>
      </c>
      <c r="X18"/>
      <c r="Y18"/>
      <c r="Z18"/>
    </row>
    <row r="19" spans="1:26" x14ac:dyDescent="0.25">
      <c r="A19" s="84" t="s">
        <v>13</v>
      </c>
      <c r="B19" s="84"/>
      <c r="C19" s="144" t="s">
        <v>239</v>
      </c>
      <c r="D19" s="144"/>
      <c r="E19" s="144" t="s">
        <v>12</v>
      </c>
      <c r="F19" s="144"/>
      <c r="G19" s="157" t="s">
        <v>189</v>
      </c>
      <c r="H19" s="157"/>
      <c r="S19" s="50" t="s">
        <v>181</v>
      </c>
      <c r="T19" s="50" t="s">
        <v>188</v>
      </c>
      <c r="U19" s="50"/>
      <c r="V19" s="50" t="s">
        <v>196</v>
      </c>
      <c r="W19" s="50" t="s">
        <v>213</v>
      </c>
      <c r="X19"/>
      <c r="Y19"/>
      <c r="Z19"/>
    </row>
    <row r="20" spans="1:26" x14ac:dyDescent="0.25">
      <c r="A20" s="84" t="s">
        <v>74</v>
      </c>
      <c r="B20" s="84"/>
      <c r="C20" s="144" t="s">
        <v>191</v>
      </c>
      <c r="D20" s="144"/>
      <c r="E20" s="144" t="s">
        <v>14</v>
      </c>
      <c r="F20" s="144"/>
      <c r="G20" s="144">
        <v>410218</v>
      </c>
      <c r="H20" s="144"/>
      <c r="S20" s="50"/>
      <c r="T20" s="50"/>
      <c r="U20" s="50"/>
      <c r="V20" s="50" t="s">
        <v>197</v>
      </c>
      <c r="W20" s="50" t="s">
        <v>214</v>
      </c>
      <c r="X20"/>
      <c r="Y20"/>
      <c r="Z20"/>
    </row>
    <row r="21" spans="1:26" ht="32.25" customHeight="1" x14ac:dyDescent="0.25">
      <c r="A21" s="84" t="s">
        <v>121</v>
      </c>
      <c r="B21" s="84"/>
      <c r="C21" s="144" t="s">
        <v>237</v>
      </c>
      <c r="D21" s="144"/>
      <c r="E21" s="144" t="s">
        <v>15</v>
      </c>
      <c r="F21" s="144"/>
      <c r="G21" s="144" t="s">
        <v>238</v>
      </c>
      <c r="H21" s="144"/>
      <c r="S21" s="50"/>
      <c r="T21" s="50"/>
      <c r="U21" s="50"/>
      <c r="V21" s="50" t="s">
        <v>198</v>
      </c>
      <c r="W21" s="50" t="s">
        <v>215</v>
      </c>
      <c r="X21"/>
      <c r="Y21"/>
      <c r="Z21"/>
    </row>
    <row r="22" spans="1:26" ht="15" customHeight="1" x14ac:dyDescent="0.25">
      <c r="A22" s="109" t="s">
        <v>76</v>
      </c>
      <c r="B22" s="109"/>
      <c r="C22" s="109"/>
      <c r="D22" s="109"/>
      <c r="E22" s="84" t="s">
        <v>16</v>
      </c>
      <c r="F22" s="84"/>
      <c r="G22" s="84"/>
      <c r="H22" s="84"/>
      <c r="S22" s="50"/>
      <c r="T22" s="50"/>
      <c r="U22" s="50"/>
      <c r="V22" s="50" t="s">
        <v>199</v>
      </c>
      <c r="W22" s="50" t="s">
        <v>216</v>
      </c>
      <c r="X22"/>
      <c r="Y22"/>
      <c r="Z22"/>
    </row>
    <row r="23" spans="1:26" ht="18.75" customHeight="1" x14ac:dyDescent="0.25">
      <c r="A23" s="109"/>
      <c r="B23" s="109"/>
      <c r="C23" s="109"/>
      <c r="D23" s="109"/>
      <c r="E23" s="84"/>
      <c r="F23" s="84"/>
      <c r="G23" s="84"/>
      <c r="H23" s="84"/>
      <c r="S23" s="50"/>
      <c r="T23" s="50"/>
      <c r="U23" s="50"/>
      <c r="V23" s="50" t="s">
        <v>200</v>
      </c>
      <c r="W23" s="50" t="s">
        <v>217</v>
      </c>
      <c r="X23"/>
      <c r="Y23"/>
      <c r="Z23"/>
    </row>
    <row r="24" spans="1:26" ht="15" customHeight="1" x14ac:dyDescent="0.25">
      <c r="A24" s="109" t="s">
        <v>17</v>
      </c>
      <c r="B24" s="109"/>
      <c r="C24" s="109"/>
      <c r="D24" s="109"/>
      <c r="E24" s="144" t="s">
        <v>18</v>
      </c>
      <c r="F24" s="144"/>
      <c r="G24" s="144"/>
      <c r="H24" s="144"/>
      <c r="S24" s="50"/>
      <c r="T24" s="50"/>
      <c r="U24" s="50"/>
      <c r="V24" s="50" t="s">
        <v>201</v>
      </c>
      <c r="W24" s="50" t="s">
        <v>218</v>
      </c>
      <c r="X24"/>
      <c r="Y24"/>
      <c r="Z24"/>
    </row>
    <row r="25" spans="1:26" ht="15" customHeight="1" x14ac:dyDescent="0.25">
      <c r="A25" s="108" t="s">
        <v>19</v>
      </c>
      <c r="B25" s="108"/>
      <c r="C25" s="108"/>
      <c r="D25" s="108"/>
      <c r="E25" s="144" t="str">
        <f>IF(AND(G19="Mumbai"),"Upper Class","Middle Class")</f>
        <v>Middle Class</v>
      </c>
      <c r="F25" s="144"/>
      <c r="G25" s="144"/>
      <c r="H25" s="144"/>
      <c r="S25" s="50"/>
      <c r="T25" s="50"/>
      <c r="U25" s="50"/>
      <c r="V25" s="50" t="s">
        <v>202</v>
      </c>
      <c r="W25" s="50" t="s">
        <v>219</v>
      </c>
      <c r="X25"/>
      <c r="Y25"/>
      <c r="Z25"/>
    </row>
    <row r="26" spans="1:26" x14ac:dyDescent="0.25">
      <c r="A26" s="108" t="s">
        <v>20</v>
      </c>
      <c r="B26" s="108"/>
      <c r="C26" s="108"/>
      <c r="D26" s="108"/>
      <c r="E26" s="144" t="s">
        <v>21</v>
      </c>
      <c r="F26" s="144"/>
      <c r="G26" s="144"/>
      <c r="H26" s="144"/>
      <c r="S26" s="50"/>
      <c r="T26" s="50"/>
      <c r="U26" s="50"/>
      <c r="V26" s="50" t="s">
        <v>203</v>
      </c>
      <c r="W26" s="50" t="s">
        <v>220</v>
      </c>
      <c r="X26"/>
      <c r="Y26"/>
      <c r="Z26"/>
    </row>
    <row r="27" spans="1:26" ht="15.75" customHeight="1" x14ac:dyDescent="0.25">
      <c r="A27" s="108" t="s">
        <v>22</v>
      </c>
      <c r="B27" s="108"/>
      <c r="C27" s="108"/>
      <c r="D27" s="108"/>
      <c r="E27" s="144" t="str">
        <f>IF(AND(G19="Mumbai"),"Developed","Developing")</f>
        <v>Developing</v>
      </c>
      <c r="F27" s="144"/>
      <c r="G27" s="144"/>
      <c r="H27" s="144"/>
    </row>
    <row r="28" spans="1:26" x14ac:dyDescent="0.25">
      <c r="A28" s="108" t="s">
        <v>23</v>
      </c>
      <c r="B28" s="108"/>
      <c r="C28" s="108"/>
      <c r="D28" s="108"/>
      <c r="E28" s="144" t="s">
        <v>24</v>
      </c>
      <c r="F28" s="144"/>
      <c r="G28" s="144"/>
      <c r="H28" s="144"/>
    </row>
    <row r="29" spans="1:26" ht="15.75" customHeight="1" x14ac:dyDescent="0.25">
      <c r="A29" s="108" t="s">
        <v>81</v>
      </c>
      <c r="B29" s="108"/>
      <c r="C29" s="108"/>
      <c r="D29" s="108"/>
      <c r="E29" s="144" t="s">
        <v>82</v>
      </c>
      <c r="F29" s="144"/>
      <c r="G29" s="144"/>
      <c r="H29" s="144"/>
    </row>
    <row r="30" spans="1:26" ht="15" customHeight="1" x14ac:dyDescent="0.25">
      <c r="A30" s="108" t="s">
        <v>32</v>
      </c>
      <c r="B30" s="108"/>
      <c r="C30" s="108"/>
      <c r="D30" s="108"/>
      <c r="E30" s="144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44"/>
      <c r="G30" s="144"/>
      <c r="H30" s="144"/>
    </row>
    <row r="31" spans="1:26" ht="15.75" customHeight="1" x14ac:dyDescent="0.25">
      <c r="A31" s="108" t="s">
        <v>92</v>
      </c>
      <c r="B31" s="108"/>
      <c r="C31" s="108"/>
      <c r="D31" s="108"/>
      <c r="E31" s="144" t="s">
        <v>33</v>
      </c>
      <c r="F31" s="144"/>
      <c r="G31" s="144"/>
      <c r="H31" s="144"/>
    </row>
    <row r="32" spans="1:26" s="20" customFormat="1" x14ac:dyDescent="0.25">
      <c r="A32" s="156" t="s">
        <v>93</v>
      </c>
      <c r="B32" s="156"/>
      <c r="C32" s="153" t="s">
        <v>168</v>
      </c>
      <c r="D32" s="154"/>
      <c r="E32" s="155"/>
      <c r="F32" s="153" t="s">
        <v>30</v>
      </c>
      <c r="G32" s="154"/>
      <c r="H32" s="155"/>
    </row>
    <row r="33" spans="1:8" s="20" customFormat="1" x14ac:dyDescent="0.25">
      <c r="A33" s="136" t="s">
        <v>25</v>
      </c>
      <c r="B33" s="136" t="s">
        <v>29</v>
      </c>
      <c r="C33" s="137" t="s">
        <v>245</v>
      </c>
      <c r="D33" s="138"/>
      <c r="E33" s="139"/>
      <c r="F33" s="137" t="s">
        <v>241</v>
      </c>
      <c r="G33" s="138"/>
      <c r="H33" s="139"/>
    </row>
    <row r="34" spans="1:8" x14ac:dyDescent="0.25">
      <c r="A34" s="136" t="s">
        <v>26</v>
      </c>
      <c r="B34" s="136" t="s">
        <v>29</v>
      </c>
      <c r="C34" s="137" t="s">
        <v>244</v>
      </c>
      <c r="D34" s="138"/>
      <c r="E34" s="139"/>
      <c r="F34" s="137" t="s">
        <v>237</v>
      </c>
      <c r="G34" s="138"/>
      <c r="H34" s="139"/>
    </row>
    <row r="35" spans="1:8" s="20" customFormat="1" x14ac:dyDescent="0.25">
      <c r="A35" s="136" t="s">
        <v>28</v>
      </c>
      <c r="B35" s="136" t="s">
        <v>29</v>
      </c>
      <c r="C35" s="137" t="s">
        <v>242</v>
      </c>
      <c r="D35" s="138"/>
      <c r="E35" s="139"/>
      <c r="F35" s="137" t="s">
        <v>236</v>
      </c>
      <c r="G35" s="138"/>
      <c r="H35" s="139"/>
    </row>
    <row r="36" spans="1:8" x14ac:dyDescent="0.25">
      <c r="A36" s="136" t="s">
        <v>27</v>
      </c>
      <c r="B36" s="136" t="s">
        <v>29</v>
      </c>
      <c r="C36" s="137" t="s">
        <v>243</v>
      </c>
      <c r="D36" s="138"/>
      <c r="E36" s="139"/>
      <c r="F36" s="137" t="s">
        <v>236</v>
      </c>
      <c r="G36" s="138"/>
      <c r="H36" s="139"/>
    </row>
    <row r="37" spans="1:8" x14ac:dyDescent="0.25">
      <c r="A37" s="108" t="s">
        <v>31</v>
      </c>
      <c r="B37" s="108"/>
      <c r="C37" s="108"/>
      <c r="D37" s="108"/>
      <c r="E37" s="108"/>
      <c r="F37" s="108"/>
      <c r="G37" s="108"/>
      <c r="H37" s="108"/>
    </row>
    <row r="38" spans="1:8" ht="15.75" customHeight="1" x14ac:dyDescent="0.25">
      <c r="A38" s="108" t="s">
        <v>161</v>
      </c>
      <c r="B38" s="108"/>
      <c r="C38" s="108" t="s">
        <v>248</v>
      </c>
      <c r="D38" s="108"/>
      <c r="E38" s="108"/>
      <c r="F38" s="108"/>
      <c r="G38" s="108"/>
      <c r="H38" s="108"/>
    </row>
    <row r="39" spans="1:8" x14ac:dyDescent="0.25">
      <c r="A39" s="108" t="s">
        <v>158</v>
      </c>
      <c r="B39" s="108"/>
      <c r="C39" s="143" t="s">
        <v>247</v>
      </c>
      <c r="D39" s="144"/>
      <c r="E39" s="144"/>
      <c r="F39" s="144"/>
      <c r="G39" s="144"/>
      <c r="H39" s="144"/>
    </row>
    <row r="40" spans="1:8" x14ac:dyDescent="0.25">
      <c r="A40" s="141" t="s">
        <v>34</v>
      </c>
      <c r="B40" s="141"/>
      <c r="C40" s="141"/>
      <c r="D40" s="141"/>
      <c r="E40" s="141"/>
      <c r="F40" s="141"/>
      <c r="G40" s="141"/>
      <c r="H40" s="141"/>
    </row>
    <row r="41" spans="1:8" x14ac:dyDescent="0.25">
      <c r="A41" s="108" t="s">
        <v>35</v>
      </c>
      <c r="B41" s="108"/>
      <c r="C41" s="108"/>
      <c r="D41" s="108"/>
      <c r="E41" s="140">
        <v>1449.31</v>
      </c>
      <c r="F41" s="140"/>
      <c r="G41" s="140"/>
      <c r="H41" s="140"/>
    </row>
    <row r="42" spans="1:8" x14ac:dyDescent="0.25">
      <c r="A42" s="108" t="s">
        <v>36</v>
      </c>
      <c r="B42" s="108"/>
      <c r="C42" s="108"/>
      <c r="D42" s="108"/>
      <c r="E42" s="151">
        <f>2173.965/E41</f>
        <v>1.5000000000000002</v>
      </c>
      <c r="F42" s="151"/>
      <c r="G42" s="151"/>
      <c r="H42" s="151"/>
    </row>
    <row r="43" spans="1:8" x14ac:dyDescent="0.25">
      <c r="A43" s="108" t="s">
        <v>37</v>
      </c>
      <c r="B43" s="108"/>
      <c r="C43" s="108"/>
      <c r="D43" s="108"/>
      <c r="E43" s="151">
        <f>E45/E41-E42</f>
        <v>1.868370465945864</v>
      </c>
      <c r="F43" s="151"/>
      <c r="G43" s="151"/>
      <c r="H43" s="151"/>
    </row>
    <row r="44" spans="1:8" x14ac:dyDescent="0.25">
      <c r="A44" s="108" t="s">
        <v>38</v>
      </c>
      <c r="B44" s="108"/>
      <c r="C44" s="108"/>
      <c r="D44" s="108"/>
      <c r="E44" s="151">
        <f>E42+E43</f>
        <v>3.3683704659458642</v>
      </c>
      <c r="F44" s="151"/>
      <c r="G44" s="151"/>
      <c r="H44" s="151"/>
    </row>
    <row r="45" spans="1:8" x14ac:dyDescent="0.25">
      <c r="A45" s="84" t="s">
        <v>267</v>
      </c>
      <c r="B45" s="84"/>
      <c r="C45" s="84"/>
      <c r="D45" s="84"/>
      <c r="E45" s="152">
        <v>4881.8130000000001</v>
      </c>
      <c r="F45" s="152"/>
      <c r="G45" s="152"/>
      <c r="H45" s="152"/>
    </row>
    <row r="46" spans="1:8" x14ac:dyDescent="0.25">
      <c r="A46" s="84" t="s">
        <v>39</v>
      </c>
      <c r="B46" s="84"/>
      <c r="C46" s="84"/>
      <c r="D46" s="84"/>
      <c r="E46" s="84" t="s">
        <v>120</v>
      </c>
      <c r="F46" s="84"/>
      <c r="G46" s="84"/>
      <c r="H46" s="84"/>
    </row>
    <row r="47" spans="1:8" x14ac:dyDescent="0.25">
      <c r="A47" s="141" t="s">
        <v>40</v>
      </c>
      <c r="B47" s="141"/>
      <c r="C47" s="141"/>
      <c r="D47" s="141"/>
      <c r="E47" s="141"/>
      <c r="F47" s="141"/>
      <c r="G47" s="141"/>
      <c r="H47" s="141"/>
    </row>
    <row r="48" spans="1:8" ht="33.75" customHeight="1" x14ac:dyDescent="0.25">
      <c r="A48" s="75" t="s">
        <v>148</v>
      </c>
      <c r="B48" s="76"/>
      <c r="C48" s="77" t="s">
        <v>263</v>
      </c>
      <c r="D48" s="78"/>
      <c r="E48" s="78"/>
      <c r="F48" s="78"/>
      <c r="G48" s="78"/>
      <c r="H48" s="79"/>
    </row>
    <row r="49" spans="1:14" ht="15.75" customHeight="1" x14ac:dyDescent="0.25">
      <c r="A49" s="75" t="s">
        <v>41</v>
      </c>
      <c r="B49" s="76"/>
      <c r="C49" s="75" t="s">
        <v>274</v>
      </c>
      <c r="D49" s="150"/>
      <c r="E49" s="76"/>
      <c r="F49" s="18" t="s">
        <v>42</v>
      </c>
      <c r="G49" s="148">
        <v>45217</v>
      </c>
      <c r="H49" s="76"/>
    </row>
    <row r="50" spans="1:14" x14ac:dyDescent="0.25">
      <c r="A50" s="75" t="s">
        <v>43</v>
      </c>
      <c r="B50" s="76"/>
      <c r="C50" s="75" t="str">
        <f>C49</f>
        <v>PMP/NRV/10404/3019/2023</v>
      </c>
      <c r="D50" s="150"/>
      <c r="E50" s="76"/>
      <c r="F50" s="18" t="s">
        <v>42</v>
      </c>
      <c r="G50" s="148">
        <f>G49</f>
        <v>45217</v>
      </c>
      <c r="H50" s="149"/>
    </row>
    <row r="51" spans="1:14" s="21" customFormat="1" ht="31.5" customHeight="1" x14ac:dyDescent="0.25">
      <c r="A51" s="109" t="s">
        <v>227</v>
      </c>
      <c r="B51" s="109"/>
      <c r="C51" s="75" t="s">
        <v>275</v>
      </c>
      <c r="D51" s="150"/>
      <c r="E51" s="76"/>
      <c r="F51" s="18" t="s">
        <v>42</v>
      </c>
      <c r="G51" s="148">
        <v>45217</v>
      </c>
      <c r="H51" s="76"/>
    </row>
    <row r="52" spans="1:14" s="21" customFormat="1" x14ac:dyDescent="0.25">
      <c r="A52" s="109" t="s">
        <v>228</v>
      </c>
      <c r="B52" s="109"/>
      <c r="C52" s="75" t="s">
        <v>287</v>
      </c>
      <c r="D52" s="150"/>
      <c r="E52" s="150"/>
      <c r="F52" s="150"/>
      <c r="G52" s="150"/>
      <c r="H52" s="76"/>
    </row>
    <row r="53" spans="1:14" x14ac:dyDescent="0.25">
      <c r="A53" s="189" t="s">
        <v>44</v>
      </c>
      <c r="B53" s="190"/>
      <c r="C53" s="189" t="s">
        <v>104</v>
      </c>
      <c r="D53" s="191"/>
      <c r="E53" s="190"/>
      <c r="F53" s="42" t="s">
        <v>42</v>
      </c>
      <c r="G53" s="184" t="s">
        <v>29</v>
      </c>
      <c r="H53" s="185"/>
    </row>
    <row r="54" spans="1:14" x14ac:dyDescent="0.25">
      <c r="A54" s="174" t="s">
        <v>46</v>
      </c>
      <c r="B54" s="174"/>
      <c r="C54" s="174"/>
      <c r="D54" s="174"/>
      <c r="E54" s="174"/>
      <c r="F54" s="174"/>
      <c r="G54" s="174"/>
      <c r="H54" s="174"/>
    </row>
    <row r="55" spans="1:14" x14ac:dyDescent="0.25">
      <c r="A55" s="109" t="s">
        <v>91</v>
      </c>
      <c r="B55" s="109"/>
      <c r="C55" s="109"/>
      <c r="D55" s="192">
        <f>E45</f>
        <v>4881.8130000000001</v>
      </c>
      <c r="E55" s="108"/>
      <c r="F55" s="108"/>
      <c r="G55" s="108"/>
      <c r="H55" s="108"/>
    </row>
    <row r="56" spans="1:14" x14ac:dyDescent="0.25">
      <c r="A56" s="144" t="s">
        <v>47</v>
      </c>
      <c r="B56" s="84"/>
      <c r="C56" s="84"/>
      <c r="D56" s="84" t="s">
        <v>281</v>
      </c>
      <c r="E56" s="84"/>
      <c r="F56" s="84"/>
      <c r="G56" s="84"/>
      <c r="H56" s="84"/>
      <c r="I56" s="22"/>
    </row>
    <row r="57" spans="1:14" x14ac:dyDescent="0.25">
      <c r="A57" s="145" t="s">
        <v>48</v>
      </c>
      <c r="B57" s="146"/>
      <c r="C57" s="147"/>
      <c r="D57" s="120" t="s">
        <v>249</v>
      </c>
      <c r="E57" s="194"/>
      <c r="F57" s="194"/>
      <c r="G57" s="194"/>
      <c r="H57" s="194"/>
    </row>
    <row r="58" spans="1:14" ht="15.75" customHeight="1" x14ac:dyDescent="0.25">
      <c r="A58" s="145" t="s">
        <v>89</v>
      </c>
      <c r="B58" s="146"/>
      <c r="C58" s="146"/>
      <c r="D58" s="144" t="s">
        <v>285</v>
      </c>
      <c r="E58" s="84"/>
      <c r="F58" s="84"/>
      <c r="G58" s="84"/>
      <c r="H58" s="84"/>
    </row>
    <row r="59" spans="1:14" ht="15.75" customHeight="1" x14ac:dyDescent="0.25">
      <c r="A59" s="108" t="s">
        <v>45</v>
      </c>
      <c r="B59" s="108"/>
      <c r="C59" s="108"/>
      <c r="D59" s="142" t="s">
        <v>250</v>
      </c>
      <c r="E59" s="142"/>
      <c r="F59" s="142"/>
      <c r="G59" s="142"/>
      <c r="H59" s="142"/>
      <c r="J59" s="23"/>
      <c r="K59" s="22"/>
      <c r="N59" s="22"/>
    </row>
    <row r="60" spans="1:14" ht="15.75" customHeight="1" x14ac:dyDescent="0.25">
      <c r="A60" s="108" t="s">
        <v>87</v>
      </c>
      <c r="B60" s="108"/>
      <c r="C60" s="108"/>
      <c r="D60" s="94" t="str">
        <f>(IF(G53="NA","60 Years After Completion",IF(G53&lt;&gt;"NA",""&amp;60-ROUNDDOWN((E3-G53)/360,0)&amp;" Years"," ")))</f>
        <v>60 Years After Completion</v>
      </c>
      <c r="E60" s="94"/>
      <c r="F60" s="94"/>
      <c r="G60" s="94"/>
      <c r="H60" s="94"/>
      <c r="N60" s="22"/>
    </row>
    <row r="61" spans="1:14" ht="15.75" customHeight="1" x14ac:dyDescent="0.25">
      <c r="A61" s="108" t="s">
        <v>88</v>
      </c>
      <c r="B61" s="108"/>
      <c r="C61" s="108"/>
      <c r="D61" s="109" t="s">
        <v>24</v>
      </c>
      <c r="E61" s="109"/>
      <c r="F61" s="109"/>
      <c r="G61" s="109"/>
      <c r="H61" s="109"/>
      <c r="J61" s="24"/>
      <c r="K61" s="24"/>
    </row>
    <row r="62" spans="1:14" ht="34.5" customHeight="1" x14ac:dyDescent="0.25">
      <c r="A62" s="186" t="s">
        <v>229</v>
      </c>
      <c r="B62" s="186"/>
      <c r="C62" s="186"/>
      <c r="D62" s="118" t="s">
        <v>262</v>
      </c>
      <c r="E62" s="118"/>
      <c r="F62" s="118"/>
      <c r="G62" s="118"/>
      <c r="H62" s="118"/>
    </row>
    <row r="63" spans="1:14" x14ac:dyDescent="0.25">
      <c r="A63" s="109" t="s">
        <v>147</v>
      </c>
      <c r="B63" s="109"/>
      <c r="C63" s="109"/>
      <c r="D63" s="109" t="s">
        <v>29</v>
      </c>
      <c r="E63" s="109"/>
      <c r="F63" s="109"/>
      <c r="G63" s="109"/>
      <c r="H63" s="109"/>
      <c r="I63" s="25"/>
      <c r="J63" s="25"/>
      <c r="K63" s="25"/>
      <c r="L63" s="25"/>
      <c r="M63" s="25"/>
      <c r="N63" s="25"/>
    </row>
    <row r="64" spans="1:14" ht="15.75" customHeight="1" x14ac:dyDescent="0.25">
      <c r="A64" s="193" t="s">
        <v>86</v>
      </c>
      <c r="B64" s="193"/>
      <c r="C64" s="193"/>
      <c r="D64" s="120" t="str">
        <f ca="1">(IF(G70&gt;95%,"Nothing",IF(G70&gt;0%,"Cement, Aggregate, Steel, etc",IF(G70=0%,"Work not yet Started"))))</f>
        <v>Cement, Aggregate, Steel, etc</v>
      </c>
      <c r="E64" s="120"/>
      <c r="F64" s="120"/>
      <c r="G64" s="120"/>
      <c r="H64" s="120"/>
      <c r="J64" s="24"/>
    </row>
    <row r="65" spans="1:10" ht="33.75" customHeight="1" thickBot="1" x14ac:dyDescent="0.3">
      <c r="A65" s="119" t="s">
        <v>117</v>
      </c>
      <c r="B65" s="119"/>
      <c r="C65" s="119"/>
      <c r="D65" s="120" t="str">
        <f ca="1">(IF(D64="Nothing","Yes",IF(D64="Cement, Aggregate, Steel, etc","Under Construction",IF(D64="Work not yet Started","Work not yet Started"))))</f>
        <v>Under Construction</v>
      </c>
      <c r="E65" s="120"/>
      <c r="F65" s="120" t="str">
        <f ca="1">(IF(D64="Nothing","Yes",IF(D64="Cement, Aggregate, Steel, etc","Under Construction",IF(D64="Work not yet Started","Work not yet Started"))))</f>
        <v>Under Construction</v>
      </c>
      <c r="G65" s="120"/>
      <c r="H65" s="120"/>
    </row>
    <row r="66" spans="1:10" ht="15.75" customHeight="1" x14ac:dyDescent="0.25">
      <c r="A66" s="96" t="s">
        <v>139</v>
      </c>
      <c r="B66" s="97"/>
      <c r="C66" s="98" t="str">
        <f>D58</f>
        <v>Gr + 1st to 19th Floor</v>
      </c>
      <c r="D66" s="99"/>
      <c r="E66" s="99"/>
      <c r="F66" s="99"/>
      <c r="G66" s="99"/>
      <c r="H66" s="100"/>
      <c r="I66" s="45" t="str">
        <f ca="1">IF(D79=100%,"All work Completed. Possession granted to the Building.",IF(D78=100%,"All work Completed, Waiting for OC",I67&amp;""&amp;I68&amp;""&amp;J67&amp;""&amp;J66&amp;" "&amp;J68))</f>
        <v>Excavation, Plinth Completed, RCC upto 17 Slab, Brickwork upto 14 Floor, Internal Plaster upto 14 Floor, External Plaster upto 14 Floor, Flooring upto 11 Floor, Painting upto 7 Floor Completed</v>
      </c>
      <c r="J66" s="46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17 Slab, Brickwork upto 14 Floor, Internal Plaster upto 14 Floor, External Plaster upto 14 Floor, Flooring upto 11 Floor, Painting upto 7 Floor</v>
      </c>
    </row>
    <row r="67" spans="1:10" x14ac:dyDescent="0.25">
      <c r="A67" s="16" t="s">
        <v>141</v>
      </c>
      <c r="B67" s="44">
        <f>IF(AND(ISNUMBER(SEARCH("1B",C66))),1,IF(AND(ISNUMBER(SEARCH("2B",C66))),2,IF(AND(ISNUMBER(SEARCH("3B",C66))),3,IF(AND(ISNUMBER(SEARCH("4B",C66))),4,IF(ISNUMBER(SEARCH("5B",C66)),5,0)))))</f>
        <v>0</v>
      </c>
      <c r="C67" s="44" t="s">
        <v>72</v>
      </c>
      <c r="D67" s="44">
        <v>1</v>
      </c>
      <c r="E67" s="44" t="s">
        <v>71</v>
      </c>
      <c r="F67" s="44">
        <v>0</v>
      </c>
      <c r="G67" s="44" t="s">
        <v>80</v>
      </c>
      <c r="H67" s="17">
        <f ca="1">--TRIM(RIGHT(SUBSTITUTE(LEFT(C66,_xlfn.AGGREGATE(16,6,FIND({0,1,2,3,4,5,6,7,8,9},C66,ROW(INDIRECT("1:"&amp;LEN(C66)))),1))," ",REPT(" ",LEN(C66))),LEN(C66)))</f>
        <v>19</v>
      </c>
      <c r="I67" s="47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48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48.75" customHeight="1" x14ac:dyDescent="0.25">
      <c r="A68" s="95" t="s">
        <v>90</v>
      </c>
      <c r="B68" s="95"/>
      <c r="C68" s="113" t="str">
        <f ca="1">I66</f>
        <v>Excavation, Plinth Completed, RCC upto 17 Slab, Brickwork upto 14 Floor, Internal Plaster upto 14 Floor, External Plaster upto 14 Floor, Flooring upto 11 Floor, Painting upto 7 Floor Completed</v>
      </c>
      <c r="D68" s="113"/>
      <c r="E68" s="113"/>
      <c r="F68" s="113"/>
      <c r="G68" s="113"/>
      <c r="H68" s="113"/>
      <c r="I68" s="70" t="str">
        <f ca="1">IF(I67&lt;&gt;""," Completed","")</f>
        <v xml:space="preserve"> Completed</v>
      </c>
      <c r="J68" s="48" t="str">
        <f ca="1">IF(J66&lt;&gt;"","Completed","")</f>
        <v>Completed</v>
      </c>
    </row>
    <row r="69" spans="1:10" ht="15.75" customHeight="1" x14ac:dyDescent="0.25">
      <c r="A69" s="93" t="s">
        <v>49</v>
      </c>
      <c r="B69" s="93"/>
      <c r="C69" s="69" t="s">
        <v>138</v>
      </c>
      <c r="D69" s="69" t="s">
        <v>83</v>
      </c>
      <c r="E69" s="93" t="s">
        <v>85</v>
      </c>
      <c r="F69" s="93"/>
      <c r="G69" s="93" t="s">
        <v>84</v>
      </c>
      <c r="H69" s="93"/>
      <c r="I69" s="14" t="s">
        <v>140</v>
      </c>
      <c r="J69" s="26">
        <f ca="1">H67*25%</f>
        <v>4.75</v>
      </c>
    </row>
    <row r="70" spans="1:10" x14ac:dyDescent="0.25">
      <c r="A70" s="93" t="s">
        <v>127</v>
      </c>
      <c r="B70" s="93"/>
      <c r="C70" s="69">
        <f ca="1">J71</f>
        <v>19</v>
      </c>
      <c r="D70" s="53">
        <f ca="1">((100/H67)*C70)/100</f>
        <v>1</v>
      </c>
      <c r="E70" s="175">
        <f ca="1">(((C71/H67*10)+(40/(D67+F67+H67)*C72)+(7.5/(H67)*C73)+(7.5/(H67)*C74)+(10/H67*C75)+(10/H67*C76)+(5/H67*C77)+(5/H67*C78)+(5/H67*C79))/100)</f>
        <v>0.70052631578947355</v>
      </c>
      <c r="F70" s="175"/>
      <c r="G70" s="175">
        <f ca="1">((((C70/H67)*20)+((C71/H67)*25)+(30/(H67+F67+D67)*C72)+(5/H67*C73)+(5/H67*C74)+(5/H67*C75)+(5/H67*C76)+(0/H67*C77)+(0/H67*C78)+(5/H67*C79))/100)</f>
        <v>0.84447368421052649</v>
      </c>
      <c r="H70" s="175"/>
      <c r="I70" s="14" t="s">
        <v>99</v>
      </c>
      <c r="J70" s="27">
        <f ca="1">H67*50%</f>
        <v>9.5</v>
      </c>
    </row>
    <row r="71" spans="1:10" x14ac:dyDescent="0.25">
      <c r="A71" s="93" t="s">
        <v>50</v>
      </c>
      <c r="B71" s="93"/>
      <c r="C71" s="69">
        <f ca="1">J79</f>
        <v>19</v>
      </c>
      <c r="D71" s="53">
        <f ca="1">((100/H67)*C71)/100</f>
        <v>1</v>
      </c>
      <c r="E71" s="175"/>
      <c r="F71" s="175"/>
      <c r="G71" s="175"/>
      <c r="H71" s="175"/>
      <c r="I71" s="14" t="s">
        <v>100</v>
      </c>
      <c r="J71" s="27">
        <f ca="1">H67</f>
        <v>19</v>
      </c>
    </row>
    <row r="72" spans="1:10" ht="15.75" customHeight="1" x14ac:dyDescent="0.25">
      <c r="A72" s="93" t="s">
        <v>128</v>
      </c>
      <c r="B72" s="93"/>
      <c r="C72" s="69">
        <v>17</v>
      </c>
      <c r="D72" s="53">
        <f ca="1">((100/(D67+F67+H67))*C72)/100</f>
        <v>0.85</v>
      </c>
      <c r="E72" s="175"/>
      <c r="F72" s="175"/>
      <c r="G72" s="175"/>
      <c r="H72" s="175"/>
      <c r="I72" s="14" t="s">
        <v>101</v>
      </c>
      <c r="J72" s="28">
        <f ca="1">(IF(B67&gt;1,(H67/(B67+2)),H67/4))</f>
        <v>4.75</v>
      </c>
    </row>
    <row r="73" spans="1:10" ht="15.75" customHeight="1" x14ac:dyDescent="0.25">
      <c r="A73" s="93" t="s">
        <v>135</v>
      </c>
      <c r="B73" s="93" t="s">
        <v>129</v>
      </c>
      <c r="C73" s="69">
        <v>14</v>
      </c>
      <c r="D73" s="53">
        <f ca="1">((100/H67)*C73)/100</f>
        <v>0.73684210526315796</v>
      </c>
      <c r="E73" s="175"/>
      <c r="F73" s="175"/>
      <c r="G73" s="175"/>
      <c r="H73" s="175"/>
      <c r="I73" s="14" t="s">
        <v>102</v>
      </c>
      <c r="J73" s="28">
        <f ca="1">(IF(B67&gt;1,(H67/(B67+2)+J72),H67/4+J72))</f>
        <v>9.5</v>
      </c>
    </row>
    <row r="74" spans="1:10" ht="15.75" customHeight="1" x14ac:dyDescent="0.25">
      <c r="A74" s="93" t="s">
        <v>136</v>
      </c>
      <c r="B74" s="93" t="s">
        <v>129</v>
      </c>
      <c r="C74" s="69">
        <v>14</v>
      </c>
      <c r="D74" s="53">
        <f ca="1">((100/H67)*C74)/100</f>
        <v>0.73684210526315796</v>
      </c>
      <c r="E74" s="175"/>
      <c r="F74" s="175"/>
      <c r="G74" s="175"/>
      <c r="H74" s="175"/>
      <c r="I74" s="14" t="s">
        <v>145</v>
      </c>
      <c r="J74" s="28">
        <f>(IF(B67&gt;1,(H67/(B67+2)+J73),0))</f>
        <v>0</v>
      </c>
    </row>
    <row r="75" spans="1:10" ht="15" customHeight="1" x14ac:dyDescent="0.25">
      <c r="A75" s="93" t="s">
        <v>134</v>
      </c>
      <c r="B75" s="93" t="s">
        <v>131</v>
      </c>
      <c r="C75" s="69">
        <v>14</v>
      </c>
      <c r="D75" s="53">
        <f ca="1">((100/(H67))*C75)/100</f>
        <v>0.73684210526315796</v>
      </c>
      <c r="E75" s="175"/>
      <c r="F75" s="175"/>
      <c r="G75" s="175"/>
      <c r="H75" s="175"/>
      <c r="I75" s="14" t="s">
        <v>142</v>
      </c>
      <c r="J75" s="28">
        <f>(IF(B67&gt;2,(H67/(B67+2)+J74),0))</f>
        <v>0</v>
      </c>
    </row>
    <row r="76" spans="1:10" ht="15.75" customHeight="1" x14ac:dyDescent="0.25">
      <c r="A76" s="93" t="s">
        <v>130</v>
      </c>
      <c r="B76" s="93" t="s">
        <v>130</v>
      </c>
      <c r="C76" s="69">
        <v>11</v>
      </c>
      <c r="D76" s="53">
        <f ca="1">((100/H67)*C76)/100</f>
        <v>0.57894736842105265</v>
      </c>
      <c r="E76" s="175"/>
      <c r="F76" s="175"/>
      <c r="G76" s="175"/>
      <c r="H76" s="175"/>
      <c r="I76" s="14" t="s">
        <v>143</v>
      </c>
      <c r="J76" s="29">
        <f>(IF(B67&gt;3,(H67/(B67+2)+J75),0))</f>
        <v>0</v>
      </c>
    </row>
    <row r="77" spans="1:10" ht="15.75" customHeight="1" x14ac:dyDescent="0.25">
      <c r="A77" s="93" t="s">
        <v>137</v>
      </c>
      <c r="B77" s="93"/>
      <c r="C77" s="69">
        <v>7</v>
      </c>
      <c r="D77" s="53">
        <f ca="1">((100/H67)*C77)/100</f>
        <v>0.36842105263157898</v>
      </c>
      <c r="E77" s="175"/>
      <c r="F77" s="175"/>
      <c r="G77" s="175"/>
      <c r="H77" s="175"/>
      <c r="I77" s="14" t="s">
        <v>144</v>
      </c>
      <c r="J77" s="28">
        <f>(IF(B67&gt;4,(H67/(B67+2)+J76),0))</f>
        <v>0</v>
      </c>
    </row>
    <row r="78" spans="1:10" ht="15.75" customHeight="1" x14ac:dyDescent="0.25">
      <c r="A78" s="93" t="s">
        <v>132</v>
      </c>
      <c r="B78" s="93" t="s">
        <v>132</v>
      </c>
      <c r="C78" s="69">
        <v>0</v>
      </c>
      <c r="D78" s="53">
        <f ca="1">((100/(H67))*C78)/100</f>
        <v>0</v>
      </c>
      <c r="E78" s="175"/>
      <c r="F78" s="175"/>
      <c r="G78" s="175"/>
      <c r="H78" s="175"/>
      <c r="I78" s="14" t="s">
        <v>146</v>
      </c>
      <c r="J78" s="28">
        <f ca="1">(IF(B67=1,(H67/(B67+3)+J73),IF(B67=0,(H67/4+J73),IF(B67&gt;1,0))))</f>
        <v>14.25</v>
      </c>
    </row>
    <row r="79" spans="1:10" ht="16.5" thickBot="1" x14ac:dyDescent="0.3">
      <c r="A79" s="93" t="s">
        <v>133</v>
      </c>
      <c r="B79" s="93"/>
      <c r="C79" s="69">
        <v>0</v>
      </c>
      <c r="D79" s="53">
        <f ca="1">((100/(H67))*C79)/100</f>
        <v>0</v>
      </c>
      <c r="E79" s="175"/>
      <c r="F79" s="175"/>
      <c r="G79" s="175"/>
      <c r="H79" s="175"/>
      <c r="I79" s="15" t="s">
        <v>103</v>
      </c>
      <c r="J79" s="30">
        <f ca="1">(IF(B67&gt;1.5,(H67/(B67+2)+J73+MAX(0,J74-J73)+MAX(0,J75-J74)+MAX(0,J76-J75)+MAX(0,J77-J76)+MAX(0,J78-J77)),IF(B67=1,(H67/(B67+3)+J78),IF(B67=0,H67/4+J78))))</f>
        <v>19</v>
      </c>
    </row>
    <row r="80" spans="1:10" x14ac:dyDescent="0.25">
      <c r="A80" s="95" t="s">
        <v>152</v>
      </c>
      <c r="B80" s="95"/>
      <c r="C80" s="95"/>
      <c r="D80" s="95"/>
      <c r="E80" s="95"/>
      <c r="F80" s="121" t="s">
        <v>156</v>
      </c>
      <c r="G80" s="121"/>
      <c r="H80" s="121"/>
    </row>
    <row r="81" spans="1:11" x14ac:dyDescent="0.25">
      <c r="A81" s="84" t="s">
        <v>154</v>
      </c>
      <c r="B81" s="84"/>
      <c r="C81" s="84"/>
      <c r="D81" s="84"/>
      <c r="E81" s="84"/>
      <c r="F81" s="83">
        <v>7300</v>
      </c>
      <c r="G81" s="83"/>
      <c r="H81" s="83"/>
      <c r="I81" s="19" t="s">
        <v>271</v>
      </c>
      <c r="J81" s="23">
        <v>45342</v>
      </c>
      <c r="K81" s="19" t="s">
        <v>272</v>
      </c>
    </row>
    <row r="82" spans="1:11" x14ac:dyDescent="0.25">
      <c r="A82" s="84" t="s">
        <v>153</v>
      </c>
      <c r="B82" s="84"/>
      <c r="C82" s="84"/>
      <c r="D82" s="84"/>
      <c r="E82" s="84"/>
      <c r="F82" s="83">
        <v>13000</v>
      </c>
      <c r="G82" s="83"/>
      <c r="H82" s="83"/>
    </row>
    <row r="83" spans="1:11" hidden="1" x14ac:dyDescent="0.25">
      <c r="A83" s="84" t="s">
        <v>155</v>
      </c>
      <c r="B83" s="84"/>
      <c r="C83" s="84"/>
      <c r="D83" s="84"/>
      <c r="E83" s="84"/>
      <c r="F83" s="83"/>
      <c r="G83" s="83"/>
      <c r="H83" s="83"/>
    </row>
    <row r="84" spans="1:11" s="31" customFormat="1" hidden="1" x14ac:dyDescent="0.25">
      <c r="A84" s="84" t="s">
        <v>170</v>
      </c>
      <c r="B84" s="84"/>
      <c r="C84" s="84"/>
      <c r="D84" s="84"/>
      <c r="E84" s="84"/>
      <c r="F84" s="83"/>
      <c r="G84" s="83"/>
      <c r="H84" s="83"/>
    </row>
    <row r="85" spans="1:11" s="31" customFormat="1" x14ac:dyDescent="0.25">
      <c r="A85" s="84" t="s">
        <v>261</v>
      </c>
      <c r="B85" s="84"/>
      <c r="C85" s="84"/>
      <c r="D85" s="84"/>
      <c r="E85" s="84"/>
      <c r="F85" s="83">
        <v>300000</v>
      </c>
      <c r="G85" s="83"/>
      <c r="H85" s="83"/>
    </row>
    <row r="86" spans="1:11" s="31" customFormat="1" hidden="1" x14ac:dyDescent="0.25">
      <c r="A86" s="84" t="s">
        <v>94</v>
      </c>
      <c r="B86" s="84"/>
      <c r="C86" s="84"/>
      <c r="D86" s="84"/>
      <c r="E86" s="84"/>
      <c r="F86" s="83"/>
      <c r="G86" s="83"/>
      <c r="H86" s="83"/>
    </row>
    <row r="87" spans="1:11" s="31" customFormat="1" hidden="1" x14ac:dyDescent="0.25">
      <c r="A87" s="84" t="s">
        <v>157</v>
      </c>
      <c r="B87" s="84"/>
      <c r="C87" s="84"/>
      <c r="D87" s="84"/>
      <c r="E87" s="84"/>
      <c r="F87" s="83"/>
      <c r="G87" s="83"/>
      <c r="H87" s="83"/>
    </row>
    <row r="88" spans="1:11" s="31" customFormat="1" hidden="1" x14ac:dyDescent="0.25">
      <c r="A88" s="84" t="s">
        <v>95</v>
      </c>
      <c r="B88" s="84"/>
      <c r="C88" s="84"/>
      <c r="D88" s="84"/>
      <c r="E88" s="84"/>
      <c r="F88" s="83"/>
      <c r="G88" s="83"/>
      <c r="H88" s="83"/>
    </row>
    <row r="89" spans="1:11" s="31" customFormat="1" hidden="1" x14ac:dyDescent="0.25">
      <c r="A89" s="84" t="s">
        <v>96</v>
      </c>
      <c r="B89" s="84"/>
      <c r="C89" s="84"/>
      <c r="D89" s="84"/>
      <c r="E89" s="84"/>
      <c r="F89" s="83"/>
      <c r="G89" s="83"/>
      <c r="H89" s="83"/>
    </row>
    <row r="90" spans="1:11" s="31" customFormat="1" hidden="1" x14ac:dyDescent="0.25">
      <c r="A90" s="84" t="s">
        <v>97</v>
      </c>
      <c r="B90" s="84"/>
      <c r="C90" s="84"/>
      <c r="D90" s="84"/>
      <c r="E90" s="84"/>
      <c r="F90" s="83"/>
      <c r="G90" s="83"/>
      <c r="H90" s="83"/>
    </row>
    <row r="91" spans="1:11" s="31" customFormat="1" hidden="1" x14ac:dyDescent="0.25">
      <c r="A91" s="84" t="s">
        <v>98</v>
      </c>
      <c r="B91" s="84"/>
      <c r="C91" s="84"/>
      <c r="D91" s="84"/>
      <c r="E91" s="84"/>
      <c r="F91" s="83"/>
      <c r="G91" s="83"/>
      <c r="H91" s="83"/>
    </row>
    <row r="92" spans="1:11" x14ac:dyDescent="0.25">
      <c r="A92" s="84" t="s">
        <v>51</v>
      </c>
      <c r="B92" s="84"/>
      <c r="C92" s="84"/>
      <c r="D92" s="84"/>
      <c r="E92" s="84"/>
      <c r="F92" s="83">
        <v>300000</v>
      </c>
      <c r="G92" s="83"/>
      <c r="H92" s="83"/>
    </row>
    <row r="93" spans="1:11" s="32" customFormat="1" x14ac:dyDescent="0.25">
      <c r="A93" s="95" t="s">
        <v>52</v>
      </c>
      <c r="B93" s="95"/>
      <c r="C93" s="95"/>
      <c r="D93" s="95"/>
      <c r="E93" s="95"/>
      <c r="F93" s="83">
        <f>F81*0.8</f>
        <v>5840</v>
      </c>
      <c r="G93" s="83"/>
      <c r="H93" s="83"/>
    </row>
    <row r="94" spans="1:11" s="33" customFormat="1" ht="15.75" customHeight="1" x14ac:dyDescent="0.25">
      <c r="A94" s="165" t="s">
        <v>75</v>
      </c>
      <c r="B94" s="165"/>
      <c r="C94" s="165"/>
      <c r="D94" s="165"/>
      <c r="E94" s="165"/>
      <c r="F94" s="165"/>
      <c r="G94" s="165"/>
      <c r="H94" s="165"/>
    </row>
    <row r="95" spans="1:11" s="33" customFormat="1" ht="15.75" customHeight="1" x14ac:dyDescent="0.25">
      <c r="A95" s="167" t="s">
        <v>53</v>
      </c>
      <c r="B95" s="167"/>
      <c r="C95" s="169" t="s">
        <v>78</v>
      </c>
      <c r="D95" s="169"/>
      <c r="E95" s="168" t="s">
        <v>54</v>
      </c>
      <c r="F95" s="168"/>
      <c r="G95" s="167" t="s">
        <v>55</v>
      </c>
      <c r="H95" s="167"/>
    </row>
    <row r="96" spans="1:11" s="33" customFormat="1" x14ac:dyDescent="0.25">
      <c r="A96" s="166" t="s">
        <v>259</v>
      </c>
      <c r="B96" s="166"/>
      <c r="C96" s="114">
        <f>COUNT(D106:D114)</f>
        <v>9</v>
      </c>
      <c r="D96" s="115"/>
      <c r="E96" s="116">
        <f>SUM(D106:D114)</f>
        <v>1748.4600275999999</v>
      </c>
      <c r="F96" s="117"/>
      <c r="G96" s="116">
        <f>SUM(F106:F114)</f>
        <v>3530</v>
      </c>
      <c r="H96" s="117"/>
    </row>
    <row r="97" spans="1:14" s="33" customFormat="1" x14ac:dyDescent="0.25">
      <c r="A97" s="165" t="s">
        <v>70</v>
      </c>
      <c r="B97" s="165"/>
      <c r="C97" s="165"/>
      <c r="D97" s="165"/>
      <c r="E97" s="165"/>
      <c r="F97" s="165"/>
      <c r="G97" s="165"/>
      <c r="H97" s="165"/>
    </row>
    <row r="98" spans="1:14" s="33" customFormat="1" ht="15.75" customHeight="1" x14ac:dyDescent="0.25">
      <c r="A98" s="167" t="s">
        <v>53</v>
      </c>
      <c r="B98" s="167"/>
      <c r="C98" s="169" t="s">
        <v>78</v>
      </c>
      <c r="D98" s="169"/>
      <c r="E98" s="168" t="s">
        <v>54</v>
      </c>
      <c r="F98" s="168"/>
      <c r="G98" s="167" t="s">
        <v>55</v>
      </c>
      <c r="H98" s="167"/>
    </row>
    <row r="99" spans="1:14" s="33" customFormat="1" ht="16.5" thickBot="1" x14ac:dyDescent="0.3">
      <c r="A99" s="166" t="s">
        <v>260</v>
      </c>
      <c r="B99" s="166"/>
      <c r="C99" s="115">
        <f>COUNT(D119:D122,D124)+COUNT(D126:D131)*6+COUNT(D133:D138)*3+COUNT(D140:D145)*3+COUNT(D147:D150)</f>
        <v>81</v>
      </c>
      <c r="D99" s="115"/>
      <c r="E99" s="116">
        <f>SUM(D119:D122,D124)+SUM(D126:D131)*6+SUM(D133:D138)*3+SUM(D140:D145)*3+SUM(D147:D150)</f>
        <v>35124.008399999999</v>
      </c>
      <c r="F99" s="116"/>
      <c r="G99" s="116">
        <f>SUM(F119:F122,F124)+SUM(F126:F131)*6+SUM(F133:F138)*3+SUM(F140:F145)*3+SUM(F147:F150)</f>
        <v>59105</v>
      </c>
      <c r="H99" s="116"/>
    </row>
    <row r="100" spans="1:14" s="33" customFormat="1" ht="16.5" thickBot="1" x14ac:dyDescent="0.3">
      <c r="A100" s="176" t="s">
        <v>162</v>
      </c>
      <c r="B100" s="177"/>
      <c r="C100" s="178">
        <f>C96+C99</f>
        <v>90</v>
      </c>
      <c r="D100" s="179"/>
      <c r="E100" s="180">
        <f>E96+E99</f>
        <v>36872.468427599997</v>
      </c>
      <c r="F100" s="181"/>
      <c r="G100" s="182">
        <f>G96+G99</f>
        <v>62635</v>
      </c>
      <c r="H100" s="183"/>
    </row>
    <row r="101" spans="1:14" s="32" customFormat="1" x14ac:dyDescent="0.25">
      <c r="A101" s="173" t="s">
        <v>56</v>
      </c>
      <c r="B101" s="173"/>
      <c r="C101" s="173"/>
      <c r="D101" s="173"/>
      <c r="E101" s="173"/>
      <c r="F101" s="173"/>
      <c r="G101" s="173"/>
      <c r="H101" s="173"/>
    </row>
    <row r="102" spans="1:14" x14ac:dyDescent="0.25">
      <c r="A102" s="159" t="s">
        <v>169</v>
      </c>
      <c r="B102" s="159"/>
      <c r="C102" s="159"/>
      <c r="D102" s="159"/>
      <c r="E102" s="159"/>
      <c r="F102" s="159"/>
      <c r="G102" s="159"/>
      <c r="H102" s="159"/>
    </row>
    <row r="103" spans="1:14" ht="47.25" customHeight="1" x14ac:dyDescent="0.25">
      <c r="A103" s="85" t="s">
        <v>118</v>
      </c>
      <c r="B103" s="85" t="s">
        <v>171</v>
      </c>
      <c r="C103" s="85" t="s">
        <v>57</v>
      </c>
      <c r="D103" s="85" t="s">
        <v>58</v>
      </c>
      <c r="E103" s="134" t="s">
        <v>151</v>
      </c>
      <c r="F103" s="41" t="s">
        <v>266</v>
      </c>
      <c r="G103" s="122" t="s">
        <v>60</v>
      </c>
      <c r="H103" s="171"/>
    </row>
    <row r="104" spans="1:14" s="35" customFormat="1" hidden="1" x14ac:dyDescent="0.25">
      <c r="A104" s="86"/>
      <c r="B104" s="86"/>
      <c r="C104" s="86"/>
      <c r="D104" s="86"/>
      <c r="E104" s="135"/>
      <c r="F104" s="13">
        <v>0.5</v>
      </c>
      <c r="G104" s="123"/>
      <c r="H104" s="172"/>
    </row>
    <row r="105" spans="1:14" s="35" customFormat="1" x14ac:dyDescent="0.25">
      <c r="A105" s="131" t="s">
        <v>251</v>
      </c>
      <c r="B105" s="132"/>
      <c r="C105" s="132"/>
      <c r="D105" s="132"/>
      <c r="E105" s="132"/>
      <c r="F105" s="132"/>
      <c r="G105" s="132"/>
      <c r="H105" s="133"/>
      <c r="J105" s="34"/>
      <c r="L105" s="52">
        <v>10.763999999999999</v>
      </c>
    </row>
    <row r="106" spans="1:14" s="35" customFormat="1" ht="15.6" customHeight="1" x14ac:dyDescent="0.25">
      <c r="A106" s="110">
        <v>1</v>
      </c>
      <c r="B106" s="112"/>
      <c r="C106" s="40" t="s">
        <v>252</v>
      </c>
      <c r="D106" s="52">
        <f>(3.25*4.3+1.8*1+1.35*0.9)*10.764</f>
        <v>182.88036000000002</v>
      </c>
      <c r="E106" s="40">
        <v>0</v>
      </c>
      <c r="F106" s="40">
        <v>370</v>
      </c>
      <c r="G106" s="125" t="str">
        <f>A105</f>
        <v>Ground Floor for Commercial &amp; Parking Area</v>
      </c>
      <c r="H106" s="126"/>
      <c r="I106" s="55">
        <f>370/D106</f>
        <v>2.0231806192857449</v>
      </c>
      <c r="L106" s="124"/>
      <c r="M106" s="124"/>
      <c r="N106" s="34"/>
    </row>
    <row r="107" spans="1:14" s="35" customFormat="1" ht="15.6" customHeight="1" x14ac:dyDescent="0.25">
      <c r="A107" s="110">
        <v>2</v>
      </c>
      <c r="B107" s="112"/>
      <c r="C107" s="40" t="s">
        <v>252</v>
      </c>
      <c r="D107" s="52">
        <f>(3.1*5.3+1.3*1)*10.764</f>
        <v>190.84572</v>
      </c>
      <c r="E107" s="40">
        <v>0</v>
      </c>
      <c r="F107" s="40">
        <v>384</v>
      </c>
      <c r="G107" s="127"/>
      <c r="H107" s="128"/>
      <c r="I107" s="55">
        <f>384/D107</f>
        <v>2.0120964724804935</v>
      </c>
      <c r="L107" s="124"/>
      <c r="M107" s="124"/>
      <c r="N107" s="34"/>
    </row>
    <row r="108" spans="1:14" s="35" customFormat="1" ht="15.6" customHeight="1" x14ac:dyDescent="0.25">
      <c r="A108" s="110">
        <v>3</v>
      </c>
      <c r="B108" s="112"/>
      <c r="C108" s="40" t="s">
        <v>252</v>
      </c>
      <c r="D108" s="52">
        <f>(3*6.7+1.3*1)*10.764</f>
        <v>230.34960000000001</v>
      </c>
      <c r="E108" s="40">
        <v>0</v>
      </c>
      <c r="F108" s="40">
        <v>464</v>
      </c>
      <c r="G108" s="127"/>
      <c r="H108" s="128"/>
      <c r="I108" s="55">
        <f>464/D108</f>
        <v>2.0143295234721483</v>
      </c>
      <c r="L108" s="124"/>
      <c r="M108" s="124"/>
      <c r="N108" s="34"/>
    </row>
    <row r="109" spans="1:14" s="35" customFormat="1" ht="15.6" customHeight="1" x14ac:dyDescent="0.25">
      <c r="A109" s="110">
        <v>4</v>
      </c>
      <c r="B109" s="112"/>
      <c r="C109" s="40" t="s">
        <v>252</v>
      </c>
      <c r="D109" s="52">
        <f>(2.45*5.7+1*1+1.35*0.9)*10.764</f>
        <v>174.16152000000002</v>
      </c>
      <c r="E109" s="40">
        <v>0</v>
      </c>
      <c r="F109" s="40">
        <v>354</v>
      </c>
      <c r="G109" s="127"/>
      <c r="H109" s="128"/>
      <c r="I109" s="55">
        <f>354/D109</f>
        <v>2.03259594886402</v>
      </c>
      <c r="L109" s="124"/>
      <c r="M109" s="124"/>
      <c r="N109" s="34"/>
    </row>
    <row r="110" spans="1:14" s="35" customFormat="1" ht="15.6" customHeight="1" x14ac:dyDescent="0.25">
      <c r="A110" s="110">
        <v>5</v>
      </c>
      <c r="B110" s="112"/>
      <c r="C110" s="40" t="s">
        <v>252</v>
      </c>
      <c r="D110" s="52">
        <f>(2.4*5.7+1.35*0.9+0.95*1)*10.764</f>
        <v>170.55557999999996</v>
      </c>
      <c r="E110" s="40">
        <v>0</v>
      </c>
      <c r="F110" s="40">
        <v>346</v>
      </c>
      <c r="G110" s="127"/>
      <c r="H110" s="128"/>
      <c r="I110" s="55">
        <f>346/D110</f>
        <v>2.0286642043608309</v>
      </c>
      <c r="K110" s="124"/>
      <c r="L110" s="124"/>
      <c r="M110" s="34"/>
    </row>
    <row r="111" spans="1:14" s="35" customFormat="1" ht="15.6" customHeight="1" x14ac:dyDescent="0.25">
      <c r="A111" s="110">
        <v>6</v>
      </c>
      <c r="B111" s="112"/>
      <c r="C111" s="40" t="s">
        <v>252</v>
      </c>
      <c r="D111" s="52">
        <f>(2.75*5.7+1.338*0.9)*10.764</f>
        <v>181.6877088</v>
      </c>
      <c r="E111" s="40">
        <v>0</v>
      </c>
      <c r="F111" s="40">
        <v>366</v>
      </c>
      <c r="G111" s="127"/>
      <c r="H111" s="128"/>
      <c r="I111" s="55">
        <f>366/D111</f>
        <v>2.0144455693636885</v>
      </c>
      <c r="L111" s="124"/>
      <c r="M111" s="124"/>
      <c r="N111" s="34"/>
    </row>
    <row r="112" spans="1:14" s="35" customFormat="1" ht="15.6" customHeight="1" x14ac:dyDescent="0.25">
      <c r="A112" s="110">
        <v>7</v>
      </c>
      <c r="B112" s="112"/>
      <c r="C112" s="40" t="s">
        <v>252</v>
      </c>
      <c r="D112" s="52">
        <f>(3*6.7+1.313*0.9)*10.764</f>
        <v>229.07621879999999</v>
      </c>
      <c r="E112" s="40">
        <v>0</v>
      </c>
      <c r="F112" s="40">
        <v>460</v>
      </c>
      <c r="G112" s="127"/>
      <c r="H112" s="128"/>
      <c r="I112" s="34"/>
      <c r="L112" s="124"/>
      <c r="M112" s="124"/>
      <c r="N112" s="34"/>
    </row>
    <row r="113" spans="1:14" s="35" customFormat="1" ht="15.6" customHeight="1" x14ac:dyDescent="0.25">
      <c r="A113" s="110">
        <v>8</v>
      </c>
      <c r="B113" s="112"/>
      <c r="C113" s="40" t="s">
        <v>252</v>
      </c>
      <c r="D113" s="52">
        <f>(3.1*5.3+1.1*1.4+1.3*0.9)*10.764</f>
        <v>206.02295999999998</v>
      </c>
      <c r="E113" s="40">
        <v>0</v>
      </c>
      <c r="F113" s="40">
        <v>416</v>
      </c>
      <c r="G113" s="127"/>
      <c r="H113" s="128"/>
      <c r="I113" s="34"/>
      <c r="L113" s="124"/>
      <c r="M113" s="124"/>
      <c r="N113" s="34"/>
    </row>
    <row r="114" spans="1:14" s="35" customFormat="1" ht="15.6" customHeight="1" x14ac:dyDescent="0.25">
      <c r="A114" s="110">
        <v>9</v>
      </c>
      <c r="B114" s="112"/>
      <c r="C114" s="40" t="s">
        <v>252</v>
      </c>
      <c r="D114" s="52">
        <f>(3.25*4.3+1.8*1+1.35*0.9)*10.764</f>
        <v>182.88036000000002</v>
      </c>
      <c r="E114" s="40">
        <v>0</v>
      </c>
      <c r="F114" s="40">
        <v>370</v>
      </c>
      <c r="G114" s="129"/>
      <c r="H114" s="130"/>
      <c r="I114" s="34"/>
      <c r="L114" s="124"/>
      <c r="M114" s="124"/>
      <c r="N114" s="34"/>
    </row>
    <row r="115" spans="1:14" s="35" customFormat="1" x14ac:dyDescent="0.25">
      <c r="A115" s="110"/>
      <c r="B115" s="111"/>
      <c r="C115" s="111"/>
      <c r="D115" s="111"/>
      <c r="E115" s="111"/>
      <c r="F115" s="111"/>
      <c r="G115" s="111"/>
      <c r="H115" s="112"/>
      <c r="I115" s="34"/>
      <c r="N115" s="34"/>
    </row>
    <row r="116" spans="1:14" ht="47.25" customHeight="1" x14ac:dyDescent="0.25">
      <c r="A116" s="122" t="s">
        <v>119</v>
      </c>
      <c r="B116" s="85" t="s">
        <v>172</v>
      </c>
      <c r="C116" s="85" t="s">
        <v>57</v>
      </c>
      <c r="D116" s="85" t="s">
        <v>58</v>
      </c>
      <c r="E116" s="134" t="s">
        <v>59</v>
      </c>
      <c r="F116" s="41" t="s">
        <v>266</v>
      </c>
      <c r="G116" s="122" t="s">
        <v>60</v>
      </c>
      <c r="H116" s="171"/>
      <c r="I116" s="34"/>
    </row>
    <row r="117" spans="1:14" s="35" customFormat="1" hidden="1" x14ac:dyDescent="0.25">
      <c r="A117" s="123"/>
      <c r="B117" s="86"/>
      <c r="C117" s="86"/>
      <c r="D117" s="86"/>
      <c r="E117" s="135"/>
      <c r="F117" s="13">
        <v>0.5</v>
      </c>
      <c r="G117" s="123"/>
      <c r="H117" s="172"/>
      <c r="I117" s="34"/>
    </row>
    <row r="118" spans="1:14" s="35" customFormat="1" x14ac:dyDescent="0.25">
      <c r="A118" s="88" t="s">
        <v>253</v>
      </c>
      <c r="B118" s="89"/>
      <c r="C118" s="89"/>
      <c r="D118" s="89"/>
      <c r="E118" s="89"/>
      <c r="F118" s="89"/>
      <c r="G118" s="89"/>
      <c r="H118" s="90"/>
      <c r="J118" s="34"/>
    </row>
    <row r="119" spans="1:14" s="35" customFormat="1" ht="15.6" customHeight="1" x14ac:dyDescent="0.25">
      <c r="A119" s="91">
        <v>1</v>
      </c>
      <c r="B119" s="92"/>
      <c r="C119" s="56" t="s">
        <v>255</v>
      </c>
      <c r="D119" s="60">
        <f>(49.82)*10.764</f>
        <v>536.26247999999998</v>
      </c>
      <c r="E119" s="56">
        <f>(3*1.6+0.5*3.3)*10.764</f>
        <v>69.427800000000005</v>
      </c>
      <c r="F119" s="56">
        <v>1022</v>
      </c>
      <c r="G119" s="102" t="str">
        <f>A118</f>
        <v>1st Floor Residential &amp; Society Office</v>
      </c>
      <c r="H119" s="103"/>
      <c r="I119" s="65">
        <f>3.05*4.75+2.1*2.7+3.1*2.85+3.3*3.35+2.1*1.2+2.1*1.2+0.9*3.4</f>
        <v>48.147500000000008</v>
      </c>
      <c r="L119" s="124"/>
      <c r="M119" s="124"/>
      <c r="N119" s="34"/>
    </row>
    <row r="120" spans="1:14" s="35" customFormat="1" ht="15.6" customHeight="1" x14ac:dyDescent="0.25">
      <c r="A120" s="91">
        <f t="shared" ref="A120:A124" si="0">A119+1</f>
        <v>2</v>
      </c>
      <c r="B120" s="92"/>
      <c r="C120" s="56" t="s">
        <v>256</v>
      </c>
      <c r="D120" s="60">
        <f>(36.02)*10.764</f>
        <v>387.71928000000003</v>
      </c>
      <c r="E120" s="56">
        <v>0</v>
      </c>
      <c r="F120" s="56">
        <v>818</v>
      </c>
      <c r="G120" s="104"/>
      <c r="H120" s="105"/>
      <c r="I120" s="66">
        <f>1.1*1.3+2.75*4.25+2.1*2.45+2.85*3.35+1.29*1.95+2.1*1.2+0.9*2.4</f>
        <v>35.005499999999998</v>
      </c>
      <c r="L120" s="124"/>
      <c r="M120" s="124"/>
      <c r="N120" s="34"/>
    </row>
    <row r="121" spans="1:14" s="35" customFormat="1" ht="15.6" customHeight="1" x14ac:dyDescent="0.25">
      <c r="A121" s="91">
        <f t="shared" si="0"/>
        <v>3</v>
      </c>
      <c r="B121" s="92"/>
      <c r="C121" s="56" t="s">
        <v>255</v>
      </c>
      <c r="D121" s="60">
        <f>(49.82)*10.764</f>
        <v>536.26247999999998</v>
      </c>
      <c r="E121" s="56">
        <f>(3.05*1.6+0.5*3.3)*10.764</f>
        <v>70.28891999999999</v>
      </c>
      <c r="F121" s="56">
        <v>1022</v>
      </c>
      <c r="G121" s="104"/>
      <c r="H121" s="105"/>
      <c r="I121" s="52">
        <v>10.763999999999999</v>
      </c>
      <c r="L121" s="124"/>
      <c r="M121" s="124"/>
      <c r="N121" s="34"/>
    </row>
    <row r="122" spans="1:14" s="35" customFormat="1" ht="15.6" customHeight="1" x14ac:dyDescent="0.25">
      <c r="A122" s="91">
        <f t="shared" si="0"/>
        <v>4</v>
      </c>
      <c r="B122" s="92"/>
      <c r="C122" s="56" t="s">
        <v>256</v>
      </c>
      <c r="D122" s="60">
        <f>(35.74)*10.764</f>
        <v>384.70535999999998</v>
      </c>
      <c r="E122" s="56">
        <v>0</v>
      </c>
      <c r="F122" s="56">
        <v>643</v>
      </c>
      <c r="G122" s="104"/>
      <c r="H122" s="105"/>
      <c r="I122" s="34"/>
      <c r="L122" s="124"/>
      <c r="M122" s="124"/>
      <c r="N122" s="34"/>
    </row>
    <row r="123" spans="1:14" s="35" customFormat="1" ht="15.6" customHeight="1" x14ac:dyDescent="0.25">
      <c r="A123" s="91">
        <f t="shared" si="0"/>
        <v>5</v>
      </c>
      <c r="B123" s="92"/>
      <c r="C123" s="91" t="s">
        <v>254</v>
      </c>
      <c r="D123" s="197"/>
      <c r="E123" s="197"/>
      <c r="F123" s="92"/>
      <c r="G123" s="104"/>
      <c r="H123" s="105"/>
      <c r="I123" s="34"/>
      <c r="L123" s="124"/>
      <c r="M123" s="124"/>
      <c r="N123" s="34"/>
    </row>
    <row r="124" spans="1:14" s="35" customFormat="1" ht="15.6" customHeight="1" x14ac:dyDescent="0.25">
      <c r="A124" s="91">
        <f t="shared" si="0"/>
        <v>6</v>
      </c>
      <c r="B124" s="92"/>
      <c r="C124" s="56" t="s">
        <v>256</v>
      </c>
      <c r="D124" s="60">
        <f>(34.54)*10.764</f>
        <v>371.78855999999996</v>
      </c>
      <c r="E124" s="56">
        <v>0</v>
      </c>
      <c r="F124" s="56">
        <v>643</v>
      </c>
      <c r="G124" s="106"/>
      <c r="H124" s="107"/>
      <c r="I124" s="34"/>
      <c r="L124" s="124"/>
      <c r="M124" s="124"/>
      <c r="N124" s="34"/>
    </row>
    <row r="125" spans="1:14" s="35" customFormat="1" x14ac:dyDescent="0.25">
      <c r="A125" s="101" t="s">
        <v>276</v>
      </c>
      <c r="B125" s="101"/>
      <c r="C125" s="101"/>
      <c r="D125" s="101"/>
      <c r="E125" s="101"/>
      <c r="F125" s="101"/>
      <c r="G125" s="101"/>
      <c r="H125" s="101"/>
      <c r="I125" s="34"/>
      <c r="L125" s="124"/>
      <c r="M125" s="124"/>
    </row>
    <row r="126" spans="1:14" s="35" customFormat="1" x14ac:dyDescent="0.25">
      <c r="A126" s="74">
        <v>1</v>
      </c>
      <c r="B126" s="74"/>
      <c r="C126" s="68" t="s">
        <v>255</v>
      </c>
      <c r="D126" s="60">
        <f>(49.82)*10.764</f>
        <v>536.26247999999998</v>
      </c>
      <c r="E126" s="68">
        <v>0</v>
      </c>
      <c r="F126" s="68">
        <v>895</v>
      </c>
      <c r="G126" s="74" t="str">
        <f>A125</f>
        <v>2nd to 7th Floor</v>
      </c>
      <c r="H126" s="74"/>
      <c r="I126" s="54">
        <f>895/D126</f>
        <v>1.6689588277740408</v>
      </c>
      <c r="N126" s="34"/>
    </row>
    <row r="127" spans="1:14" s="35" customFormat="1" x14ac:dyDescent="0.25">
      <c r="A127" s="74">
        <v>2</v>
      </c>
      <c r="B127" s="74"/>
      <c r="C127" s="68" t="s">
        <v>256</v>
      </c>
      <c r="D127" s="60">
        <f>(36.02)*10.764</f>
        <v>387.71928000000003</v>
      </c>
      <c r="E127" s="68">
        <v>0</v>
      </c>
      <c r="F127" s="68">
        <v>648</v>
      </c>
      <c r="G127" s="74"/>
      <c r="H127" s="74"/>
      <c r="I127" s="54">
        <f>648/D127</f>
        <v>1.6713122958445603</v>
      </c>
      <c r="N127" s="34"/>
    </row>
    <row r="128" spans="1:14" s="35" customFormat="1" x14ac:dyDescent="0.25">
      <c r="A128" s="74">
        <f>A127+1</f>
        <v>3</v>
      </c>
      <c r="B128" s="74"/>
      <c r="C128" s="68" t="s">
        <v>255</v>
      </c>
      <c r="D128" s="60">
        <f>(49.82)*10.764</f>
        <v>536.26247999999998</v>
      </c>
      <c r="E128" s="68">
        <v>0</v>
      </c>
      <c r="F128" s="68">
        <v>895</v>
      </c>
      <c r="G128" s="74"/>
      <c r="H128" s="74"/>
      <c r="I128" s="54">
        <f>895/D128</f>
        <v>1.6689588277740408</v>
      </c>
      <c r="M128" s="34"/>
    </row>
    <row r="129" spans="1:14" s="35" customFormat="1" x14ac:dyDescent="0.25">
      <c r="A129" s="74">
        <f>A128+1</f>
        <v>4</v>
      </c>
      <c r="B129" s="74"/>
      <c r="C129" s="68" t="s">
        <v>256</v>
      </c>
      <c r="D129" s="60">
        <f>(35.74)*10.764</f>
        <v>384.70535999999998</v>
      </c>
      <c r="E129" s="68">
        <v>0</v>
      </c>
      <c r="F129" s="68">
        <v>643</v>
      </c>
      <c r="G129" s="74"/>
      <c r="H129" s="74"/>
      <c r="I129" s="54">
        <f>643/D129</f>
        <v>1.6714089972648158</v>
      </c>
      <c r="N129" s="34"/>
    </row>
    <row r="130" spans="1:14" s="35" customFormat="1" x14ac:dyDescent="0.25">
      <c r="A130" s="74">
        <f>A129+1</f>
        <v>5</v>
      </c>
      <c r="B130" s="74"/>
      <c r="C130" s="68" t="s">
        <v>256</v>
      </c>
      <c r="D130" s="60">
        <f>(34.54)*10.764</f>
        <v>371.78855999999996</v>
      </c>
      <c r="E130" s="68">
        <v>0</v>
      </c>
      <c r="F130" s="68">
        <v>621</v>
      </c>
      <c r="G130" s="74"/>
      <c r="H130" s="74"/>
      <c r="I130" s="54">
        <f>621/D130</f>
        <v>1.6703042180749188</v>
      </c>
      <c r="N130" s="34"/>
    </row>
    <row r="131" spans="1:14" s="35" customFormat="1" x14ac:dyDescent="0.25">
      <c r="A131" s="74">
        <f>A130+1</f>
        <v>6</v>
      </c>
      <c r="B131" s="74"/>
      <c r="C131" s="68" t="s">
        <v>256</v>
      </c>
      <c r="D131" s="60">
        <f>(34.54)*10.764</f>
        <v>371.78855999999996</v>
      </c>
      <c r="E131" s="68">
        <v>0</v>
      </c>
      <c r="F131" s="68">
        <v>621</v>
      </c>
      <c r="G131" s="74"/>
      <c r="H131" s="74"/>
      <c r="I131" s="54">
        <f>621/D131</f>
        <v>1.6703042180749188</v>
      </c>
      <c r="N131" s="34"/>
    </row>
    <row r="132" spans="1:14" s="64" customFormat="1" x14ac:dyDescent="0.25">
      <c r="A132" s="101" t="s">
        <v>277</v>
      </c>
      <c r="B132" s="101"/>
      <c r="C132" s="101"/>
      <c r="D132" s="101"/>
      <c r="E132" s="101"/>
      <c r="F132" s="101"/>
      <c r="G132" s="101"/>
      <c r="H132" s="101"/>
      <c r="I132" s="34"/>
      <c r="L132" s="124"/>
      <c r="M132" s="124"/>
    </row>
    <row r="133" spans="1:14" s="64" customFormat="1" x14ac:dyDescent="0.25">
      <c r="A133" s="74">
        <v>1</v>
      </c>
      <c r="B133" s="74"/>
      <c r="C133" s="63" t="s">
        <v>255</v>
      </c>
      <c r="D133" s="60">
        <f>(49.82)*10.764</f>
        <v>536.26247999999998</v>
      </c>
      <c r="E133" s="63">
        <v>0</v>
      </c>
      <c r="F133" s="63">
        <v>895</v>
      </c>
      <c r="G133" s="102" t="str">
        <f>A132</f>
        <v>8th, 10th &amp; 12th Floor (Refuge Balcony At Mindlanding of Stairecase)</v>
      </c>
      <c r="H133" s="103"/>
      <c r="I133" s="54">
        <f>895/D133</f>
        <v>1.6689588277740408</v>
      </c>
      <c r="N133" s="34"/>
    </row>
    <row r="134" spans="1:14" s="64" customFormat="1" x14ac:dyDescent="0.25">
      <c r="A134" s="74">
        <v>2</v>
      </c>
      <c r="B134" s="74"/>
      <c r="C134" s="63" t="s">
        <v>256</v>
      </c>
      <c r="D134" s="60">
        <f>(36.02)*10.764</f>
        <v>387.71928000000003</v>
      </c>
      <c r="E134" s="63">
        <v>0</v>
      </c>
      <c r="F134" s="63">
        <v>648</v>
      </c>
      <c r="G134" s="104"/>
      <c r="H134" s="105"/>
      <c r="I134" s="54">
        <f>648/D134</f>
        <v>1.6713122958445603</v>
      </c>
      <c r="N134" s="34"/>
    </row>
    <row r="135" spans="1:14" s="64" customFormat="1" x14ac:dyDescent="0.25">
      <c r="A135" s="74">
        <f>A134+1</f>
        <v>3</v>
      </c>
      <c r="B135" s="74"/>
      <c r="C135" s="63" t="s">
        <v>255</v>
      </c>
      <c r="D135" s="60">
        <f>(49.82)*10.764</f>
        <v>536.26247999999998</v>
      </c>
      <c r="E135" s="63">
        <v>0</v>
      </c>
      <c r="F135" s="63">
        <v>895</v>
      </c>
      <c r="G135" s="104"/>
      <c r="H135" s="105"/>
      <c r="I135" s="54">
        <f>895/D135</f>
        <v>1.6689588277740408</v>
      </c>
      <c r="M135" s="34"/>
    </row>
    <row r="136" spans="1:14" s="64" customFormat="1" x14ac:dyDescent="0.25">
      <c r="A136" s="74">
        <f>A135+1</f>
        <v>4</v>
      </c>
      <c r="B136" s="74"/>
      <c r="C136" s="63" t="s">
        <v>256</v>
      </c>
      <c r="D136" s="60">
        <f>(35.74)*10.764</f>
        <v>384.70535999999998</v>
      </c>
      <c r="E136" s="63">
        <v>0</v>
      </c>
      <c r="F136" s="63">
        <v>643</v>
      </c>
      <c r="G136" s="104"/>
      <c r="H136" s="105"/>
      <c r="I136" s="54">
        <f>643/D136</f>
        <v>1.6714089972648158</v>
      </c>
      <c r="N136" s="34"/>
    </row>
    <row r="137" spans="1:14" s="64" customFormat="1" x14ac:dyDescent="0.25">
      <c r="A137" s="74">
        <f>A136+1</f>
        <v>5</v>
      </c>
      <c r="B137" s="74"/>
      <c r="C137" s="63" t="s">
        <v>256</v>
      </c>
      <c r="D137" s="60">
        <f>(34.54)*10.764</f>
        <v>371.78855999999996</v>
      </c>
      <c r="E137" s="63">
        <v>0</v>
      </c>
      <c r="F137" s="63">
        <v>621</v>
      </c>
      <c r="G137" s="104"/>
      <c r="H137" s="105"/>
      <c r="I137" s="54">
        <f>621/D137</f>
        <v>1.6703042180749188</v>
      </c>
      <c r="N137" s="34"/>
    </row>
    <row r="138" spans="1:14" s="64" customFormat="1" x14ac:dyDescent="0.25">
      <c r="A138" s="74">
        <f>A137+1</f>
        <v>6</v>
      </c>
      <c r="B138" s="74"/>
      <c r="C138" s="63" t="s">
        <v>256</v>
      </c>
      <c r="D138" s="60">
        <f>(34.54)*10.764</f>
        <v>371.78855999999996</v>
      </c>
      <c r="E138" s="63">
        <v>0</v>
      </c>
      <c r="F138" s="63">
        <v>621</v>
      </c>
      <c r="G138" s="106"/>
      <c r="H138" s="107"/>
      <c r="I138" s="54">
        <f>621/D138</f>
        <v>1.6703042180749188</v>
      </c>
      <c r="N138" s="34"/>
    </row>
    <row r="139" spans="1:14" s="64" customFormat="1" x14ac:dyDescent="0.25">
      <c r="A139" s="101" t="s">
        <v>278</v>
      </c>
      <c r="B139" s="101"/>
      <c r="C139" s="101"/>
      <c r="D139" s="101"/>
      <c r="E139" s="101"/>
      <c r="F139" s="101"/>
      <c r="G139" s="101"/>
      <c r="H139" s="101"/>
      <c r="I139" s="34"/>
      <c r="L139" s="124"/>
      <c r="M139" s="124"/>
    </row>
    <row r="140" spans="1:14" s="64" customFormat="1" x14ac:dyDescent="0.25">
      <c r="A140" s="74">
        <v>1</v>
      </c>
      <c r="B140" s="74"/>
      <c r="C140" s="63" t="s">
        <v>255</v>
      </c>
      <c r="D140" s="60">
        <f>(49.82)*10.764</f>
        <v>536.26247999999998</v>
      </c>
      <c r="E140" s="63">
        <v>0</v>
      </c>
      <c r="F140" s="63">
        <v>895</v>
      </c>
      <c r="G140" s="102" t="str">
        <f>A139</f>
        <v>9th, 11th &amp; 13th Floor</v>
      </c>
      <c r="H140" s="103"/>
      <c r="I140" s="54">
        <f>895/D140</f>
        <v>1.6689588277740408</v>
      </c>
      <c r="N140" s="34"/>
    </row>
    <row r="141" spans="1:14" s="64" customFormat="1" x14ac:dyDescent="0.25">
      <c r="A141" s="74">
        <v>2</v>
      </c>
      <c r="B141" s="74"/>
      <c r="C141" s="63" t="s">
        <v>256</v>
      </c>
      <c r="D141" s="60">
        <f>(36.02)*10.764</f>
        <v>387.71928000000003</v>
      </c>
      <c r="E141" s="63">
        <v>0</v>
      </c>
      <c r="F141" s="63">
        <v>648</v>
      </c>
      <c r="G141" s="104"/>
      <c r="H141" s="105"/>
      <c r="I141" s="54">
        <f>648/D141</f>
        <v>1.6713122958445603</v>
      </c>
      <c r="N141" s="34"/>
    </row>
    <row r="142" spans="1:14" s="64" customFormat="1" x14ac:dyDescent="0.25">
      <c r="A142" s="74">
        <f>A141+1</f>
        <v>3</v>
      </c>
      <c r="B142" s="74"/>
      <c r="C142" s="63" t="s">
        <v>255</v>
      </c>
      <c r="D142" s="60">
        <f>(49.82)*10.764</f>
        <v>536.26247999999998</v>
      </c>
      <c r="E142" s="63">
        <v>0</v>
      </c>
      <c r="F142" s="63">
        <v>895</v>
      </c>
      <c r="G142" s="104"/>
      <c r="H142" s="105"/>
      <c r="I142" s="54">
        <f>895/D142</f>
        <v>1.6689588277740408</v>
      </c>
      <c r="M142" s="34"/>
    </row>
    <row r="143" spans="1:14" s="64" customFormat="1" x14ac:dyDescent="0.25">
      <c r="A143" s="74">
        <f>A142+1</f>
        <v>4</v>
      </c>
      <c r="B143" s="74"/>
      <c r="C143" s="63" t="s">
        <v>256</v>
      </c>
      <c r="D143" s="60">
        <f>(35.74)*10.764</f>
        <v>384.70535999999998</v>
      </c>
      <c r="E143" s="63">
        <v>0</v>
      </c>
      <c r="F143" s="63">
        <v>643</v>
      </c>
      <c r="G143" s="104"/>
      <c r="H143" s="105"/>
      <c r="I143" s="54">
        <f>643/D143</f>
        <v>1.6714089972648158</v>
      </c>
      <c r="N143" s="34"/>
    </row>
    <row r="144" spans="1:14" s="64" customFormat="1" x14ac:dyDescent="0.25">
      <c r="A144" s="74">
        <f>A143+1</f>
        <v>5</v>
      </c>
      <c r="B144" s="74"/>
      <c r="C144" s="63" t="s">
        <v>256</v>
      </c>
      <c r="D144" s="60">
        <f>(34.54)*10.764</f>
        <v>371.78855999999996</v>
      </c>
      <c r="E144" s="63">
        <v>0</v>
      </c>
      <c r="F144" s="63">
        <v>621</v>
      </c>
      <c r="G144" s="104"/>
      <c r="H144" s="105"/>
      <c r="I144" s="54">
        <f>621/D144</f>
        <v>1.6703042180749188</v>
      </c>
      <c r="N144" s="34"/>
    </row>
    <row r="145" spans="1:14" s="64" customFormat="1" x14ac:dyDescent="0.25">
      <c r="A145" s="74">
        <f>A144+1</f>
        <v>6</v>
      </c>
      <c r="B145" s="74"/>
      <c r="C145" s="63" t="s">
        <v>256</v>
      </c>
      <c r="D145" s="60">
        <f>(34.54)*10.764</f>
        <v>371.78855999999996</v>
      </c>
      <c r="E145" s="63">
        <v>0</v>
      </c>
      <c r="F145" s="63">
        <v>621</v>
      </c>
      <c r="G145" s="106"/>
      <c r="H145" s="107"/>
      <c r="I145" s="54">
        <f>621/D145</f>
        <v>1.6703042180749188</v>
      </c>
      <c r="N145" s="34"/>
    </row>
    <row r="146" spans="1:14" s="35" customFormat="1" ht="15.75" customHeight="1" x14ac:dyDescent="0.25">
      <c r="A146" s="88" t="s">
        <v>279</v>
      </c>
      <c r="B146" s="89"/>
      <c r="C146" s="89"/>
      <c r="D146" s="89"/>
      <c r="E146" s="89"/>
      <c r="F146" s="89"/>
      <c r="G146" s="89"/>
      <c r="H146" s="90"/>
      <c r="I146" s="34"/>
    </row>
    <row r="147" spans="1:14" s="35" customFormat="1" x14ac:dyDescent="0.25">
      <c r="A147" s="91">
        <v>1</v>
      </c>
      <c r="B147" s="92"/>
      <c r="C147" s="56" t="s">
        <v>255</v>
      </c>
      <c r="D147" s="60">
        <f>(49.82)*10.764</f>
        <v>536.26247999999998</v>
      </c>
      <c r="E147" s="56">
        <v>0</v>
      </c>
      <c r="F147" s="56">
        <v>895</v>
      </c>
      <c r="G147" s="102" t="str">
        <f>A146</f>
        <v>14th Floor</v>
      </c>
      <c r="H147" s="103"/>
      <c r="I147" s="34"/>
    </row>
    <row r="148" spans="1:14" s="35" customFormat="1" x14ac:dyDescent="0.25">
      <c r="A148" s="91">
        <v>2</v>
      </c>
      <c r="B148" s="92"/>
      <c r="C148" s="56" t="s">
        <v>256</v>
      </c>
      <c r="D148" s="60">
        <f>(36.02)*10.764</f>
        <v>387.71928000000003</v>
      </c>
      <c r="E148" s="56">
        <v>0</v>
      </c>
      <c r="F148" s="56">
        <v>648</v>
      </c>
      <c r="G148" s="104" t="str">
        <f>G147</f>
        <v>14th Floor</v>
      </c>
      <c r="H148" s="105"/>
      <c r="I148" s="34"/>
    </row>
    <row r="149" spans="1:14" s="35" customFormat="1" ht="15.75" customHeight="1" x14ac:dyDescent="0.25">
      <c r="A149" s="91">
        <v>3</v>
      </c>
      <c r="B149" s="92"/>
      <c r="C149" s="56" t="s">
        <v>255</v>
      </c>
      <c r="D149" s="60">
        <f>(49.82)*10.764</f>
        <v>536.26247999999998</v>
      </c>
      <c r="E149" s="56">
        <v>0</v>
      </c>
      <c r="F149" s="56">
        <v>895</v>
      </c>
      <c r="G149" s="104" t="str">
        <f>G148</f>
        <v>14th Floor</v>
      </c>
      <c r="H149" s="105"/>
      <c r="I149" s="34"/>
    </row>
    <row r="150" spans="1:14" s="35" customFormat="1" ht="15.75" customHeight="1" x14ac:dyDescent="0.25">
      <c r="A150" s="91">
        <v>4</v>
      </c>
      <c r="B150" s="92"/>
      <c r="C150" s="56" t="s">
        <v>256</v>
      </c>
      <c r="D150" s="60">
        <f>(35.74)*10.764</f>
        <v>384.70535999999998</v>
      </c>
      <c r="E150" s="56">
        <v>0</v>
      </c>
      <c r="F150" s="56">
        <v>643</v>
      </c>
      <c r="G150" s="104" t="str">
        <f>G149</f>
        <v>14th Floor</v>
      </c>
      <c r="H150" s="105"/>
      <c r="I150" s="34"/>
    </row>
    <row r="151" spans="1:14" s="35" customFormat="1" ht="15.75" customHeight="1" x14ac:dyDescent="0.25">
      <c r="A151" s="91">
        <v>5</v>
      </c>
      <c r="B151" s="92"/>
      <c r="C151" s="102" t="s">
        <v>257</v>
      </c>
      <c r="D151" s="195"/>
      <c r="E151" s="195"/>
      <c r="F151" s="103"/>
      <c r="G151" s="104" t="str">
        <f>G150</f>
        <v>14th Floor</v>
      </c>
      <c r="H151" s="105"/>
      <c r="I151" s="34"/>
    </row>
    <row r="152" spans="1:14" s="35" customFormat="1" ht="15.75" customHeight="1" x14ac:dyDescent="0.25">
      <c r="A152" s="91">
        <v>6</v>
      </c>
      <c r="B152" s="92"/>
      <c r="C152" s="106"/>
      <c r="D152" s="196"/>
      <c r="E152" s="196"/>
      <c r="F152" s="107"/>
      <c r="G152" s="106" t="str">
        <f>G151</f>
        <v>14th Floor</v>
      </c>
      <c r="H152" s="107"/>
      <c r="I152" s="34"/>
    </row>
    <row r="153" spans="1:14" s="33" customFormat="1" x14ac:dyDescent="0.25">
      <c r="A153" s="87" t="s">
        <v>68</v>
      </c>
      <c r="B153" s="87"/>
      <c r="C153" s="87"/>
      <c r="D153" s="87"/>
      <c r="E153" s="87"/>
      <c r="F153" s="87"/>
      <c r="G153" s="87"/>
      <c r="H153" s="87"/>
    </row>
    <row r="154" spans="1:14" s="33" customFormat="1" x14ac:dyDescent="0.25">
      <c r="A154" s="43" t="s">
        <v>150</v>
      </c>
      <c r="B154" s="71" t="s">
        <v>246</v>
      </c>
      <c r="C154" s="72"/>
      <c r="D154" s="72"/>
      <c r="E154" s="72"/>
      <c r="F154" s="72"/>
      <c r="G154" s="72"/>
      <c r="H154" s="73"/>
    </row>
    <row r="155" spans="1:14" s="33" customFormat="1" x14ac:dyDescent="0.25">
      <c r="A155" s="43" t="s">
        <v>150</v>
      </c>
      <c r="B155" s="71" t="str">
        <f>(IF(F116="Saleable area Loading :","We have considered Saleable area of Flats as per our Calculation.","We considered Saleable area of Flat as per Builder area Sheet."))</f>
        <v>We considered Saleable area of Flat as per Builder area Sheet.</v>
      </c>
      <c r="C155" s="72"/>
      <c r="D155" s="72"/>
      <c r="E155" s="72"/>
      <c r="F155" s="72"/>
      <c r="G155" s="72"/>
      <c r="H155" s="73"/>
    </row>
    <row r="156" spans="1:14" s="33" customFormat="1" x14ac:dyDescent="0.25">
      <c r="A156" s="43" t="s">
        <v>150</v>
      </c>
      <c r="B156" s="71" t="str">
        <f>(IF(F103="Saleable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56" s="72"/>
      <c r="D156" s="72"/>
      <c r="E156" s="72"/>
      <c r="F156" s="72"/>
      <c r="G156" s="72"/>
      <c r="H156" s="73"/>
    </row>
    <row r="157" spans="1:14" s="33" customFormat="1" x14ac:dyDescent="0.25">
      <c r="A157" s="43" t="s">
        <v>150</v>
      </c>
      <c r="B157" s="80" t="s">
        <v>122</v>
      </c>
      <c r="C157" s="81"/>
      <c r="D157" s="81"/>
      <c r="E157" s="81"/>
      <c r="F157" s="81"/>
      <c r="G157" s="81"/>
      <c r="H157" s="82"/>
    </row>
    <row r="158" spans="1:14" s="33" customFormat="1" x14ac:dyDescent="0.25">
      <c r="A158" s="43" t="s">
        <v>150</v>
      </c>
      <c r="B158" s="80" t="s">
        <v>258</v>
      </c>
      <c r="C158" s="81"/>
      <c r="D158" s="81"/>
      <c r="E158" s="81"/>
      <c r="F158" s="81"/>
      <c r="G158" s="81"/>
      <c r="H158" s="82"/>
    </row>
    <row r="159" spans="1:14" s="33" customFormat="1" x14ac:dyDescent="0.25">
      <c r="A159" s="43" t="s">
        <v>150</v>
      </c>
      <c r="B159" s="80" t="s">
        <v>149</v>
      </c>
      <c r="C159" s="81"/>
      <c r="D159" s="81"/>
      <c r="E159" s="81"/>
      <c r="F159" s="81"/>
      <c r="G159" s="81"/>
      <c r="H159" s="82"/>
    </row>
    <row r="160" spans="1:14" s="33" customFormat="1" x14ac:dyDescent="0.25">
      <c r="A160" s="43" t="s">
        <v>150</v>
      </c>
      <c r="B160" s="80" t="s">
        <v>123</v>
      </c>
      <c r="C160" s="81"/>
      <c r="D160" s="81"/>
      <c r="E160" s="81"/>
      <c r="F160" s="81"/>
      <c r="G160" s="81"/>
      <c r="H160" s="82"/>
    </row>
    <row r="161" spans="1:8" s="33" customFormat="1" x14ac:dyDescent="0.25">
      <c r="A161" s="43" t="s">
        <v>150</v>
      </c>
      <c r="B161" s="71" t="s">
        <v>265</v>
      </c>
      <c r="C161" s="72"/>
      <c r="D161" s="72"/>
      <c r="E161" s="72"/>
      <c r="F161" s="72"/>
      <c r="G161" s="72"/>
      <c r="H161" s="73"/>
    </row>
    <row r="162" spans="1:8" s="33" customFormat="1" ht="15.75" customHeight="1" x14ac:dyDescent="0.25">
      <c r="A162" s="43" t="s">
        <v>150</v>
      </c>
      <c r="B162" s="71" t="s">
        <v>124</v>
      </c>
      <c r="C162" s="72"/>
      <c r="D162" s="72"/>
      <c r="E162" s="72"/>
      <c r="F162" s="72"/>
      <c r="G162" s="72"/>
      <c r="H162" s="73"/>
    </row>
    <row r="163" spans="1:8" s="33" customFormat="1" ht="32.25" hidden="1" customHeight="1" x14ac:dyDescent="0.25">
      <c r="A163" s="43" t="s">
        <v>150</v>
      </c>
      <c r="B163" s="198" t="s">
        <v>173</v>
      </c>
      <c r="C163" s="199"/>
      <c r="D163" s="199"/>
      <c r="E163" s="199"/>
      <c r="F163" s="199"/>
      <c r="G163" s="199"/>
      <c r="H163" s="200"/>
    </row>
    <row r="164" spans="1:8" s="33" customFormat="1" ht="15.75" customHeight="1" x14ac:dyDescent="0.25">
      <c r="A164" s="61" t="s">
        <v>150</v>
      </c>
      <c r="B164" s="71" t="s">
        <v>282</v>
      </c>
      <c r="C164" s="72"/>
      <c r="D164" s="72"/>
      <c r="E164" s="72"/>
      <c r="F164" s="72"/>
      <c r="G164" s="72"/>
      <c r="H164" s="73"/>
    </row>
    <row r="165" spans="1:8" s="33" customFormat="1" ht="15.75" customHeight="1" x14ac:dyDescent="0.25">
      <c r="A165" s="61" t="s">
        <v>150</v>
      </c>
      <c r="B165" s="71" t="s">
        <v>270</v>
      </c>
      <c r="C165" s="72"/>
      <c r="D165" s="72"/>
      <c r="E165" s="72"/>
      <c r="F165" s="72"/>
      <c r="G165" s="72"/>
      <c r="H165" s="73"/>
    </row>
    <row r="166" spans="1:8" s="33" customFormat="1" ht="15.75" customHeight="1" x14ac:dyDescent="0.25">
      <c r="A166" s="62" t="s">
        <v>150</v>
      </c>
      <c r="B166" s="71" t="s">
        <v>273</v>
      </c>
      <c r="C166" s="72"/>
      <c r="D166" s="72"/>
      <c r="E166" s="72"/>
      <c r="F166" s="72"/>
      <c r="G166" s="72"/>
      <c r="H166" s="73"/>
    </row>
    <row r="167" spans="1:8" s="33" customFormat="1" ht="15.75" customHeight="1" x14ac:dyDescent="0.25">
      <c r="A167" s="57" t="s">
        <v>150</v>
      </c>
      <c r="B167" s="71" t="s">
        <v>288</v>
      </c>
      <c r="C167" s="72"/>
      <c r="D167" s="72"/>
      <c r="E167" s="72"/>
      <c r="F167" s="72"/>
      <c r="G167" s="72"/>
      <c r="H167" s="73"/>
    </row>
    <row r="168" spans="1:8" s="33" customFormat="1" x14ac:dyDescent="0.25">
      <c r="A168" s="67" t="s">
        <v>150</v>
      </c>
      <c r="B168" s="71" t="s">
        <v>286</v>
      </c>
      <c r="C168" s="72"/>
      <c r="D168" s="72"/>
      <c r="E168" s="72"/>
      <c r="F168" s="72"/>
      <c r="G168" s="72"/>
      <c r="H168" s="73"/>
    </row>
    <row r="169" spans="1:8" x14ac:dyDescent="0.25">
      <c r="A169" s="174" t="s">
        <v>61</v>
      </c>
      <c r="B169" s="174"/>
      <c r="C169" s="174"/>
      <c r="D169" s="174"/>
      <c r="E169" s="174"/>
      <c r="F169" s="174"/>
      <c r="G169" s="174"/>
      <c r="H169" s="174"/>
    </row>
    <row r="170" spans="1:8" x14ac:dyDescent="0.25">
      <c r="A170" s="108" t="s">
        <v>62</v>
      </c>
      <c r="B170" s="108"/>
      <c r="C170" s="108"/>
      <c r="D170" s="108"/>
      <c r="E170" s="108"/>
      <c r="F170" s="108"/>
      <c r="G170" s="108"/>
      <c r="H170" s="108"/>
    </row>
    <row r="171" spans="1:8" ht="15.75" customHeight="1" x14ac:dyDescent="0.25">
      <c r="A171" s="170" t="s">
        <v>63</v>
      </c>
      <c r="B171" s="170"/>
      <c r="C171" s="170"/>
      <c r="D171" s="170"/>
      <c r="E171" s="170"/>
      <c r="F171" s="170"/>
      <c r="G171" s="170"/>
      <c r="H171" s="170"/>
    </row>
    <row r="172" spans="1:8" x14ac:dyDescent="0.25">
      <c r="A172" s="108" t="s">
        <v>64</v>
      </c>
      <c r="B172" s="108"/>
      <c r="C172" s="108"/>
      <c r="D172" s="108"/>
      <c r="E172" s="108"/>
      <c r="F172" s="108"/>
      <c r="G172" s="108"/>
      <c r="H172" s="108"/>
    </row>
    <row r="173" spans="1:8" x14ac:dyDescent="0.25">
      <c r="A173" s="108" t="s">
        <v>65</v>
      </c>
      <c r="B173" s="108"/>
      <c r="C173" s="108"/>
      <c r="D173" s="108"/>
      <c r="E173" s="108"/>
      <c r="F173" s="108"/>
      <c r="G173" s="108"/>
      <c r="H173" s="108"/>
    </row>
    <row r="174" spans="1:8" hidden="1" x14ac:dyDescent="0.25">
      <c r="A174" s="108" t="s">
        <v>125</v>
      </c>
      <c r="B174" s="108"/>
      <c r="C174" s="108"/>
      <c r="D174" s="108"/>
      <c r="E174" s="108"/>
      <c r="F174" s="108"/>
      <c r="G174" s="108"/>
      <c r="H174" s="108"/>
    </row>
    <row r="175" spans="1:8" ht="33.950000000000003" hidden="1" customHeight="1" x14ac:dyDescent="0.25">
      <c r="A175" s="109" t="s">
        <v>126</v>
      </c>
      <c r="B175" s="109"/>
      <c r="C175" s="109"/>
      <c r="D175" s="109"/>
      <c r="E175" s="109"/>
      <c r="F175" s="109"/>
      <c r="G175" s="109"/>
      <c r="H175" s="109"/>
    </row>
    <row r="176" spans="1:8" x14ac:dyDescent="0.25">
      <c r="A176" s="163" t="s">
        <v>77</v>
      </c>
      <c r="B176" s="163"/>
      <c r="C176" s="163" t="s">
        <v>269</v>
      </c>
      <c r="D176" s="163"/>
      <c r="E176" s="163" t="s">
        <v>105</v>
      </c>
      <c r="F176" s="163"/>
      <c r="G176" s="164" t="s">
        <v>289</v>
      </c>
      <c r="H176" s="164"/>
    </row>
    <row r="177" spans="1:8" x14ac:dyDescent="0.25">
      <c r="A177" s="162" t="s">
        <v>79</v>
      </c>
      <c r="B177" s="162"/>
      <c r="C177" s="162"/>
      <c r="D177" s="162"/>
      <c r="E177" s="162"/>
      <c r="F177" s="162"/>
      <c r="G177" s="162"/>
      <c r="H177" s="162"/>
    </row>
    <row r="178" spans="1:8" x14ac:dyDescent="0.25">
      <c r="A178" s="162"/>
      <c r="B178" s="162"/>
      <c r="C178" s="162"/>
      <c r="D178" s="162"/>
      <c r="E178" s="162"/>
      <c r="F178" s="162"/>
      <c r="G178" s="162"/>
      <c r="H178" s="162"/>
    </row>
    <row r="179" spans="1:8" x14ac:dyDescent="0.25">
      <c r="A179" s="162"/>
      <c r="B179" s="162"/>
      <c r="C179" s="162"/>
      <c r="D179" s="162"/>
      <c r="E179" s="162"/>
      <c r="F179" s="162"/>
      <c r="G179" s="162"/>
      <c r="H179" s="162"/>
    </row>
    <row r="180" spans="1:8" x14ac:dyDescent="0.25">
      <c r="A180" s="162"/>
      <c r="B180" s="162"/>
      <c r="C180" s="162"/>
      <c r="D180" s="162"/>
      <c r="E180" s="162"/>
      <c r="F180" s="162"/>
      <c r="G180" s="162"/>
      <c r="H180" s="162"/>
    </row>
    <row r="181" spans="1:8" x14ac:dyDescent="0.25">
      <c r="A181" s="36" t="s">
        <v>66</v>
      </c>
      <c r="B181" s="37"/>
      <c r="C181" s="37"/>
      <c r="D181" s="36" t="str">
        <f>E8</f>
        <v>Haware Elinor</v>
      </c>
      <c r="F181" s="37"/>
      <c r="G181" s="37"/>
      <c r="H181" s="37"/>
    </row>
    <row r="182" spans="1:8" x14ac:dyDescent="0.25">
      <c r="A182" s="37"/>
      <c r="B182" s="37"/>
      <c r="C182" s="37"/>
      <c r="D182" s="37"/>
      <c r="E182" s="37"/>
      <c r="F182" s="37"/>
      <c r="G182" s="37"/>
      <c r="H182" s="37"/>
    </row>
    <row r="183" spans="1:8" x14ac:dyDescent="0.25">
      <c r="A183" s="37"/>
      <c r="B183" s="37"/>
      <c r="C183" s="37"/>
      <c r="D183" s="37"/>
      <c r="E183" s="37"/>
      <c r="F183" s="37"/>
      <c r="G183" s="37"/>
      <c r="H183" s="37"/>
    </row>
    <row r="184" spans="1:8" ht="15" customHeight="1" x14ac:dyDescent="0.25"/>
    <row r="215" spans="1:11" x14ac:dyDescent="0.25">
      <c r="K215" s="51"/>
    </row>
    <row r="224" spans="1:11" x14ac:dyDescent="0.25">
      <c r="A224" s="39" t="s">
        <v>160</v>
      </c>
    </row>
    <row r="255" spans="1:2" x14ac:dyDescent="0.25">
      <c r="A255" s="59" t="s">
        <v>67</v>
      </c>
      <c r="B255" s="58"/>
    </row>
  </sheetData>
  <mergeCells count="323">
    <mergeCell ref="B166:H166"/>
    <mergeCell ref="A124:B124"/>
    <mergeCell ref="L124:M124"/>
    <mergeCell ref="G119:H124"/>
    <mergeCell ref="A131:B131"/>
    <mergeCell ref="G126:H131"/>
    <mergeCell ref="A152:B152"/>
    <mergeCell ref="G147:H152"/>
    <mergeCell ref="A148:B148"/>
    <mergeCell ref="A128:B128"/>
    <mergeCell ref="A121:B121"/>
    <mergeCell ref="L121:M121"/>
    <mergeCell ref="C151:F152"/>
    <mergeCell ref="C123:F123"/>
    <mergeCell ref="L125:M125"/>
    <mergeCell ref="A123:B123"/>
    <mergeCell ref="L123:M123"/>
    <mergeCell ref="L120:M120"/>
    <mergeCell ref="A119:B119"/>
    <mergeCell ref="B154:H154"/>
    <mergeCell ref="B155:H155"/>
    <mergeCell ref="B163:H163"/>
    <mergeCell ref="L132:M132"/>
    <mergeCell ref="L139:M139"/>
    <mergeCell ref="A37:H37"/>
    <mergeCell ref="I14:P14"/>
    <mergeCell ref="F91:H91"/>
    <mergeCell ref="F89:H89"/>
    <mergeCell ref="A90:E90"/>
    <mergeCell ref="A53:B53"/>
    <mergeCell ref="C53:E53"/>
    <mergeCell ref="D55:H55"/>
    <mergeCell ref="F90:H90"/>
    <mergeCell ref="D63:H63"/>
    <mergeCell ref="A64:C64"/>
    <mergeCell ref="A86:E86"/>
    <mergeCell ref="F86:H86"/>
    <mergeCell ref="A87:E87"/>
    <mergeCell ref="A89:E89"/>
    <mergeCell ref="F83:H83"/>
    <mergeCell ref="A88:E88"/>
    <mergeCell ref="A46:D46"/>
    <mergeCell ref="A47:H47"/>
    <mergeCell ref="C52:H52"/>
    <mergeCell ref="D57:H57"/>
    <mergeCell ref="A71:B71"/>
    <mergeCell ref="A73:B73"/>
    <mergeCell ref="E69:F69"/>
    <mergeCell ref="E42:H42"/>
    <mergeCell ref="A42:D42"/>
    <mergeCell ref="A75:B75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G53:H53"/>
    <mergeCell ref="A63:C63"/>
    <mergeCell ref="A58:C58"/>
    <mergeCell ref="D58:H58"/>
    <mergeCell ref="A62:C62"/>
    <mergeCell ref="A44:D44"/>
    <mergeCell ref="A173:H173"/>
    <mergeCell ref="A169:H169"/>
    <mergeCell ref="G98:H98"/>
    <mergeCell ref="A151:B151"/>
    <mergeCell ref="G103:H104"/>
    <mergeCell ref="A130:B130"/>
    <mergeCell ref="A127:B127"/>
    <mergeCell ref="E70:F79"/>
    <mergeCell ref="G70:H79"/>
    <mergeCell ref="A78:B78"/>
    <mergeCell ref="G96:H96"/>
    <mergeCell ref="C95:D95"/>
    <mergeCell ref="A137:B137"/>
    <mergeCell ref="A138:B138"/>
    <mergeCell ref="A139:H139"/>
    <mergeCell ref="A140:B140"/>
    <mergeCell ref="G140:H145"/>
    <mergeCell ref="A141:B141"/>
    <mergeCell ref="A142:B142"/>
    <mergeCell ref="A143:B143"/>
    <mergeCell ref="A100:B100"/>
    <mergeCell ref="C100:D100"/>
    <mergeCell ref="E100:F100"/>
    <mergeCell ref="G100:H100"/>
    <mergeCell ref="A174:H174"/>
    <mergeCell ref="A171:H171"/>
    <mergeCell ref="A126:B126"/>
    <mergeCell ref="A98:B98"/>
    <mergeCell ref="D116:D117"/>
    <mergeCell ref="E116:E117"/>
    <mergeCell ref="G116:H117"/>
    <mergeCell ref="A118:H118"/>
    <mergeCell ref="A150:B150"/>
    <mergeCell ref="A147:B147"/>
    <mergeCell ref="A113:B113"/>
    <mergeCell ref="A106:B106"/>
    <mergeCell ref="A170:H170"/>
    <mergeCell ref="E98:F98"/>
    <mergeCell ref="B162:H162"/>
    <mergeCell ref="B160:H160"/>
    <mergeCell ref="B156:H156"/>
    <mergeCell ref="A101:H101"/>
    <mergeCell ref="B164:H164"/>
    <mergeCell ref="B165:H165"/>
    <mergeCell ref="B167:H167"/>
    <mergeCell ref="B161:H161"/>
    <mergeCell ref="A135:B135"/>
    <mergeCell ref="A136:B136"/>
    <mergeCell ref="A177:H180"/>
    <mergeCell ref="A176:B176"/>
    <mergeCell ref="E176:F176"/>
    <mergeCell ref="C176:D176"/>
    <mergeCell ref="G176:H176"/>
    <mergeCell ref="A94:H94"/>
    <mergeCell ref="A92:E92"/>
    <mergeCell ref="F92:H92"/>
    <mergeCell ref="A93:E93"/>
    <mergeCell ref="F93:H93"/>
    <mergeCell ref="A125:H125"/>
    <mergeCell ref="A99:B99"/>
    <mergeCell ref="A149:B149"/>
    <mergeCell ref="A96:B96"/>
    <mergeCell ref="A172:H172"/>
    <mergeCell ref="A97:H97"/>
    <mergeCell ref="A175:H175"/>
    <mergeCell ref="C103:C104"/>
    <mergeCell ref="B116:B117"/>
    <mergeCell ref="A102:H102"/>
    <mergeCell ref="G95:H95"/>
    <mergeCell ref="E95:F95"/>
    <mergeCell ref="A95:B95"/>
    <mergeCell ref="C98:D9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A35:B35"/>
    <mergeCell ref="C35:E35"/>
    <mergeCell ref="A36:B36"/>
    <mergeCell ref="C36:E36"/>
    <mergeCell ref="A41:D41"/>
    <mergeCell ref="E41:H41"/>
    <mergeCell ref="A40:H40"/>
    <mergeCell ref="A59:C59"/>
    <mergeCell ref="A60:C60"/>
    <mergeCell ref="D59:H59"/>
    <mergeCell ref="A38:B38"/>
    <mergeCell ref="C38:H38"/>
    <mergeCell ref="A39:B39"/>
    <mergeCell ref="C39:H39"/>
    <mergeCell ref="F36:H36"/>
    <mergeCell ref="A57:C57"/>
    <mergeCell ref="G50:H50"/>
    <mergeCell ref="A51:B51"/>
    <mergeCell ref="A52:B52"/>
    <mergeCell ref="C51:E51"/>
    <mergeCell ref="C50:E50"/>
    <mergeCell ref="A43:D43"/>
    <mergeCell ref="E43:H43"/>
    <mergeCell ref="E44:H44"/>
    <mergeCell ref="E45:H45"/>
    <mergeCell ref="E46:H46"/>
    <mergeCell ref="L122:M122"/>
    <mergeCell ref="L119:M119"/>
    <mergeCell ref="A120:B120"/>
    <mergeCell ref="A45:D45"/>
    <mergeCell ref="L109:M109"/>
    <mergeCell ref="L108:M108"/>
    <mergeCell ref="L107:M107"/>
    <mergeCell ref="L106:M106"/>
    <mergeCell ref="A77:B77"/>
    <mergeCell ref="C99:D99"/>
    <mergeCell ref="E99:F99"/>
    <mergeCell ref="G99:H99"/>
    <mergeCell ref="F87:H87"/>
    <mergeCell ref="A81:E81"/>
    <mergeCell ref="A105:H105"/>
    <mergeCell ref="E103:E104"/>
    <mergeCell ref="A76:B76"/>
    <mergeCell ref="A69:B69"/>
    <mergeCell ref="A83:E83"/>
    <mergeCell ref="A80:E80"/>
    <mergeCell ref="F84:H84"/>
    <mergeCell ref="A85:E85"/>
    <mergeCell ref="C116:C117"/>
    <mergeCell ref="L113:M113"/>
    <mergeCell ref="L114:M114"/>
    <mergeCell ref="G106:H114"/>
    <mergeCell ref="A110:B110"/>
    <mergeCell ref="K110:L110"/>
    <mergeCell ref="A111:B111"/>
    <mergeCell ref="L111:M111"/>
    <mergeCell ref="A112:B112"/>
    <mergeCell ref="L112:M112"/>
    <mergeCell ref="A107:B107"/>
    <mergeCell ref="A109:B109"/>
    <mergeCell ref="A108:B108"/>
    <mergeCell ref="A133:B133"/>
    <mergeCell ref="G133:H138"/>
    <mergeCell ref="A134:B134"/>
    <mergeCell ref="A61:C61"/>
    <mergeCell ref="D61:H61"/>
    <mergeCell ref="A115:H115"/>
    <mergeCell ref="C68:H68"/>
    <mergeCell ref="A91:E91"/>
    <mergeCell ref="C96:D96"/>
    <mergeCell ref="E96:F96"/>
    <mergeCell ref="B103:B104"/>
    <mergeCell ref="A103:A104"/>
    <mergeCell ref="D62:H62"/>
    <mergeCell ref="A65:C65"/>
    <mergeCell ref="D65:H65"/>
    <mergeCell ref="F81:H81"/>
    <mergeCell ref="F88:H88"/>
    <mergeCell ref="F80:H80"/>
    <mergeCell ref="F85:H85"/>
    <mergeCell ref="A116:A117"/>
    <mergeCell ref="D64:H64"/>
    <mergeCell ref="A70:B70"/>
    <mergeCell ref="G69:H69"/>
    <mergeCell ref="A114:B114"/>
    <mergeCell ref="B168:H168"/>
    <mergeCell ref="A144:B144"/>
    <mergeCell ref="A145:B145"/>
    <mergeCell ref="A48:B48"/>
    <mergeCell ref="C48:H48"/>
    <mergeCell ref="B159:H159"/>
    <mergeCell ref="F82:H82"/>
    <mergeCell ref="A82:E82"/>
    <mergeCell ref="D103:D104"/>
    <mergeCell ref="A84:E84"/>
    <mergeCell ref="B157:H157"/>
    <mergeCell ref="B158:H158"/>
    <mergeCell ref="A153:H153"/>
    <mergeCell ref="A146:H146"/>
    <mergeCell ref="A122:B122"/>
    <mergeCell ref="A129:B129"/>
    <mergeCell ref="A79:B79"/>
    <mergeCell ref="D60:H60"/>
    <mergeCell ref="A72:B72"/>
    <mergeCell ref="A68:B68"/>
    <mergeCell ref="A66:B66"/>
    <mergeCell ref="C66:H66"/>
    <mergeCell ref="A74:B74"/>
    <mergeCell ref="A132:H132"/>
  </mergeCells>
  <dataValidations count="13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03:E104" xr:uid="{00000000-0002-0000-0000-000003000000}">
      <formula1>"Attached Loft area,Attached Terrace area,Attached Mezzanine area"</formula1>
    </dataValidation>
    <dataValidation type="list" allowBlank="1" showInputMessage="1" showErrorMessage="1" sqref="F104 F117" xr:uid="{00000000-0002-0000-0000-000004000000}">
      <formula1>"45%,50%,55%,60%"</formula1>
    </dataValidation>
    <dataValidation type="list" allowBlank="1" showInputMessage="1" showErrorMessage="1" sqref="G176:H176" xr:uid="{00000000-0002-0000-0000-000005000000}">
      <formula1>"Gaurav Panchal,Kunal Kadam,Pranita Mhatre,Shruti Fule,Pooja Kawale,Mansee Mohite,Anjali Kamble, Hitakshi Mhatre, Sachin Sawant"</formula1>
    </dataValidation>
    <dataValidation type="list" allowBlank="1" showInputMessage="1" showErrorMessage="1" sqref="F80:H80" xr:uid="{00000000-0002-0000-0000-000006000000}">
      <formula1>"On Saleable Area,On Builtup Area,On Carpet Area,On Plot Area"</formula1>
    </dataValidation>
    <dataValidation type="list" allowBlank="1" showInputMessage="1" showErrorMessage="1" sqref="F92:H92" xr:uid="{00000000-0002-0000-0000-000007000000}">
      <formula1>"100000,150000,200000,250000,300000,350000,400000,500000,600000,700000,800000,900000,1000000,1200000,1400000,1500000"</formula1>
    </dataValidation>
    <dataValidation type="list" allowBlank="1" showInputMessage="1" showErrorMessage="1" sqref="F103 F116" xr:uid="{00000000-0002-0000-0000-000008000000}">
      <formula1>"Saleable area Loading :,Builder Saleable area"</formula1>
    </dataValidation>
    <dataValidation type="list" allowBlank="1" showInputMessage="1" showErrorMessage="1" sqref="B103:B104" xr:uid="{00000000-0002-0000-0000-000009000000}">
      <formula1>"Shop No. (Sale Plan),Sale / Rehab,Sale / Mhada"</formula1>
    </dataValidation>
    <dataValidation type="list" allowBlank="1" showInputMessage="1" showErrorMessage="1" sqref="B116:B117" xr:uid="{00000000-0002-0000-0000-00000A000000}">
      <formula1>"Flat No. (Sale Plan),Sale / Rehab,Sale / Mhada"</formula1>
    </dataValidation>
    <dataValidation type="list" allowBlank="1" showInputMessage="1" showErrorMessage="1" sqref="C20:D20" xr:uid="{00000000-0002-0000-0000-00000B000000}">
      <formula1>OFFSET($S$12,1,MATCH($G19,$S$12:$W$12,0)-1,15,1)</formula1>
    </dataValidation>
    <dataValidation type="list" allowBlank="1" showInputMessage="1" showErrorMessage="1" sqref="Y12" xr:uid="{00000000-0002-0000-0000-00000C000000}">
      <formula1>$D$4:$H$4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6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80" max="16383" man="1"/>
    <brk id="223" max="16383" man="1"/>
    <brk id="254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1" t="s">
        <v>106</v>
      </c>
      <c r="C3" s="201"/>
      <c r="D3" s="201"/>
      <c r="E3" s="201"/>
      <c r="F3" s="201"/>
      <c r="G3" s="201"/>
      <c r="H3" s="201"/>
    </row>
    <row r="4" spans="1:9" x14ac:dyDescent="0.25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2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49"/>
      <c r="C4" s="49" t="s">
        <v>12</v>
      </c>
      <c r="D4" s="50" t="s">
        <v>174</v>
      </c>
      <c r="E4" s="50" t="s">
        <v>184</v>
      </c>
      <c r="F4" s="50" t="s">
        <v>167</v>
      </c>
      <c r="G4" s="50" t="s">
        <v>189</v>
      </c>
      <c r="H4" s="50" t="s">
        <v>207</v>
      </c>
      <c r="J4" t="s">
        <v>189</v>
      </c>
      <c r="K4" t="s">
        <v>205</v>
      </c>
    </row>
    <row r="5" spans="2:11" x14ac:dyDescent="0.25">
      <c r="B5" s="49"/>
      <c r="C5" s="49"/>
      <c r="D5" s="50" t="s">
        <v>175</v>
      </c>
      <c r="E5" s="50" t="s">
        <v>182</v>
      </c>
      <c r="F5" s="50" t="s">
        <v>204</v>
      </c>
      <c r="G5" s="50" t="s">
        <v>190</v>
      </c>
      <c r="H5" s="50" t="s">
        <v>208</v>
      </c>
    </row>
    <row r="6" spans="2:11" x14ac:dyDescent="0.25">
      <c r="B6" s="49"/>
      <c r="C6" s="49"/>
      <c r="D6" s="50" t="s">
        <v>176</v>
      </c>
      <c r="E6" s="50" t="s">
        <v>183</v>
      </c>
      <c r="F6" s="50" t="s">
        <v>205</v>
      </c>
      <c r="G6" s="50" t="s">
        <v>191</v>
      </c>
      <c r="H6" s="50" t="s">
        <v>221</v>
      </c>
    </row>
    <row r="7" spans="2:11" x14ac:dyDescent="0.25">
      <c r="B7" s="49"/>
      <c r="C7" s="49"/>
      <c r="D7" s="50" t="s">
        <v>177</v>
      </c>
      <c r="E7" s="50" t="s">
        <v>185</v>
      </c>
      <c r="F7" s="50" t="s">
        <v>206</v>
      </c>
      <c r="G7" s="50" t="s">
        <v>192</v>
      </c>
      <c r="H7" s="50" t="s">
        <v>209</v>
      </c>
    </row>
    <row r="8" spans="2:11" x14ac:dyDescent="0.25">
      <c r="B8" s="49"/>
      <c r="C8" s="49"/>
      <c r="D8" s="50" t="s">
        <v>178</v>
      </c>
      <c r="E8" s="50" t="s">
        <v>186</v>
      </c>
      <c r="F8" s="50"/>
      <c r="G8" s="50" t="s">
        <v>193</v>
      </c>
      <c r="H8" s="50" t="s">
        <v>210</v>
      </c>
    </row>
    <row r="9" spans="2:11" x14ac:dyDescent="0.25">
      <c r="B9" s="49"/>
      <c r="C9" s="49"/>
      <c r="D9" s="50" t="s">
        <v>179</v>
      </c>
      <c r="E9" s="50" t="s">
        <v>184</v>
      </c>
      <c r="F9" s="50"/>
      <c r="G9" s="50" t="s">
        <v>194</v>
      </c>
      <c r="H9" s="50" t="s">
        <v>211</v>
      </c>
    </row>
    <row r="10" spans="2:11" x14ac:dyDescent="0.25">
      <c r="B10" s="49"/>
      <c r="C10" s="49"/>
      <c r="D10" s="50" t="s">
        <v>180</v>
      </c>
      <c r="E10" s="50" t="s">
        <v>187</v>
      </c>
      <c r="F10" s="50"/>
      <c r="G10" s="50" t="s">
        <v>195</v>
      </c>
      <c r="H10" s="50" t="s">
        <v>212</v>
      </c>
    </row>
    <row r="11" spans="2:11" x14ac:dyDescent="0.25">
      <c r="B11" s="49"/>
      <c r="C11" s="49"/>
      <c r="D11" s="50" t="s">
        <v>181</v>
      </c>
      <c r="E11" s="50" t="s">
        <v>188</v>
      </c>
      <c r="F11" s="50"/>
      <c r="G11" s="50" t="s">
        <v>196</v>
      </c>
      <c r="H11" s="50" t="s">
        <v>213</v>
      </c>
    </row>
    <row r="12" spans="2:11" x14ac:dyDescent="0.25">
      <c r="B12" s="49"/>
      <c r="C12" s="49"/>
      <c r="D12" s="50"/>
      <c r="E12" s="50"/>
      <c r="F12" s="50"/>
      <c r="G12" s="50" t="s">
        <v>197</v>
      </c>
      <c r="H12" s="50" t="s">
        <v>214</v>
      </c>
    </row>
    <row r="13" spans="2:11" x14ac:dyDescent="0.25">
      <c r="B13" s="49"/>
      <c r="C13" s="49"/>
      <c r="D13" s="50"/>
      <c r="E13" s="50"/>
      <c r="F13" s="50"/>
      <c r="G13" s="50" t="s">
        <v>198</v>
      </c>
      <c r="H13" s="50" t="s">
        <v>215</v>
      </c>
    </row>
    <row r="14" spans="2:11" x14ac:dyDescent="0.25">
      <c r="B14" s="49"/>
      <c r="C14" s="49"/>
      <c r="D14" s="50"/>
      <c r="E14" s="50"/>
      <c r="F14" s="50"/>
      <c r="G14" s="50" t="s">
        <v>199</v>
      </c>
      <c r="H14" s="50" t="s">
        <v>216</v>
      </c>
    </row>
    <row r="15" spans="2:11" x14ac:dyDescent="0.25">
      <c r="B15" s="49"/>
      <c r="C15" s="49"/>
      <c r="D15" s="50"/>
      <c r="E15" s="50"/>
      <c r="F15" s="50"/>
      <c r="G15" s="50" t="s">
        <v>200</v>
      </c>
      <c r="H15" s="50" t="s">
        <v>217</v>
      </c>
    </row>
    <row r="16" spans="2:11" x14ac:dyDescent="0.25">
      <c r="B16" s="49"/>
      <c r="C16" s="49"/>
      <c r="D16" s="50"/>
      <c r="E16" s="50"/>
      <c r="F16" s="50"/>
      <c r="G16" s="50" t="s">
        <v>201</v>
      </c>
      <c r="H16" s="50" t="s">
        <v>218</v>
      </c>
    </row>
    <row r="17" spans="2:8" x14ac:dyDescent="0.25">
      <c r="B17" s="49"/>
      <c r="C17" s="49"/>
      <c r="D17" s="50"/>
      <c r="E17" s="50"/>
      <c r="F17" s="50"/>
      <c r="G17" s="50" t="s">
        <v>202</v>
      </c>
      <c r="H17" s="50" t="s">
        <v>219</v>
      </c>
    </row>
    <row r="18" spans="2:8" x14ac:dyDescent="0.25">
      <c r="B18" s="49"/>
      <c r="C18" s="49"/>
      <c r="D18" s="50"/>
      <c r="E18" s="50"/>
      <c r="F18" s="50"/>
      <c r="G18" s="50" t="s">
        <v>203</v>
      </c>
      <c r="H18" s="50" t="s">
        <v>220</v>
      </c>
    </row>
    <row r="24" spans="2:8" x14ac:dyDescent="0.25">
      <c r="C24" t="s">
        <v>165</v>
      </c>
    </row>
    <row r="25" spans="2:8" x14ac:dyDescent="0.25">
      <c r="C25" t="s">
        <v>222</v>
      </c>
    </row>
    <row r="26" spans="2:8" x14ac:dyDescent="0.25">
      <c r="C26" t="s">
        <v>223</v>
      </c>
    </row>
    <row r="27" spans="2:8" x14ac:dyDescent="0.25">
      <c r="C27" t="s">
        <v>224</v>
      </c>
    </row>
    <row r="28" spans="2:8" x14ac:dyDescent="0.25">
      <c r="C28" t="s">
        <v>225</v>
      </c>
    </row>
    <row r="29" spans="2:8" x14ac:dyDescent="0.25">
      <c r="C29" t="s">
        <v>226</v>
      </c>
    </row>
    <row r="30" spans="2:8" x14ac:dyDescent="0.25">
      <c r="C30" t="s">
        <v>165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2025-07-11T09:17:15Z</cp:lastPrinted>
  <dcterms:created xsi:type="dcterms:W3CDTF">2019-07-16T09:29:46Z</dcterms:created>
  <dcterms:modified xsi:type="dcterms:W3CDTF">2025-07-11T09:20:21Z</dcterms:modified>
</cp:coreProperties>
</file>