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hruti\Aug 25\"/>
    </mc:Choice>
  </mc:AlternateContent>
  <bookViews>
    <workbookView xWindow="0" yWindow="0" windowWidth="10740" windowHeight="7455" tabRatio="791"/>
  </bookViews>
  <sheets>
    <sheet name="Report (2)" sheetId="1" r:id="rId1"/>
    <sheet name="B1(A&amp;B)%" sheetId="2" r:id="rId2"/>
    <sheet name="B2(A&amp;B)%" sheetId="5" r:id="rId3"/>
    <sheet name="Note" sheetId="4" r:id="rId4"/>
    <sheet name="Valuation" sheetId="6" r:id="rId5"/>
    <sheet name="Flat detail" sheetId="3" r:id="rId6"/>
  </sheets>
  <definedNames>
    <definedName name="_xlnm.Print_Area" localSheetId="0">'Report (2)'!$A$1:$H$488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 i="1" l="1"/>
  <c r="H75" i="1"/>
  <c r="M325" i="1" l="1"/>
  <c r="L325" i="1"/>
  <c r="I210" i="1"/>
  <c r="M326" i="1" l="1"/>
  <c r="C71" i="1"/>
  <c r="L58" i="1"/>
  <c r="K58" i="1"/>
  <c r="N279" i="1"/>
  <c r="N280" i="1"/>
  <c r="N281" i="1"/>
  <c r="N278" i="1"/>
  <c r="K122" i="1"/>
  <c r="G137" i="1"/>
  <c r="G136" i="1"/>
  <c r="G135" i="1"/>
  <c r="G134" i="1"/>
  <c r="H278" i="1"/>
  <c r="D345" i="1"/>
  <c r="D347" i="1"/>
  <c r="D344" i="1"/>
  <c r="D343" i="1"/>
  <c r="H342" i="1"/>
  <c r="D342" i="1"/>
  <c r="L328" i="1" s="1"/>
  <c r="D340" i="1"/>
  <c r="D339" i="1"/>
  <c r="D336" i="1"/>
  <c r="D338" i="1"/>
  <c r="D337" i="1"/>
  <c r="D335" i="1"/>
  <c r="D332" i="1"/>
  <c r="D330" i="1"/>
  <c r="D329" i="1"/>
  <c r="D328" i="1"/>
  <c r="H327" i="1"/>
  <c r="D327" i="1"/>
  <c r="D325" i="1"/>
  <c r="D324" i="1"/>
  <c r="D323" i="1"/>
  <c r="D322" i="1"/>
  <c r="D321" i="1"/>
  <c r="D320" i="1"/>
  <c r="H335" i="1"/>
  <c r="H320" i="1"/>
  <c r="D312" i="1"/>
  <c r="D314" i="1"/>
  <c r="D313" i="1"/>
  <c r="D315" i="1"/>
  <c r="D309" i="1"/>
  <c r="D308" i="1"/>
  <c r="D307" i="1"/>
  <c r="D306" i="1"/>
  <c r="D305" i="1"/>
  <c r="M291" i="1" s="1"/>
  <c r="H311" i="1"/>
  <c r="J307" i="1"/>
  <c r="K291" i="1"/>
  <c r="J305" i="1"/>
  <c r="H305" i="1"/>
  <c r="D299" i="1"/>
  <c r="D302" i="1"/>
  <c r="D301" i="1"/>
  <c r="D300" i="1"/>
  <c r="D298" i="1"/>
  <c r="D296" i="1"/>
  <c r="D295" i="1"/>
  <c r="D294" i="1"/>
  <c r="D293" i="1"/>
  <c r="D292" i="1"/>
  <c r="J292" i="1"/>
  <c r="K278" i="1"/>
  <c r="J294" i="1"/>
  <c r="H298" i="1"/>
  <c r="H292" i="1"/>
  <c r="F289" i="1"/>
  <c r="F288" i="1"/>
  <c r="F287" i="1"/>
  <c r="F286" i="1"/>
  <c r="F285" i="1"/>
  <c r="F284" i="1"/>
  <c r="F283" i="1"/>
  <c r="F282" i="1"/>
  <c r="F281" i="1"/>
  <c r="F280" i="1"/>
  <c r="F279" i="1"/>
  <c r="F278" i="1"/>
  <c r="D289" i="1"/>
  <c r="D288" i="1"/>
  <c r="D287" i="1"/>
  <c r="D286" i="1"/>
  <c r="D285" i="1"/>
  <c r="D284" i="1"/>
  <c r="D283" i="1"/>
  <c r="D282" i="1"/>
  <c r="D281" i="1"/>
  <c r="D280" i="1"/>
  <c r="D279" i="1"/>
  <c r="D278" i="1"/>
  <c r="J278" i="1"/>
  <c r="C95" i="1"/>
  <c r="J106" i="1"/>
  <c r="J105" i="1"/>
  <c r="J104" i="1"/>
  <c r="J103" i="1"/>
  <c r="H96" i="1"/>
  <c r="G280" i="1" l="1"/>
  <c r="G282" i="1"/>
  <c r="D134" i="1"/>
  <c r="G279" i="1"/>
  <c r="G278" i="1"/>
  <c r="C134" i="1"/>
  <c r="C135" i="1"/>
  <c r="C136" i="1"/>
  <c r="C137" i="1"/>
  <c r="D126" i="1"/>
  <c r="D136" i="1"/>
  <c r="D137" i="1"/>
  <c r="M278" i="1"/>
  <c r="L321" i="1"/>
  <c r="D135" i="1"/>
  <c r="C126" i="1"/>
  <c r="G281" i="1"/>
  <c r="G289" i="1"/>
  <c r="G283" i="1"/>
  <c r="G284" i="1"/>
  <c r="G288" i="1"/>
  <c r="G286" i="1"/>
  <c r="G287" i="1"/>
  <c r="G285" i="1"/>
  <c r="J95" i="1"/>
  <c r="J97" i="1" s="1"/>
  <c r="J99" i="1"/>
  <c r="D108" i="1"/>
  <c r="D106" i="1"/>
  <c r="D104" i="1"/>
  <c r="D102" i="1"/>
  <c r="J100" i="1"/>
  <c r="C99" i="1" s="1"/>
  <c r="J98" i="1"/>
  <c r="J101" i="1"/>
  <c r="J102" i="1" s="1"/>
  <c r="J107" i="1" s="1"/>
  <c r="J108" i="1" s="1"/>
  <c r="C100" i="1" s="1"/>
  <c r="D107" i="1"/>
  <c r="D105" i="1"/>
  <c r="D103" i="1"/>
  <c r="D101" i="1"/>
  <c r="G126" i="1" l="1"/>
  <c r="E99" i="1"/>
  <c r="D65" i="1" s="1"/>
  <c r="D100" i="1"/>
  <c r="G99" i="1"/>
  <c r="D99" i="1"/>
  <c r="I96" i="1" l="1"/>
  <c r="I97" i="1" s="1"/>
  <c r="J96" i="1"/>
  <c r="I95" i="1" l="1"/>
  <c r="C97" i="1" s="1"/>
  <c r="J92" i="1"/>
  <c r="J91" i="1"/>
  <c r="J90" i="1"/>
  <c r="J89" i="1"/>
  <c r="H80" i="1"/>
  <c r="C87" i="1" l="1"/>
  <c r="J79" i="1" s="1"/>
  <c r="J81" i="1" s="1"/>
  <c r="J85" i="1"/>
  <c r="J86" i="1"/>
  <c r="C85" i="1" s="1"/>
  <c r="J84" i="1"/>
  <c r="J87" i="1"/>
  <c r="J88" i="1" s="1"/>
  <c r="J93" i="1" s="1"/>
  <c r="J94" i="1" s="1"/>
  <c r="C86" i="1" s="1"/>
  <c r="D93" i="1"/>
  <c r="D91" i="1"/>
  <c r="D89" i="1"/>
  <c r="D94" i="1"/>
  <c r="D92" i="1"/>
  <c r="D90" i="1"/>
  <c r="D88" i="1"/>
  <c r="D85" i="1" l="1"/>
  <c r="J74" i="1"/>
  <c r="J76" i="1" s="1"/>
  <c r="D87" i="1"/>
  <c r="E85" i="1"/>
  <c r="D86" i="1"/>
  <c r="G85" i="1"/>
  <c r="J80" i="1"/>
  <c r="I75" i="1" l="1"/>
  <c r="I80" i="1"/>
  <c r="I81" i="1" s="1"/>
  <c r="I79" i="1" s="1"/>
  <c r="C81" i="1" s="1"/>
  <c r="J75" i="1" s="1"/>
  <c r="F66" i="1"/>
  <c r="D66" i="1"/>
  <c r="I76" i="1" l="1"/>
  <c r="I74" i="1"/>
  <c r="H52" i="1"/>
  <c r="H53" i="1" s="1"/>
  <c r="C52" i="1"/>
  <c r="I69" i="1" l="1"/>
  <c r="E3" i="1" l="1"/>
  <c r="H48" i="1" l="1"/>
  <c r="H49" i="1" s="1"/>
  <c r="D148" i="1" l="1"/>
  <c r="D149" i="1"/>
  <c r="D150" i="1"/>
  <c r="D151" i="1"/>
  <c r="D152" i="1"/>
  <c r="D153" i="1"/>
  <c r="D154" i="1"/>
  <c r="D155" i="1"/>
  <c r="D156" i="1"/>
  <c r="D157" i="1"/>
  <c r="D158" i="1"/>
  <c r="D159" i="1"/>
  <c r="D162" i="1"/>
  <c r="D163" i="1"/>
  <c r="D164" i="1"/>
  <c r="D165" i="1"/>
  <c r="D166" i="1"/>
  <c r="D167" i="1"/>
  <c r="D168" i="1"/>
  <c r="D169" i="1"/>
  <c r="D170" i="1"/>
  <c r="D171" i="1"/>
  <c r="D172" i="1"/>
  <c r="D173" i="1"/>
  <c r="D174" i="1"/>
  <c r="D175" i="1"/>
  <c r="D176" i="1"/>
  <c r="D177" i="1"/>
  <c r="D178" i="1"/>
  <c r="D179" i="1"/>
  <c r="D182" i="1"/>
  <c r="D183" i="1"/>
  <c r="D184" i="1"/>
  <c r="D185" i="1"/>
  <c r="D186" i="1"/>
  <c r="D187" i="1"/>
  <c r="D161" i="1"/>
  <c r="D147" i="1"/>
  <c r="D123" i="1" l="1"/>
  <c r="D124" i="1"/>
  <c r="G147" i="1"/>
  <c r="H147" i="1"/>
  <c r="G148" i="1"/>
  <c r="G149" i="1"/>
  <c r="G150" i="1"/>
  <c r="G151" i="1"/>
  <c r="G152" i="1"/>
  <c r="G153" i="1"/>
  <c r="G154" i="1"/>
  <c r="G155" i="1"/>
  <c r="G156" i="1"/>
  <c r="G157" i="1"/>
  <c r="G158" i="1"/>
  <c r="G159" i="1"/>
  <c r="G161" i="1"/>
  <c r="H161" i="1"/>
  <c r="G162" i="1"/>
  <c r="G163" i="1"/>
  <c r="G164" i="1"/>
  <c r="G165" i="1"/>
  <c r="G166" i="1"/>
  <c r="G167" i="1"/>
  <c r="G168" i="1"/>
  <c r="G169" i="1"/>
  <c r="G170" i="1"/>
  <c r="G171" i="1"/>
  <c r="G172" i="1"/>
  <c r="G173" i="1"/>
  <c r="G174" i="1"/>
  <c r="G175" i="1"/>
  <c r="G176" i="1"/>
  <c r="G177" i="1"/>
  <c r="G178" i="1"/>
  <c r="G179" i="1"/>
  <c r="H182" i="1"/>
  <c r="F183" i="1"/>
  <c r="F184" i="1"/>
  <c r="F185" i="1"/>
  <c r="F186" i="1"/>
  <c r="D189" i="1"/>
  <c r="F189" i="1"/>
  <c r="H189" i="1"/>
  <c r="D190" i="1"/>
  <c r="F190" i="1"/>
  <c r="D191" i="1"/>
  <c r="F191" i="1"/>
  <c r="D192" i="1"/>
  <c r="F192" i="1"/>
  <c r="D193" i="1"/>
  <c r="F193" i="1"/>
  <c r="D194" i="1"/>
  <c r="J194" i="1" s="1"/>
  <c r="D196" i="1"/>
  <c r="F196" i="1"/>
  <c r="H196" i="1"/>
  <c r="D197" i="1"/>
  <c r="F197" i="1"/>
  <c r="D198" i="1"/>
  <c r="F198" i="1"/>
  <c r="D199" i="1"/>
  <c r="F199" i="1"/>
  <c r="D200" i="1"/>
  <c r="F200" i="1"/>
  <c r="D201" i="1"/>
  <c r="F201" i="1"/>
  <c r="D203" i="1"/>
  <c r="F203" i="1"/>
  <c r="H203" i="1"/>
  <c r="D204" i="1"/>
  <c r="F204" i="1"/>
  <c r="D205" i="1"/>
  <c r="F205" i="1"/>
  <c r="D206" i="1"/>
  <c r="F206" i="1"/>
  <c r="D207" i="1"/>
  <c r="F207" i="1"/>
  <c r="D210" i="1"/>
  <c r="H210" i="1"/>
  <c r="D211" i="1"/>
  <c r="F211" i="1"/>
  <c r="D212" i="1"/>
  <c r="F212" i="1"/>
  <c r="D213" i="1"/>
  <c r="F213" i="1"/>
  <c r="D214" i="1"/>
  <c r="F214" i="1"/>
  <c r="D215" i="1"/>
  <c r="D217" i="1"/>
  <c r="F217" i="1"/>
  <c r="H217" i="1"/>
  <c r="D218" i="1"/>
  <c r="F218" i="1"/>
  <c r="D219" i="1"/>
  <c r="F219" i="1"/>
  <c r="D220" i="1"/>
  <c r="F220" i="1"/>
  <c r="D221" i="1"/>
  <c r="F221" i="1"/>
  <c r="D222" i="1"/>
  <c r="D224" i="1"/>
  <c r="F224" i="1"/>
  <c r="H224" i="1"/>
  <c r="D225" i="1"/>
  <c r="F225" i="1"/>
  <c r="D226" i="1"/>
  <c r="F226" i="1"/>
  <c r="D227" i="1"/>
  <c r="F227" i="1"/>
  <c r="D228" i="1"/>
  <c r="F228" i="1"/>
  <c r="D229" i="1"/>
  <c r="F229" i="1"/>
  <c r="D231" i="1"/>
  <c r="F231" i="1"/>
  <c r="H231" i="1"/>
  <c r="D232" i="1"/>
  <c r="F232" i="1"/>
  <c r="D233" i="1"/>
  <c r="F233" i="1"/>
  <c r="D234" i="1"/>
  <c r="F234" i="1"/>
  <c r="D235" i="1"/>
  <c r="F235" i="1"/>
  <c r="D241" i="1"/>
  <c r="H241" i="1"/>
  <c r="D242" i="1"/>
  <c r="D243" i="1"/>
  <c r="D244" i="1"/>
  <c r="D245" i="1"/>
  <c r="D246" i="1"/>
  <c r="D248" i="1"/>
  <c r="H248" i="1"/>
  <c r="D249" i="1"/>
  <c r="D250" i="1"/>
  <c r="D251" i="1"/>
  <c r="D252" i="1"/>
  <c r="D255" i="1"/>
  <c r="G255" i="1" s="1"/>
  <c r="H255" i="1"/>
  <c r="D256" i="1"/>
  <c r="G256" i="1" s="1"/>
  <c r="D257" i="1"/>
  <c r="G257" i="1" s="1"/>
  <c r="D258" i="1"/>
  <c r="G258" i="1" s="1"/>
  <c r="D259" i="1"/>
  <c r="G259" i="1" s="1"/>
  <c r="D260" i="1"/>
  <c r="G260" i="1" s="1"/>
  <c r="D261" i="1"/>
  <c r="G261" i="1" s="1"/>
  <c r="D263" i="1"/>
  <c r="L249" i="1" s="1"/>
  <c r="H263" i="1"/>
  <c r="D264" i="1"/>
  <c r="D265" i="1"/>
  <c r="D266" i="1"/>
  <c r="D267" i="1"/>
  <c r="D268" i="1"/>
  <c r="D270" i="1"/>
  <c r="H270" i="1"/>
  <c r="D271" i="1"/>
  <c r="D272" i="1"/>
  <c r="D273" i="1"/>
  <c r="D274" i="1"/>
  <c r="D362" i="1"/>
  <c r="D130" i="1" l="1"/>
  <c r="D133" i="1"/>
  <c r="D131" i="1"/>
  <c r="D132" i="1"/>
  <c r="C125" i="1"/>
  <c r="D125" i="1"/>
  <c r="D127" i="1" s="1"/>
  <c r="G123" i="1"/>
  <c r="F7" i="6"/>
  <c r="G7" i="6" s="1"/>
  <c r="F8" i="6"/>
  <c r="G8" i="6" s="1"/>
  <c r="F6" i="6"/>
  <c r="G6" i="6" s="1"/>
  <c r="F5" i="6"/>
  <c r="G5" i="6" s="1"/>
  <c r="G9" i="6" l="1"/>
  <c r="G15" i="5" l="1"/>
  <c r="B15" i="5" s="1"/>
  <c r="B7" i="5"/>
  <c r="D7" i="5" s="1"/>
  <c r="D6" i="5"/>
  <c r="C5" i="5"/>
  <c r="B11" i="5" s="1"/>
  <c r="H15" i="5" l="1"/>
  <c r="B16" i="5" s="1"/>
  <c r="D11" i="5"/>
  <c r="L16" i="5"/>
  <c r="C20" i="5" s="1"/>
  <c r="L15" i="5"/>
  <c r="B20" i="5" s="1"/>
  <c r="B8" i="5"/>
  <c r="B10" i="5"/>
  <c r="B12" i="5"/>
  <c r="G16" i="5"/>
  <c r="C15" i="5" s="1"/>
  <c r="B9" i="5"/>
  <c r="H16" i="5"/>
  <c r="C16" i="5" s="1"/>
  <c r="F41" i="1"/>
  <c r="J15" i="5" l="1"/>
  <c r="B18" i="5" s="1"/>
  <c r="D9" i="5"/>
  <c r="J16" i="5"/>
  <c r="C18" i="5" s="1"/>
  <c r="I16" i="5"/>
  <c r="C17" i="5" s="1"/>
  <c r="I15" i="5"/>
  <c r="B17" i="5" s="1"/>
  <c r="D8" i="5"/>
  <c r="M16" i="5"/>
  <c r="C21" i="5" s="1"/>
  <c r="M15" i="5"/>
  <c r="B21" i="5" s="1"/>
  <c r="D12" i="5"/>
  <c r="K16" i="5"/>
  <c r="C19" i="5" s="1"/>
  <c r="D10" i="5"/>
  <c r="K15" i="5"/>
  <c r="B19" i="5" s="1"/>
  <c r="G124" i="1" l="1"/>
  <c r="C124" i="1"/>
  <c r="C127" i="1" s="1"/>
  <c r="C22" i="5"/>
  <c r="B22" i="5"/>
  <c r="G133" i="1"/>
  <c r="C130" i="1"/>
  <c r="G125" i="1"/>
  <c r="G132" i="1"/>
  <c r="C131" i="1"/>
  <c r="C132" i="1"/>
  <c r="C133" i="1"/>
  <c r="G127" i="1" l="1"/>
  <c r="C138" i="1"/>
  <c r="G131" i="1"/>
  <c r="G130" i="1"/>
  <c r="B7" i="2"/>
  <c r="G138" i="1" l="1"/>
  <c r="G15" i="2"/>
  <c r="G16" i="2" s="1"/>
  <c r="C15" i="2" s="1"/>
  <c r="H15" i="2"/>
  <c r="B16" i="2" s="1"/>
  <c r="D6" i="2"/>
  <c r="C5" i="2"/>
  <c r="B12" i="2" s="1"/>
  <c r="D138" i="1"/>
  <c r="G120" i="1"/>
  <c r="C48" i="1"/>
  <c r="F42" i="1"/>
  <c r="E7" i="1"/>
  <c r="B15" i="2" l="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<sst xmlns="http://schemas.openxmlformats.org/spreadsheetml/2006/main" count="698" uniqueCount="326">
  <si>
    <t xml:space="preserve">Valuation Report </t>
  </si>
  <si>
    <t>Date:</t>
  </si>
  <si>
    <t>CPC Name:</t>
  </si>
  <si>
    <t>Date Of Property Visit</t>
  </si>
  <si>
    <t>Name of the builder group</t>
  </si>
  <si>
    <t>Name of the builder company</t>
  </si>
  <si>
    <t>Name of the Project</t>
  </si>
  <si>
    <t>Name / No of the Building</t>
  </si>
  <si>
    <t>Docouments Provided</t>
  </si>
  <si>
    <t xml:space="preserve">Project location details       </t>
  </si>
  <si>
    <t>Road</t>
  </si>
  <si>
    <t>District</t>
  </si>
  <si>
    <t>City</t>
  </si>
  <si>
    <t>Pin Code</t>
  </si>
  <si>
    <t>Near by Landmark</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</si>
  <si>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</si>
  <si>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</si>
  <si>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</si>
  <si>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</si>
  <si>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</si>
  <si>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</si>
  <si>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</si>
  <si>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</si>
  <si>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</si>
  <si>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</si>
  <si>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</si>
  <si>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</si>
  <si>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</si>
  <si>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</si>
  <si>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</si>
  <si>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</si>
  <si>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</si>
  <si>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</si>
  <si>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</si>
  <si>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</si>
  <si>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</si>
  <si>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</si>
  <si>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</si>
  <si>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</si>
  <si>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</si>
  <si>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</si>
  <si>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</si>
  <si>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</si>
  <si>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</si>
  <si>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</si>
  <si>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</si>
  <si>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</si>
  <si>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</si>
  <si>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</si>
  <si>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</si>
  <si>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</si>
  <si>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Date of approval: </t>
  </si>
  <si>
    <t>Expected Completion</t>
  </si>
  <si>
    <t>Building wise Construction details</t>
  </si>
  <si>
    <t>Approved area of the building in Sq.Mt</t>
  </si>
  <si>
    <t>Approved no of units</t>
  </si>
  <si>
    <t>Approved no of Floors</t>
  </si>
  <si>
    <t>Type of Work</t>
  </si>
  <si>
    <t>Plinth</t>
  </si>
  <si>
    <t>RCC</t>
  </si>
  <si>
    <t>Plaster</t>
  </si>
  <si>
    <t>Flooring</t>
  </si>
  <si>
    <t>Finishing</t>
  </si>
  <si>
    <t>Violations Observed if any : NA</t>
  </si>
  <si>
    <t>Recommended Rates of the Property :</t>
  </si>
  <si>
    <t>Floor rise rate  Per Sq. Ft.</t>
  </si>
  <si>
    <t>PLC charges</t>
  </si>
  <si>
    <t>Society formation charges</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</si>
  <si>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</si>
  <si>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</si>
  <si>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</si>
  <si>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</si>
  <si>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</si>
  <si>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</si>
  <si>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</si>
  <si>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</si>
  <si>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</si>
  <si>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</si>
  <si>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</si>
  <si>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</si>
  <si>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</si>
  <si>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</si>
  <si>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</si>
  <si>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</si>
  <si>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</si>
  <si>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</si>
  <si>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</si>
  <si>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</si>
  <si>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</si>
  <si>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</si>
  <si>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</si>
  <si>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</si>
  <si>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</si>
  <si>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</si>
  <si>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</si>
  <si>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</si>
  <si>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</si>
  <si>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</si>
  <si>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</si>
  <si>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</si>
  <si>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</si>
  <si>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</si>
  <si>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</si>
  <si>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</si>
  <si>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</si>
  <si>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</si>
  <si>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</si>
  <si>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</si>
  <si>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</si>
  <si>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</si>
  <si>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</si>
  <si>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</si>
  <si>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</si>
  <si>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</si>
  <si>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</si>
  <si>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</si>
  <si>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</si>
  <si>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</si>
  <si>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</si>
  <si>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</si>
  <si>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</si>
  <si>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</si>
  <si>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</si>
  <si>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</si>
  <si>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</si>
  <si>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</si>
  <si>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</si>
  <si>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</si>
  <si>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</si>
  <si>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</si>
  <si>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</si>
  <si>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</si>
  <si>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</si>
  <si>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</si>
  <si>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</si>
  <si>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</si>
  <si>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</si>
  <si>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</si>
  <si>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</si>
  <si>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</si>
  <si>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Recommended rate of the flat Per Sq. Ft. ( on Saleable area)</t>
  </si>
  <si>
    <t>Recommended rate of the Shop Per Sq. Ft. ( on Saleable area)</t>
  </si>
  <si>
    <t>Commercial Area Details :</t>
  </si>
  <si>
    <r>
      <t xml:space="preserve">Flat No.
</t>
    </r>
    <r>
      <rPr>
        <b/>
        <sz val="9"/>
        <color rgb="FF7030A0"/>
        <rFont val="Times New Roman"/>
        <family val="1"/>
      </rPr>
      <t>(As per Sale Plan)</t>
    </r>
  </si>
  <si>
    <r>
      <t xml:space="preserve">Flat No.
</t>
    </r>
    <r>
      <rPr>
        <b/>
        <sz val="9"/>
        <color rgb="FF7030A0"/>
        <rFont val="Times New Roman"/>
        <family val="1"/>
      </rPr>
      <t>(As per Approved Plan)</t>
    </r>
  </si>
  <si>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</si>
  <si>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</si>
  <si>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</si>
  <si>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</si>
  <si>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</si>
  <si>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</si>
  <si>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</si>
  <si>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</si>
  <si>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</si>
  <si>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</si>
  <si>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</si>
  <si>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</si>
  <si>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</si>
  <si>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</si>
  <si>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</si>
  <si>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</si>
  <si>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</si>
  <si>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</si>
  <si>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</si>
  <si>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</si>
  <si>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</si>
  <si>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</si>
  <si>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</si>
  <si>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</si>
  <si>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</si>
  <si>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</si>
  <si>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Date</t>
  </si>
  <si>
    <t>RERA Name &amp; No.</t>
  </si>
  <si>
    <t>Checked By</t>
  </si>
  <si>
    <t>Axis Goregaon</t>
  </si>
  <si>
    <t>M/s.Ashiyana Dream Homes Pvt. Ltd</t>
  </si>
  <si>
    <t>Ashiyana Infinity Phase 1</t>
  </si>
  <si>
    <t>2475/A, 2476/A, 3007/A, 3054/A/1,2,3</t>
  </si>
  <si>
    <t>CTS No</t>
  </si>
  <si>
    <t>Survey No</t>
  </si>
  <si>
    <t>9 &amp; 10, Hissa No.3C/1, 3B/2, 3A/1, 1A/1</t>
  </si>
  <si>
    <t>Village</t>
  </si>
  <si>
    <t>Khalapur</t>
  </si>
  <si>
    <t>Raigad</t>
  </si>
  <si>
    <t>Samarth Dhaba</t>
  </si>
  <si>
    <t>Hanuman Temple</t>
  </si>
  <si>
    <t>Open Plot</t>
  </si>
  <si>
    <t>Khopoli</t>
  </si>
  <si>
    <t>KMC/PWD/SP/3812</t>
  </si>
  <si>
    <t>31/12/2018.</t>
  </si>
  <si>
    <t>Building No.1</t>
  </si>
  <si>
    <t>Basement Floor for Parking</t>
  </si>
  <si>
    <t>Ground Floor for Commercial &amp; Parking</t>
  </si>
  <si>
    <t>Shop</t>
  </si>
  <si>
    <t>A Wing</t>
  </si>
  <si>
    <t>B Wing</t>
  </si>
  <si>
    <t>Office</t>
  </si>
  <si>
    <t>1BHK</t>
  </si>
  <si>
    <t>2BHK</t>
  </si>
  <si>
    <t xml:space="preserve">1st Floor for Commercial </t>
  </si>
  <si>
    <t xml:space="preserve">2nd Floor </t>
  </si>
  <si>
    <t xml:space="preserve">3rd, 5th, 7th &amp; 9th Floor </t>
  </si>
  <si>
    <t xml:space="preserve">4th &amp; 6th Floor </t>
  </si>
  <si>
    <t xml:space="preserve">8th Floor (Part Refuge Area) </t>
  </si>
  <si>
    <t>Building No.2</t>
  </si>
  <si>
    <t>Ground Floor for Parking</t>
  </si>
  <si>
    <t xml:space="preserve">1st to 7th &amp; 9th Floor </t>
  </si>
  <si>
    <t xml:space="preserve">8th Floor </t>
  </si>
  <si>
    <t>Residential + Commercial</t>
  </si>
  <si>
    <t>Building No.2 - B</t>
  </si>
  <si>
    <t>Meter Charges</t>
  </si>
  <si>
    <t>Show Room
(Hall)</t>
  </si>
  <si>
    <t>A &amp; B Wing</t>
  </si>
  <si>
    <t>Building No.1 - Hall</t>
  </si>
  <si>
    <t>30/07/2020.</t>
  </si>
  <si>
    <t>1. On Site, we meet Mr.Reheman Sheikh (Supervisor) - 8180894212.As per his information rate is 3450/- sq.ft.</t>
  </si>
  <si>
    <t>Recommended rate of the Office Per Sq. Ft. ( on Saleable area)</t>
  </si>
  <si>
    <t>Club House Charges</t>
  </si>
  <si>
    <t>Development charges</t>
  </si>
  <si>
    <t>Pratiksha</t>
  </si>
  <si>
    <t>Market Research Data</t>
  </si>
  <si>
    <t>Source</t>
  </si>
  <si>
    <t>Distance from proposed property</t>
  </si>
  <si>
    <t>Net Carpet</t>
  </si>
  <si>
    <t>Saleable Area</t>
  </si>
  <si>
    <t>Rate on Saleable</t>
  </si>
  <si>
    <t>Market Value</t>
  </si>
  <si>
    <t>Housing</t>
  </si>
  <si>
    <t>Proptiger</t>
  </si>
  <si>
    <t>Average</t>
  </si>
  <si>
    <t xml:space="preserve">Valuation Adopted </t>
  </si>
  <si>
    <t>Mulgaon Road</t>
  </si>
  <si>
    <t>Builder Saleable area</t>
  </si>
  <si>
    <t>Floors</t>
  </si>
  <si>
    <t>All work Completed. Wait For OC.</t>
  </si>
  <si>
    <t xml:space="preserve">Stage of construction: </t>
  </si>
  <si>
    <t>Complition %</t>
  </si>
  <si>
    <t>Progress %</t>
  </si>
  <si>
    <t>Disbursement %</t>
  </si>
  <si>
    <t>All work Completed. OC Received.</t>
  </si>
  <si>
    <t>Excavation</t>
  </si>
  <si>
    <t>RCC (Including podiums)</t>
  </si>
  <si>
    <t>Brickwork &amp; Internal Plaster</t>
  </si>
  <si>
    <t>Flooring &amp; Fitting</t>
  </si>
  <si>
    <t>Ext. Plaster &amp; Plumbing</t>
  </si>
  <si>
    <t>External Plaster &amp; Plumbing</t>
  </si>
  <si>
    <t>Building Common Amenities</t>
  </si>
  <si>
    <t>Possession</t>
  </si>
  <si>
    <t xml:space="preserve">Distn.from city centre: </t>
  </si>
  <si>
    <t>Slab/Floor</t>
  </si>
  <si>
    <t>Brickwork</t>
  </si>
  <si>
    <t>Internal Plaster</t>
  </si>
  <si>
    <t>Painting &amp; Wooden</t>
  </si>
  <si>
    <t>Bldg No.1(A &amp; B Wing) - Gr. + 1st to 9th Floor
Bldg No.2(A &amp; B Wing) - Gr. + 1st to 9th Floor</t>
  </si>
  <si>
    <t>2.0Km from Khopoli Railway Station</t>
  </si>
  <si>
    <t>Construction details: Building No.2(A &amp; B Wing) = Gr. + 9th Floor</t>
  </si>
  <si>
    <t xml:space="preserve">Office No. 1031, Wing J, Akshar Business Park, Plot No. 03 Sector 25, Near APMC Market, Vashi, Navi Mumbai, Maharashtra 400703 TEL: 022-46090378/79/80                                                                                                     Email : vsjcapf@gmail.com. Web site : www.vsjadon.com
</t>
  </si>
  <si>
    <t>Ashiyana Infinity Phase 1 &amp; 2</t>
  </si>
  <si>
    <t>Location Link</t>
  </si>
  <si>
    <t>https://maps.app.goo.gl/fGamf1Dnan48NXnEA</t>
  </si>
  <si>
    <t>18.795588, 73.330123</t>
  </si>
  <si>
    <t>NH 48</t>
  </si>
  <si>
    <t>Building No.1 (A &amp; B Wing) 
Building No.2 (A &amp; B Wing)
Building No.3 (A &amp; B Wing) 
Building No.4 (A &amp; B Wing)</t>
  </si>
  <si>
    <t>Mulgaon</t>
  </si>
  <si>
    <t>KMC/TP/2034</t>
  </si>
  <si>
    <t>Building No.1 &amp; 2</t>
  </si>
  <si>
    <t xml:space="preserve">Approved Floor plan No.
</t>
  </si>
  <si>
    <t>Building No.3 &amp; 4</t>
  </si>
  <si>
    <t>Construction details:</t>
  </si>
  <si>
    <t>Piling Work in process</t>
  </si>
  <si>
    <t>Basement 1</t>
  </si>
  <si>
    <t>Basement 2</t>
  </si>
  <si>
    <t>Basement 3</t>
  </si>
  <si>
    <t>Basement 4</t>
  </si>
  <si>
    <t>Bldg No.1(A &amp; B Wing) - Gr. + 1st to 9th Floor
Bldg No.2(A &amp; B Wing) - Gr. + 1st to 9th Floor
Bldg No.3(A &amp; B Wing) - Gr. + 1st to 15th Floor
Bldg No.4(A &amp; B Wing) - Gr. + 1st to 15th Floor</t>
  </si>
  <si>
    <t>Proposed no of Floors</t>
  </si>
  <si>
    <t>Bldg No.4(A &amp; B Wing) - Gr. + 1st to 15th Floor</t>
  </si>
  <si>
    <t xml:space="preserve">Bldg No.3(A &amp; B Wing) - Gr. + 1st to 15th Floor
</t>
  </si>
  <si>
    <t xml:space="preserve">Projected life of the structure: </t>
  </si>
  <si>
    <t xml:space="preserve">Material laying at Site: </t>
  </si>
  <si>
    <t xml:space="preserve">Wheather the construction is as per approved Building plan : </t>
  </si>
  <si>
    <t>8 Wings</t>
  </si>
  <si>
    <t>Building No.3</t>
  </si>
  <si>
    <t>Attached Loft/Terrace area</t>
  </si>
  <si>
    <t xml:space="preserve">1st to 7th &amp; 9th to 11th &amp; 13th to 15th Floor </t>
  </si>
  <si>
    <t>3BHK</t>
  </si>
  <si>
    <t>8th &amp; 12th Floor (Part Refuge Area)</t>
  </si>
  <si>
    <t>Refuge Area</t>
  </si>
  <si>
    <t>Building No.4</t>
  </si>
  <si>
    <t>Building No.3 Wing A &amp; B</t>
  </si>
  <si>
    <t>Bldg No.1 A Wing</t>
  </si>
  <si>
    <t>Bldg No.1 B Wing</t>
  </si>
  <si>
    <t>Bldg No.2 A Wing</t>
  </si>
  <si>
    <t>Bldg No.2 B Wing</t>
  </si>
  <si>
    <t>Bldg No.3 A Wing</t>
  </si>
  <si>
    <t>Bldg No.3 B Wing</t>
  </si>
  <si>
    <t>Bldg No.4 A Wing</t>
  </si>
  <si>
    <t>Bldg No.4 B Wing</t>
  </si>
  <si>
    <t>Layout Plan:</t>
  </si>
  <si>
    <t>Flats = 524 shop = 31, Office = 18, Hall - 02</t>
  </si>
  <si>
    <t>As per RERA - Building 3 &amp; 4 = 31/12/2027</t>
  </si>
  <si>
    <t>Ashiyana Infinity Phase 1 &amp; 2, CTS No.2475/A, 2476/A, 3007/A, 3054/A/1,2,3, Survey No.9 &amp; 10, Hissa No.3C/1, 3B/2, 3A/1, 1A/1, Mulgaon Road, Mulgaun(Khopoli), Khopoli, Khalapur, Raigad.</t>
  </si>
  <si>
    <t>Phase 1 = P52000017538
Phase 2 = P52000030015</t>
  </si>
  <si>
    <t>Contact Details ( Name &amp; Contact No.)</t>
  </si>
  <si>
    <t>Site Person - Contact Details (Name &amp; Contact No.)</t>
  </si>
  <si>
    <t>Mr. Reheman Sheikh - 8180894212</t>
  </si>
  <si>
    <t>Miss. Janhavi : 9834388853.</t>
  </si>
  <si>
    <t>3450 to 3700</t>
  </si>
  <si>
    <t>smithsir Costsheet</t>
  </si>
  <si>
    <t xml:space="preserve">Commencement Certificate No.
Valid Up to: </t>
  </si>
  <si>
    <t>Ja.Kr.KMC/BDKM/3812
Building No.1(A &amp; B Wing) - Gr. + 9th Floor
Building No.2(A &amp; B Wing) - Gr. + 9th Floor</t>
  </si>
  <si>
    <t>KMC/TP/BP/2034
Building No.3(A &amp; B Wing) = Gr. + 15th Floor
Building No.4(A &amp; B Wing) - Gr. + 15th Floor</t>
  </si>
  <si>
    <t>CBRKC/FO/2022/APL/00127
Building No.2(A &amp; B Wing) - Gr. + 9th Floor</t>
  </si>
  <si>
    <t xml:space="preserve">O. Certificate No.:
Approved upto :  </t>
  </si>
  <si>
    <t>Mr. Deepak More : 8227670029</t>
  </si>
  <si>
    <t>11. On Site, we meet Mr. Shubhas : 8421374600.</t>
  </si>
  <si>
    <t>Building No.2 = 58 Years
Building 1, 3 &amp; 4 = 60 Years After Completion</t>
  </si>
  <si>
    <t>Ms. Sushmita Meher 7823056704</t>
  </si>
  <si>
    <t>Gaurav Panchal</t>
  </si>
  <si>
    <t>Nitesh Patil</t>
  </si>
  <si>
    <t>RATE 4600 by SMITH VERBAL &amp; COST SHEET On 02/08/2025</t>
  </si>
  <si>
    <t>Approved Layout, Approved Building Plan, CC, OC</t>
  </si>
  <si>
    <t>CBRKC/FO/2022/APL/00037
Building No.3(A &amp; B Wing) = Gr. + 1st to 15th Floor</t>
  </si>
  <si>
    <t>Bldg No.3(A &amp; B Wing) - Gr. + 1st to 15th Floor</t>
  </si>
  <si>
    <t xml:space="preserve">Building No.1(A &amp; B Wing) = Gr. + 9th Floor
</t>
  </si>
  <si>
    <t xml:space="preserve">1. Building No. 4 = Construction work was in process at the time of visit.
    Building No. 1 = All work Completed. Provide OC.
    Building No.2 &amp; 3 = All work Completed. OC Received.
2. We considered Saleable area of as per Builder area sheet 
   Office and Shop's area as per our calculation.
3. We considered Carpet area as per Approved Plan.
4. We considered Gross carpet area = Net carpet + Enclose balcony + CB Area + E.P Area + WS.
5. We have considered rate by verifying it from market inquire.
6. We have considered Other charges from cost sheet.
7. Car parking is subjected to authentic documentation.
8. As per site info, Plans are revised. Please provide revised Approvd Plans.
9. We have updated OC Building No.2 ( on 19/12/2022).
10. We have updated revised approved floor plan &amp; C.C Building No.3 &amp; 4 (on 19/10/2023).
11. Recommended Rates / Other charges of the Property have been revised on 28/11/2024 &amp; 02/08/2025.
12. We have updated OC of Building No.3 ( on 04/08/2025).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</si>
</sst>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b/>
      <sz val="12"/>
      <color rgb="FF7030A0"/>
      <name val="Times New Roman"/>
      <family val="1"/>
    </font>
    <font>
      <b/>
      <sz val="9"/>
      <color rgb="FF7030A0"/>
      <name val="Times New Roman"/>
      <family val="1"/>
    </font>
    <font>
      <b/>
      <sz val="11"/>
      <color rgb="FF7030A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sz val="11"/>
      <color rgb="FFFF0000"/>
      <name val="Calibri"/>
      <family val="2"/>
    </font>
    <font>
      <sz val="8"/>
      <name val="Calibri"/>
      <family val="2"/>
    </font>
    <font>
      <u/>
      <sz val="11"/>
      <color theme="10"/>
      <name val="Calibri"/>
      <family val="2"/>
    </font>
    <font>
      <sz val="11"/>
      <name val="Calibri"/>
      <family val="2"/>
    </font>
    <font>
      <sz val="11"/>
      <color theme="0"/>
      <name val="Calibri"/>
      <family val="2"/>
    </font>
    <font>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9">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6" fillId="0" borderId="0"/>
    <xf numFmtId="0" fontId="1" fillId="0" borderId="0"/>
    <xf numFmtId="164" fontId="6" fillId="0" borderId="0" applyFont="0" applyFill="0" applyBorder="0" applyAlignment="0" applyProtection="0"/>
    <xf numFmtId="0" fontId="26" fillId="0" borderId="0" applyNumberFormat="0" applyFill="0" applyBorder="0" applyAlignment="0" applyProtection="0"/>
  </cellStyleXfs>
  <cellXfs count="237">
    <xf numFmtId="0" fontId="0" fillId="0" borderId="0" xfId="0"/>
    <xf numFmtId="0" fontId="8" fillId="0" borderId="0" xfId="0" applyFont="1" applyAlignment="1">
      <alignment horizontal="center" vertical="center"/>
    </xf>
    <xf numFmtId="1" fontId="9" fillId="0" borderId="3" xfId="1" applyNumberFormat="1" applyFont="1" applyFill="1" applyBorder="1" applyAlignment="1">
      <alignment horizontal="center" vertical="top" wrapText="1"/>
    </xf>
    <xf numFmtId="0" fontId="8" fillId="0" borderId="0" xfId="1" applyFont="1" applyAlignment="1">
      <alignment horizontal="center" vertical="center"/>
    </xf>
    <xf numFmtId="1" fontId="7" fillId="0" borderId="3" xfId="1" applyNumberFormat="1" applyFont="1" applyFill="1" applyBorder="1" applyAlignment="1">
      <alignment horizontal="center" vertical="center" wrapText="1"/>
    </xf>
    <xf numFmtId="0" fontId="0" fillId="3" borderId="3" xfId="0" applyFill="1" applyBorder="1"/>
    <xf numFmtId="0" fontId="0" fillId="0" borderId="5" xfId="0" applyBorder="1" applyAlignment="1"/>
    <xf numFmtId="0" fontId="10" fillId="0" borderId="3" xfId="0" applyFont="1" applyBorder="1"/>
    <xf numFmtId="0" fontId="10" fillId="0" borderId="3" xfId="0" applyFont="1" applyBorder="1" applyAlignment="1">
      <alignment horizontal="center"/>
    </xf>
    <xf numFmtId="0" fontId="0" fillId="0" borderId="3" xfId="0" applyBorder="1"/>
    <xf numFmtId="0" fontId="11" fillId="0" borderId="3" xfId="0" applyFont="1" applyBorder="1" applyAlignment="1">
      <alignment horizontal="center" vertical="center"/>
    </xf>
    <xf numFmtId="0" fontId="8" fillId="0" borderId="3" xfId="0" applyFont="1" applyBorder="1" applyAlignment="1">
      <alignment horizontal="center" vertical="center"/>
    </xf>
    <xf numFmtId="0" fontId="8" fillId="0" borderId="0" xfId="1" applyFont="1"/>
    <xf numFmtId="0" fontId="7" fillId="2" borderId="3" xfId="1" applyFont="1" applyFill="1" applyBorder="1" applyAlignment="1">
      <alignment vertical="top"/>
    </xf>
    <xf numFmtId="0" fontId="7" fillId="0" borderId="0" xfId="2" applyFont="1"/>
    <xf numFmtId="1" fontId="4" fillId="0" borderId="3" xfId="1" applyNumberFormat="1" applyFont="1" applyFill="1" applyBorder="1" applyAlignment="1">
      <alignment horizontal="center" vertical="top" wrapText="1"/>
    </xf>
    <xf numFmtId="0" fontId="8" fillId="0" borderId="0" xfId="0" applyFont="1"/>
    <xf numFmtId="0" fontId="9" fillId="0" borderId="0" xfId="1" applyFont="1" applyBorder="1" applyAlignment="1">
      <alignment vertical="top"/>
    </xf>
    <xf numFmtId="0" fontId="9" fillId="0" borderId="0" xfId="1" applyFont="1" applyBorder="1" applyAlignment="1">
      <alignment vertical="top" wrapText="1"/>
    </xf>
    <xf numFmtId="0" fontId="11" fillId="0" borderId="0" xfId="1" applyFont="1"/>
    <xf numFmtId="1" fontId="17" fillId="0" borderId="3" xfId="1" applyNumberFormat="1" applyFont="1" applyFill="1" applyBorder="1" applyAlignment="1">
      <alignment horizontal="center" vertical="top" wrapText="1"/>
    </xf>
    <xf numFmtId="1" fontId="19" fillId="0" borderId="3" xfId="1" applyNumberFormat="1" applyFont="1" applyFill="1" applyBorder="1" applyAlignment="1">
      <alignment horizontal="center" vertical="top" wrapText="1"/>
    </xf>
    <xf numFmtId="0" fontId="20" fillId="0" borderId="0" xfId="0" applyFont="1"/>
    <xf numFmtId="0" fontId="20" fillId="0" borderId="3" xfId="0" applyFont="1" applyBorder="1"/>
    <xf numFmtId="0" fontId="21" fillId="0" borderId="3" xfId="0" applyFont="1" applyFill="1" applyBorder="1" applyAlignment="1">
      <alignment horizontal="center"/>
    </xf>
    <xf numFmtId="0" fontId="21" fillId="0" borderId="0" xfId="0" applyFont="1" applyFill="1" applyBorder="1" applyAlignment="1">
      <alignment horizontal="center"/>
    </xf>
    <xf numFmtId="0" fontId="20" fillId="3" borderId="3" xfId="0" applyFont="1" applyFill="1" applyBorder="1"/>
    <xf numFmtId="0" fontId="20" fillId="0" borderId="3" xfId="0" applyFont="1" applyBorder="1" applyAlignment="1">
      <alignment horizontal="center"/>
    </xf>
    <xf numFmtId="0" fontId="20" fillId="3" borderId="3" xfId="0" applyFont="1" applyFill="1" applyBorder="1" applyAlignment="1">
      <alignment horizontal="center"/>
    </xf>
    <xf numFmtId="9" fontId="20" fillId="0" borderId="0" xfId="4" applyFont="1" applyBorder="1"/>
    <xf numFmtId="0" fontId="20" fillId="0" borderId="0" xfId="0" applyFont="1" applyBorder="1"/>
    <xf numFmtId="0" fontId="16" fillId="0" borderId="3" xfId="0" applyFont="1" applyBorder="1" applyAlignment="1">
      <alignment horizontal="center"/>
    </xf>
    <xf numFmtId="0" fontId="20" fillId="0" borderId="0" xfId="0" applyFont="1" applyAlignment="1">
      <alignment wrapText="1"/>
    </xf>
    <xf numFmtId="0" fontId="20" fillId="0" borderId="6" xfId="0" applyFont="1" applyBorder="1"/>
    <xf numFmtId="0" fontId="20" fillId="0" borderId="3" xfId="0" applyFont="1" applyBorder="1" applyAlignment="1">
      <alignment wrapText="1"/>
    </xf>
    <xf numFmtId="9" fontId="20" fillId="0" borderId="3" xfId="4" applyFont="1" applyBorder="1"/>
    <xf numFmtId="0" fontId="20" fillId="0" borderId="0" xfId="0" applyFont="1" applyFill="1" applyBorder="1"/>
    <xf numFmtId="9" fontId="20" fillId="0" borderId="0" xfId="0" applyNumberFormat="1" applyFont="1"/>
    <xf numFmtId="0" fontId="20" fillId="0" borderId="0" xfId="0" applyFont="1" applyBorder="1" applyAlignment="1">
      <alignment horizontal="right"/>
    </xf>
    <xf numFmtId="0" fontId="16" fillId="0" borderId="0" xfId="0" applyFont="1"/>
    <xf numFmtId="1" fontId="8" fillId="0" borderId="3" xfId="0" applyNumberFormat="1" applyFont="1" applyBorder="1" applyAlignment="1">
      <alignment horizontal="center" vertical="center"/>
    </xf>
    <xf numFmtId="1" fontId="7" fillId="0" borderId="0" xfId="1" applyNumberFormat="1" applyFont="1" applyFill="1" applyBorder="1" applyAlignment="1">
      <alignment horizontal="center" vertical="center" wrapText="1"/>
    </xf>
    <xf numFmtId="0" fontId="8" fillId="0" borderId="0" xfId="1" applyFont="1" applyBorder="1" applyAlignment="1">
      <alignment horizontal="center" vertical="center"/>
    </xf>
    <xf numFmtId="0" fontId="20" fillId="0" borderId="3" xfId="0" applyFont="1" applyBorder="1" applyAlignment="1">
      <alignment horizontal="center"/>
    </xf>
    <xf numFmtId="0" fontId="20" fillId="3" borderId="3" xfId="0" applyFont="1" applyFill="1" applyBorder="1" applyAlignment="1">
      <alignment horizontal="center"/>
    </xf>
    <xf numFmtId="0" fontId="16" fillId="0" borderId="3" xfId="0" applyFont="1" applyBorder="1" applyAlignment="1">
      <alignment horizontal="center"/>
    </xf>
    <xf numFmtId="14" fontId="6" fillId="0" borderId="0" xfId="5" applyNumberFormat="1"/>
    <xf numFmtId="0" fontId="6" fillId="0" borderId="0" xfId="5"/>
    <xf numFmtId="0" fontId="1" fillId="0" borderId="0" xfId="6"/>
    <xf numFmtId="0" fontId="10" fillId="0" borderId="3" xfId="6" applyFont="1" applyBorder="1" applyAlignment="1">
      <alignment horizontal="center" vertical="top" wrapText="1"/>
    </xf>
    <xf numFmtId="0" fontId="1" fillId="0" borderId="3" xfId="6" applyBorder="1" applyAlignment="1">
      <alignment horizontal="center" vertical="center"/>
    </xf>
    <xf numFmtId="0" fontId="1" fillId="0" borderId="3" xfId="6" applyBorder="1" applyAlignment="1">
      <alignment horizontal="left" vertical="center"/>
    </xf>
    <xf numFmtId="1" fontId="1" fillId="0" borderId="3" xfId="6" applyNumberFormat="1" applyBorder="1" applyAlignment="1">
      <alignment horizontal="center" vertical="center"/>
    </xf>
    <xf numFmtId="166" fontId="1" fillId="0" borderId="3" xfId="7" applyNumberFormat="1" applyFont="1" applyBorder="1" applyAlignment="1">
      <alignment horizontal="right" vertical="center"/>
    </xf>
    <xf numFmtId="0" fontId="10" fillId="0" borderId="3" xfId="6" applyFont="1" applyBorder="1" applyAlignment="1">
      <alignment horizontal="center" vertical="center"/>
    </xf>
    <xf numFmtId="1" fontId="23" fillId="0" borderId="3" xfId="6" applyNumberFormat="1" applyFont="1" applyBorder="1" applyAlignment="1">
      <alignment horizontal="center" vertical="center"/>
    </xf>
    <xf numFmtId="0" fontId="6" fillId="0" borderId="3" xfId="5" applyBorder="1" applyAlignment="1">
      <alignment horizontal="center" vertical="center"/>
    </xf>
    <xf numFmtId="0" fontId="24" fillId="0" borderId="0" xfId="5" applyFont="1"/>
    <xf numFmtId="1" fontId="7" fillId="0" borderId="0"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8" fillId="0" borderId="7" xfId="1" applyFont="1" applyBorder="1" applyProtection="1">
      <protection hidden="1"/>
    </xf>
    <xf numFmtId="0" fontId="8" fillId="0" borderId="8" xfId="1" applyFont="1" applyBorder="1" applyProtection="1">
      <protection hidden="1"/>
    </xf>
    <xf numFmtId="0" fontId="8" fillId="0" borderId="0" xfId="1" applyFont="1" applyBorder="1" applyProtection="1">
      <protection hidden="1"/>
    </xf>
    <xf numFmtId="0" fontId="8" fillId="0" borderId="9" xfId="1" applyFont="1" applyBorder="1" applyProtection="1">
      <protection hidden="1"/>
    </xf>
    <xf numFmtId="0" fontId="20" fillId="0" borderId="0" xfId="0" applyFont="1" applyFill="1" applyBorder="1" applyProtection="1">
      <protection hidden="1"/>
    </xf>
    <xf numFmtId="0" fontId="8" fillId="0" borderId="7" xfId="1" applyFont="1" applyFill="1" applyBorder="1" applyProtection="1">
      <protection hidden="1"/>
    </xf>
    <xf numFmtId="0" fontId="8" fillId="0" borderId="0" xfId="1" applyFont="1" applyFill="1" applyBorder="1" applyProtection="1">
      <protection hidden="1"/>
    </xf>
    <xf numFmtId="0" fontId="7" fillId="0" borderId="3" xfId="1" applyFont="1" applyFill="1" applyBorder="1" applyAlignment="1">
      <alignment vertical="top" wrapText="1"/>
    </xf>
    <xf numFmtId="0" fontId="7" fillId="0" borderId="3" xfId="1" applyFont="1" applyFill="1" applyBorder="1" applyAlignment="1">
      <alignment horizontal="center" vertical="top"/>
    </xf>
    <xf numFmtId="0" fontId="7" fillId="2" borderId="3" xfId="1" applyFont="1" applyFill="1" applyBorder="1" applyAlignment="1">
      <alignment horizontal="left" vertical="top"/>
    </xf>
    <xf numFmtId="0" fontId="8" fillId="0" borderId="3" xfId="1" applyFont="1" applyFill="1" applyBorder="1" applyAlignment="1">
      <alignment horizontal="center" vertical="top"/>
    </xf>
    <xf numFmtId="0" fontId="7" fillId="0" borderId="3" xfId="1" applyFont="1" applyFill="1" applyBorder="1" applyAlignment="1">
      <alignment horizontal="center" vertical="top" wrapText="1"/>
    </xf>
    <xf numFmtId="0" fontId="14" fillId="0" borderId="16" xfId="1" applyFont="1" applyFill="1" applyBorder="1" applyAlignment="1" applyProtection="1">
      <alignment horizontal="center" vertical="top"/>
      <protection locked="0"/>
    </xf>
    <xf numFmtId="0" fontId="8" fillId="0" borderId="0" xfId="1" applyFont="1" applyFill="1" applyBorder="1" applyAlignment="1" applyProtection="1">
      <alignment horizontal="center" vertical="center"/>
      <protection hidden="1"/>
    </xf>
    <xf numFmtId="0" fontId="8" fillId="0" borderId="0" xfId="1" applyFont="1" applyBorder="1" applyAlignment="1" applyProtection="1">
      <alignment horizontal="center" vertical="center"/>
      <protection hidden="1"/>
    </xf>
    <xf numFmtId="0" fontId="8" fillId="0" borderId="9" xfId="1" applyFont="1" applyBorder="1" applyAlignment="1" applyProtection="1">
      <alignment horizontal="center" vertical="center"/>
      <protection hidden="1"/>
    </xf>
    <xf numFmtId="0" fontId="14" fillId="0" borderId="3" xfId="1" applyFont="1" applyFill="1" applyBorder="1" applyAlignment="1" applyProtection="1">
      <alignment horizontal="center" vertical="top"/>
      <protection locked="0"/>
    </xf>
    <xf numFmtId="1" fontId="7" fillId="0" borderId="3" xfId="1" applyNumberFormat="1" applyFont="1" applyFill="1" applyBorder="1" applyAlignment="1">
      <alignment horizontal="center" vertical="center" wrapText="1"/>
    </xf>
    <xf numFmtId="0" fontId="7" fillId="2" borderId="3" xfId="1" applyFont="1" applyFill="1" applyBorder="1" applyAlignment="1">
      <alignment horizontal="left" vertical="top"/>
    </xf>
    <xf numFmtId="0" fontId="9" fillId="2" borderId="3" xfId="1" applyFont="1" applyFill="1" applyBorder="1" applyAlignment="1">
      <alignment horizontal="left" vertical="top"/>
    </xf>
    <xf numFmtId="14" fontId="9" fillId="0" borderId="3" xfId="1" applyNumberFormat="1" applyFont="1" applyFill="1" applyBorder="1" applyAlignment="1">
      <alignment horizontal="left" vertical="top" wrapText="1"/>
    </xf>
    <xf numFmtId="14" fontId="7" fillId="0" borderId="3" xfId="1" applyNumberFormat="1" applyFont="1" applyFill="1" applyBorder="1" applyAlignment="1">
      <alignment horizontal="left" vertical="top" wrapText="1"/>
    </xf>
    <xf numFmtId="0" fontId="27" fillId="3" borderId="13" xfId="0" applyFont="1" applyFill="1" applyBorder="1"/>
    <xf numFmtId="0" fontId="28" fillId="0" borderId="14" xfId="0" applyFont="1" applyFill="1" applyBorder="1"/>
    <xf numFmtId="0" fontId="8" fillId="0" borderId="0" xfId="1" applyFont="1" applyFill="1"/>
    <xf numFmtId="0" fontId="8" fillId="0" borderId="15" xfId="1" applyFont="1" applyFill="1" applyBorder="1" applyAlignment="1" applyProtection="1">
      <alignment horizontal="center" vertical="top"/>
      <protection locked="0"/>
    </xf>
    <xf numFmtId="0" fontId="8" fillId="0" borderId="3" xfId="1" applyFont="1" applyFill="1" applyBorder="1" applyAlignment="1" applyProtection="1">
      <alignment horizontal="center" vertical="top"/>
      <protection locked="0"/>
    </xf>
    <xf numFmtId="0" fontId="8" fillId="0" borderId="16" xfId="1" applyFont="1" applyFill="1" applyBorder="1" applyAlignment="1" applyProtection="1">
      <alignment horizontal="center" vertical="top"/>
      <protection locked="0"/>
    </xf>
    <xf numFmtId="0" fontId="28" fillId="0" borderId="3" xfId="0" applyFont="1" applyFill="1" applyBorder="1"/>
    <xf numFmtId="0" fontId="28" fillId="0" borderId="16" xfId="0" applyFont="1" applyFill="1" applyBorder="1"/>
    <xf numFmtId="0" fontId="8" fillId="0" borderId="3" xfId="1" applyFont="1" applyFill="1" applyBorder="1" applyAlignment="1" applyProtection="1">
      <alignment horizontal="center" vertical="top" wrapText="1"/>
      <protection locked="0"/>
    </xf>
    <xf numFmtId="0" fontId="8" fillId="0" borderId="9" xfId="1" applyFont="1" applyFill="1" applyBorder="1"/>
    <xf numFmtId="9" fontId="8" fillId="0" borderId="3" xfId="4" applyFont="1" applyFill="1" applyBorder="1" applyAlignment="1" applyProtection="1">
      <alignment horizontal="center" vertical="top" wrapText="1"/>
      <protection locked="0"/>
    </xf>
    <xf numFmtId="0" fontId="20" fillId="0" borderId="9" xfId="0" applyNumberFormat="1" applyFont="1" applyFill="1" applyBorder="1" applyProtection="1">
      <protection hidden="1"/>
    </xf>
    <xf numFmtId="1" fontId="0" fillId="0" borderId="9" xfId="0" applyNumberFormat="1" applyFill="1" applyBorder="1"/>
    <xf numFmtId="1" fontId="0" fillId="0" borderId="9" xfId="0" applyNumberFormat="1" applyFill="1" applyBorder="1" applyAlignment="1">
      <alignment horizontal="right"/>
    </xf>
    <xf numFmtId="0" fontId="8" fillId="0" borderId="18" xfId="1" applyFont="1" applyFill="1" applyBorder="1" applyAlignment="1" applyProtection="1">
      <alignment horizontal="center" vertical="top" wrapText="1"/>
      <protection locked="0"/>
    </xf>
    <xf numFmtId="9" fontId="8" fillId="0" borderId="18" xfId="4" applyFont="1" applyFill="1" applyBorder="1" applyAlignment="1" applyProtection="1">
      <alignment horizontal="center" vertical="top" wrapText="1"/>
      <protection locked="0"/>
    </xf>
    <xf numFmtId="0" fontId="20" fillId="0" borderId="11" xfId="0" applyFont="1" applyFill="1" applyBorder="1" applyProtection="1">
      <protection hidden="1"/>
    </xf>
    <xf numFmtId="1" fontId="0" fillId="0" borderId="10" xfId="0" applyNumberFormat="1" applyFill="1" applyBorder="1"/>
    <xf numFmtId="0" fontId="8" fillId="0" borderId="0" xfId="1" applyFont="1" applyProtection="1">
      <protection hidden="1"/>
    </xf>
    <xf numFmtId="1" fontId="11" fillId="0" borderId="3" xfId="0" applyNumberFormat="1" applyFont="1" applyBorder="1" applyAlignment="1">
      <alignment horizontal="center" vertical="center"/>
    </xf>
    <xf numFmtId="14" fontId="8" fillId="0" borderId="0" xfId="0" applyNumberFormat="1" applyFont="1" applyAlignment="1">
      <alignment horizontal="center" vertical="center"/>
    </xf>
    <xf numFmtId="1" fontId="7" fillId="0" borderId="3" xfId="1" applyNumberFormat="1" applyFont="1" applyFill="1" applyBorder="1" applyAlignment="1">
      <alignment horizontal="center" vertical="center" wrapText="1"/>
    </xf>
    <xf numFmtId="0" fontId="29" fillId="0" borderId="3" xfId="1" applyFont="1" applyFill="1" applyBorder="1" applyAlignment="1" applyProtection="1">
      <alignment horizontal="center" vertical="top" wrapText="1"/>
      <protection locked="0"/>
    </xf>
    <xf numFmtId="0" fontId="9" fillId="2" borderId="3" xfId="1" applyFont="1" applyFill="1" applyBorder="1" applyAlignment="1">
      <alignment horizontal="left" vertical="top"/>
    </xf>
    <xf numFmtId="14" fontId="7" fillId="0" borderId="3" xfId="1" applyNumberFormat="1" applyFont="1" applyBorder="1" applyAlignment="1">
      <alignment horizontal="left" vertical="top"/>
    </xf>
    <xf numFmtId="1" fontId="7" fillId="0" borderId="3" xfId="0" applyNumberFormat="1" applyFont="1" applyFill="1" applyBorder="1" applyAlignment="1">
      <alignment horizontal="center" vertical="center" wrapText="1"/>
    </xf>
    <xf numFmtId="1" fontId="8" fillId="0" borderId="3" xfId="0" applyNumberFormat="1" applyFont="1" applyBorder="1" applyAlignment="1">
      <alignment horizontal="center" vertical="top" wrapText="1"/>
    </xf>
    <xf numFmtId="1" fontId="7" fillId="0" borderId="3" xfId="0" applyNumberFormat="1" applyFont="1" applyFill="1" applyBorder="1" applyAlignment="1">
      <alignment horizontal="center" vertical="top" wrapText="1"/>
    </xf>
    <xf numFmtId="0" fontId="7" fillId="0" borderId="3" xfId="1" applyFont="1" applyFill="1" applyBorder="1" applyAlignment="1">
      <alignment horizontal="left" vertical="top"/>
    </xf>
    <xf numFmtId="0" fontId="7" fillId="0" borderId="1" xfId="1" applyFont="1" applyFill="1" applyBorder="1" applyAlignment="1">
      <alignment horizontal="left" vertical="top" wrapText="1"/>
    </xf>
    <xf numFmtId="0" fontId="7" fillId="0" borderId="19" xfId="1" applyFont="1" applyFill="1" applyBorder="1" applyAlignment="1">
      <alignment horizontal="left" vertical="top"/>
    </xf>
    <xf numFmtId="0" fontId="7" fillId="0" borderId="2" xfId="1" applyFont="1" applyFill="1" applyBorder="1" applyAlignment="1">
      <alignment horizontal="left" vertical="top"/>
    </xf>
    <xf numFmtId="0" fontId="11" fillId="0" borderId="27" xfId="1" applyFont="1" applyFill="1" applyBorder="1" applyAlignment="1" applyProtection="1">
      <alignment horizontal="left" vertical="top" wrapText="1"/>
      <protection locked="0"/>
    </xf>
    <xf numFmtId="0" fontId="11" fillId="0" borderId="28"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11" fillId="0" borderId="30"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protection locked="0"/>
    </xf>
    <xf numFmtId="0" fontId="11" fillId="0" borderId="3" xfId="1" applyFont="1" applyFill="1" applyBorder="1" applyAlignment="1" applyProtection="1">
      <alignment horizontal="left" vertical="top"/>
      <protection locked="0"/>
    </xf>
    <xf numFmtId="0" fontId="11" fillId="0" borderId="3" xfId="1" applyFont="1" applyFill="1" applyBorder="1" applyAlignment="1" applyProtection="1">
      <alignment horizontal="left" vertical="top" wrapText="1"/>
      <protection locked="0"/>
    </xf>
    <xf numFmtId="0" fontId="11" fillId="0" borderId="16" xfId="1" applyFont="1" applyFill="1" applyBorder="1" applyAlignment="1" applyProtection="1">
      <alignment horizontal="left" vertical="top" wrapText="1"/>
      <protection locked="0"/>
    </xf>
    <xf numFmtId="0" fontId="8" fillId="0" borderId="15" xfId="1" applyFont="1" applyFill="1" applyBorder="1" applyAlignment="1" applyProtection="1">
      <alignment horizontal="center" vertical="top" wrapText="1"/>
      <protection locked="0"/>
    </xf>
    <xf numFmtId="0" fontId="8" fillId="0" borderId="3" xfId="1" applyFont="1" applyFill="1" applyBorder="1" applyAlignment="1" applyProtection="1">
      <alignment horizontal="center" vertical="top" wrapText="1"/>
      <protection locked="0"/>
    </xf>
    <xf numFmtId="0" fontId="8" fillId="0" borderId="16" xfId="1" applyFont="1" applyFill="1" applyBorder="1" applyAlignment="1" applyProtection="1">
      <alignment horizontal="center" vertical="top" wrapText="1"/>
      <protection locked="0"/>
    </xf>
    <xf numFmtId="9" fontId="8" fillId="0" borderId="22" xfId="4" applyFont="1" applyFill="1" applyBorder="1" applyAlignment="1" applyProtection="1">
      <alignment horizontal="center" vertical="center" wrapText="1"/>
      <protection locked="0"/>
    </xf>
    <xf numFmtId="9" fontId="8" fillId="0" borderId="21" xfId="4" applyFont="1" applyFill="1" applyBorder="1" applyAlignment="1" applyProtection="1">
      <alignment horizontal="center" vertical="center" wrapText="1"/>
      <protection locked="0"/>
    </xf>
    <xf numFmtId="9" fontId="8" fillId="0" borderId="32" xfId="4" applyFont="1" applyFill="1" applyBorder="1" applyAlignment="1" applyProtection="1">
      <alignment horizontal="center" vertical="center" wrapText="1"/>
      <protection locked="0"/>
    </xf>
    <xf numFmtId="9" fontId="8" fillId="0" borderId="33" xfId="4" applyFont="1" applyFill="1" applyBorder="1" applyAlignment="1" applyProtection="1">
      <alignment horizontal="center" vertical="center" wrapText="1"/>
      <protection locked="0"/>
    </xf>
    <xf numFmtId="9" fontId="8" fillId="0" borderId="26" xfId="4" applyFont="1" applyFill="1" applyBorder="1" applyAlignment="1" applyProtection="1">
      <alignment horizontal="center" vertical="center" wrapText="1"/>
      <protection locked="0"/>
    </xf>
    <xf numFmtId="9" fontId="8" fillId="0" borderId="25" xfId="4" applyFont="1" applyFill="1" applyBorder="1" applyAlignment="1" applyProtection="1">
      <alignment horizontal="center" vertical="center" wrapText="1"/>
      <protection locked="0"/>
    </xf>
    <xf numFmtId="9" fontId="8" fillId="0" borderId="23" xfId="4" applyFont="1" applyFill="1" applyBorder="1" applyAlignment="1" applyProtection="1">
      <alignment horizontal="center" vertical="center" wrapText="1"/>
      <protection locked="0"/>
    </xf>
    <xf numFmtId="9" fontId="8" fillId="0" borderId="9" xfId="4" applyFont="1" applyFill="1" applyBorder="1" applyAlignment="1" applyProtection="1">
      <alignment horizontal="center" vertical="center" wrapText="1"/>
      <protection locked="0"/>
    </xf>
    <xf numFmtId="9" fontId="8" fillId="0" borderId="10" xfId="4" applyFont="1" applyFill="1" applyBorder="1" applyAlignment="1" applyProtection="1">
      <alignment horizontal="center" vertical="center" wrapText="1"/>
      <protection locked="0"/>
    </xf>
    <xf numFmtId="1" fontId="9" fillId="0" borderId="3" xfId="1" applyNumberFormat="1" applyFont="1" applyFill="1" applyBorder="1" applyAlignment="1">
      <alignment horizontal="center" vertical="center" wrapText="1"/>
    </xf>
    <xf numFmtId="1" fontId="7" fillId="0" borderId="3" xfId="1" applyNumberFormat="1" applyFont="1" applyFill="1" applyBorder="1" applyAlignment="1">
      <alignment horizontal="center" vertical="center" wrapText="1"/>
    </xf>
    <xf numFmtId="1" fontId="7" fillId="0" borderId="1" xfId="1" applyNumberFormat="1" applyFont="1" applyFill="1" applyBorder="1" applyAlignment="1">
      <alignment horizontal="center" vertical="center" wrapText="1"/>
    </xf>
    <xf numFmtId="1" fontId="7" fillId="0" borderId="19" xfId="1" applyNumberFormat="1" applyFont="1" applyFill="1" applyBorder="1" applyAlignment="1">
      <alignment horizontal="center" vertical="center" wrapText="1"/>
    </xf>
    <xf numFmtId="1" fontId="7" fillId="0" borderId="2" xfId="1" applyNumberFormat="1" applyFont="1" applyFill="1" applyBorder="1" applyAlignment="1">
      <alignment horizontal="center" vertical="center" wrapText="1"/>
    </xf>
    <xf numFmtId="1" fontId="9" fillId="4" borderId="3" xfId="1" applyNumberFormat="1" applyFont="1" applyFill="1" applyBorder="1" applyAlignment="1">
      <alignment horizontal="center" vertical="center" wrapText="1"/>
    </xf>
    <xf numFmtId="1" fontId="9" fillId="0" borderId="1" xfId="1" applyNumberFormat="1" applyFont="1" applyFill="1" applyBorder="1" applyAlignment="1">
      <alignment horizontal="center" vertical="center" wrapText="1"/>
    </xf>
    <xf numFmtId="1" fontId="9" fillId="0" borderId="19" xfId="1" applyNumberFormat="1" applyFont="1" applyFill="1" applyBorder="1" applyAlignment="1">
      <alignment horizontal="center" vertical="center" wrapText="1"/>
    </xf>
    <xf numFmtId="1" fontId="9" fillId="0" borderId="2" xfId="1" applyNumberFormat="1" applyFont="1" applyFill="1" applyBorder="1" applyAlignment="1">
      <alignment horizontal="center" vertical="center" wrapText="1"/>
    </xf>
    <xf numFmtId="0" fontId="8" fillId="0" borderId="17" xfId="1" applyFont="1" applyFill="1" applyBorder="1" applyAlignment="1" applyProtection="1">
      <alignment horizontal="center" vertical="top" wrapText="1"/>
      <protection locked="0"/>
    </xf>
    <xf numFmtId="0" fontId="8" fillId="0" borderId="18" xfId="1" applyFont="1" applyFill="1" applyBorder="1" applyAlignment="1" applyProtection="1">
      <alignment horizontal="center" vertical="top" wrapText="1"/>
      <protection locked="0"/>
    </xf>
    <xf numFmtId="0" fontId="7" fillId="0" borderId="3"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2" borderId="3" xfId="1" applyFont="1" applyFill="1" applyBorder="1" applyAlignment="1">
      <alignment horizontal="left" vertical="top"/>
    </xf>
    <xf numFmtId="0" fontId="7" fillId="6" borderId="3" xfId="1" applyFont="1" applyFill="1" applyBorder="1" applyAlignment="1">
      <alignment horizontal="center" vertical="top"/>
    </xf>
    <xf numFmtId="0" fontId="7" fillId="5" borderId="3" xfId="1" applyFont="1" applyFill="1" applyBorder="1" applyAlignment="1">
      <alignment horizontal="center" vertical="top"/>
    </xf>
    <xf numFmtId="0" fontId="14" fillId="0" borderId="1" xfId="1" applyFont="1" applyFill="1" applyBorder="1" applyAlignment="1">
      <alignment horizontal="left" vertical="top" wrapText="1"/>
    </xf>
    <xf numFmtId="0" fontId="14" fillId="0" borderId="19" xfId="1"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22" xfId="1" applyFont="1" applyFill="1" applyBorder="1" applyAlignment="1">
      <alignment horizontal="left" vertical="top"/>
    </xf>
    <xf numFmtId="0" fontId="14" fillId="0" borderId="21" xfId="1" applyFont="1" applyFill="1" applyBorder="1" applyAlignment="1">
      <alignment horizontal="left" vertical="top"/>
    </xf>
    <xf numFmtId="0" fontId="14" fillId="0" borderId="32" xfId="1" applyFont="1" applyFill="1" applyBorder="1" applyAlignment="1">
      <alignment horizontal="left" vertical="top"/>
    </xf>
    <xf numFmtId="0" fontId="14" fillId="0" borderId="33" xfId="1" applyFont="1" applyFill="1" applyBorder="1" applyAlignment="1">
      <alignment horizontal="left" vertical="top"/>
    </xf>
    <xf numFmtId="0" fontId="14" fillId="0" borderId="4" xfId="1" applyFont="1" applyFill="1" applyBorder="1" applyAlignment="1">
      <alignment horizontal="left" vertical="top"/>
    </xf>
    <xf numFmtId="0" fontId="14" fillId="0" borderId="34" xfId="1" applyFont="1" applyFill="1" applyBorder="1" applyAlignment="1">
      <alignment horizontal="left" vertical="top"/>
    </xf>
    <xf numFmtId="0" fontId="9" fillId="0" borderId="3" xfId="1" applyFont="1" applyFill="1" applyBorder="1" applyAlignment="1">
      <alignment horizontal="left" vertical="top" wrapText="1"/>
    </xf>
    <xf numFmtId="0" fontId="9" fillId="2" borderId="3" xfId="1" applyFont="1" applyFill="1" applyBorder="1" applyAlignment="1">
      <alignment horizontal="left" vertical="top" wrapText="1"/>
    </xf>
    <xf numFmtId="0" fontId="9" fillId="2" borderId="3" xfId="1" applyFont="1" applyFill="1" applyBorder="1" applyAlignment="1">
      <alignment horizontal="left" vertical="top"/>
    </xf>
    <xf numFmtId="0" fontId="15" fillId="0" borderId="20" xfId="1" applyFont="1" applyFill="1" applyBorder="1" applyAlignment="1" applyProtection="1">
      <alignment horizontal="center" vertical="center"/>
      <protection locked="0"/>
    </xf>
    <xf numFmtId="0" fontId="15" fillId="0" borderId="21" xfId="1" applyFont="1" applyFill="1" applyBorder="1" applyAlignment="1" applyProtection="1">
      <alignment horizontal="center" vertical="center"/>
      <protection locked="0"/>
    </xf>
    <xf numFmtId="0" fontId="15" fillId="0" borderId="24" xfId="1" applyFont="1" applyFill="1" applyBorder="1" applyAlignment="1" applyProtection="1">
      <alignment horizontal="center" vertical="center"/>
      <protection locked="0"/>
    </xf>
    <xf numFmtId="0" fontId="15" fillId="0" borderId="25" xfId="1" applyFont="1" applyFill="1" applyBorder="1" applyAlignment="1" applyProtection="1">
      <alignment horizontal="center" vertical="center"/>
      <protection locked="0"/>
    </xf>
    <xf numFmtId="9" fontId="15" fillId="0" borderId="22" xfId="1" applyNumberFormat="1" applyFont="1" applyFill="1" applyBorder="1" applyAlignment="1" applyProtection="1">
      <alignment horizontal="center" vertical="center" wrapText="1"/>
      <protection locked="0"/>
    </xf>
    <xf numFmtId="0" fontId="15" fillId="0" borderId="21" xfId="1" applyFont="1" applyFill="1" applyBorder="1" applyAlignment="1" applyProtection="1">
      <alignment horizontal="center" vertical="center" wrapText="1"/>
      <protection locked="0"/>
    </xf>
    <xf numFmtId="0" fontId="15" fillId="0" borderId="26" xfId="1" applyFont="1" applyFill="1" applyBorder="1" applyAlignment="1" applyProtection="1">
      <alignment horizontal="center" vertical="center" wrapText="1"/>
      <protection locked="0"/>
    </xf>
    <xf numFmtId="0" fontId="15" fillId="0" borderId="25" xfId="1" applyFont="1" applyFill="1" applyBorder="1" applyAlignment="1" applyProtection="1">
      <alignment horizontal="center" vertical="center" wrapText="1"/>
      <protection locked="0"/>
    </xf>
    <xf numFmtId="0" fontId="15" fillId="0" borderId="22" xfId="1" applyFont="1" applyFill="1" applyBorder="1" applyAlignment="1" applyProtection="1">
      <alignment horizontal="center" vertical="center" wrapText="1"/>
      <protection locked="0"/>
    </xf>
    <xf numFmtId="0" fontId="15" fillId="0" borderId="23" xfId="1" applyFont="1" applyFill="1" applyBorder="1" applyAlignment="1" applyProtection="1">
      <alignment horizontal="center" vertical="center" wrapText="1"/>
      <protection locked="0"/>
    </xf>
    <xf numFmtId="0" fontId="15" fillId="0" borderId="10" xfId="1" applyFont="1" applyFill="1" applyBorder="1" applyAlignment="1" applyProtection="1">
      <alignment horizontal="center" vertical="center" wrapText="1"/>
      <protection locked="0"/>
    </xf>
    <xf numFmtId="0" fontId="15" fillId="0" borderId="12" xfId="1" applyFont="1" applyFill="1" applyBorder="1" applyAlignment="1" applyProtection="1">
      <alignment horizontal="left" vertical="top" wrapText="1"/>
      <protection locked="0"/>
    </xf>
    <xf numFmtId="0" fontId="15" fillId="0" borderId="13" xfId="1" applyFont="1" applyFill="1" applyBorder="1" applyAlignment="1" applyProtection="1">
      <alignment horizontal="left" vertical="top" wrapText="1"/>
      <protection locked="0"/>
    </xf>
    <xf numFmtId="0" fontId="15" fillId="0" borderId="14" xfId="1" applyFont="1" applyFill="1" applyBorder="1" applyAlignment="1" applyProtection="1">
      <alignment horizontal="left" vertical="top" wrapText="1"/>
      <protection locked="0"/>
    </xf>
    <xf numFmtId="0" fontId="14" fillId="0" borderId="15" xfId="1" applyFont="1" applyFill="1" applyBorder="1" applyAlignment="1" applyProtection="1">
      <alignment horizontal="center" vertical="top"/>
      <protection locked="0"/>
    </xf>
    <xf numFmtId="0" fontId="14" fillId="0" borderId="3" xfId="1" applyFont="1" applyFill="1" applyBorder="1" applyAlignment="1" applyProtection="1">
      <alignment horizontal="center" vertical="top"/>
      <protection locked="0"/>
    </xf>
    <xf numFmtId="0" fontId="26" fillId="0" borderId="3" xfId="8" applyFill="1" applyBorder="1" applyAlignment="1">
      <alignment horizontal="left" vertical="top"/>
    </xf>
    <xf numFmtId="1" fontId="9" fillId="0" borderId="3" xfId="0" applyNumberFormat="1" applyFont="1" applyFill="1" applyBorder="1" applyAlignment="1">
      <alignment horizontal="center" vertical="center" wrapText="1"/>
    </xf>
    <xf numFmtId="1" fontId="15" fillId="0" borderId="3" xfId="0" applyNumberFormat="1" applyFont="1" applyBorder="1" applyAlignment="1">
      <alignment horizontal="center" vertical="top" wrapText="1"/>
    </xf>
    <xf numFmtId="0" fontId="14" fillId="0" borderId="3" xfId="1" applyFont="1" applyFill="1" applyBorder="1" applyAlignment="1">
      <alignment horizontal="left" vertical="top"/>
    </xf>
    <xf numFmtId="0" fontId="7" fillId="0" borderId="1" xfId="1" applyFont="1" applyFill="1" applyBorder="1" applyAlignment="1">
      <alignment horizontal="left" vertical="top"/>
    </xf>
    <xf numFmtId="0" fontId="7" fillId="0" borderId="6" xfId="1" applyFont="1" applyBorder="1" applyAlignment="1" applyProtection="1">
      <alignment horizontal="left" vertical="top"/>
      <protection locked="0"/>
    </xf>
    <xf numFmtId="0" fontId="14" fillId="0" borderId="6" xfId="1" applyFont="1" applyBorder="1" applyAlignment="1" applyProtection="1">
      <alignment horizontal="left" vertical="top" wrapText="1"/>
      <protection locked="0"/>
    </xf>
    <xf numFmtId="0" fontId="7" fillId="0" borderId="6" xfId="1" applyFont="1" applyBorder="1" applyAlignment="1" applyProtection="1">
      <alignment horizontal="left" vertical="top" wrapText="1"/>
      <protection locked="0"/>
    </xf>
    <xf numFmtId="1" fontId="9" fillId="0" borderId="3" xfId="0" applyNumberFormat="1" applyFont="1" applyFill="1" applyBorder="1" applyAlignment="1">
      <alignment horizontal="center" vertical="top" wrapText="1"/>
    </xf>
    <xf numFmtId="0" fontId="11" fillId="0" borderId="3" xfId="0" applyFont="1" applyBorder="1" applyAlignment="1">
      <alignment horizontal="center" vertical="top" wrapText="1"/>
    </xf>
    <xf numFmtId="0" fontId="9" fillId="0" borderId="3" xfId="1" applyFont="1" applyFill="1" applyBorder="1" applyAlignment="1">
      <alignment horizontal="center" vertical="top"/>
    </xf>
    <xf numFmtId="0" fontId="15" fillId="0" borderId="3" xfId="1" applyFont="1" applyFill="1" applyBorder="1" applyAlignment="1">
      <alignment horizontal="left" vertical="top"/>
    </xf>
    <xf numFmtId="0" fontId="15" fillId="0" borderId="3" xfId="1" applyFont="1" applyFill="1" applyBorder="1" applyAlignment="1">
      <alignment horizontal="left" vertical="top" wrapText="1"/>
    </xf>
    <xf numFmtId="0" fontId="14" fillId="2" borderId="3" xfId="1" applyFont="1" applyFill="1" applyBorder="1" applyAlignment="1">
      <alignment horizontal="left" vertical="top"/>
    </xf>
    <xf numFmtId="0" fontId="9" fillId="0" borderId="3" xfId="1" applyFont="1" applyFill="1" applyBorder="1" applyAlignment="1">
      <alignment vertical="top"/>
    </xf>
    <xf numFmtId="1" fontId="5" fillId="0" borderId="3" xfId="1" applyNumberFormat="1" applyFont="1" applyFill="1" applyBorder="1" applyAlignment="1">
      <alignment horizontal="center" vertical="center" wrapText="1"/>
    </xf>
    <xf numFmtId="14" fontId="9" fillId="0" borderId="3" xfId="1" applyNumberFormat="1" applyFont="1" applyBorder="1" applyAlignment="1">
      <alignment horizontal="left" vertical="top"/>
    </xf>
    <xf numFmtId="14" fontId="7" fillId="0" borderId="3" xfId="1" applyNumberFormat="1" applyFont="1" applyBorder="1" applyAlignment="1">
      <alignment horizontal="left" vertical="top" wrapText="1"/>
    </xf>
    <xf numFmtId="1" fontId="17" fillId="0" borderId="3" xfId="1" applyNumberFormat="1" applyFont="1" applyFill="1" applyBorder="1" applyAlignment="1">
      <alignment horizontal="center" vertical="top" wrapText="1"/>
    </xf>
    <xf numFmtId="1" fontId="9" fillId="0" borderId="0" xfId="1" applyNumberFormat="1" applyFont="1" applyFill="1" applyBorder="1" applyAlignment="1">
      <alignment horizontal="center" vertical="center" wrapText="1"/>
    </xf>
    <xf numFmtId="0" fontId="5" fillId="0" borderId="1" xfId="1" applyFont="1" applyBorder="1" applyAlignment="1">
      <alignment horizontal="center" vertical="top" wrapText="1"/>
    </xf>
    <xf numFmtId="0" fontId="5" fillId="0" borderId="2" xfId="1" applyFont="1" applyBorder="1" applyAlignment="1">
      <alignment horizontal="center" vertical="top" wrapText="1"/>
    </xf>
    <xf numFmtId="1" fontId="9" fillId="0" borderId="3" xfId="1" applyNumberFormat="1" applyFont="1" applyFill="1" applyBorder="1" applyAlignment="1">
      <alignment horizontal="center" vertical="top" wrapText="1"/>
    </xf>
    <xf numFmtId="0" fontId="8" fillId="0" borderId="3" xfId="1" applyFont="1" applyFill="1" applyBorder="1" applyAlignment="1">
      <alignment horizontal="center" vertical="top"/>
    </xf>
    <xf numFmtId="0" fontId="7" fillId="0" borderId="3" xfId="1" applyFont="1" applyFill="1" applyBorder="1" applyAlignment="1">
      <alignment horizontal="center" vertical="top"/>
    </xf>
    <xf numFmtId="165" fontId="7" fillId="0" borderId="3" xfId="1" applyNumberFormat="1" applyFont="1" applyFill="1" applyBorder="1" applyAlignment="1">
      <alignment horizontal="left" vertical="top"/>
    </xf>
    <xf numFmtId="0" fontId="14" fillId="0" borderId="3" xfId="1" applyFont="1" applyFill="1" applyBorder="1" applyAlignment="1" applyProtection="1">
      <alignment horizontal="left" vertical="center" wrapText="1"/>
      <protection locked="0"/>
    </xf>
    <xf numFmtId="0" fontId="7" fillId="0" borderId="3" xfId="1" applyFont="1" applyFill="1" applyBorder="1" applyAlignment="1">
      <alignment horizontal="center" vertical="top" wrapText="1"/>
    </xf>
    <xf numFmtId="0" fontId="9" fillId="0" borderId="3" xfId="1" applyFont="1" applyFill="1" applyBorder="1" applyAlignment="1">
      <alignment horizontal="left" vertical="top"/>
    </xf>
    <xf numFmtId="0" fontId="13" fillId="0" borderId="3" xfId="1" applyFont="1" applyBorder="1" applyAlignment="1">
      <alignment horizontal="center" vertical="top" wrapText="1"/>
    </xf>
    <xf numFmtId="0" fontId="9" fillId="0" borderId="3" xfId="1" applyFont="1" applyBorder="1" applyAlignment="1">
      <alignment horizontal="center" vertical="top"/>
    </xf>
    <xf numFmtId="0" fontId="14" fillId="0" borderId="3" xfId="1" applyFont="1" applyFill="1" applyBorder="1" applyAlignment="1">
      <alignment horizontal="left" vertical="top" wrapText="1"/>
    </xf>
    <xf numFmtId="0" fontId="7" fillId="0" borderId="3" xfId="1" applyFont="1" applyBorder="1" applyAlignment="1">
      <alignment horizontal="left" vertical="top" wrapText="1"/>
    </xf>
    <xf numFmtId="0" fontId="7" fillId="0" borderId="1" xfId="1" applyFont="1" applyBorder="1" applyAlignment="1">
      <alignment horizontal="left" vertical="top"/>
    </xf>
    <xf numFmtId="0" fontId="7" fillId="0" borderId="19" xfId="1" applyFont="1" applyBorder="1" applyAlignment="1">
      <alignment horizontal="left" vertical="top"/>
    </xf>
    <xf numFmtId="0" fontId="7" fillId="0" borderId="2" xfId="1" applyFont="1" applyBorder="1" applyAlignment="1">
      <alignment horizontal="left" vertical="top"/>
    </xf>
    <xf numFmtId="0" fontId="8" fillId="0" borderId="3" xfId="1" applyFont="1" applyFill="1" applyBorder="1" applyAlignment="1" applyProtection="1">
      <alignment horizontal="left" vertical="center" wrapText="1"/>
      <protection locked="0"/>
    </xf>
    <xf numFmtId="1" fontId="8" fillId="0" borderId="3" xfId="0" applyNumberFormat="1" applyFont="1" applyBorder="1" applyAlignment="1">
      <alignment horizontal="center" vertical="center" wrapText="1"/>
    </xf>
    <xf numFmtId="0" fontId="22" fillId="0" borderId="3" xfId="1" applyFont="1" applyBorder="1" applyAlignment="1">
      <alignment horizontal="center" vertical="top" wrapText="1"/>
    </xf>
    <xf numFmtId="1" fontId="7" fillId="0" borderId="0" xfId="1" applyNumberFormat="1" applyFont="1" applyFill="1" applyBorder="1" applyAlignment="1">
      <alignment horizontal="center" vertical="center" wrapText="1"/>
    </xf>
    <xf numFmtId="0" fontId="7" fillId="0" borderId="3" xfId="1" applyFont="1" applyBorder="1" applyAlignment="1">
      <alignment vertical="top"/>
    </xf>
    <xf numFmtId="0" fontId="7" fillId="0" borderId="3" xfId="1" applyFont="1" applyBorder="1" applyAlignment="1">
      <alignment horizontal="left" vertical="top"/>
    </xf>
    <xf numFmtId="0" fontId="9" fillId="0" borderId="3" xfId="1" applyFont="1" applyBorder="1" applyAlignment="1">
      <alignment horizontal="center" vertical="top" wrapText="1"/>
    </xf>
    <xf numFmtId="0" fontId="5" fillId="0" borderId="3" xfId="1" applyFont="1" applyBorder="1" applyAlignment="1">
      <alignment horizontal="center" vertical="top" wrapText="1"/>
    </xf>
    <xf numFmtId="1" fontId="9" fillId="0" borderId="3" xfId="0" applyNumberFormat="1" applyFont="1" applyFill="1" applyBorder="1" applyAlignment="1">
      <alignment horizontal="left" vertical="top" wrapText="1"/>
    </xf>
    <xf numFmtId="0" fontId="15" fillId="0" borderId="3" xfId="2" applyFont="1" applyBorder="1" applyAlignment="1">
      <alignment horizontal="left" vertical="top" wrapText="1"/>
    </xf>
    <xf numFmtId="0" fontId="15" fillId="0" borderId="15" xfId="1" applyFont="1" applyFill="1" applyBorder="1" applyAlignment="1" applyProtection="1">
      <alignment horizontal="left" vertical="top"/>
      <protection locked="0"/>
    </xf>
    <xf numFmtId="0" fontId="15" fillId="0" borderId="3" xfId="1" applyFont="1" applyFill="1" applyBorder="1" applyAlignment="1" applyProtection="1">
      <alignment horizontal="left" vertical="top"/>
      <protection locked="0"/>
    </xf>
    <xf numFmtId="0" fontId="15" fillId="0" borderId="3" xfId="1" applyFont="1" applyFill="1" applyBorder="1" applyAlignment="1" applyProtection="1">
      <alignment horizontal="left" vertical="top" wrapText="1"/>
      <protection locked="0"/>
    </xf>
    <xf numFmtId="0" fontId="15" fillId="0" borderId="16" xfId="1" applyFont="1" applyFill="1" applyBorder="1" applyAlignment="1" applyProtection="1">
      <alignment horizontal="left" vertical="top" wrapText="1"/>
      <protection locked="0"/>
    </xf>
    <xf numFmtId="165" fontId="7" fillId="0" borderId="3" xfId="1" applyNumberFormat="1" applyFont="1" applyFill="1" applyBorder="1" applyAlignment="1">
      <alignment horizontal="left" vertical="top" wrapText="1"/>
    </xf>
    <xf numFmtId="0" fontId="20" fillId="0" borderId="3" xfId="0" applyFont="1" applyBorder="1" applyAlignment="1">
      <alignment horizontal="center"/>
    </xf>
    <xf numFmtId="0" fontId="20" fillId="0" borderId="3" xfId="0" applyFont="1" applyBorder="1" applyAlignment="1">
      <alignment horizontal="left"/>
    </xf>
    <xf numFmtId="0" fontId="20" fillId="3" borderId="3" xfId="0" applyFont="1" applyFill="1" applyBorder="1" applyAlignment="1">
      <alignment horizontal="center"/>
    </xf>
    <xf numFmtId="0" fontId="16" fillId="0" borderId="3" xfId="0" applyFont="1" applyBorder="1" applyAlignment="1">
      <alignment horizontal="center"/>
    </xf>
    <xf numFmtId="0" fontId="10" fillId="0" borderId="3" xfId="6" applyFont="1" applyBorder="1" applyAlignment="1">
      <alignment horizontal="left"/>
    </xf>
    <xf numFmtId="0" fontId="0" fillId="3" borderId="3" xfId="0" applyFill="1" applyBorder="1" applyAlignment="1">
      <alignment horizontal="center" wrapText="1"/>
    </xf>
    <xf numFmtId="0" fontId="10" fillId="0" borderId="3" xfId="0" applyFont="1" applyBorder="1" applyAlignment="1">
      <alignment horizontal="center"/>
    </xf>
  </cellXfs>
  <cellStyles count="9">
    <cellStyle name="Comma 2" xfId="7"/>
    <cellStyle name="Excel Built-in Normal" xfId="2"/>
    <cellStyle name="Excel Built-in Normal 2" xfId="5"/>
    <cellStyle name="Hyperlink" xfId="8" builtinId="8"/>
    <cellStyle name="Normal" xfId="0" builtinId="0"/>
    <cellStyle name="Normal 2" xfId="3"/>
    <cellStyle name="Normal 3" xfId="1"/>
    <cellStyle name="Normal 4" xfId="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3.jpg"/><Relationship Id="rId1" Type="http://schemas.openxmlformats.org/officeDocument/2006/relationships/image" Target="../media/image3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0</xdr:col>
      <xdr:colOff>672348</xdr:colOff>
      <xdr:row>446</xdr:row>
      <xdr:rowOff>74362</xdr:rowOff>
    </xdr:from>
    <xdr:to>
      <xdr:col>7</xdr:col>
      <xdr:colOff>535065</xdr:colOff>
      <xdr:row>464</xdr:row>
      <xdr:rowOff>90335</xdr:rowOff>
    </xdr:to>
    <xdr:pic>
      <xdr:nvPicPr>
        <xdr:cNvPr id="20" name="Picture 19">
          <a:extLst>
            <a:ext uri="{FF2B5EF4-FFF2-40B4-BE49-F238E27FC236}">
              <a16:creationId xmlns:a16="http://schemas.microsoft.com/office/drawing/2014/main" xmlns="" id="{00000000-0008-0000-0000-00001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672348" y="90629097"/>
          <a:ext cx="5689776" cy="3646679"/>
        </a:xfrm>
        <a:prstGeom prst="rect">
          <a:avLst/>
        </a:prstGeom>
        <a:ln>
          <a:solidFill>
            <a:schemeClr val="tx1"/>
          </a:solidFill>
        </a:ln>
      </xdr:spPr>
    </xdr:pic>
    <xdr:clientData/>
  </xdr:twoCellAnchor>
  <xdr:twoCellAnchor editAs="oneCell">
    <xdr:from>
      <xdr:col>0</xdr:col>
      <xdr:colOff>470647</xdr:colOff>
      <xdr:row>464</xdr:row>
      <xdr:rowOff>190500</xdr:rowOff>
    </xdr:from>
    <xdr:to>
      <xdr:col>7</xdr:col>
      <xdr:colOff>714189</xdr:colOff>
      <xdr:row>486</xdr:row>
      <xdr:rowOff>123585</xdr:rowOff>
    </xdr:to>
    <xdr:pic>
      <xdr:nvPicPr>
        <xdr:cNvPr id="31" name="Picture 30">
          <a:extLst>
            <a:ext uri="{FF2B5EF4-FFF2-40B4-BE49-F238E27FC236}">
              <a16:creationId xmlns:a16="http://schemas.microsoft.com/office/drawing/2014/main" xmlns="" id="{00000000-0008-0000-0000-00001F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70647" y="94375941"/>
          <a:ext cx="6070601" cy="4370614"/>
        </a:xfrm>
        <a:prstGeom prst="rect">
          <a:avLst/>
        </a:prstGeom>
        <a:ln>
          <a:solidFill>
            <a:schemeClr val="tx1"/>
          </a:solidFill>
        </a:ln>
      </xdr:spPr>
    </xdr:pic>
    <xdr:clientData/>
  </xdr:twoCellAnchor>
  <xdr:twoCellAnchor>
    <xdr:from>
      <xdr:col>3</xdr:col>
      <xdr:colOff>193369</xdr:colOff>
      <xdr:row>466</xdr:row>
      <xdr:rowOff>1426</xdr:rowOff>
    </xdr:from>
    <xdr:to>
      <xdr:col>5</xdr:col>
      <xdr:colOff>197256</xdr:colOff>
      <xdr:row>482</xdr:row>
      <xdr:rowOff>25332</xdr:rowOff>
    </xdr:to>
    <xdr:sp macro="" textlink="">
      <xdr:nvSpPr>
        <xdr:cNvPr id="32" name="TextBox 3">
          <a:extLst>
            <a:ext uri="{FF2B5EF4-FFF2-40B4-BE49-F238E27FC236}">
              <a16:creationId xmlns:a16="http://schemas.microsoft.com/office/drawing/2014/main" xmlns="" id="{00000000-0008-0000-0000-000020000000}"/>
            </a:ext>
          </a:extLst>
        </xdr:cNvPr>
        <xdr:cNvSpPr txBox="1"/>
      </xdr:nvSpPr>
      <xdr:spPr>
        <a:xfrm rot="1405900">
          <a:off x="2737104" y="94590279"/>
          <a:ext cx="1583917" cy="3251200"/>
        </a:xfrm>
        <a:prstGeom prst="rect">
          <a:avLst/>
        </a:prstGeom>
        <a:noFill/>
        <a:ln w="38100">
          <a:solidFill>
            <a:srgbClr val="FFFF00"/>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editAs="oneCell">
    <xdr:from>
      <xdr:col>2</xdr:col>
      <xdr:colOff>223050</xdr:colOff>
      <xdr:row>403</xdr:row>
      <xdr:rowOff>67235</xdr:rowOff>
    </xdr:from>
    <xdr:to>
      <xdr:col>5</xdr:col>
      <xdr:colOff>399299</xdr:colOff>
      <xdr:row>424</xdr:row>
      <xdr:rowOff>151411</xdr:rowOff>
    </xdr:to>
    <xdr:pic>
      <xdr:nvPicPr>
        <xdr:cNvPr id="36" name="Picture 35">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3"/>
        <a:stretch>
          <a:fillRect/>
        </a:stretch>
      </xdr:blipFill>
      <xdr:spPr>
        <a:xfrm rot="10800000">
          <a:off x="1926344" y="90621970"/>
          <a:ext cx="2596720" cy="4320000"/>
        </a:xfrm>
        <a:prstGeom prst="rect">
          <a:avLst/>
        </a:prstGeom>
        <a:ln>
          <a:solidFill>
            <a:schemeClr val="tx1"/>
          </a:solidFill>
        </a:ln>
      </xdr:spPr>
    </xdr:pic>
    <xdr:clientData/>
  </xdr:twoCellAnchor>
  <xdr:twoCellAnchor>
    <xdr:from>
      <xdr:col>4</xdr:col>
      <xdr:colOff>138782</xdr:colOff>
      <xdr:row>415</xdr:row>
      <xdr:rowOff>57533</xdr:rowOff>
    </xdr:from>
    <xdr:to>
      <xdr:col>4</xdr:col>
      <xdr:colOff>729332</xdr:colOff>
      <xdr:row>421</xdr:row>
      <xdr:rowOff>9348</xdr:rowOff>
    </xdr:to>
    <xdr:sp macro="" textlink="">
      <xdr:nvSpPr>
        <xdr:cNvPr id="37" name="TextBox 2">
          <a:extLst>
            <a:ext uri="{FF2B5EF4-FFF2-40B4-BE49-F238E27FC236}">
              <a16:creationId xmlns:a16="http://schemas.microsoft.com/office/drawing/2014/main" xmlns="" id="{00000000-0008-0000-0000-000025000000}"/>
            </a:ext>
          </a:extLst>
        </xdr:cNvPr>
        <xdr:cNvSpPr txBox="1"/>
      </xdr:nvSpPr>
      <xdr:spPr>
        <a:xfrm rot="10800000">
          <a:off x="3489341" y="93032739"/>
          <a:ext cx="590550" cy="1162050"/>
        </a:xfrm>
        <a:prstGeom prst="rect">
          <a:avLst/>
        </a:prstGeom>
        <a:noFill/>
        <a:ln w="38100">
          <a:solidFill>
            <a:schemeClr val="accent1">
              <a:lumMod val="75000"/>
            </a:schemeClr>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3</xdr:col>
      <xdr:colOff>281395</xdr:colOff>
      <xdr:row>415</xdr:row>
      <xdr:rowOff>99820</xdr:rowOff>
    </xdr:from>
    <xdr:to>
      <xdr:col>4</xdr:col>
      <xdr:colOff>58557</xdr:colOff>
      <xdr:row>421</xdr:row>
      <xdr:rowOff>51635</xdr:rowOff>
    </xdr:to>
    <xdr:sp macro="" textlink="">
      <xdr:nvSpPr>
        <xdr:cNvPr id="38" name="TextBox 4">
          <a:extLst>
            <a:ext uri="{FF2B5EF4-FFF2-40B4-BE49-F238E27FC236}">
              <a16:creationId xmlns:a16="http://schemas.microsoft.com/office/drawing/2014/main" xmlns="" id="{00000000-0008-0000-0000-000026000000}"/>
            </a:ext>
          </a:extLst>
        </xdr:cNvPr>
        <xdr:cNvSpPr txBox="1"/>
      </xdr:nvSpPr>
      <xdr:spPr>
        <a:xfrm rot="10800000">
          <a:off x="2825130" y="93075026"/>
          <a:ext cx="583986" cy="1162050"/>
        </a:xfrm>
        <a:prstGeom prst="rect">
          <a:avLst/>
        </a:prstGeom>
        <a:noFill/>
        <a:ln w="38100">
          <a:solidFill>
            <a:srgbClr val="FFFF00"/>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3</xdr:col>
      <xdr:colOff>122431</xdr:colOff>
      <xdr:row>406</xdr:row>
      <xdr:rowOff>163422</xdr:rowOff>
    </xdr:from>
    <xdr:to>
      <xdr:col>5</xdr:col>
      <xdr:colOff>28301</xdr:colOff>
      <xdr:row>413</xdr:row>
      <xdr:rowOff>154831</xdr:rowOff>
    </xdr:to>
    <xdr:sp macro="" textlink="">
      <xdr:nvSpPr>
        <xdr:cNvPr id="39" name="TextBox 5">
          <a:extLst>
            <a:ext uri="{FF2B5EF4-FFF2-40B4-BE49-F238E27FC236}">
              <a16:creationId xmlns:a16="http://schemas.microsoft.com/office/drawing/2014/main" xmlns="" id="{00000000-0008-0000-0000-000027000000}"/>
            </a:ext>
          </a:extLst>
        </xdr:cNvPr>
        <xdr:cNvSpPr txBox="1"/>
      </xdr:nvSpPr>
      <xdr:spPr>
        <a:xfrm rot="10800000">
          <a:off x="2666166" y="91323275"/>
          <a:ext cx="1485900" cy="1403350"/>
        </a:xfrm>
        <a:prstGeom prst="rect">
          <a:avLst/>
        </a:prstGeom>
        <a:noFill/>
        <a:ln w="38100">
          <a:solidFill>
            <a:srgbClr val="00B0F0"/>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editAs="oneCell">
    <xdr:from>
      <xdr:col>1</xdr:col>
      <xdr:colOff>493059</xdr:colOff>
      <xdr:row>425</xdr:row>
      <xdr:rowOff>139180</xdr:rowOff>
    </xdr:from>
    <xdr:to>
      <xdr:col>6</xdr:col>
      <xdr:colOff>162909</xdr:colOff>
      <xdr:row>440</xdr:row>
      <xdr:rowOff>1063</xdr:rowOff>
    </xdr:to>
    <xdr:pic>
      <xdr:nvPicPr>
        <xdr:cNvPr id="40" name="Picture 39">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4"/>
        <a:stretch>
          <a:fillRect/>
        </a:stretch>
      </xdr:blipFill>
      <xdr:spPr>
        <a:xfrm>
          <a:off x="1344706" y="95131445"/>
          <a:ext cx="3759997" cy="2880000"/>
        </a:xfrm>
        <a:prstGeom prst="rect">
          <a:avLst/>
        </a:prstGeom>
        <a:ln>
          <a:solidFill>
            <a:schemeClr val="tx1"/>
          </a:solidFill>
        </a:ln>
      </xdr:spPr>
    </xdr:pic>
    <xdr:clientData/>
  </xdr:twoCellAnchor>
  <xdr:twoCellAnchor>
    <xdr:from>
      <xdr:col>2</xdr:col>
      <xdr:colOff>635216</xdr:colOff>
      <xdr:row>414</xdr:row>
      <xdr:rowOff>118520</xdr:rowOff>
    </xdr:from>
    <xdr:to>
      <xdr:col>3</xdr:col>
      <xdr:colOff>164107</xdr:colOff>
      <xdr:row>421</xdr:row>
      <xdr:rowOff>175251</xdr:rowOff>
    </xdr:to>
    <xdr:sp macro="" textlink="">
      <xdr:nvSpPr>
        <xdr:cNvPr id="41" name="Rectangle 40">
          <a:extLst>
            <a:ext uri="{FF2B5EF4-FFF2-40B4-BE49-F238E27FC236}">
              <a16:creationId xmlns:a16="http://schemas.microsoft.com/office/drawing/2014/main" xmlns="" id="{00000000-0008-0000-0000-000029000000}"/>
            </a:ext>
          </a:extLst>
        </xdr:cNvPr>
        <xdr:cNvSpPr/>
      </xdr:nvSpPr>
      <xdr:spPr>
        <a:xfrm rot="16200000">
          <a:off x="1788840" y="93441690"/>
          <a:ext cx="1468672"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No.3</a:t>
          </a:r>
        </a:p>
      </xdr:txBody>
    </xdr:sp>
    <xdr:clientData/>
  </xdr:twoCellAnchor>
  <xdr:twoCellAnchor>
    <xdr:from>
      <xdr:col>4</xdr:col>
      <xdr:colOff>729332</xdr:colOff>
      <xdr:row>415</xdr:row>
      <xdr:rowOff>57533</xdr:rowOff>
    </xdr:from>
    <xdr:to>
      <xdr:col>5</xdr:col>
      <xdr:colOff>325458</xdr:colOff>
      <xdr:row>420</xdr:row>
      <xdr:rowOff>158603</xdr:rowOff>
    </xdr:to>
    <xdr:sp macro="" textlink="">
      <xdr:nvSpPr>
        <xdr:cNvPr id="42" name="Rectangle 41">
          <a:extLst>
            <a:ext uri="{FF2B5EF4-FFF2-40B4-BE49-F238E27FC236}">
              <a16:creationId xmlns:a16="http://schemas.microsoft.com/office/drawing/2014/main" xmlns="" id="{00000000-0008-0000-0000-00002A000000}"/>
            </a:ext>
          </a:extLst>
        </xdr:cNvPr>
        <xdr:cNvSpPr/>
      </xdr:nvSpPr>
      <xdr:spPr>
        <a:xfrm rot="5400000">
          <a:off x="3709757" y="93402873"/>
          <a:ext cx="1109599"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Bldg No.4</a:t>
          </a:r>
        </a:p>
      </xdr:txBody>
    </xdr:sp>
    <xdr:clientData/>
  </xdr:twoCellAnchor>
  <xdr:twoCellAnchor>
    <xdr:from>
      <xdr:col>3</xdr:col>
      <xdr:colOff>71808</xdr:colOff>
      <xdr:row>405</xdr:row>
      <xdr:rowOff>75245</xdr:rowOff>
    </xdr:from>
    <xdr:to>
      <xdr:col>5</xdr:col>
      <xdr:colOff>239372</xdr:colOff>
      <xdr:row>407</xdr:row>
      <xdr:rowOff>41165</xdr:rowOff>
    </xdr:to>
    <xdr:sp macro="" textlink="">
      <xdr:nvSpPr>
        <xdr:cNvPr id="43" name="Rectangle 42">
          <a:extLst>
            <a:ext uri="{FF2B5EF4-FFF2-40B4-BE49-F238E27FC236}">
              <a16:creationId xmlns:a16="http://schemas.microsoft.com/office/drawing/2014/main" xmlns="" id="{00000000-0008-0000-0000-00002B000000}"/>
            </a:ext>
          </a:extLst>
        </xdr:cNvPr>
        <xdr:cNvSpPr/>
      </xdr:nvSpPr>
      <xdr:spPr>
        <a:xfrm>
          <a:off x="2615543" y="91033392"/>
          <a:ext cx="1747594"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No.1&amp;2</a:t>
          </a:r>
        </a:p>
      </xdr:txBody>
    </xdr:sp>
    <xdr:clientData/>
  </xdr:twoCellAnchor>
  <xdr:twoCellAnchor>
    <xdr:from>
      <xdr:col>8</xdr:col>
      <xdr:colOff>569818</xdr:colOff>
      <xdr:row>241</xdr:row>
      <xdr:rowOff>174251</xdr:rowOff>
    </xdr:from>
    <xdr:to>
      <xdr:col>12</xdr:col>
      <xdr:colOff>173131</xdr:colOff>
      <xdr:row>243</xdr:row>
      <xdr:rowOff>174253</xdr:rowOff>
    </xdr:to>
    <xdr:sp macro="" textlink="">
      <xdr:nvSpPr>
        <xdr:cNvPr id="67" name="Rectangle 66">
          <a:extLst>
            <a:ext uri="{FF2B5EF4-FFF2-40B4-BE49-F238E27FC236}">
              <a16:creationId xmlns:a16="http://schemas.microsoft.com/office/drawing/2014/main" xmlns="" id="{00000000-0008-0000-0000-000043000000}"/>
            </a:ext>
          </a:extLst>
        </xdr:cNvPr>
        <xdr:cNvSpPr/>
      </xdr:nvSpPr>
      <xdr:spPr>
        <a:xfrm>
          <a:off x="6846793" y="57105176"/>
          <a:ext cx="2041713" cy="400052"/>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FF00"/>
              </a:solidFill>
            </a:rPr>
            <a:t>Building No. 3</a:t>
          </a:r>
          <a:endParaRPr lang="en-IN" sz="1600">
            <a:solidFill>
              <a:srgbClr val="FFFF00"/>
            </a:solidFill>
          </a:endParaRPr>
        </a:p>
      </xdr:txBody>
    </xdr:sp>
    <xdr:clientData/>
  </xdr:twoCellAnchor>
  <xdr:twoCellAnchor editAs="oneCell">
    <xdr:from>
      <xdr:col>16</xdr:col>
      <xdr:colOff>5684</xdr:colOff>
      <xdr:row>392</xdr:row>
      <xdr:rowOff>44817</xdr:rowOff>
    </xdr:from>
    <xdr:to>
      <xdr:col>18</xdr:col>
      <xdr:colOff>93334</xdr:colOff>
      <xdr:row>401</xdr:row>
      <xdr:rowOff>73167</xdr:rowOff>
    </xdr:to>
    <xdr:pic>
      <xdr:nvPicPr>
        <xdr:cNvPr id="35" name="Picture 34">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1302334" y="90418017"/>
          <a:ext cx="1306850" cy="1828575"/>
        </a:xfrm>
        <a:prstGeom prst="rect">
          <a:avLst/>
        </a:prstGeom>
        <a:ln>
          <a:solidFill>
            <a:schemeClr val="tx1"/>
          </a:solidFill>
        </a:ln>
      </xdr:spPr>
    </xdr:pic>
    <xdr:clientData/>
  </xdr:twoCellAnchor>
  <xdr:twoCellAnchor editAs="oneCell">
    <xdr:from>
      <xdr:col>8</xdr:col>
      <xdr:colOff>203200</xdr:colOff>
      <xdr:row>377</xdr:row>
      <xdr:rowOff>154171</xdr:rowOff>
    </xdr:from>
    <xdr:to>
      <xdr:col>11</xdr:col>
      <xdr:colOff>353700</xdr:colOff>
      <xdr:row>391</xdr:row>
      <xdr:rowOff>140621</xdr:rowOff>
    </xdr:to>
    <xdr:pic>
      <xdr:nvPicPr>
        <xdr:cNvPr id="45" name="Picture 44">
          <a:extLst>
            <a:ext uri="{FF2B5EF4-FFF2-40B4-BE49-F238E27FC236}">
              <a16:creationId xmlns:a16="http://schemas.microsoft.com/office/drawing/2014/main" xmlns="" id="{00000000-0008-0000-0000-00002D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480175" y="87536521"/>
          <a:ext cx="1979300" cy="2777275"/>
        </a:xfrm>
        <a:prstGeom prst="rect">
          <a:avLst/>
        </a:prstGeom>
        <a:ln>
          <a:solidFill>
            <a:schemeClr val="tx1"/>
          </a:solidFill>
        </a:ln>
      </xdr:spPr>
    </xdr:pic>
    <xdr:clientData/>
  </xdr:twoCellAnchor>
  <xdr:twoCellAnchor editAs="oneCell">
    <xdr:from>
      <xdr:col>10</xdr:col>
      <xdr:colOff>471182</xdr:colOff>
      <xdr:row>392</xdr:row>
      <xdr:rowOff>44817</xdr:rowOff>
    </xdr:from>
    <xdr:to>
      <xdr:col>13</xdr:col>
      <xdr:colOff>361732</xdr:colOff>
      <xdr:row>401</xdr:row>
      <xdr:rowOff>73167</xdr:rowOff>
    </xdr:to>
    <xdr:pic>
      <xdr:nvPicPr>
        <xdr:cNvPr id="46" name="Picture 45">
          <a:extLst>
            <a:ext uri="{FF2B5EF4-FFF2-40B4-BE49-F238E27FC236}">
              <a16:creationId xmlns:a16="http://schemas.microsoft.com/office/drawing/2014/main" xmlns="" id="{00000000-0008-0000-0000-00002E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7967357" y="90418017"/>
          <a:ext cx="1862225" cy="1828575"/>
        </a:xfrm>
        <a:prstGeom prst="rect">
          <a:avLst/>
        </a:prstGeom>
        <a:ln>
          <a:solidFill>
            <a:schemeClr val="tx1"/>
          </a:solidFill>
        </a:ln>
      </xdr:spPr>
    </xdr:pic>
    <xdr:clientData/>
  </xdr:twoCellAnchor>
  <xdr:twoCellAnchor editAs="oneCell">
    <xdr:from>
      <xdr:col>13</xdr:col>
      <xdr:colOff>460558</xdr:colOff>
      <xdr:row>392</xdr:row>
      <xdr:rowOff>44817</xdr:rowOff>
    </xdr:from>
    <xdr:to>
      <xdr:col>15</xdr:col>
      <xdr:colOff>516458</xdr:colOff>
      <xdr:row>401</xdr:row>
      <xdr:rowOff>73167</xdr:rowOff>
    </xdr:to>
    <xdr:pic>
      <xdr:nvPicPr>
        <xdr:cNvPr id="47" name="Picture 46">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9928408" y="90418017"/>
          <a:ext cx="1275100" cy="1828575"/>
        </a:xfrm>
        <a:prstGeom prst="rect">
          <a:avLst/>
        </a:prstGeom>
        <a:ln>
          <a:solidFill>
            <a:schemeClr val="tx1"/>
          </a:solidFill>
        </a:ln>
      </xdr:spPr>
    </xdr:pic>
    <xdr:clientData/>
  </xdr:twoCellAnchor>
  <xdr:twoCellAnchor editAs="oneCell">
    <xdr:from>
      <xdr:col>15</xdr:col>
      <xdr:colOff>16917</xdr:colOff>
      <xdr:row>363</xdr:row>
      <xdr:rowOff>60325</xdr:rowOff>
    </xdr:from>
    <xdr:to>
      <xdr:col>18</xdr:col>
      <xdr:colOff>157892</xdr:colOff>
      <xdr:row>377</xdr:row>
      <xdr:rowOff>53125</xdr:rowOff>
    </xdr:to>
    <xdr:pic>
      <xdr:nvPicPr>
        <xdr:cNvPr id="48" name="Picture 47">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0703967" y="84661375"/>
          <a:ext cx="1969775" cy="2774100"/>
        </a:xfrm>
        <a:prstGeom prst="rect">
          <a:avLst/>
        </a:prstGeom>
        <a:ln>
          <a:solidFill>
            <a:schemeClr val="tx1"/>
          </a:solidFill>
        </a:ln>
      </xdr:spPr>
    </xdr:pic>
    <xdr:clientData/>
  </xdr:twoCellAnchor>
  <xdr:twoCellAnchor editAs="oneCell">
    <xdr:from>
      <xdr:col>8</xdr:col>
      <xdr:colOff>203200</xdr:colOff>
      <xdr:row>363</xdr:row>
      <xdr:rowOff>60325</xdr:rowOff>
    </xdr:from>
    <xdr:to>
      <xdr:col>11</xdr:col>
      <xdr:colOff>353700</xdr:colOff>
      <xdr:row>377</xdr:row>
      <xdr:rowOff>53125</xdr:rowOff>
    </xdr:to>
    <xdr:pic>
      <xdr:nvPicPr>
        <xdr:cNvPr id="49" name="Picture 48">
          <a:extLst>
            <a:ext uri="{FF2B5EF4-FFF2-40B4-BE49-F238E27FC236}">
              <a16:creationId xmlns:a16="http://schemas.microsoft.com/office/drawing/2014/main" xmlns="" id="{00000000-0008-0000-0000-000031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6480175" y="84661375"/>
          <a:ext cx="1979300" cy="2774100"/>
        </a:xfrm>
        <a:prstGeom prst="rect">
          <a:avLst/>
        </a:prstGeom>
        <a:ln>
          <a:solidFill>
            <a:schemeClr val="tx1"/>
          </a:solidFill>
        </a:ln>
      </xdr:spPr>
    </xdr:pic>
    <xdr:clientData/>
  </xdr:twoCellAnchor>
  <xdr:twoCellAnchor editAs="oneCell">
    <xdr:from>
      <xdr:col>11</xdr:col>
      <xdr:colOff>505346</xdr:colOff>
      <xdr:row>363</xdr:row>
      <xdr:rowOff>60325</xdr:rowOff>
    </xdr:from>
    <xdr:to>
      <xdr:col>14</xdr:col>
      <xdr:colOff>474871</xdr:colOff>
      <xdr:row>377</xdr:row>
      <xdr:rowOff>53125</xdr:rowOff>
    </xdr:to>
    <xdr:pic>
      <xdr:nvPicPr>
        <xdr:cNvPr id="50" name="Picture 49">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8611121" y="84661375"/>
          <a:ext cx="1941200" cy="2774100"/>
        </a:xfrm>
        <a:prstGeom prst="rect">
          <a:avLst/>
        </a:prstGeom>
        <a:ln>
          <a:solidFill>
            <a:schemeClr val="tx1"/>
          </a:solidFill>
        </a:ln>
      </xdr:spPr>
    </xdr:pic>
    <xdr:clientData/>
  </xdr:twoCellAnchor>
  <xdr:twoCellAnchor editAs="oneCell">
    <xdr:from>
      <xdr:col>8</xdr:col>
      <xdr:colOff>278356</xdr:colOff>
      <xdr:row>392</xdr:row>
      <xdr:rowOff>44817</xdr:rowOff>
    </xdr:from>
    <xdr:to>
      <xdr:col>10</xdr:col>
      <xdr:colOff>372356</xdr:colOff>
      <xdr:row>401</xdr:row>
      <xdr:rowOff>73167</xdr:rowOff>
    </xdr:to>
    <xdr:pic>
      <xdr:nvPicPr>
        <xdr:cNvPr id="51" name="Picture 50">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6555331" y="90418017"/>
          <a:ext cx="1313200" cy="1828575"/>
        </a:xfrm>
        <a:prstGeom prst="rect">
          <a:avLst/>
        </a:prstGeom>
        <a:ln>
          <a:solidFill>
            <a:schemeClr val="tx1"/>
          </a:solidFill>
        </a:ln>
      </xdr:spPr>
    </xdr:pic>
    <xdr:clientData/>
  </xdr:twoCellAnchor>
  <xdr:twoCellAnchor editAs="oneCell">
    <xdr:from>
      <xdr:col>15</xdr:col>
      <xdr:colOff>16917</xdr:colOff>
      <xdr:row>377</xdr:row>
      <xdr:rowOff>154171</xdr:rowOff>
    </xdr:from>
    <xdr:to>
      <xdr:col>18</xdr:col>
      <xdr:colOff>157892</xdr:colOff>
      <xdr:row>391</xdr:row>
      <xdr:rowOff>140621</xdr:rowOff>
    </xdr:to>
    <xdr:pic>
      <xdr:nvPicPr>
        <xdr:cNvPr id="52" name="Picture 51">
          <a:extLst>
            <a:ext uri="{FF2B5EF4-FFF2-40B4-BE49-F238E27FC236}">
              <a16:creationId xmlns:a16="http://schemas.microsoft.com/office/drawing/2014/main" xmlns="" id="{00000000-0008-0000-0000-000034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0703967" y="87536521"/>
          <a:ext cx="1969775" cy="2777275"/>
        </a:xfrm>
        <a:prstGeom prst="rect">
          <a:avLst/>
        </a:prstGeom>
        <a:ln>
          <a:solidFill>
            <a:schemeClr val="tx1"/>
          </a:solidFill>
        </a:ln>
      </xdr:spPr>
    </xdr:pic>
    <xdr:clientData/>
  </xdr:twoCellAnchor>
  <xdr:twoCellAnchor editAs="oneCell">
    <xdr:from>
      <xdr:col>11</xdr:col>
      <xdr:colOff>505346</xdr:colOff>
      <xdr:row>377</xdr:row>
      <xdr:rowOff>154171</xdr:rowOff>
    </xdr:from>
    <xdr:to>
      <xdr:col>14</xdr:col>
      <xdr:colOff>474871</xdr:colOff>
      <xdr:row>391</xdr:row>
      <xdr:rowOff>140621</xdr:rowOff>
    </xdr:to>
    <xdr:pic>
      <xdr:nvPicPr>
        <xdr:cNvPr id="53" name="Picture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8611121" y="87536521"/>
          <a:ext cx="1941200" cy="2777275"/>
        </a:xfrm>
        <a:prstGeom prst="rect">
          <a:avLst/>
        </a:prstGeom>
        <a:ln>
          <a:solidFill>
            <a:schemeClr val="tx1"/>
          </a:solidFill>
        </a:ln>
      </xdr:spPr>
    </xdr:pic>
    <xdr:clientData/>
  </xdr:twoCellAnchor>
  <xdr:twoCellAnchor>
    <xdr:from>
      <xdr:col>10</xdr:col>
      <xdr:colOff>247650</xdr:colOff>
      <xdr:row>363</xdr:row>
      <xdr:rowOff>171450</xdr:rowOff>
    </xdr:from>
    <xdr:to>
      <xdr:col>11</xdr:col>
      <xdr:colOff>536575</xdr:colOff>
      <xdr:row>365</xdr:row>
      <xdr:rowOff>120650</xdr:rowOff>
    </xdr:to>
    <xdr:sp macro="" textlink="">
      <xdr:nvSpPr>
        <xdr:cNvPr id="54" name="Rectangle 53">
          <a:extLst>
            <a:ext uri="{FF2B5EF4-FFF2-40B4-BE49-F238E27FC236}">
              <a16:creationId xmlns:a16="http://schemas.microsoft.com/office/drawing/2014/main" xmlns="" id="{00000000-0008-0000-0000-000036000000}"/>
            </a:ext>
          </a:extLst>
        </xdr:cNvPr>
        <xdr:cNvSpPr/>
      </xdr:nvSpPr>
      <xdr:spPr>
        <a:xfrm>
          <a:off x="7743825" y="84772500"/>
          <a:ext cx="898525" cy="349250"/>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Building No. 3</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clientData/>
  </xdr:twoCellAnchor>
  <xdr:twoCellAnchor>
    <xdr:from>
      <xdr:col>11</xdr:col>
      <xdr:colOff>489471</xdr:colOff>
      <xdr:row>363</xdr:row>
      <xdr:rowOff>88900</xdr:rowOff>
    </xdr:from>
    <xdr:to>
      <xdr:col>13</xdr:col>
      <xdr:colOff>22746</xdr:colOff>
      <xdr:row>366</xdr:row>
      <xdr:rowOff>41275</xdr:rowOff>
    </xdr:to>
    <xdr:sp macro="" textlink="">
      <xdr:nvSpPr>
        <xdr:cNvPr id="55" name="Rectangle 54">
          <a:extLst>
            <a:ext uri="{FF2B5EF4-FFF2-40B4-BE49-F238E27FC236}">
              <a16:creationId xmlns:a16="http://schemas.microsoft.com/office/drawing/2014/main" xmlns="" id="{00000000-0008-0000-0000-000037000000}"/>
            </a:ext>
          </a:extLst>
        </xdr:cNvPr>
        <xdr:cNvSpPr/>
      </xdr:nvSpPr>
      <xdr:spPr>
        <a:xfrm>
          <a:off x="8595246" y="84689950"/>
          <a:ext cx="895350" cy="552450"/>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Building No. 4</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clientData/>
  </xdr:twoCellAnchor>
  <xdr:twoCellAnchor>
    <xdr:from>
      <xdr:col>15</xdr:col>
      <xdr:colOff>7392</xdr:colOff>
      <xdr:row>363</xdr:row>
      <xdr:rowOff>165100</xdr:rowOff>
    </xdr:from>
    <xdr:to>
      <xdr:col>17</xdr:col>
      <xdr:colOff>9525</xdr:colOff>
      <xdr:row>365</xdr:row>
      <xdr:rowOff>114300</xdr:rowOff>
    </xdr:to>
    <xdr:sp macro="" textlink="">
      <xdr:nvSpPr>
        <xdr:cNvPr id="56" name="Rectangle 55">
          <a:extLst>
            <a:ext uri="{FF2B5EF4-FFF2-40B4-BE49-F238E27FC236}">
              <a16:creationId xmlns:a16="http://schemas.microsoft.com/office/drawing/2014/main" xmlns="" id="{00000000-0008-0000-0000-000038000000}"/>
            </a:ext>
          </a:extLst>
        </xdr:cNvPr>
        <xdr:cNvSpPr/>
      </xdr:nvSpPr>
      <xdr:spPr>
        <a:xfrm>
          <a:off x="10694442" y="84766150"/>
          <a:ext cx="1221333" cy="349250"/>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Building No. 1</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clientData/>
  </xdr:twoCellAnchor>
  <xdr:twoCellAnchor>
    <xdr:from>
      <xdr:col>8</xdr:col>
      <xdr:colOff>196850</xdr:colOff>
      <xdr:row>377</xdr:row>
      <xdr:rowOff>166871</xdr:rowOff>
    </xdr:from>
    <xdr:to>
      <xdr:col>9</xdr:col>
      <xdr:colOff>473075</xdr:colOff>
      <xdr:row>380</xdr:row>
      <xdr:rowOff>133350</xdr:rowOff>
    </xdr:to>
    <xdr:sp macro="" textlink="">
      <xdr:nvSpPr>
        <xdr:cNvPr id="57" name="Rectangle 56">
          <a:extLst>
            <a:ext uri="{FF2B5EF4-FFF2-40B4-BE49-F238E27FC236}">
              <a16:creationId xmlns:a16="http://schemas.microsoft.com/office/drawing/2014/main" xmlns="" id="{00000000-0008-0000-0000-000039000000}"/>
            </a:ext>
          </a:extLst>
        </xdr:cNvPr>
        <xdr:cNvSpPr/>
      </xdr:nvSpPr>
      <xdr:spPr>
        <a:xfrm>
          <a:off x="6473825" y="87749246"/>
          <a:ext cx="885825" cy="557029"/>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Building No. 2</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clientData/>
  </xdr:twoCellAnchor>
  <xdr:twoCellAnchor>
    <xdr:from>
      <xdr:col>8</xdr:col>
      <xdr:colOff>377825</xdr:colOff>
      <xdr:row>360</xdr:row>
      <xdr:rowOff>41275</xdr:rowOff>
    </xdr:from>
    <xdr:to>
      <xdr:col>18</xdr:col>
      <xdr:colOff>371144</xdr:colOff>
      <xdr:row>397</xdr:row>
      <xdr:rowOff>86917</xdr:rowOff>
    </xdr:to>
    <xdr:grpSp>
      <xdr:nvGrpSpPr>
        <xdr:cNvPr id="2" name="Group 1">
          <a:extLst>
            <a:ext uri="{FF2B5EF4-FFF2-40B4-BE49-F238E27FC236}">
              <a16:creationId xmlns:a16="http://schemas.microsoft.com/office/drawing/2014/main" xmlns="" id="{00000000-0008-0000-0000-000002000000}"/>
            </a:ext>
          </a:extLst>
        </xdr:cNvPr>
        <xdr:cNvGrpSpPr/>
      </xdr:nvGrpSpPr>
      <xdr:grpSpPr>
        <a:xfrm>
          <a:off x="6654800" y="78908275"/>
          <a:ext cx="6232194" cy="7417992"/>
          <a:chOff x="63500" y="75946000"/>
          <a:chExt cx="6527469" cy="7310042"/>
        </a:xfrm>
      </xdr:grpSpPr>
      <xdr:pic>
        <xdr:nvPicPr>
          <xdr:cNvPr id="64" name="Picture 63">
            <a:extLst>
              <a:ext uri="{FF2B5EF4-FFF2-40B4-BE49-F238E27FC236}">
                <a16:creationId xmlns:a16="http://schemas.microsoft.com/office/drawing/2014/main" xmlns="" id="{00000000-0008-0000-0000-000040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468892" y="81096042"/>
            <a:ext cx="1617750" cy="2160000"/>
          </a:xfrm>
          <a:prstGeom prst="rect">
            <a:avLst/>
          </a:prstGeom>
          <a:ln>
            <a:solidFill>
              <a:schemeClr val="tx1"/>
            </a:solidFill>
          </a:ln>
        </xdr:spPr>
      </xdr:pic>
      <xdr:pic>
        <xdr:nvPicPr>
          <xdr:cNvPr id="65" name="Picture 64">
            <a:extLst>
              <a:ext uri="{FF2B5EF4-FFF2-40B4-BE49-F238E27FC236}">
                <a16:creationId xmlns:a16="http://schemas.microsoft.com/office/drawing/2014/main" xmlns="" id="{00000000-0008-0000-0000-000041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839767" y="78812196"/>
            <a:ext cx="2876000" cy="2160000"/>
          </a:xfrm>
          <a:prstGeom prst="rect">
            <a:avLst/>
          </a:prstGeom>
          <a:ln>
            <a:solidFill>
              <a:schemeClr val="tx1"/>
            </a:solidFill>
          </a:ln>
        </xdr:spPr>
      </xdr:pic>
      <xdr:pic>
        <xdr:nvPicPr>
          <xdr:cNvPr id="66" name="Picture 65">
            <a:extLst>
              <a:ext uri="{FF2B5EF4-FFF2-40B4-BE49-F238E27FC236}">
                <a16:creationId xmlns:a16="http://schemas.microsoft.com/office/drawing/2014/main" xmlns="" id="{00000000-0008-0000-0000-000042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4874284" y="78812196"/>
            <a:ext cx="1617750" cy="2160000"/>
          </a:xfrm>
          <a:prstGeom prst="rect">
            <a:avLst/>
          </a:prstGeom>
          <a:ln>
            <a:solidFill>
              <a:schemeClr val="tx1"/>
            </a:solidFill>
          </a:ln>
        </xdr:spPr>
      </xdr:pic>
      <xdr:pic>
        <xdr:nvPicPr>
          <xdr:cNvPr id="68" name="Picture 67">
            <a:extLst>
              <a:ext uri="{FF2B5EF4-FFF2-40B4-BE49-F238E27FC236}">
                <a16:creationId xmlns:a16="http://schemas.microsoft.com/office/drawing/2014/main" xmlns="" id="{00000000-0008-0000-0000-000044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265718" y="75952350"/>
            <a:ext cx="2049150" cy="2736000"/>
          </a:xfrm>
          <a:prstGeom prst="rect">
            <a:avLst/>
          </a:prstGeom>
          <a:ln>
            <a:solidFill>
              <a:schemeClr val="tx1"/>
            </a:solidFill>
          </a:ln>
        </xdr:spPr>
      </xdr:pic>
      <xdr:pic>
        <xdr:nvPicPr>
          <xdr:cNvPr id="69" name="Picture 68">
            <a:extLst>
              <a:ext uri="{FF2B5EF4-FFF2-40B4-BE49-F238E27FC236}">
                <a16:creationId xmlns:a16="http://schemas.microsoft.com/office/drawing/2014/main" xmlns="" id="{00000000-0008-0000-0000-000045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467936" y="75952350"/>
            <a:ext cx="2049150" cy="2736000"/>
          </a:xfrm>
          <a:prstGeom prst="rect">
            <a:avLst/>
          </a:prstGeom>
          <a:ln>
            <a:solidFill>
              <a:schemeClr val="tx1"/>
            </a:solidFill>
          </a:ln>
        </xdr:spPr>
      </xdr:pic>
      <xdr:pic>
        <xdr:nvPicPr>
          <xdr:cNvPr id="70" name="Picture 69">
            <a:extLst>
              <a:ext uri="{FF2B5EF4-FFF2-40B4-BE49-F238E27FC236}">
                <a16:creationId xmlns:a16="http://schemas.microsoft.com/office/drawing/2014/main" xmlns="" id="{00000000-0008-0000-0000-000046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63500" y="78812196"/>
            <a:ext cx="1617750" cy="2160000"/>
          </a:xfrm>
          <a:prstGeom prst="rect">
            <a:avLst/>
          </a:prstGeom>
          <a:ln>
            <a:solidFill>
              <a:schemeClr val="tx1"/>
            </a:solidFill>
          </a:ln>
        </xdr:spPr>
      </xdr:pic>
      <xdr:pic>
        <xdr:nvPicPr>
          <xdr:cNvPr id="71" name="Picture 70">
            <a:extLst>
              <a:ext uri="{FF2B5EF4-FFF2-40B4-BE49-F238E27FC236}">
                <a16:creationId xmlns:a16="http://schemas.microsoft.com/office/drawing/2014/main" xmlns="" id="{00000000-0008-0000-0000-000047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63500" y="75952350"/>
            <a:ext cx="2049150" cy="2736000"/>
          </a:xfrm>
          <a:prstGeom prst="rect">
            <a:avLst/>
          </a:prstGeom>
          <a:ln>
            <a:solidFill>
              <a:schemeClr val="tx1"/>
            </a:solidFill>
          </a:ln>
        </xdr:spPr>
      </xdr:pic>
      <xdr:sp macro="" textlink="">
        <xdr:nvSpPr>
          <xdr:cNvPr id="72" name="Rectangle 71">
            <a:extLst>
              <a:ext uri="{FF2B5EF4-FFF2-40B4-BE49-F238E27FC236}">
                <a16:creationId xmlns:a16="http://schemas.microsoft.com/office/drawing/2014/main" xmlns="" id="{00000000-0008-0000-0000-000048000000}"/>
              </a:ext>
            </a:extLst>
          </xdr:cNvPr>
          <xdr:cNvSpPr/>
        </xdr:nvSpPr>
        <xdr:spPr>
          <a:xfrm>
            <a:off x="514350" y="77774800"/>
            <a:ext cx="1250950" cy="542925"/>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rgbClr val="FFFF00"/>
                </a:solidFill>
                <a:effectLst>
                  <a:outerShdw blurRad="38100" dist="25400" dir="5400000" algn="ctr" rotWithShape="0">
                    <a:srgbClr val="6E747A">
                      <a:alpha val="43000"/>
                    </a:srgbClr>
                  </a:outerShdw>
                </a:effectLst>
              </a:rPr>
              <a:t>Building No. 4</a:t>
            </a:r>
            <a:endParaRPr lang="en-IN" sz="1400" b="0" cap="none" spc="0">
              <a:ln w="0"/>
              <a:solidFill>
                <a:srgbClr val="FFFF00"/>
              </a:solidFill>
              <a:effectLst>
                <a:outerShdw blurRad="38100" dist="25400" dir="5400000" algn="ctr" rotWithShape="0">
                  <a:srgbClr val="6E747A">
                    <a:alpha val="43000"/>
                  </a:srgbClr>
                </a:outerShdw>
              </a:effectLst>
            </a:endParaRPr>
          </a:p>
        </xdr:txBody>
      </xdr:sp>
      <xdr:sp macro="" textlink="">
        <xdr:nvSpPr>
          <xdr:cNvPr id="73" name="Rectangle 72">
            <a:extLst>
              <a:ext uri="{FF2B5EF4-FFF2-40B4-BE49-F238E27FC236}">
                <a16:creationId xmlns:a16="http://schemas.microsoft.com/office/drawing/2014/main" xmlns="" id="{00000000-0008-0000-0000-000049000000}"/>
              </a:ext>
            </a:extLst>
          </xdr:cNvPr>
          <xdr:cNvSpPr/>
        </xdr:nvSpPr>
        <xdr:spPr>
          <a:xfrm>
            <a:off x="2265718" y="75952350"/>
            <a:ext cx="1284833" cy="342900"/>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Building No. 1</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74" name="Rectangle 73">
            <a:extLst>
              <a:ext uri="{FF2B5EF4-FFF2-40B4-BE49-F238E27FC236}">
                <a16:creationId xmlns:a16="http://schemas.microsoft.com/office/drawing/2014/main" xmlns="" id="{00000000-0008-0000-0000-00004A000000}"/>
              </a:ext>
            </a:extLst>
          </xdr:cNvPr>
          <xdr:cNvSpPr/>
        </xdr:nvSpPr>
        <xdr:spPr>
          <a:xfrm>
            <a:off x="5306136" y="75946000"/>
            <a:ext cx="1284833" cy="342900"/>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Building No. 2</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75" name="Rectangle 74">
            <a:extLst>
              <a:ext uri="{FF2B5EF4-FFF2-40B4-BE49-F238E27FC236}">
                <a16:creationId xmlns:a16="http://schemas.microsoft.com/office/drawing/2014/main" xmlns="" id="{00000000-0008-0000-0000-00004B000000}"/>
              </a:ext>
            </a:extLst>
          </xdr:cNvPr>
          <xdr:cNvSpPr/>
        </xdr:nvSpPr>
        <xdr:spPr>
          <a:xfrm>
            <a:off x="977901" y="78793146"/>
            <a:ext cx="971550" cy="342900"/>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Building No. 3</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grpSp>
    <xdr:clientData/>
  </xdr:twoCellAnchor>
  <xdr:twoCellAnchor>
    <xdr:from>
      <xdr:col>0</xdr:col>
      <xdr:colOff>304800</xdr:colOff>
      <xdr:row>362</xdr:row>
      <xdr:rowOff>152400</xdr:rowOff>
    </xdr:from>
    <xdr:to>
      <xdr:col>7</xdr:col>
      <xdr:colOff>454942</xdr:colOff>
      <xdr:row>400</xdr:row>
      <xdr:rowOff>77343</xdr:rowOff>
    </xdr:to>
    <xdr:grpSp>
      <xdr:nvGrpSpPr>
        <xdr:cNvPr id="44" name="Group 43">
          <a:extLst>
            <a:ext uri="{FF2B5EF4-FFF2-40B4-BE49-F238E27FC236}">
              <a16:creationId xmlns:a16="http://schemas.microsoft.com/office/drawing/2014/main" xmlns="" id="{E745B493-A263-4891-8AEF-2886CFBC0F09}"/>
            </a:ext>
          </a:extLst>
        </xdr:cNvPr>
        <xdr:cNvGrpSpPr/>
      </xdr:nvGrpSpPr>
      <xdr:grpSpPr>
        <a:xfrm>
          <a:off x="304800" y="79419450"/>
          <a:ext cx="5569867" cy="7497318"/>
          <a:chOff x="536492" y="233083"/>
          <a:chExt cx="5569867" cy="7497318"/>
        </a:xfrm>
      </xdr:grpSpPr>
      <xdr:grpSp>
        <xdr:nvGrpSpPr>
          <xdr:cNvPr id="58" name="Group 57">
            <a:extLst>
              <a:ext uri="{FF2B5EF4-FFF2-40B4-BE49-F238E27FC236}">
                <a16:creationId xmlns:a16="http://schemas.microsoft.com/office/drawing/2014/main" xmlns="" id="{9CFD8085-CE8C-408B-8721-F3A1508955BC}"/>
              </a:ext>
            </a:extLst>
          </xdr:cNvPr>
          <xdr:cNvGrpSpPr/>
        </xdr:nvGrpSpPr>
        <xdr:grpSpPr>
          <a:xfrm>
            <a:off x="536492" y="233083"/>
            <a:ext cx="5569867" cy="7497318"/>
            <a:chOff x="536492" y="233083"/>
            <a:chExt cx="5569867" cy="7497318"/>
          </a:xfrm>
        </xdr:grpSpPr>
        <xdr:pic>
          <xdr:nvPicPr>
            <xdr:cNvPr id="76" name="Picture 75">
              <a:extLst>
                <a:ext uri="{FF2B5EF4-FFF2-40B4-BE49-F238E27FC236}">
                  <a16:creationId xmlns:a16="http://schemas.microsoft.com/office/drawing/2014/main" xmlns="" id="{E9EDB803-2BF7-44F3-9767-7CA985427435}"/>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536493" y="233083"/>
              <a:ext cx="2683510" cy="3240000"/>
            </a:xfrm>
            <a:prstGeom prst="rect">
              <a:avLst/>
            </a:prstGeom>
            <a:ln>
              <a:solidFill>
                <a:schemeClr val="tx1"/>
              </a:solidFill>
            </a:ln>
          </xdr:spPr>
        </xdr:pic>
        <xdr:pic>
          <xdr:nvPicPr>
            <xdr:cNvPr id="77" name="Picture 76">
              <a:extLst>
                <a:ext uri="{FF2B5EF4-FFF2-40B4-BE49-F238E27FC236}">
                  <a16:creationId xmlns:a16="http://schemas.microsoft.com/office/drawing/2014/main" xmlns="" id="{285C8379-3B02-4896-93C5-A3FEDE7413BB}"/>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3429000" y="233083"/>
              <a:ext cx="2677359" cy="3240000"/>
            </a:xfrm>
            <a:prstGeom prst="rect">
              <a:avLst/>
            </a:prstGeom>
            <a:ln>
              <a:solidFill>
                <a:schemeClr val="tx1"/>
              </a:solidFill>
            </a:ln>
          </xdr:spPr>
        </xdr:pic>
        <xdr:pic>
          <xdr:nvPicPr>
            <xdr:cNvPr id="78" name="Picture 77">
              <a:extLst>
                <a:ext uri="{FF2B5EF4-FFF2-40B4-BE49-F238E27FC236}">
                  <a16:creationId xmlns:a16="http://schemas.microsoft.com/office/drawing/2014/main" xmlns="" id="{6FFF8F2A-0E6A-4345-B294-8DC527493B27}"/>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2445144" y="3621742"/>
              <a:ext cx="1752563" cy="2340000"/>
            </a:xfrm>
            <a:prstGeom prst="rect">
              <a:avLst/>
            </a:prstGeom>
            <a:ln>
              <a:solidFill>
                <a:schemeClr val="tx1"/>
              </a:solidFill>
            </a:ln>
          </xdr:spPr>
        </xdr:pic>
        <xdr:pic>
          <xdr:nvPicPr>
            <xdr:cNvPr id="79" name="Picture 78">
              <a:extLst>
                <a:ext uri="{FF2B5EF4-FFF2-40B4-BE49-F238E27FC236}">
                  <a16:creationId xmlns:a16="http://schemas.microsoft.com/office/drawing/2014/main" xmlns="" id="{12E9D53E-3B28-4B8E-AC40-D10186523710}"/>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536492" y="3621742"/>
              <a:ext cx="1752563" cy="2340000"/>
            </a:xfrm>
            <a:prstGeom prst="rect">
              <a:avLst/>
            </a:prstGeom>
            <a:ln>
              <a:solidFill>
                <a:schemeClr val="tx1"/>
              </a:solidFill>
            </a:ln>
          </xdr:spPr>
        </xdr:pic>
        <xdr:pic>
          <xdr:nvPicPr>
            <xdr:cNvPr id="80" name="Picture 79">
              <a:extLst>
                <a:ext uri="{FF2B5EF4-FFF2-40B4-BE49-F238E27FC236}">
                  <a16:creationId xmlns:a16="http://schemas.microsoft.com/office/drawing/2014/main" xmlns="" id="{EA2E7BBD-3C22-4A81-A781-67A0A0CE8744}"/>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4353796" y="3621742"/>
              <a:ext cx="1752563" cy="2340000"/>
            </a:xfrm>
            <a:prstGeom prst="rect">
              <a:avLst/>
            </a:prstGeom>
            <a:ln>
              <a:solidFill>
                <a:schemeClr val="tx1"/>
              </a:solidFill>
            </a:ln>
          </xdr:spPr>
        </xdr:pic>
        <xdr:pic>
          <xdr:nvPicPr>
            <xdr:cNvPr id="81" name="Picture 80">
              <a:extLst>
                <a:ext uri="{FF2B5EF4-FFF2-40B4-BE49-F238E27FC236}">
                  <a16:creationId xmlns:a16="http://schemas.microsoft.com/office/drawing/2014/main" xmlns="" id="{8BBF5CC1-C21A-4430-9C0D-11788F09895A}"/>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893658" y="6110401"/>
              <a:ext cx="2157000" cy="1620000"/>
            </a:xfrm>
            <a:prstGeom prst="rect">
              <a:avLst/>
            </a:prstGeom>
            <a:ln>
              <a:solidFill>
                <a:schemeClr val="tx1"/>
              </a:solidFill>
            </a:ln>
          </xdr:spPr>
        </xdr:pic>
        <xdr:pic>
          <xdr:nvPicPr>
            <xdr:cNvPr id="82" name="Picture 81">
              <a:extLst>
                <a:ext uri="{FF2B5EF4-FFF2-40B4-BE49-F238E27FC236}">
                  <a16:creationId xmlns:a16="http://schemas.microsoft.com/office/drawing/2014/main" xmlns="" id="{CF27CF7F-25AD-49B8-8DD5-5CA4F8B7203D}"/>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3179509" y="6110401"/>
              <a:ext cx="1213313" cy="1620000"/>
            </a:xfrm>
            <a:prstGeom prst="rect">
              <a:avLst/>
            </a:prstGeom>
            <a:ln>
              <a:solidFill>
                <a:schemeClr val="tx1"/>
              </a:solidFill>
            </a:ln>
          </xdr:spPr>
        </xdr:pic>
        <xdr:pic>
          <xdr:nvPicPr>
            <xdr:cNvPr id="83" name="Picture 82">
              <a:extLst>
                <a:ext uri="{FF2B5EF4-FFF2-40B4-BE49-F238E27FC236}">
                  <a16:creationId xmlns:a16="http://schemas.microsoft.com/office/drawing/2014/main" xmlns="" id="{AFFF2256-5D7F-4E5D-A009-F93BFCE6C398}"/>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4521673" y="6110401"/>
              <a:ext cx="1213313" cy="1620000"/>
            </a:xfrm>
            <a:prstGeom prst="rect">
              <a:avLst/>
            </a:prstGeom>
            <a:ln>
              <a:solidFill>
                <a:schemeClr val="tx1"/>
              </a:solidFill>
            </a:ln>
          </xdr:spPr>
        </xdr:pic>
      </xdr:grpSp>
      <xdr:sp macro="" textlink="">
        <xdr:nvSpPr>
          <xdr:cNvPr id="59" name="TextBox 56">
            <a:extLst>
              <a:ext uri="{FF2B5EF4-FFF2-40B4-BE49-F238E27FC236}">
                <a16:creationId xmlns:a16="http://schemas.microsoft.com/office/drawing/2014/main" xmlns="" id="{B1798E61-5E46-4516-9C42-F0C1D3FBE50B}"/>
              </a:ext>
            </a:extLst>
          </xdr:cNvPr>
          <xdr:cNvSpPr txBox="1"/>
        </xdr:nvSpPr>
        <xdr:spPr>
          <a:xfrm>
            <a:off x="621319" y="2975486"/>
            <a:ext cx="230383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4 Wing A &amp; B</a:t>
            </a:r>
            <a:endParaRPr lang="en-IN" b="1">
              <a:solidFill>
                <a:srgbClr val="FF0000"/>
              </a:solidFill>
            </a:endParaRPr>
          </a:p>
        </xdr:txBody>
      </xdr:sp>
      <xdr:sp macro="" textlink="">
        <xdr:nvSpPr>
          <xdr:cNvPr id="60" name="TextBox 57">
            <a:extLst>
              <a:ext uri="{FF2B5EF4-FFF2-40B4-BE49-F238E27FC236}">
                <a16:creationId xmlns:a16="http://schemas.microsoft.com/office/drawing/2014/main" xmlns="" id="{1D3E10EE-0A3E-46A1-9A2A-1905F95782FE}"/>
              </a:ext>
            </a:extLst>
          </xdr:cNvPr>
          <xdr:cNvSpPr txBox="1"/>
        </xdr:nvSpPr>
        <xdr:spPr>
          <a:xfrm>
            <a:off x="3615761" y="2664518"/>
            <a:ext cx="230383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4 Wing A &amp; B</a:t>
            </a:r>
            <a:endParaRPr lang="en-IN" b="1">
              <a:solidFill>
                <a:srgbClr val="FF0000"/>
              </a:solidFill>
            </a:endParaRPr>
          </a:p>
        </xdr:txBody>
      </xdr:sp>
      <xdr:sp macro="" textlink="">
        <xdr:nvSpPr>
          <xdr:cNvPr id="61" name="TextBox 58">
            <a:extLst>
              <a:ext uri="{FF2B5EF4-FFF2-40B4-BE49-F238E27FC236}">
                <a16:creationId xmlns:a16="http://schemas.microsoft.com/office/drawing/2014/main" xmlns="" id="{7FAB2E26-70D9-4668-95C7-222E56DAF16F}"/>
              </a:ext>
            </a:extLst>
          </xdr:cNvPr>
          <xdr:cNvSpPr txBox="1"/>
        </xdr:nvSpPr>
        <xdr:spPr>
          <a:xfrm>
            <a:off x="743920" y="5309605"/>
            <a:ext cx="1326004"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1</a:t>
            </a:r>
          </a:p>
          <a:p>
            <a:r>
              <a:rPr lang="en-US" b="1">
                <a:solidFill>
                  <a:srgbClr val="FF0000"/>
                </a:solidFill>
              </a:rPr>
              <a:t> Wing A &amp; B</a:t>
            </a:r>
            <a:endParaRPr lang="en-IN" b="1">
              <a:solidFill>
                <a:srgbClr val="FF0000"/>
              </a:solidFill>
            </a:endParaRPr>
          </a:p>
        </xdr:txBody>
      </xdr:sp>
      <xdr:sp macro="" textlink="">
        <xdr:nvSpPr>
          <xdr:cNvPr id="62" name="TextBox 59">
            <a:extLst>
              <a:ext uri="{FF2B5EF4-FFF2-40B4-BE49-F238E27FC236}">
                <a16:creationId xmlns:a16="http://schemas.microsoft.com/office/drawing/2014/main" xmlns="" id="{575AF225-1340-4733-8F8C-A075E5FAC358}"/>
              </a:ext>
            </a:extLst>
          </xdr:cNvPr>
          <xdr:cNvSpPr txBox="1"/>
        </xdr:nvSpPr>
        <xdr:spPr>
          <a:xfrm>
            <a:off x="2658423" y="5258187"/>
            <a:ext cx="1326004"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2</a:t>
            </a:r>
          </a:p>
          <a:p>
            <a:r>
              <a:rPr lang="en-US" b="1">
                <a:solidFill>
                  <a:srgbClr val="FF0000"/>
                </a:solidFill>
              </a:rPr>
              <a:t> Wing A &amp; B</a:t>
            </a:r>
            <a:endParaRPr lang="en-IN" b="1">
              <a:solidFill>
                <a:srgbClr val="FF0000"/>
              </a:solidFill>
            </a:endParaRPr>
          </a:p>
        </xdr:txBody>
      </xdr:sp>
      <xdr:sp macro="" textlink="">
        <xdr:nvSpPr>
          <xdr:cNvPr id="63" name="TextBox 60">
            <a:extLst>
              <a:ext uri="{FF2B5EF4-FFF2-40B4-BE49-F238E27FC236}">
                <a16:creationId xmlns:a16="http://schemas.microsoft.com/office/drawing/2014/main" xmlns="" id="{720C6FAF-8BFD-42B1-B080-CC876FD8F244}"/>
              </a:ext>
            </a:extLst>
          </xdr:cNvPr>
          <xdr:cNvSpPr txBox="1"/>
        </xdr:nvSpPr>
        <xdr:spPr>
          <a:xfrm>
            <a:off x="4567075" y="5142119"/>
            <a:ext cx="1326004"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No.3</a:t>
            </a:r>
          </a:p>
          <a:p>
            <a:r>
              <a:rPr lang="en-US" b="1">
                <a:solidFill>
                  <a:srgbClr val="FF0000"/>
                </a:solidFill>
              </a:rPr>
              <a:t> Wing A &amp; B</a:t>
            </a:r>
            <a:endParaRPr lang="en-IN"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204612</xdr:colOff>
      <xdr:row>3</xdr:row>
      <xdr:rowOff>0</xdr:rowOff>
    </xdr:from>
    <xdr:to>
      <xdr:col>12</xdr:col>
      <xdr:colOff>303589</xdr:colOff>
      <xdr:row>27</xdr:row>
      <xdr:rowOff>16941</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36588" y="555812"/>
          <a:ext cx="3236625" cy="4320000"/>
        </a:xfrm>
        <a:prstGeom prst="rect">
          <a:avLst/>
        </a:prstGeom>
        <a:ln>
          <a:solidFill>
            <a:schemeClr val="tx1"/>
          </a:solidFill>
        </a:ln>
      </xdr:spPr>
    </xdr:pic>
    <xdr:clientData/>
  </xdr:twoCellAnchor>
  <xdr:twoCellAnchor editAs="oneCell">
    <xdr:from>
      <xdr:col>2</xdr:col>
      <xdr:colOff>0</xdr:colOff>
      <xdr:row>3</xdr:row>
      <xdr:rowOff>0</xdr:rowOff>
    </xdr:from>
    <xdr:to>
      <xdr:col>7</xdr:col>
      <xdr:colOff>98978</xdr:colOff>
      <xdr:row>27</xdr:row>
      <xdr:rowOff>16941</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4329" y="555812"/>
          <a:ext cx="3236625" cy="432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7</xdr:col>
      <xdr:colOff>699720</xdr:colOff>
      <xdr:row>34</xdr:row>
      <xdr:rowOff>98520</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rotWithShape="1">
        <a:blip xmlns:r="http://schemas.openxmlformats.org/officeDocument/2006/relationships" r:embed="rId1"/>
        <a:srcRect t="11866" r="13450" b="11333"/>
        <a:stretch/>
      </xdr:blipFill>
      <xdr:spPr>
        <a:xfrm>
          <a:off x="723900" y="2651760"/>
          <a:ext cx="8655000" cy="4320000"/>
        </a:xfrm>
        <a:prstGeom prst="rect">
          <a:avLst/>
        </a:prstGeom>
        <a:ln>
          <a:solidFill>
            <a:schemeClr val="tx1"/>
          </a:solidFill>
        </a:ln>
      </xdr:spPr>
    </xdr:pic>
    <xdr:clientData/>
  </xdr:twoCellAnchor>
  <xdr:twoCellAnchor editAs="oneCell">
    <xdr:from>
      <xdr:col>1</xdr:col>
      <xdr:colOff>15240</xdr:colOff>
      <xdr:row>35</xdr:row>
      <xdr:rowOff>30480</xdr:rowOff>
    </xdr:from>
    <xdr:to>
      <xdr:col>7</xdr:col>
      <xdr:colOff>41673</xdr:colOff>
      <xdr:row>58</xdr:row>
      <xdr:rowOff>144240</xdr:rowOff>
    </xdr:to>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rotWithShape="1">
        <a:blip xmlns:r="http://schemas.openxmlformats.org/officeDocument/2006/relationships" r:embed="rId2"/>
        <a:srcRect t="11199" r="12700" b="4800"/>
        <a:stretch/>
      </xdr:blipFill>
      <xdr:spPr>
        <a:xfrm>
          <a:off x="739140" y="7086600"/>
          <a:ext cx="7981713" cy="432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fGamf1Dnan48NXnEA"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6"/>
  <sheetViews>
    <sheetView tabSelected="1" view="pageBreakPreview" topLeftCell="A56" zoomScaleNormal="100" zoomScaleSheetLayoutView="100" zoomScalePageLayoutView="85" workbookViewId="0">
      <selection activeCell="H55" sqref="H55"/>
    </sheetView>
  </sheetViews>
  <sheetFormatPr defaultRowHeight="15.75" x14ac:dyDescent="0.25"/>
  <cols>
    <col min="1" max="2" width="11.85546875" style="12" customWidth="1"/>
    <col min="3" max="3" width="11.7109375" style="12" customWidth="1"/>
    <col min="4" max="4" width="11.28515625" style="12" customWidth="1"/>
    <col min="5" max="5" width="10.7109375" style="12" customWidth="1"/>
    <col min="6" max="6" width="11.42578125" style="12" customWidth="1"/>
    <col min="7" max="7" width="12.42578125" style="12" customWidth="1"/>
    <col min="8" max="8" width="12.85546875" style="12" customWidth="1"/>
    <col min="9" max="12" width="9.140625" style="12"/>
    <col min="13" max="13" width="11.28515625" style="12" bestFit="1" customWidth="1"/>
    <col min="14" max="253" width="9.140625" style="12"/>
    <col min="254" max="254" width="8.7109375" style="12" customWidth="1"/>
    <col min="255" max="255" width="9.85546875" style="12" customWidth="1"/>
    <col min="256" max="256" width="14.42578125" style="12" customWidth="1"/>
    <col min="257" max="257" width="7.28515625" style="12" customWidth="1"/>
    <col min="258" max="258" width="5.5703125" style="12" customWidth="1"/>
    <col min="259" max="259" width="9" style="12" customWidth="1"/>
    <col min="260" max="261" width="9.85546875" style="12" customWidth="1"/>
    <col min="262" max="262" width="11.140625" style="12" customWidth="1"/>
    <col min="263" max="263" width="2.85546875" style="12" customWidth="1"/>
    <col min="264" max="264" width="3.5703125" style="12" customWidth="1"/>
    <col min="265" max="509" width="9.140625" style="12"/>
    <col min="510" max="510" width="8.7109375" style="12" customWidth="1"/>
    <col min="511" max="511" width="9.85546875" style="12" customWidth="1"/>
    <col min="512" max="512" width="14.42578125" style="12" customWidth="1"/>
    <col min="513" max="513" width="7.28515625" style="12" customWidth="1"/>
    <col min="514" max="514" width="5.5703125" style="12" customWidth="1"/>
    <col min="515" max="515" width="9" style="12" customWidth="1"/>
    <col min="516" max="517" width="9.85546875" style="12" customWidth="1"/>
    <col min="518" max="518" width="11.140625" style="12" customWidth="1"/>
    <col min="519" max="519" width="2.85546875" style="12" customWidth="1"/>
    <col min="520" max="520" width="3.5703125" style="12" customWidth="1"/>
    <col min="521" max="765" width="9.140625" style="12"/>
    <col min="766" max="766" width="8.7109375" style="12" customWidth="1"/>
    <col min="767" max="767" width="9.85546875" style="12" customWidth="1"/>
    <col min="768" max="768" width="14.42578125" style="12" customWidth="1"/>
    <col min="769" max="769" width="7.28515625" style="12" customWidth="1"/>
    <col min="770" max="770" width="5.5703125" style="12" customWidth="1"/>
    <col min="771" max="771" width="9" style="12" customWidth="1"/>
    <col min="772" max="773" width="9.85546875" style="12" customWidth="1"/>
    <col min="774" max="774" width="11.140625" style="12" customWidth="1"/>
    <col min="775" max="775" width="2.85546875" style="12" customWidth="1"/>
    <col min="776" max="776" width="3.5703125" style="12" customWidth="1"/>
    <col min="777" max="1021" width="9.140625" style="12"/>
    <col min="1022" max="1022" width="8.7109375" style="12" customWidth="1"/>
    <col min="1023" max="1023" width="9.85546875" style="12" customWidth="1"/>
    <col min="1024" max="1024" width="14.42578125" style="12" customWidth="1"/>
    <col min="1025" max="1025" width="7.28515625" style="12" customWidth="1"/>
    <col min="1026" max="1026" width="5.5703125" style="12" customWidth="1"/>
    <col min="1027" max="1027" width="9" style="12" customWidth="1"/>
    <col min="1028" max="1029" width="9.85546875" style="12" customWidth="1"/>
    <col min="1030" max="1030" width="11.140625" style="12" customWidth="1"/>
    <col min="1031" max="1031" width="2.85546875" style="12" customWidth="1"/>
    <col min="1032" max="1032" width="3.5703125" style="12" customWidth="1"/>
    <col min="1033" max="1277" width="9.140625" style="12"/>
    <col min="1278" max="1278" width="8.7109375" style="12" customWidth="1"/>
    <col min="1279" max="1279" width="9.85546875" style="12" customWidth="1"/>
    <col min="1280" max="1280" width="14.42578125" style="12" customWidth="1"/>
    <col min="1281" max="1281" width="7.28515625" style="12" customWidth="1"/>
    <col min="1282" max="1282" width="5.5703125" style="12" customWidth="1"/>
    <col min="1283" max="1283" width="9" style="12" customWidth="1"/>
    <col min="1284" max="1285" width="9.85546875" style="12" customWidth="1"/>
    <col min="1286" max="1286" width="11.140625" style="12" customWidth="1"/>
    <col min="1287" max="1287" width="2.85546875" style="12" customWidth="1"/>
    <col min="1288" max="1288" width="3.5703125" style="12" customWidth="1"/>
    <col min="1289" max="1533" width="9.140625" style="12"/>
    <col min="1534" max="1534" width="8.7109375" style="12" customWidth="1"/>
    <col min="1535" max="1535" width="9.85546875" style="12" customWidth="1"/>
    <col min="1536" max="1536" width="14.42578125" style="12" customWidth="1"/>
    <col min="1537" max="1537" width="7.28515625" style="12" customWidth="1"/>
    <col min="1538" max="1538" width="5.5703125" style="12" customWidth="1"/>
    <col min="1539" max="1539" width="9" style="12" customWidth="1"/>
    <col min="1540" max="1541" width="9.85546875" style="12" customWidth="1"/>
    <col min="1542" max="1542" width="11.140625" style="12" customWidth="1"/>
    <col min="1543" max="1543" width="2.85546875" style="12" customWidth="1"/>
    <col min="1544" max="1544" width="3.5703125" style="12" customWidth="1"/>
    <col min="1545" max="1789" width="9.140625" style="12"/>
    <col min="1790" max="1790" width="8.7109375" style="12" customWidth="1"/>
    <col min="1791" max="1791" width="9.85546875" style="12" customWidth="1"/>
    <col min="1792" max="1792" width="14.42578125" style="12" customWidth="1"/>
    <col min="1793" max="1793" width="7.28515625" style="12" customWidth="1"/>
    <col min="1794" max="1794" width="5.5703125" style="12" customWidth="1"/>
    <col min="1795" max="1795" width="9" style="12" customWidth="1"/>
    <col min="1796" max="1797" width="9.85546875" style="12" customWidth="1"/>
    <col min="1798" max="1798" width="11.140625" style="12" customWidth="1"/>
    <col min="1799" max="1799" width="2.85546875" style="12" customWidth="1"/>
    <col min="1800" max="1800" width="3.5703125" style="12" customWidth="1"/>
    <col min="1801" max="2045" width="9.140625" style="12"/>
    <col min="2046" max="2046" width="8.7109375" style="12" customWidth="1"/>
    <col min="2047" max="2047" width="9.85546875" style="12" customWidth="1"/>
    <col min="2048" max="2048" width="14.42578125" style="12" customWidth="1"/>
    <col min="2049" max="2049" width="7.28515625" style="12" customWidth="1"/>
    <col min="2050" max="2050" width="5.5703125" style="12" customWidth="1"/>
    <col min="2051" max="2051" width="9" style="12" customWidth="1"/>
    <col min="2052" max="2053" width="9.85546875" style="12" customWidth="1"/>
    <col min="2054" max="2054" width="11.140625" style="12" customWidth="1"/>
    <col min="2055" max="2055" width="2.85546875" style="12" customWidth="1"/>
    <col min="2056" max="2056" width="3.5703125" style="12" customWidth="1"/>
    <col min="2057" max="2301" width="9.140625" style="12"/>
    <col min="2302" max="2302" width="8.7109375" style="12" customWidth="1"/>
    <col min="2303" max="2303" width="9.85546875" style="12" customWidth="1"/>
    <col min="2304" max="2304" width="14.42578125" style="12" customWidth="1"/>
    <col min="2305" max="2305" width="7.28515625" style="12" customWidth="1"/>
    <col min="2306" max="2306" width="5.5703125" style="12" customWidth="1"/>
    <col min="2307" max="2307" width="9" style="12" customWidth="1"/>
    <col min="2308" max="2309" width="9.85546875" style="12" customWidth="1"/>
    <col min="2310" max="2310" width="11.140625" style="12" customWidth="1"/>
    <col min="2311" max="2311" width="2.85546875" style="12" customWidth="1"/>
    <col min="2312" max="2312" width="3.5703125" style="12" customWidth="1"/>
    <col min="2313" max="2557" width="9.140625" style="12"/>
    <col min="2558" max="2558" width="8.7109375" style="12" customWidth="1"/>
    <col min="2559" max="2559" width="9.85546875" style="12" customWidth="1"/>
    <col min="2560" max="2560" width="14.42578125" style="12" customWidth="1"/>
    <col min="2561" max="2561" width="7.28515625" style="12" customWidth="1"/>
    <col min="2562" max="2562" width="5.5703125" style="12" customWidth="1"/>
    <col min="2563" max="2563" width="9" style="12" customWidth="1"/>
    <col min="2564" max="2565" width="9.85546875" style="12" customWidth="1"/>
    <col min="2566" max="2566" width="11.140625" style="12" customWidth="1"/>
    <col min="2567" max="2567" width="2.85546875" style="12" customWidth="1"/>
    <col min="2568" max="2568" width="3.5703125" style="12" customWidth="1"/>
    <col min="2569" max="2813" width="9.140625" style="12"/>
    <col min="2814" max="2814" width="8.7109375" style="12" customWidth="1"/>
    <col min="2815" max="2815" width="9.85546875" style="12" customWidth="1"/>
    <col min="2816" max="2816" width="14.42578125" style="12" customWidth="1"/>
    <col min="2817" max="2817" width="7.28515625" style="12" customWidth="1"/>
    <col min="2818" max="2818" width="5.5703125" style="12" customWidth="1"/>
    <col min="2819" max="2819" width="9" style="12" customWidth="1"/>
    <col min="2820" max="2821" width="9.85546875" style="12" customWidth="1"/>
    <col min="2822" max="2822" width="11.140625" style="12" customWidth="1"/>
    <col min="2823" max="2823" width="2.85546875" style="12" customWidth="1"/>
    <col min="2824" max="2824" width="3.5703125" style="12" customWidth="1"/>
    <col min="2825" max="3069" width="9.140625" style="12"/>
    <col min="3070" max="3070" width="8.7109375" style="12" customWidth="1"/>
    <col min="3071" max="3071" width="9.85546875" style="12" customWidth="1"/>
    <col min="3072" max="3072" width="14.42578125" style="12" customWidth="1"/>
    <col min="3073" max="3073" width="7.28515625" style="12" customWidth="1"/>
    <col min="3074" max="3074" width="5.5703125" style="12" customWidth="1"/>
    <col min="3075" max="3075" width="9" style="12" customWidth="1"/>
    <col min="3076" max="3077" width="9.85546875" style="12" customWidth="1"/>
    <col min="3078" max="3078" width="11.140625" style="12" customWidth="1"/>
    <col min="3079" max="3079" width="2.85546875" style="12" customWidth="1"/>
    <col min="3080" max="3080" width="3.5703125" style="12" customWidth="1"/>
    <col min="3081" max="3325" width="9.140625" style="12"/>
    <col min="3326" max="3326" width="8.7109375" style="12" customWidth="1"/>
    <col min="3327" max="3327" width="9.85546875" style="12" customWidth="1"/>
    <col min="3328" max="3328" width="14.42578125" style="12" customWidth="1"/>
    <col min="3329" max="3329" width="7.28515625" style="12" customWidth="1"/>
    <col min="3330" max="3330" width="5.5703125" style="12" customWidth="1"/>
    <col min="3331" max="3331" width="9" style="12" customWidth="1"/>
    <col min="3332" max="3333" width="9.85546875" style="12" customWidth="1"/>
    <col min="3334" max="3334" width="11.140625" style="12" customWidth="1"/>
    <col min="3335" max="3335" width="2.85546875" style="12" customWidth="1"/>
    <col min="3336" max="3336" width="3.5703125" style="12" customWidth="1"/>
    <col min="3337" max="3581" width="9.140625" style="12"/>
    <col min="3582" max="3582" width="8.7109375" style="12" customWidth="1"/>
    <col min="3583" max="3583" width="9.85546875" style="12" customWidth="1"/>
    <col min="3584" max="3584" width="14.42578125" style="12" customWidth="1"/>
    <col min="3585" max="3585" width="7.28515625" style="12" customWidth="1"/>
    <col min="3586" max="3586" width="5.5703125" style="12" customWidth="1"/>
    <col min="3587" max="3587" width="9" style="12" customWidth="1"/>
    <col min="3588" max="3589" width="9.85546875" style="12" customWidth="1"/>
    <col min="3590" max="3590" width="11.140625" style="12" customWidth="1"/>
    <col min="3591" max="3591" width="2.85546875" style="12" customWidth="1"/>
    <col min="3592" max="3592" width="3.5703125" style="12" customWidth="1"/>
    <col min="3593" max="3837" width="9.140625" style="12"/>
    <col min="3838" max="3838" width="8.7109375" style="12" customWidth="1"/>
    <col min="3839" max="3839" width="9.85546875" style="12" customWidth="1"/>
    <col min="3840" max="3840" width="14.42578125" style="12" customWidth="1"/>
    <col min="3841" max="3841" width="7.28515625" style="12" customWidth="1"/>
    <col min="3842" max="3842" width="5.5703125" style="12" customWidth="1"/>
    <col min="3843" max="3843" width="9" style="12" customWidth="1"/>
    <col min="3844" max="3845" width="9.85546875" style="12" customWidth="1"/>
    <col min="3846" max="3846" width="11.140625" style="12" customWidth="1"/>
    <col min="3847" max="3847" width="2.85546875" style="12" customWidth="1"/>
    <col min="3848" max="3848" width="3.5703125" style="12" customWidth="1"/>
    <col min="3849" max="4093" width="9.140625" style="12"/>
    <col min="4094" max="4094" width="8.7109375" style="12" customWidth="1"/>
    <col min="4095" max="4095" width="9.85546875" style="12" customWidth="1"/>
    <col min="4096" max="4096" width="14.42578125" style="12" customWidth="1"/>
    <col min="4097" max="4097" width="7.28515625" style="12" customWidth="1"/>
    <col min="4098" max="4098" width="5.5703125" style="12" customWidth="1"/>
    <col min="4099" max="4099" width="9" style="12" customWidth="1"/>
    <col min="4100" max="4101" width="9.85546875" style="12" customWidth="1"/>
    <col min="4102" max="4102" width="11.140625" style="12" customWidth="1"/>
    <col min="4103" max="4103" width="2.85546875" style="12" customWidth="1"/>
    <col min="4104" max="4104" width="3.5703125" style="12" customWidth="1"/>
    <col min="4105" max="4349" width="9.140625" style="12"/>
    <col min="4350" max="4350" width="8.7109375" style="12" customWidth="1"/>
    <col min="4351" max="4351" width="9.85546875" style="12" customWidth="1"/>
    <col min="4352" max="4352" width="14.42578125" style="12" customWidth="1"/>
    <col min="4353" max="4353" width="7.28515625" style="12" customWidth="1"/>
    <col min="4354" max="4354" width="5.5703125" style="12" customWidth="1"/>
    <col min="4355" max="4355" width="9" style="12" customWidth="1"/>
    <col min="4356" max="4357" width="9.85546875" style="12" customWidth="1"/>
    <col min="4358" max="4358" width="11.140625" style="12" customWidth="1"/>
    <col min="4359" max="4359" width="2.85546875" style="12" customWidth="1"/>
    <col min="4360" max="4360" width="3.5703125" style="12" customWidth="1"/>
    <col min="4361" max="4605" width="9.140625" style="12"/>
    <col min="4606" max="4606" width="8.7109375" style="12" customWidth="1"/>
    <col min="4607" max="4607" width="9.85546875" style="12" customWidth="1"/>
    <col min="4608" max="4608" width="14.42578125" style="12" customWidth="1"/>
    <col min="4609" max="4609" width="7.28515625" style="12" customWidth="1"/>
    <col min="4610" max="4610" width="5.5703125" style="12" customWidth="1"/>
    <col min="4611" max="4611" width="9" style="12" customWidth="1"/>
    <col min="4612" max="4613" width="9.85546875" style="12" customWidth="1"/>
    <col min="4614" max="4614" width="11.140625" style="12" customWidth="1"/>
    <col min="4615" max="4615" width="2.85546875" style="12" customWidth="1"/>
    <col min="4616" max="4616" width="3.5703125" style="12" customWidth="1"/>
    <col min="4617" max="4861" width="9.140625" style="12"/>
    <col min="4862" max="4862" width="8.7109375" style="12" customWidth="1"/>
    <col min="4863" max="4863" width="9.85546875" style="12" customWidth="1"/>
    <col min="4864" max="4864" width="14.42578125" style="12" customWidth="1"/>
    <col min="4865" max="4865" width="7.28515625" style="12" customWidth="1"/>
    <col min="4866" max="4866" width="5.5703125" style="12" customWidth="1"/>
    <col min="4867" max="4867" width="9" style="12" customWidth="1"/>
    <col min="4868" max="4869" width="9.85546875" style="12" customWidth="1"/>
    <col min="4870" max="4870" width="11.140625" style="12" customWidth="1"/>
    <col min="4871" max="4871" width="2.85546875" style="12" customWidth="1"/>
    <col min="4872" max="4872" width="3.5703125" style="12" customWidth="1"/>
    <col min="4873" max="5117" width="9.140625" style="12"/>
    <col min="5118" max="5118" width="8.7109375" style="12" customWidth="1"/>
    <col min="5119" max="5119" width="9.85546875" style="12" customWidth="1"/>
    <col min="5120" max="5120" width="14.42578125" style="12" customWidth="1"/>
    <col min="5121" max="5121" width="7.28515625" style="12" customWidth="1"/>
    <col min="5122" max="5122" width="5.5703125" style="12" customWidth="1"/>
    <col min="5123" max="5123" width="9" style="12" customWidth="1"/>
    <col min="5124" max="5125" width="9.85546875" style="12" customWidth="1"/>
    <col min="5126" max="5126" width="11.140625" style="12" customWidth="1"/>
    <col min="5127" max="5127" width="2.85546875" style="12" customWidth="1"/>
    <col min="5128" max="5128" width="3.5703125" style="12" customWidth="1"/>
    <col min="5129" max="5373" width="9.140625" style="12"/>
    <col min="5374" max="5374" width="8.7109375" style="12" customWidth="1"/>
    <col min="5375" max="5375" width="9.85546875" style="12" customWidth="1"/>
    <col min="5376" max="5376" width="14.42578125" style="12" customWidth="1"/>
    <col min="5377" max="5377" width="7.28515625" style="12" customWidth="1"/>
    <col min="5378" max="5378" width="5.5703125" style="12" customWidth="1"/>
    <col min="5379" max="5379" width="9" style="12" customWidth="1"/>
    <col min="5380" max="5381" width="9.85546875" style="12" customWidth="1"/>
    <col min="5382" max="5382" width="11.140625" style="12" customWidth="1"/>
    <col min="5383" max="5383" width="2.85546875" style="12" customWidth="1"/>
    <col min="5384" max="5384" width="3.5703125" style="12" customWidth="1"/>
    <col min="5385" max="5629" width="9.140625" style="12"/>
    <col min="5630" max="5630" width="8.7109375" style="12" customWidth="1"/>
    <col min="5631" max="5631" width="9.85546875" style="12" customWidth="1"/>
    <col min="5632" max="5632" width="14.42578125" style="12" customWidth="1"/>
    <col min="5633" max="5633" width="7.28515625" style="12" customWidth="1"/>
    <col min="5634" max="5634" width="5.5703125" style="12" customWidth="1"/>
    <col min="5635" max="5635" width="9" style="12" customWidth="1"/>
    <col min="5636" max="5637" width="9.85546875" style="12" customWidth="1"/>
    <col min="5638" max="5638" width="11.140625" style="12" customWidth="1"/>
    <col min="5639" max="5639" width="2.85546875" style="12" customWidth="1"/>
    <col min="5640" max="5640" width="3.5703125" style="12" customWidth="1"/>
    <col min="5641" max="5885" width="9.140625" style="12"/>
    <col min="5886" max="5886" width="8.7109375" style="12" customWidth="1"/>
    <col min="5887" max="5887" width="9.85546875" style="12" customWidth="1"/>
    <col min="5888" max="5888" width="14.42578125" style="12" customWidth="1"/>
    <col min="5889" max="5889" width="7.28515625" style="12" customWidth="1"/>
    <col min="5890" max="5890" width="5.5703125" style="12" customWidth="1"/>
    <col min="5891" max="5891" width="9" style="12" customWidth="1"/>
    <col min="5892" max="5893" width="9.85546875" style="12" customWidth="1"/>
    <col min="5894" max="5894" width="11.140625" style="12" customWidth="1"/>
    <col min="5895" max="5895" width="2.85546875" style="12" customWidth="1"/>
    <col min="5896" max="5896" width="3.5703125" style="12" customWidth="1"/>
    <col min="5897" max="6141" width="9.140625" style="12"/>
    <col min="6142" max="6142" width="8.7109375" style="12" customWidth="1"/>
    <col min="6143" max="6143" width="9.85546875" style="12" customWidth="1"/>
    <col min="6144" max="6144" width="14.42578125" style="12" customWidth="1"/>
    <col min="6145" max="6145" width="7.28515625" style="12" customWidth="1"/>
    <col min="6146" max="6146" width="5.5703125" style="12" customWidth="1"/>
    <col min="6147" max="6147" width="9" style="12" customWidth="1"/>
    <col min="6148" max="6149" width="9.85546875" style="12" customWidth="1"/>
    <col min="6150" max="6150" width="11.140625" style="12" customWidth="1"/>
    <col min="6151" max="6151" width="2.85546875" style="12" customWidth="1"/>
    <col min="6152" max="6152" width="3.5703125" style="12" customWidth="1"/>
    <col min="6153" max="6397" width="9.140625" style="12"/>
    <col min="6398" max="6398" width="8.7109375" style="12" customWidth="1"/>
    <col min="6399" max="6399" width="9.85546875" style="12" customWidth="1"/>
    <col min="6400" max="6400" width="14.42578125" style="12" customWidth="1"/>
    <col min="6401" max="6401" width="7.28515625" style="12" customWidth="1"/>
    <col min="6402" max="6402" width="5.5703125" style="12" customWidth="1"/>
    <col min="6403" max="6403" width="9" style="12" customWidth="1"/>
    <col min="6404" max="6405" width="9.85546875" style="12" customWidth="1"/>
    <col min="6406" max="6406" width="11.140625" style="12" customWidth="1"/>
    <col min="6407" max="6407" width="2.85546875" style="12" customWidth="1"/>
    <col min="6408" max="6408" width="3.5703125" style="12" customWidth="1"/>
    <col min="6409" max="6653" width="9.140625" style="12"/>
    <col min="6654" max="6654" width="8.7109375" style="12" customWidth="1"/>
    <col min="6655" max="6655" width="9.85546875" style="12" customWidth="1"/>
    <col min="6656" max="6656" width="14.42578125" style="12" customWidth="1"/>
    <col min="6657" max="6657" width="7.28515625" style="12" customWidth="1"/>
    <col min="6658" max="6658" width="5.5703125" style="12" customWidth="1"/>
    <col min="6659" max="6659" width="9" style="12" customWidth="1"/>
    <col min="6660" max="6661" width="9.85546875" style="12" customWidth="1"/>
    <col min="6662" max="6662" width="11.140625" style="12" customWidth="1"/>
    <col min="6663" max="6663" width="2.85546875" style="12" customWidth="1"/>
    <col min="6664" max="6664" width="3.5703125" style="12" customWidth="1"/>
    <col min="6665" max="6909" width="9.140625" style="12"/>
    <col min="6910" max="6910" width="8.7109375" style="12" customWidth="1"/>
    <col min="6911" max="6911" width="9.85546875" style="12" customWidth="1"/>
    <col min="6912" max="6912" width="14.42578125" style="12" customWidth="1"/>
    <col min="6913" max="6913" width="7.28515625" style="12" customWidth="1"/>
    <col min="6914" max="6914" width="5.5703125" style="12" customWidth="1"/>
    <col min="6915" max="6915" width="9" style="12" customWidth="1"/>
    <col min="6916" max="6917" width="9.85546875" style="12" customWidth="1"/>
    <col min="6918" max="6918" width="11.140625" style="12" customWidth="1"/>
    <col min="6919" max="6919" width="2.85546875" style="12" customWidth="1"/>
    <col min="6920" max="6920" width="3.5703125" style="12" customWidth="1"/>
    <col min="6921" max="7165" width="9.140625" style="12"/>
    <col min="7166" max="7166" width="8.7109375" style="12" customWidth="1"/>
    <col min="7167" max="7167" width="9.85546875" style="12" customWidth="1"/>
    <col min="7168" max="7168" width="14.42578125" style="12" customWidth="1"/>
    <col min="7169" max="7169" width="7.28515625" style="12" customWidth="1"/>
    <col min="7170" max="7170" width="5.5703125" style="12" customWidth="1"/>
    <col min="7171" max="7171" width="9" style="12" customWidth="1"/>
    <col min="7172" max="7173" width="9.85546875" style="12" customWidth="1"/>
    <col min="7174" max="7174" width="11.140625" style="12" customWidth="1"/>
    <col min="7175" max="7175" width="2.85546875" style="12" customWidth="1"/>
    <col min="7176" max="7176" width="3.5703125" style="12" customWidth="1"/>
    <col min="7177" max="7421" width="9.140625" style="12"/>
    <col min="7422" max="7422" width="8.7109375" style="12" customWidth="1"/>
    <col min="7423" max="7423" width="9.85546875" style="12" customWidth="1"/>
    <col min="7424" max="7424" width="14.42578125" style="12" customWidth="1"/>
    <col min="7425" max="7425" width="7.28515625" style="12" customWidth="1"/>
    <col min="7426" max="7426" width="5.5703125" style="12" customWidth="1"/>
    <col min="7427" max="7427" width="9" style="12" customWidth="1"/>
    <col min="7428" max="7429" width="9.85546875" style="12" customWidth="1"/>
    <col min="7430" max="7430" width="11.140625" style="12" customWidth="1"/>
    <col min="7431" max="7431" width="2.85546875" style="12" customWidth="1"/>
    <col min="7432" max="7432" width="3.5703125" style="12" customWidth="1"/>
    <col min="7433" max="7677" width="9.140625" style="12"/>
    <col min="7678" max="7678" width="8.7109375" style="12" customWidth="1"/>
    <col min="7679" max="7679" width="9.85546875" style="12" customWidth="1"/>
    <col min="7680" max="7680" width="14.42578125" style="12" customWidth="1"/>
    <col min="7681" max="7681" width="7.28515625" style="12" customWidth="1"/>
    <col min="7682" max="7682" width="5.5703125" style="12" customWidth="1"/>
    <col min="7683" max="7683" width="9" style="12" customWidth="1"/>
    <col min="7684" max="7685" width="9.85546875" style="12" customWidth="1"/>
    <col min="7686" max="7686" width="11.140625" style="12" customWidth="1"/>
    <col min="7687" max="7687" width="2.85546875" style="12" customWidth="1"/>
    <col min="7688" max="7688" width="3.5703125" style="12" customWidth="1"/>
    <col min="7689" max="7933" width="9.140625" style="12"/>
    <col min="7934" max="7934" width="8.7109375" style="12" customWidth="1"/>
    <col min="7935" max="7935" width="9.85546875" style="12" customWidth="1"/>
    <col min="7936" max="7936" width="14.42578125" style="12" customWidth="1"/>
    <col min="7937" max="7937" width="7.28515625" style="12" customWidth="1"/>
    <col min="7938" max="7938" width="5.5703125" style="12" customWidth="1"/>
    <col min="7939" max="7939" width="9" style="12" customWidth="1"/>
    <col min="7940" max="7941" width="9.85546875" style="12" customWidth="1"/>
    <col min="7942" max="7942" width="11.140625" style="12" customWidth="1"/>
    <col min="7943" max="7943" width="2.85546875" style="12" customWidth="1"/>
    <col min="7944" max="7944" width="3.5703125" style="12" customWidth="1"/>
    <col min="7945" max="8189" width="9.140625" style="12"/>
    <col min="8190" max="8190" width="8.7109375" style="12" customWidth="1"/>
    <col min="8191" max="8191" width="9.85546875" style="12" customWidth="1"/>
    <col min="8192" max="8192" width="14.42578125" style="12" customWidth="1"/>
    <col min="8193" max="8193" width="7.28515625" style="12" customWidth="1"/>
    <col min="8194" max="8194" width="5.5703125" style="12" customWidth="1"/>
    <col min="8195" max="8195" width="9" style="12" customWidth="1"/>
    <col min="8196" max="8197" width="9.85546875" style="12" customWidth="1"/>
    <col min="8198" max="8198" width="11.140625" style="12" customWidth="1"/>
    <col min="8199" max="8199" width="2.85546875" style="12" customWidth="1"/>
    <col min="8200" max="8200" width="3.5703125" style="12" customWidth="1"/>
    <col min="8201" max="8445" width="9.140625" style="12"/>
    <col min="8446" max="8446" width="8.7109375" style="12" customWidth="1"/>
    <col min="8447" max="8447" width="9.85546875" style="12" customWidth="1"/>
    <col min="8448" max="8448" width="14.42578125" style="12" customWidth="1"/>
    <col min="8449" max="8449" width="7.28515625" style="12" customWidth="1"/>
    <col min="8450" max="8450" width="5.5703125" style="12" customWidth="1"/>
    <col min="8451" max="8451" width="9" style="12" customWidth="1"/>
    <col min="8452" max="8453" width="9.85546875" style="12" customWidth="1"/>
    <col min="8454" max="8454" width="11.140625" style="12" customWidth="1"/>
    <col min="8455" max="8455" width="2.85546875" style="12" customWidth="1"/>
    <col min="8456" max="8456" width="3.5703125" style="12" customWidth="1"/>
    <col min="8457" max="8701" width="9.140625" style="12"/>
    <col min="8702" max="8702" width="8.7109375" style="12" customWidth="1"/>
    <col min="8703" max="8703" width="9.85546875" style="12" customWidth="1"/>
    <col min="8704" max="8704" width="14.42578125" style="12" customWidth="1"/>
    <col min="8705" max="8705" width="7.28515625" style="12" customWidth="1"/>
    <col min="8706" max="8706" width="5.5703125" style="12" customWidth="1"/>
    <col min="8707" max="8707" width="9" style="12" customWidth="1"/>
    <col min="8708" max="8709" width="9.85546875" style="12" customWidth="1"/>
    <col min="8710" max="8710" width="11.140625" style="12" customWidth="1"/>
    <col min="8711" max="8711" width="2.85546875" style="12" customWidth="1"/>
    <col min="8712" max="8712" width="3.5703125" style="12" customWidth="1"/>
    <col min="8713" max="8957" width="9.140625" style="12"/>
    <col min="8958" max="8958" width="8.7109375" style="12" customWidth="1"/>
    <col min="8959" max="8959" width="9.85546875" style="12" customWidth="1"/>
    <col min="8960" max="8960" width="14.42578125" style="12" customWidth="1"/>
    <col min="8961" max="8961" width="7.28515625" style="12" customWidth="1"/>
    <col min="8962" max="8962" width="5.5703125" style="12" customWidth="1"/>
    <col min="8963" max="8963" width="9" style="12" customWidth="1"/>
    <col min="8964" max="8965" width="9.85546875" style="12" customWidth="1"/>
    <col min="8966" max="8966" width="11.140625" style="12" customWidth="1"/>
    <col min="8967" max="8967" width="2.85546875" style="12" customWidth="1"/>
    <col min="8968" max="8968" width="3.5703125" style="12" customWidth="1"/>
    <col min="8969" max="9213" width="9.140625" style="12"/>
    <col min="9214" max="9214" width="8.7109375" style="12" customWidth="1"/>
    <col min="9215" max="9215" width="9.85546875" style="12" customWidth="1"/>
    <col min="9216" max="9216" width="14.42578125" style="12" customWidth="1"/>
    <col min="9217" max="9217" width="7.28515625" style="12" customWidth="1"/>
    <col min="9218" max="9218" width="5.5703125" style="12" customWidth="1"/>
    <col min="9219" max="9219" width="9" style="12" customWidth="1"/>
    <col min="9220" max="9221" width="9.85546875" style="12" customWidth="1"/>
    <col min="9222" max="9222" width="11.140625" style="12" customWidth="1"/>
    <col min="9223" max="9223" width="2.85546875" style="12" customWidth="1"/>
    <col min="9224" max="9224" width="3.5703125" style="12" customWidth="1"/>
    <col min="9225" max="9469" width="9.140625" style="12"/>
    <col min="9470" max="9470" width="8.7109375" style="12" customWidth="1"/>
    <col min="9471" max="9471" width="9.85546875" style="12" customWidth="1"/>
    <col min="9472" max="9472" width="14.42578125" style="12" customWidth="1"/>
    <col min="9473" max="9473" width="7.28515625" style="12" customWidth="1"/>
    <col min="9474" max="9474" width="5.5703125" style="12" customWidth="1"/>
    <col min="9475" max="9475" width="9" style="12" customWidth="1"/>
    <col min="9476" max="9477" width="9.85546875" style="12" customWidth="1"/>
    <col min="9478" max="9478" width="11.140625" style="12" customWidth="1"/>
    <col min="9479" max="9479" width="2.85546875" style="12" customWidth="1"/>
    <col min="9480" max="9480" width="3.5703125" style="12" customWidth="1"/>
    <col min="9481" max="9725" width="9.140625" style="12"/>
    <col min="9726" max="9726" width="8.7109375" style="12" customWidth="1"/>
    <col min="9727" max="9727" width="9.85546875" style="12" customWidth="1"/>
    <col min="9728" max="9728" width="14.42578125" style="12" customWidth="1"/>
    <col min="9729" max="9729" width="7.28515625" style="12" customWidth="1"/>
    <col min="9730" max="9730" width="5.5703125" style="12" customWidth="1"/>
    <col min="9731" max="9731" width="9" style="12" customWidth="1"/>
    <col min="9732" max="9733" width="9.85546875" style="12" customWidth="1"/>
    <col min="9734" max="9734" width="11.140625" style="12" customWidth="1"/>
    <col min="9735" max="9735" width="2.85546875" style="12" customWidth="1"/>
    <col min="9736" max="9736" width="3.5703125" style="12" customWidth="1"/>
    <col min="9737" max="9981" width="9.140625" style="12"/>
    <col min="9982" max="9982" width="8.7109375" style="12" customWidth="1"/>
    <col min="9983" max="9983" width="9.85546875" style="12" customWidth="1"/>
    <col min="9984" max="9984" width="14.42578125" style="12" customWidth="1"/>
    <col min="9985" max="9985" width="7.28515625" style="12" customWidth="1"/>
    <col min="9986" max="9986" width="5.5703125" style="12" customWidth="1"/>
    <col min="9987" max="9987" width="9" style="12" customWidth="1"/>
    <col min="9988" max="9989" width="9.85546875" style="12" customWidth="1"/>
    <col min="9990" max="9990" width="11.140625" style="12" customWidth="1"/>
    <col min="9991" max="9991" width="2.85546875" style="12" customWidth="1"/>
    <col min="9992" max="9992" width="3.5703125" style="12" customWidth="1"/>
    <col min="9993" max="10237" width="9.140625" style="12"/>
    <col min="10238" max="10238" width="8.7109375" style="12" customWidth="1"/>
    <col min="10239" max="10239" width="9.85546875" style="12" customWidth="1"/>
    <col min="10240" max="10240" width="14.42578125" style="12" customWidth="1"/>
    <col min="10241" max="10241" width="7.28515625" style="12" customWidth="1"/>
    <col min="10242" max="10242" width="5.5703125" style="12" customWidth="1"/>
    <col min="10243" max="10243" width="9" style="12" customWidth="1"/>
    <col min="10244" max="10245" width="9.85546875" style="12" customWidth="1"/>
    <col min="10246" max="10246" width="11.140625" style="12" customWidth="1"/>
    <col min="10247" max="10247" width="2.85546875" style="12" customWidth="1"/>
    <col min="10248" max="10248" width="3.5703125" style="12" customWidth="1"/>
    <col min="10249" max="10493" width="9.140625" style="12"/>
    <col min="10494" max="10494" width="8.7109375" style="12" customWidth="1"/>
    <col min="10495" max="10495" width="9.85546875" style="12" customWidth="1"/>
    <col min="10496" max="10496" width="14.42578125" style="12" customWidth="1"/>
    <col min="10497" max="10497" width="7.28515625" style="12" customWidth="1"/>
    <col min="10498" max="10498" width="5.5703125" style="12" customWidth="1"/>
    <col min="10499" max="10499" width="9" style="12" customWidth="1"/>
    <col min="10500" max="10501" width="9.85546875" style="12" customWidth="1"/>
    <col min="10502" max="10502" width="11.140625" style="12" customWidth="1"/>
    <col min="10503" max="10503" width="2.85546875" style="12" customWidth="1"/>
    <col min="10504" max="10504" width="3.5703125" style="12" customWidth="1"/>
    <col min="10505" max="10749" width="9.140625" style="12"/>
    <col min="10750" max="10750" width="8.7109375" style="12" customWidth="1"/>
    <col min="10751" max="10751" width="9.85546875" style="12" customWidth="1"/>
    <col min="10752" max="10752" width="14.42578125" style="12" customWidth="1"/>
    <col min="10753" max="10753" width="7.28515625" style="12" customWidth="1"/>
    <col min="10754" max="10754" width="5.5703125" style="12" customWidth="1"/>
    <col min="10755" max="10755" width="9" style="12" customWidth="1"/>
    <col min="10756" max="10757" width="9.85546875" style="12" customWidth="1"/>
    <col min="10758" max="10758" width="11.140625" style="12" customWidth="1"/>
    <col min="10759" max="10759" width="2.85546875" style="12" customWidth="1"/>
    <col min="10760" max="10760" width="3.5703125" style="12" customWidth="1"/>
    <col min="10761" max="11005" width="9.140625" style="12"/>
    <col min="11006" max="11006" width="8.7109375" style="12" customWidth="1"/>
    <col min="11007" max="11007" width="9.85546875" style="12" customWidth="1"/>
    <col min="11008" max="11008" width="14.42578125" style="12" customWidth="1"/>
    <col min="11009" max="11009" width="7.28515625" style="12" customWidth="1"/>
    <col min="11010" max="11010" width="5.5703125" style="12" customWidth="1"/>
    <col min="11011" max="11011" width="9" style="12" customWidth="1"/>
    <col min="11012" max="11013" width="9.85546875" style="12" customWidth="1"/>
    <col min="11014" max="11014" width="11.140625" style="12" customWidth="1"/>
    <col min="11015" max="11015" width="2.85546875" style="12" customWidth="1"/>
    <col min="11016" max="11016" width="3.5703125" style="12" customWidth="1"/>
    <col min="11017" max="11261" width="9.140625" style="12"/>
    <col min="11262" max="11262" width="8.7109375" style="12" customWidth="1"/>
    <col min="11263" max="11263" width="9.85546875" style="12" customWidth="1"/>
    <col min="11264" max="11264" width="14.42578125" style="12" customWidth="1"/>
    <col min="11265" max="11265" width="7.28515625" style="12" customWidth="1"/>
    <col min="11266" max="11266" width="5.5703125" style="12" customWidth="1"/>
    <col min="11267" max="11267" width="9" style="12" customWidth="1"/>
    <col min="11268" max="11269" width="9.85546875" style="12" customWidth="1"/>
    <col min="11270" max="11270" width="11.140625" style="12" customWidth="1"/>
    <col min="11271" max="11271" width="2.85546875" style="12" customWidth="1"/>
    <col min="11272" max="11272" width="3.5703125" style="12" customWidth="1"/>
    <col min="11273" max="11517" width="9.140625" style="12"/>
    <col min="11518" max="11518" width="8.7109375" style="12" customWidth="1"/>
    <col min="11519" max="11519" width="9.85546875" style="12" customWidth="1"/>
    <col min="11520" max="11520" width="14.42578125" style="12" customWidth="1"/>
    <col min="11521" max="11521" width="7.28515625" style="12" customWidth="1"/>
    <col min="11522" max="11522" width="5.5703125" style="12" customWidth="1"/>
    <col min="11523" max="11523" width="9" style="12" customWidth="1"/>
    <col min="11524" max="11525" width="9.85546875" style="12" customWidth="1"/>
    <col min="11526" max="11526" width="11.140625" style="12" customWidth="1"/>
    <col min="11527" max="11527" width="2.85546875" style="12" customWidth="1"/>
    <col min="11528" max="11528" width="3.5703125" style="12" customWidth="1"/>
    <col min="11529" max="11773" width="9.140625" style="12"/>
    <col min="11774" max="11774" width="8.7109375" style="12" customWidth="1"/>
    <col min="11775" max="11775" width="9.85546875" style="12" customWidth="1"/>
    <col min="11776" max="11776" width="14.42578125" style="12" customWidth="1"/>
    <col min="11777" max="11777" width="7.28515625" style="12" customWidth="1"/>
    <col min="11778" max="11778" width="5.5703125" style="12" customWidth="1"/>
    <col min="11779" max="11779" width="9" style="12" customWidth="1"/>
    <col min="11780" max="11781" width="9.85546875" style="12" customWidth="1"/>
    <col min="11782" max="11782" width="11.140625" style="12" customWidth="1"/>
    <col min="11783" max="11783" width="2.85546875" style="12" customWidth="1"/>
    <col min="11784" max="11784" width="3.5703125" style="12" customWidth="1"/>
    <col min="11785" max="12029" width="9.140625" style="12"/>
    <col min="12030" max="12030" width="8.7109375" style="12" customWidth="1"/>
    <col min="12031" max="12031" width="9.85546875" style="12" customWidth="1"/>
    <col min="12032" max="12032" width="14.42578125" style="12" customWidth="1"/>
    <col min="12033" max="12033" width="7.28515625" style="12" customWidth="1"/>
    <col min="12034" max="12034" width="5.5703125" style="12" customWidth="1"/>
    <col min="12035" max="12035" width="9" style="12" customWidth="1"/>
    <col min="12036" max="12037" width="9.85546875" style="12" customWidth="1"/>
    <col min="12038" max="12038" width="11.140625" style="12" customWidth="1"/>
    <col min="12039" max="12039" width="2.85546875" style="12" customWidth="1"/>
    <col min="12040" max="12040" width="3.5703125" style="12" customWidth="1"/>
    <col min="12041" max="12285" width="9.140625" style="12"/>
    <col min="12286" max="12286" width="8.7109375" style="12" customWidth="1"/>
    <col min="12287" max="12287" width="9.85546875" style="12" customWidth="1"/>
    <col min="12288" max="12288" width="14.42578125" style="12" customWidth="1"/>
    <col min="12289" max="12289" width="7.28515625" style="12" customWidth="1"/>
    <col min="12290" max="12290" width="5.5703125" style="12" customWidth="1"/>
    <col min="12291" max="12291" width="9" style="12" customWidth="1"/>
    <col min="12292" max="12293" width="9.85546875" style="12" customWidth="1"/>
    <col min="12294" max="12294" width="11.140625" style="12" customWidth="1"/>
    <col min="12295" max="12295" width="2.85546875" style="12" customWidth="1"/>
    <col min="12296" max="12296" width="3.5703125" style="12" customWidth="1"/>
    <col min="12297" max="12541" width="9.140625" style="12"/>
    <col min="12542" max="12542" width="8.7109375" style="12" customWidth="1"/>
    <col min="12543" max="12543" width="9.85546875" style="12" customWidth="1"/>
    <col min="12544" max="12544" width="14.42578125" style="12" customWidth="1"/>
    <col min="12545" max="12545" width="7.28515625" style="12" customWidth="1"/>
    <col min="12546" max="12546" width="5.5703125" style="12" customWidth="1"/>
    <col min="12547" max="12547" width="9" style="12" customWidth="1"/>
    <col min="12548" max="12549" width="9.85546875" style="12" customWidth="1"/>
    <col min="12550" max="12550" width="11.140625" style="12" customWidth="1"/>
    <col min="12551" max="12551" width="2.85546875" style="12" customWidth="1"/>
    <col min="12552" max="12552" width="3.5703125" style="12" customWidth="1"/>
    <col min="12553" max="12797" width="9.140625" style="12"/>
    <col min="12798" max="12798" width="8.7109375" style="12" customWidth="1"/>
    <col min="12799" max="12799" width="9.85546875" style="12" customWidth="1"/>
    <col min="12800" max="12800" width="14.42578125" style="12" customWidth="1"/>
    <col min="12801" max="12801" width="7.28515625" style="12" customWidth="1"/>
    <col min="12802" max="12802" width="5.5703125" style="12" customWidth="1"/>
    <col min="12803" max="12803" width="9" style="12" customWidth="1"/>
    <col min="12804" max="12805" width="9.85546875" style="12" customWidth="1"/>
    <col min="12806" max="12806" width="11.140625" style="12" customWidth="1"/>
    <col min="12807" max="12807" width="2.85546875" style="12" customWidth="1"/>
    <col min="12808" max="12808" width="3.5703125" style="12" customWidth="1"/>
    <col min="12809" max="13053" width="9.140625" style="12"/>
    <col min="13054" max="13054" width="8.7109375" style="12" customWidth="1"/>
    <col min="13055" max="13055" width="9.85546875" style="12" customWidth="1"/>
    <col min="13056" max="13056" width="14.42578125" style="12" customWidth="1"/>
    <col min="13057" max="13057" width="7.28515625" style="12" customWidth="1"/>
    <col min="13058" max="13058" width="5.5703125" style="12" customWidth="1"/>
    <col min="13059" max="13059" width="9" style="12" customWidth="1"/>
    <col min="13060" max="13061" width="9.85546875" style="12" customWidth="1"/>
    <col min="13062" max="13062" width="11.140625" style="12" customWidth="1"/>
    <col min="13063" max="13063" width="2.85546875" style="12" customWidth="1"/>
    <col min="13064" max="13064" width="3.5703125" style="12" customWidth="1"/>
    <col min="13065" max="13309" width="9.140625" style="12"/>
    <col min="13310" max="13310" width="8.7109375" style="12" customWidth="1"/>
    <col min="13311" max="13311" width="9.85546875" style="12" customWidth="1"/>
    <col min="13312" max="13312" width="14.42578125" style="12" customWidth="1"/>
    <col min="13313" max="13313" width="7.28515625" style="12" customWidth="1"/>
    <col min="13314" max="13314" width="5.5703125" style="12" customWidth="1"/>
    <col min="13315" max="13315" width="9" style="12" customWidth="1"/>
    <col min="13316" max="13317" width="9.85546875" style="12" customWidth="1"/>
    <col min="13318" max="13318" width="11.140625" style="12" customWidth="1"/>
    <col min="13319" max="13319" width="2.85546875" style="12" customWidth="1"/>
    <col min="13320" max="13320" width="3.5703125" style="12" customWidth="1"/>
    <col min="13321" max="13565" width="9.140625" style="12"/>
    <col min="13566" max="13566" width="8.7109375" style="12" customWidth="1"/>
    <col min="13567" max="13567" width="9.85546875" style="12" customWidth="1"/>
    <col min="13568" max="13568" width="14.42578125" style="12" customWidth="1"/>
    <col min="13569" max="13569" width="7.28515625" style="12" customWidth="1"/>
    <col min="13570" max="13570" width="5.5703125" style="12" customWidth="1"/>
    <col min="13571" max="13571" width="9" style="12" customWidth="1"/>
    <col min="13572" max="13573" width="9.85546875" style="12" customWidth="1"/>
    <col min="13574" max="13574" width="11.140625" style="12" customWidth="1"/>
    <col min="13575" max="13575" width="2.85546875" style="12" customWidth="1"/>
    <col min="13576" max="13576" width="3.5703125" style="12" customWidth="1"/>
    <col min="13577" max="13821" width="9.140625" style="12"/>
    <col min="13822" max="13822" width="8.7109375" style="12" customWidth="1"/>
    <col min="13823" max="13823" width="9.85546875" style="12" customWidth="1"/>
    <col min="13824" max="13824" width="14.42578125" style="12" customWidth="1"/>
    <col min="13825" max="13825" width="7.28515625" style="12" customWidth="1"/>
    <col min="13826" max="13826" width="5.5703125" style="12" customWidth="1"/>
    <col min="13827" max="13827" width="9" style="12" customWidth="1"/>
    <col min="13828" max="13829" width="9.85546875" style="12" customWidth="1"/>
    <col min="13830" max="13830" width="11.140625" style="12" customWidth="1"/>
    <col min="13831" max="13831" width="2.85546875" style="12" customWidth="1"/>
    <col min="13832" max="13832" width="3.5703125" style="12" customWidth="1"/>
    <col min="13833" max="14077" width="9.140625" style="12"/>
    <col min="14078" max="14078" width="8.7109375" style="12" customWidth="1"/>
    <col min="14079" max="14079" width="9.85546875" style="12" customWidth="1"/>
    <col min="14080" max="14080" width="14.42578125" style="12" customWidth="1"/>
    <col min="14081" max="14081" width="7.28515625" style="12" customWidth="1"/>
    <col min="14082" max="14082" width="5.5703125" style="12" customWidth="1"/>
    <col min="14083" max="14083" width="9" style="12" customWidth="1"/>
    <col min="14084" max="14085" width="9.85546875" style="12" customWidth="1"/>
    <col min="14086" max="14086" width="11.140625" style="12" customWidth="1"/>
    <col min="14087" max="14087" width="2.85546875" style="12" customWidth="1"/>
    <col min="14088" max="14088" width="3.5703125" style="12" customWidth="1"/>
    <col min="14089" max="14333" width="9.140625" style="12"/>
    <col min="14334" max="14334" width="8.7109375" style="12" customWidth="1"/>
    <col min="14335" max="14335" width="9.85546875" style="12" customWidth="1"/>
    <col min="14336" max="14336" width="14.42578125" style="12" customWidth="1"/>
    <col min="14337" max="14337" width="7.28515625" style="12" customWidth="1"/>
    <col min="14338" max="14338" width="5.5703125" style="12" customWidth="1"/>
    <col min="14339" max="14339" width="9" style="12" customWidth="1"/>
    <col min="14340" max="14341" width="9.85546875" style="12" customWidth="1"/>
    <col min="14342" max="14342" width="11.140625" style="12" customWidth="1"/>
    <col min="14343" max="14343" width="2.85546875" style="12" customWidth="1"/>
    <col min="14344" max="14344" width="3.5703125" style="12" customWidth="1"/>
    <col min="14345" max="14589" width="9.140625" style="12"/>
    <col min="14590" max="14590" width="8.7109375" style="12" customWidth="1"/>
    <col min="14591" max="14591" width="9.85546875" style="12" customWidth="1"/>
    <col min="14592" max="14592" width="14.42578125" style="12" customWidth="1"/>
    <col min="14593" max="14593" width="7.28515625" style="12" customWidth="1"/>
    <col min="14594" max="14594" width="5.5703125" style="12" customWidth="1"/>
    <col min="14595" max="14595" width="9" style="12" customWidth="1"/>
    <col min="14596" max="14597" width="9.85546875" style="12" customWidth="1"/>
    <col min="14598" max="14598" width="11.140625" style="12" customWidth="1"/>
    <col min="14599" max="14599" width="2.85546875" style="12" customWidth="1"/>
    <col min="14600" max="14600" width="3.5703125" style="12" customWidth="1"/>
    <col min="14601" max="14845" width="9.140625" style="12"/>
    <col min="14846" max="14846" width="8.7109375" style="12" customWidth="1"/>
    <col min="14847" max="14847" width="9.85546875" style="12" customWidth="1"/>
    <col min="14848" max="14848" width="14.42578125" style="12" customWidth="1"/>
    <col min="14849" max="14849" width="7.28515625" style="12" customWidth="1"/>
    <col min="14850" max="14850" width="5.5703125" style="12" customWidth="1"/>
    <col min="14851" max="14851" width="9" style="12" customWidth="1"/>
    <col min="14852" max="14853" width="9.85546875" style="12" customWidth="1"/>
    <col min="14854" max="14854" width="11.140625" style="12" customWidth="1"/>
    <col min="14855" max="14855" width="2.85546875" style="12" customWidth="1"/>
    <col min="14856" max="14856" width="3.5703125" style="12" customWidth="1"/>
    <col min="14857" max="15101" width="9.140625" style="12"/>
    <col min="15102" max="15102" width="8.7109375" style="12" customWidth="1"/>
    <col min="15103" max="15103" width="9.85546875" style="12" customWidth="1"/>
    <col min="15104" max="15104" width="14.42578125" style="12" customWidth="1"/>
    <col min="15105" max="15105" width="7.28515625" style="12" customWidth="1"/>
    <col min="15106" max="15106" width="5.5703125" style="12" customWidth="1"/>
    <col min="15107" max="15107" width="9" style="12" customWidth="1"/>
    <col min="15108" max="15109" width="9.85546875" style="12" customWidth="1"/>
    <col min="15110" max="15110" width="11.140625" style="12" customWidth="1"/>
    <col min="15111" max="15111" width="2.85546875" style="12" customWidth="1"/>
    <col min="15112" max="15112" width="3.5703125" style="12" customWidth="1"/>
    <col min="15113" max="15357" width="9.140625" style="12"/>
    <col min="15358" max="15358" width="8.7109375" style="12" customWidth="1"/>
    <col min="15359" max="15359" width="9.85546875" style="12" customWidth="1"/>
    <col min="15360" max="15360" width="14.42578125" style="12" customWidth="1"/>
    <col min="15361" max="15361" width="7.28515625" style="12" customWidth="1"/>
    <col min="15362" max="15362" width="5.5703125" style="12" customWidth="1"/>
    <col min="15363" max="15363" width="9" style="12" customWidth="1"/>
    <col min="15364" max="15365" width="9.85546875" style="12" customWidth="1"/>
    <col min="15366" max="15366" width="11.140625" style="12" customWidth="1"/>
    <col min="15367" max="15367" width="2.85546875" style="12" customWidth="1"/>
    <col min="15368" max="15368" width="3.5703125" style="12" customWidth="1"/>
    <col min="15369" max="15613" width="9.140625" style="12"/>
    <col min="15614" max="15614" width="8.7109375" style="12" customWidth="1"/>
    <col min="15615" max="15615" width="9.85546875" style="12" customWidth="1"/>
    <col min="15616" max="15616" width="14.42578125" style="12" customWidth="1"/>
    <col min="15617" max="15617" width="7.28515625" style="12" customWidth="1"/>
    <col min="15618" max="15618" width="5.5703125" style="12" customWidth="1"/>
    <col min="15619" max="15619" width="9" style="12" customWidth="1"/>
    <col min="15620" max="15621" width="9.85546875" style="12" customWidth="1"/>
    <col min="15622" max="15622" width="11.140625" style="12" customWidth="1"/>
    <col min="15623" max="15623" width="2.85546875" style="12" customWidth="1"/>
    <col min="15624" max="15624" width="3.5703125" style="12" customWidth="1"/>
    <col min="15625" max="15869" width="9.140625" style="12"/>
    <col min="15870" max="15870" width="8.7109375" style="12" customWidth="1"/>
    <col min="15871" max="15871" width="9.85546875" style="12" customWidth="1"/>
    <col min="15872" max="15872" width="14.42578125" style="12" customWidth="1"/>
    <col min="15873" max="15873" width="7.28515625" style="12" customWidth="1"/>
    <col min="15874" max="15874" width="5.5703125" style="12" customWidth="1"/>
    <col min="15875" max="15875" width="9" style="12" customWidth="1"/>
    <col min="15876" max="15877" width="9.85546875" style="12" customWidth="1"/>
    <col min="15878" max="15878" width="11.140625" style="12" customWidth="1"/>
    <col min="15879" max="15879" width="2.85546875" style="12" customWidth="1"/>
    <col min="15880" max="15880" width="3.5703125" style="12" customWidth="1"/>
    <col min="15881" max="16125" width="9.140625" style="12"/>
    <col min="16126" max="16126" width="8.7109375" style="12" customWidth="1"/>
    <col min="16127" max="16127" width="9.85546875" style="12" customWidth="1"/>
    <col min="16128" max="16128" width="14.42578125" style="12" customWidth="1"/>
    <col min="16129" max="16129" width="7.28515625" style="12" customWidth="1"/>
    <col min="16130" max="16130" width="5.5703125" style="12" customWidth="1"/>
    <col min="16131" max="16131" width="9" style="12" customWidth="1"/>
    <col min="16132" max="16133" width="9.85546875" style="12" customWidth="1"/>
    <col min="16134" max="16134" width="11.140625" style="12" customWidth="1"/>
    <col min="16135" max="16135" width="2.85546875" style="12" customWidth="1"/>
    <col min="16136" max="16136" width="3.5703125" style="12" customWidth="1"/>
    <col min="16137" max="16384" width="9.140625" style="12"/>
  </cols>
  <sheetData>
    <row r="1" spans="1:12" ht="46.5" customHeight="1" x14ac:dyDescent="0.25">
      <c r="A1" s="208" t="s">
        <v>256</v>
      </c>
      <c r="B1" s="208"/>
      <c r="C1" s="208"/>
      <c r="D1" s="208"/>
      <c r="E1" s="208"/>
      <c r="F1" s="208"/>
      <c r="G1" s="208"/>
      <c r="H1" s="208"/>
    </row>
    <row r="2" spans="1:12" ht="16.5" customHeight="1" x14ac:dyDescent="0.25">
      <c r="A2" s="209" t="s">
        <v>0</v>
      </c>
      <c r="B2" s="209"/>
      <c r="C2" s="209"/>
      <c r="D2" s="209"/>
      <c r="E2" s="209"/>
      <c r="F2" s="209"/>
      <c r="G2" s="209"/>
      <c r="H2" s="209"/>
    </row>
    <row r="3" spans="1:12" x14ac:dyDescent="0.25">
      <c r="A3" s="212" t="s">
        <v>1</v>
      </c>
      <c r="B3" s="213"/>
      <c r="C3" s="213"/>
      <c r="D3" s="214"/>
      <c r="E3" s="106" t="str">
        <f ca="1">TEXT(TODAY(),"DD/MM/YYYY")</f>
        <v>04/08/2025</v>
      </c>
      <c r="F3" s="106"/>
      <c r="G3" s="106"/>
      <c r="H3" s="106"/>
    </row>
    <row r="4" spans="1:12" ht="15" customHeight="1" x14ac:dyDescent="0.25">
      <c r="A4" s="212" t="s">
        <v>2</v>
      </c>
      <c r="B4" s="213"/>
      <c r="C4" s="213"/>
      <c r="D4" s="214"/>
      <c r="E4" s="106" t="s">
        <v>174</v>
      </c>
      <c r="F4" s="106"/>
      <c r="G4" s="106"/>
      <c r="H4" s="106"/>
    </row>
    <row r="5" spans="1:12" x14ac:dyDescent="0.25">
      <c r="A5" s="212" t="s">
        <v>3</v>
      </c>
      <c r="B5" s="213"/>
      <c r="C5" s="213"/>
      <c r="D5" s="214"/>
      <c r="E5" s="106">
        <v>45847</v>
      </c>
      <c r="F5" s="106"/>
      <c r="G5" s="106"/>
      <c r="H5" s="106"/>
    </row>
    <row r="6" spans="1:12" ht="16.5" customHeight="1" x14ac:dyDescent="0.25">
      <c r="A6" s="212" t="s">
        <v>4</v>
      </c>
      <c r="B6" s="213"/>
      <c r="C6" s="213"/>
      <c r="D6" s="214"/>
      <c r="E6" s="106" t="s">
        <v>175</v>
      </c>
      <c r="F6" s="106"/>
      <c r="G6" s="106"/>
      <c r="H6" s="106"/>
    </row>
    <row r="7" spans="1:12" ht="15" customHeight="1" x14ac:dyDescent="0.25">
      <c r="A7" s="212" t="s">
        <v>5</v>
      </c>
      <c r="B7" s="213"/>
      <c r="C7" s="213"/>
      <c r="D7" s="214"/>
      <c r="E7" s="106" t="str">
        <f>E6</f>
        <v>M/s.Ashiyana Dream Homes Pvt. Ltd</v>
      </c>
      <c r="F7" s="106"/>
      <c r="G7" s="106"/>
      <c r="H7" s="106"/>
    </row>
    <row r="8" spans="1:12" x14ac:dyDescent="0.25">
      <c r="A8" s="212" t="s">
        <v>6</v>
      </c>
      <c r="B8" s="213"/>
      <c r="C8" s="213"/>
      <c r="D8" s="214"/>
      <c r="E8" s="195" t="s">
        <v>257</v>
      </c>
      <c r="F8" s="195"/>
      <c r="G8" s="195"/>
      <c r="H8" s="195"/>
    </row>
    <row r="9" spans="1:12" ht="15.75" customHeight="1" x14ac:dyDescent="0.25">
      <c r="A9" s="212" t="s">
        <v>303</v>
      </c>
      <c r="B9" s="213"/>
      <c r="C9" s="213"/>
      <c r="D9" s="214"/>
      <c r="E9" s="106" t="s">
        <v>305</v>
      </c>
      <c r="F9" s="106"/>
      <c r="G9" s="106"/>
      <c r="H9" s="106"/>
    </row>
    <row r="10" spans="1:12" ht="15.75" customHeight="1" x14ac:dyDescent="0.25">
      <c r="A10" s="212" t="s">
        <v>304</v>
      </c>
      <c r="B10" s="213"/>
      <c r="C10" s="213"/>
      <c r="D10" s="214"/>
      <c r="E10" s="106" t="s">
        <v>317</v>
      </c>
      <c r="F10" s="106"/>
      <c r="G10" s="106"/>
      <c r="H10" s="106"/>
      <c r="I10" s="106" t="s">
        <v>306</v>
      </c>
      <c r="J10" s="106"/>
      <c r="K10" s="106"/>
      <c r="L10" s="106"/>
    </row>
    <row r="11" spans="1:12" ht="65.25" customHeight="1" x14ac:dyDescent="0.25">
      <c r="A11" s="212" t="s">
        <v>7</v>
      </c>
      <c r="B11" s="213"/>
      <c r="C11" s="213"/>
      <c r="D11" s="214"/>
      <c r="E11" s="196" t="s">
        <v>262</v>
      </c>
      <c r="F11" s="106"/>
      <c r="G11" s="106"/>
      <c r="H11" s="106"/>
      <c r="I11" s="106" t="s">
        <v>314</v>
      </c>
      <c r="J11" s="106"/>
      <c r="K11" s="106"/>
      <c r="L11" s="106"/>
    </row>
    <row r="12" spans="1:12" ht="16.5" customHeight="1" x14ac:dyDescent="0.25">
      <c r="A12" s="212" t="s">
        <v>8</v>
      </c>
      <c r="B12" s="213"/>
      <c r="C12" s="213"/>
      <c r="D12" s="214"/>
      <c r="E12" s="106" t="s">
        <v>321</v>
      </c>
      <c r="F12" s="106"/>
      <c r="G12" s="106"/>
      <c r="H12" s="106"/>
    </row>
    <row r="13" spans="1:12" ht="36" customHeight="1" x14ac:dyDescent="0.25">
      <c r="A13" s="212" t="s">
        <v>172</v>
      </c>
      <c r="B13" s="213"/>
      <c r="C13" s="213"/>
      <c r="D13" s="214"/>
      <c r="E13" s="196" t="s">
        <v>302</v>
      </c>
      <c r="F13" s="106"/>
      <c r="G13" s="106"/>
      <c r="H13" s="106"/>
    </row>
    <row r="14" spans="1:12" ht="51" customHeight="1" x14ac:dyDescent="0.25">
      <c r="A14" s="211" t="s">
        <v>9</v>
      </c>
      <c r="B14" s="211"/>
      <c r="C14" s="211" t="s">
        <v>301</v>
      </c>
      <c r="D14" s="211"/>
      <c r="E14" s="211"/>
      <c r="F14" s="211"/>
      <c r="G14" s="211"/>
      <c r="H14" s="211"/>
    </row>
    <row r="15" spans="1:12" ht="34.5" customHeight="1" x14ac:dyDescent="0.25">
      <c r="A15" s="146" t="s">
        <v>178</v>
      </c>
      <c r="B15" s="146"/>
      <c r="C15" s="210" t="s">
        <v>177</v>
      </c>
      <c r="D15" s="210"/>
      <c r="E15" s="210"/>
      <c r="F15" s="67" t="s">
        <v>179</v>
      </c>
      <c r="G15" s="210" t="s">
        <v>180</v>
      </c>
      <c r="H15" s="210"/>
    </row>
    <row r="16" spans="1:12" ht="15.75" customHeight="1" x14ac:dyDescent="0.25">
      <c r="A16" s="146" t="s">
        <v>10</v>
      </c>
      <c r="B16" s="146"/>
      <c r="C16" s="182" t="s">
        <v>231</v>
      </c>
      <c r="D16" s="182"/>
      <c r="E16" s="182"/>
      <c r="F16" s="67" t="s">
        <v>181</v>
      </c>
      <c r="G16" s="210" t="s">
        <v>263</v>
      </c>
      <c r="H16" s="210"/>
    </row>
    <row r="17" spans="1:8" x14ac:dyDescent="0.25">
      <c r="A17" s="110" t="s">
        <v>12</v>
      </c>
      <c r="B17" s="110"/>
      <c r="C17" s="182" t="s">
        <v>187</v>
      </c>
      <c r="D17" s="182"/>
      <c r="E17" s="182"/>
      <c r="F17" s="67" t="s">
        <v>11</v>
      </c>
      <c r="G17" s="210" t="s">
        <v>183</v>
      </c>
      <c r="H17" s="210"/>
    </row>
    <row r="18" spans="1:8" x14ac:dyDescent="0.25">
      <c r="A18" s="110" t="s">
        <v>131</v>
      </c>
      <c r="B18" s="110"/>
      <c r="C18" s="210" t="s">
        <v>182</v>
      </c>
      <c r="D18" s="210"/>
      <c r="E18" s="210"/>
      <c r="F18" s="67" t="s">
        <v>13</v>
      </c>
      <c r="G18" s="210">
        <v>410203</v>
      </c>
      <c r="H18" s="210"/>
    </row>
    <row r="19" spans="1:8" ht="32.25" customHeight="1" x14ac:dyDescent="0.25">
      <c r="A19" s="110" t="s">
        <v>14</v>
      </c>
      <c r="B19" s="110"/>
      <c r="C19" s="148" t="s">
        <v>185</v>
      </c>
      <c r="D19" s="148"/>
      <c r="E19" s="148"/>
      <c r="F19" s="67" t="s">
        <v>248</v>
      </c>
      <c r="G19" s="210" t="s">
        <v>254</v>
      </c>
      <c r="H19" s="210"/>
    </row>
    <row r="20" spans="1:8" ht="15" customHeight="1" x14ac:dyDescent="0.25">
      <c r="A20" s="146" t="s">
        <v>146</v>
      </c>
      <c r="B20" s="146"/>
      <c r="C20" s="146"/>
      <c r="D20" s="146"/>
      <c r="E20" s="146"/>
      <c r="F20" s="110" t="s">
        <v>15</v>
      </c>
      <c r="G20" s="110"/>
      <c r="H20" s="110"/>
    </row>
    <row r="21" spans="1:8" ht="18.75" customHeight="1" x14ac:dyDescent="0.25">
      <c r="A21" s="146"/>
      <c r="B21" s="146"/>
      <c r="C21" s="146"/>
      <c r="D21" s="146"/>
      <c r="E21" s="146"/>
      <c r="F21" s="110"/>
      <c r="G21" s="110"/>
      <c r="H21" s="110"/>
    </row>
    <row r="22" spans="1:8" ht="15" customHeight="1" x14ac:dyDescent="0.25">
      <c r="A22" s="146" t="s">
        <v>16</v>
      </c>
      <c r="B22" s="146"/>
      <c r="C22" s="146"/>
      <c r="D22" s="146"/>
      <c r="E22" s="146"/>
      <c r="F22" s="146" t="s">
        <v>17</v>
      </c>
      <c r="G22" s="146"/>
      <c r="H22" s="146"/>
    </row>
    <row r="23" spans="1:8" x14ac:dyDescent="0.25">
      <c r="A23" s="146"/>
      <c r="B23" s="146"/>
      <c r="C23" s="146"/>
      <c r="D23" s="146"/>
      <c r="E23" s="146"/>
      <c r="F23" s="146"/>
      <c r="G23" s="146"/>
      <c r="H23" s="146"/>
    </row>
    <row r="24" spans="1:8" ht="15" customHeight="1" x14ac:dyDescent="0.25">
      <c r="A24" s="110" t="s">
        <v>18</v>
      </c>
      <c r="B24" s="110"/>
      <c r="C24" s="110"/>
      <c r="D24" s="110"/>
      <c r="E24" s="110"/>
      <c r="F24" s="215" t="s">
        <v>19</v>
      </c>
      <c r="G24" s="215"/>
      <c r="H24" s="215"/>
    </row>
    <row r="25" spans="1:8" x14ac:dyDescent="0.25">
      <c r="A25" s="110" t="s">
        <v>20</v>
      </c>
      <c r="B25" s="110"/>
      <c r="C25" s="110"/>
      <c r="D25" s="110"/>
      <c r="E25" s="110"/>
      <c r="F25" s="215" t="s">
        <v>21</v>
      </c>
      <c r="G25" s="215"/>
      <c r="H25" s="215"/>
    </row>
    <row r="26" spans="1:8" ht="15" customHeight="1" x14ac:dyDescent="0.25">
      <c r="A26" s="110" t="s">
        <v>22</v>
      </c>
      <c r="B26" s="110"/>
      <c r="C26" s="110"/>
      <c r="D26" s="110"/>
      <c r="E26" s="110"/>
      <c r="F26" s="215" t="s">
        <v>23</v>
      </c>
      <c r="G26" s="215"/>
      <c r="H26" s="215"/>
    </row>
    <row r="27" spans="1:8" x14ac:dyDescent="0.25">
      <c r="A27" s="110" t="s">
        <v>24</v>
      </c>
      <c r="B27" s="110"/>
      <c r="C27" s="110"/>
      <c r="D27" s="110"/>
      <c r="E27" s="110"/>
      <c r="F27" s="215" t="s">
        <v>25</v>
      </c>
      <c r="G27" s="215"/>
      <c r="H27" s="215"/>
    </row>
    <row r="28" spans="1:8" x14ac:dyDescent="0.25">
      <c r="A28" s="202" t="s">
        <v>26</v>
      </c>
      <c r="B28" s="202"/>
      <c r="C28" s="202" t="s">
        <v>27</v>
      </c>
      <c r="D28" s="202"/>
      <c r="E28" s="202" t="s">
        <v>28</v>
      </c>
      <c r="F28" s="202"/>
      <c r="G28" s="70" t="s">
        <v>30</v>
      </c>
      <c r="H28" s="70" t="s">
        <v>29</v>
      </c>
    </row>
    <row r="29" spans="1:8" x14ac:dyDescent="0.25">
      <c r="A29" s="203" t="s">
        <v>31</v>
      </c>
      <c r="B29" s="203"/>
      <c r="C29" s="203" t="s">
        <v>32</v>
      </c>
      <c r="D29" s="203"/>
      <c r="E29" s="203" t="s">
        <v>32</v>
      </c>
      <c r="F29" s="203"/>
      <c r="G29" s="68" t="s">
        <v>32</v>
      </c>
      <c r="H29" s="68" t="s">
        <v>32</v>
      </c>
    </row>
    <row r="30" spans="1:8" ht="15.75" customHeight="1" x14ac:dyDescent="0.25">
      <c r="A30" s="203" t="s">
        <v>33</v>
      </c>
      <c r="B30" s="203"/>
      <c r="C30" s="206" t="s">
        <v>184</v>
      </c>
      <c r="D30" s="206"/>
      <c r="E30" s="206" t="s">
        <v>185</v>
      </c>
      <c r="F30" s="206"/>
      <c r="G30" s="71" t="s">
        <v>261</v>
      </c>
      <c r="H30" s="71" t="s">
        <v>186</v>
      </c>
    </row>
    <row r="31" spans="1:8" x14ac:dyDescent="0.25">
      <c r="A31" s="110" t="s">
        <v>34</v>
      </c>
      <c r="B31" s="110"/>
      <c r="C31" s="110"/>
      <c r="D31" s="110"/>
      <c r="E31" s="110"/>
      <c r="F31" s="110"/>
      <c r="G31" s="110"/>
      <c r="H31" s="110"/>
    </row>
    <row r="32" spans="1:8" x14ac:dyDescent="0.25">
      <c r="A32" s="110" t="s">
        <v>35</v>
      </c>
      <c r="B32" s="110"/>
      <c r="C32" s="110"/>
      <c r="D32" s="110"/>
      <c r="E32" s="110"/>
      <c r="F32" s="110"/>
      <c r="G32" s="110"/>
      <c r="H32" s="110"/>
    </row>
    <row r="33" spans="1:8" x14ac:dyDescent="0.25">
      <c r="A33" s="110" t="s">
        <v>36</v>
      </c>
      <c r="B33" s="110"/>
      <c r="C33" s="110" t="s">
        <v>260</v>
      </c>
      <c r="D33" s="110"/>
      <c r="E33" s="110"/>
      <c r="F33" s="110"/>
      <c r="G33" s="110"/>
      <c r="H33" s="110"/>
    </row>
    <row r="34" spans="1:8" x14ac:dyDescent="0.25">
      <c r="A34" s="110" t="s">
        <v>258</v>
      </c>
      <c r="B34" s="110"/>
      <c r="C34" s="179" t="s">
        <v>259</v>
      </c>
      <c r="D34" s="110"/>
      <c r="E34" s="110"/>
      <c r="F34" s="110"/>
      <c r="G34" s="110"/>
      <c r="H34" s="110"/>
    </row>
    <row r="35" spans="1:8" x14ac:dyDescent="0.25">
      <c r="A35" s="207" t="s">
        <v>37</v>
      </c>
      <c r="B35" s="207"/>
      <c r="C35" s="207"/>
      <c r="D35" s="207"/>
      <c r="E35" s="207"/>
      <c r="F35" s="207"/>
      <c r="G35" s="207"/>
      <c r="H35" s="207"/>
    </row>
    <row r="36" spans="1:8" ht="15" customHeight="1" x14ac:dyDescent="0.25">
      <c r="A36" s="146" t="s">
        <v>38</v>
      </c>
      <c r="B36" s="146"/>
      <c r="C36" s="146"/>
      <c r="D36" s="146"/>
      <c r="E36" s="146"/>
      <c r="F36" s="205" t="s">
        <v>208</v>
      </c>
      <c r="G36" s="205"/>
      <c r="H36" s="205"/>
    </row>
    <row r="37" spans="1:8" ht="15" customHeight="1" x14ac:dyDescent="0.25">
      <c r="A37" s="146" t="s">
        <v>39</v>
      </c>
      <c r="B37" s="146"/>
      <c r="C37" s="146"/>
      <c r="D37" s="146"/>
      <c r="E37" s="146"/>
      <c r="F37" s="146" t="s">
        <v>40</v>
      </c>
      <c r="G37" s="146"/>
      <c r="H37" s="146"/>
    </row>
    <row r="38" spans="1:8" x14ac:dyDescent="0.25">
      <c r="A38" s="207" t="s">
        <v>41</v>
      </c>
      <c r="B38" s="207"/>
      <c r="C38" s="207"/>
      <c r="D38" s="207"/>
      <c r="E38" s="207"/>
      <c r="F38" s="207"/>
      <c r="G38" s="207"/>
      <c r="H38" s="207"/>
    </row>
    <row r="39" spans="1:8" x14ac:dyDescent="0.25">
      <c r="A39" s="110" t="s">
        <v>42</v>
      </c>
      <c r="B39" s="110"/>
      <c r="C39" s="110"/>
      <c r="D39" s="110"/>
      <c r="E39" s="110"/>
      <c r="F39" s="229">
        <v>9940</v>
      </c>
      <c r="G39" s="229"/>
      <c r="H39" s="229"/>
    </row>
    <row r="40" spans="1:8" x14ac:dyDescent="0.25">
      <c r="A40" s="110" t="s">
        <v>43</v>
      </c>
      <c r="B40" s="110"/>
      <c r="C40" s="110"/>
      <c r="D40" s="110"/>
      <c r="E40" s="110"/>
      <c r="F40" s="204">
        <v>1.1000000000000001</v>
      </c>
      <c r="G40" s="204"/>
      <c r="H40" s="204"/>
    </row>
    <row r="41" spans="1:8" x14ac:dyDescent="0.25">
      <c r="A41" s="110" t="s">
        <v>44</v>
      </c>
      <c r="B41" s="110"/>
      <c r="C41" s="110"/>
      <c r="D41" s="110"/>
      <c r="E41" s="110"/>
      <c r="F41" s="204">
        <f>F43/F39-F40</f>
        <v>2.1771298792756535</v>
      </c>
      <c r="G41" s="204"/>
      <c r="H41" s="204"/>
    </row>
    <row r="42" spans="1:8" x14ac:dyDescent="0.25">
      <c r="A42" s="110" t="s">
        <v>45</v>
      </c>
      <c r="B42" s="110"/>
      <c r="C42" s="110"/>
      <c r="D42" s="110"/>
      <c r="E42" s="110"/>
      <c r="F42" s="204">
        <f>F40+F41</f>
        <v>3.2771298792756536</v>
      </c>
      <c r="G42" s="204"/>
      <c r="H42" s="204"/>
    </row>
    <row r="43" spans="1:8" x14ac:dyDescent="0.25">
      <c r="A43" s="110" t="s">
        <v>46</v>
      </c>
      <c r="B43" s="110"/>
      <c r="C43" s="110"/>
      <c r="D43" s="110"/>
      <c r="E43" s="110"/>
      <c r="F43" s="204">
        <v>32574.670999999998</v>
      </c>
      <c r="G43" s="204"/>
      <c r="H43" s="204"/>
    </row>
    <row r="44" spans="1:8" x14ac:dyDescent="0.25">
      <c r="A44" s="110" t="s">
        <v>47</v>
      </c>
      <c r="B44" s="110"/>
      <c r="C44" s="110"/>
      <c r="D44" s="110"/>
      <c r="E44" s="110"/>
      <c r="F44" s="182" t="s">
        <v>281</v>
      </c>
      <c r="G44" s="182"/>
      <c r="H44" s="182"/>
    </row>
    <row r="45" spans="1:8" x14ac:dyDescent="0.25">
      <c r="A45" s="207" t="s">
        <v>48</v>
      </c>
      <c r="B45" s="207"/>
      <c r="C45" s="207"/>
      <c r="D45" s="207"/>
      <c r="E45" s="207"/>
      <c r="F45" s="207"/>
      <c r="G45" s="207"/>
      <c r="H45" s="207"/>
    </row>
    <row r="46" spans="1:8" x14ac:dyDescent="0.25">
      <c r="A46" s="149" t="s">
        <v>265</v>
      </c>
      <c r="B46" s="149"/>
      <c r="C46" s="149"/>
      <c r="D46" s="149"/>
      <c r="E46" s="149"/>
      <c r="F46" s="149"/>
      <c r="G46" s="149"/>
      <c r="H46" s="149"/>
    </row>
    <row r="47" spans="1:8" ht="15.75" customHeight="1" x14ac:dyDescent="0.25">
      <c r="A47" s="146" t="s">
        <v>49</v>
      </c>
      <c r="B47" s="146"/>
      <c r="C47" s="147" t="s">
        <v>188</v>
      </c>
      <c r="D47" s="147"/>
      <c r="E47" s="147"/>
      <c r="F47" s="147"/>
      <c r="G47" s="69" t="s">
        <v>50</v>
      </c>
      <c r="H47" s="67" t="s">
        <v>189</v>
      </c>
    </row>
    <row r="48" spans="1:8" x14ac:dyDescent="0.25">
      <c r="A48" s="146" t="s">
        <v>266</v>
      </c>
      <c r="B48" s="146"/>
      <c r="C48" s="147" t="str">
        <f>C47</f>
        <v>KMC/PWD/SP/3812</v>
      </c>
      <c r="D48" s="147"/>
      <c r="E48" s="147"/>
      <c r="F48" s="147"/>
      <c r="G48" s="69" t="s">
        <v>50</v>
      </c>
      <c r="H48" s="67" t="str">
        <f>H47</f>
        <v>31/12/2018.</v>
      </c>
    </row>
    <row r="49" spans="1:12" ht="50.25" customHeight="1" x14ac:dyDescent="0.25">
      <c r="A49" s="146" t="s">
        <v>309</v>
      </c>
      <c r="B49" s="146"/>
      <c r="C49" s="147" t="s">
        <v>310</v>
      </c>
      <c r="D49" s="148"/>
      <c r="E49" s="148"/>
      <c r="F49" s="148"/>
      <c r="G49" s="13" t="s">
        <v>50</v>
      </c>
      <c r="H49" s="67" t="str">
        <f>H48</f>
        <v>31/12/2018.</v>
      </c>
    </row>
    <row r="50" spans="1:12" x14ac:dyDescent="0.25">
      <c r="A50" s="150" t="s">
        <v>267</v>
      </c>
      <c r="B50" s="150"/>
      <c r="C50" s="150"/>
      <c r="D50" s="150"/>
      <c r="E50" s="150"/>
      <c r="F50" s="150"/>
      <c r="G50" s="150"/>
      <c r="H50" s="150"/>
    </row>
    <row r="51" spans="1:12" ht="15.75" customHeight="1" x14ac:dyDescent="0.25">
      <c r="A51" s="146" t="s">
        <v>49</v>
      </c>
      <c r="B51" s="146"/>
      <c r="C51" s="147" t="s">
        <v>264</v>
      </c>
      <c r="D51" s="147"/>
      <c r="E51" s="147"/>
      <c r="F51" s="147"/>
      <c r="G51" s="78" t="s">
        <v>50</v>
      </c>
      <c r="H51" s="81">
        <v>44253</v>
      </c>
    </row>
    <row r="52" spans="1:12" x14ac:dyDescent="0.25">
      <c r="A52" s="146" t="s">
        <v>266</v>
      </c>
      <c r="B52" s="146"/>
      <c r="C52" s="147" t="str">
        <f>C51</f>
        <v>KMC/TP/2034</v>
      </c>
      <c r="D52" s="147"/>
      <c r="E52" s="147"/>
      <c r="F52" s="147"/>
      <c r="G52" s="78" t="s">
        <v>50</v>
      </c>
      <c r="H52" s="81">
        <f>H51</f>
        <v>44253</v>
      </c>
    </row>
    <row r="53" spans="1:12" ht="49.5" customHeight="1" x14ac:dyDescent="0.25">
      <c r="A53" s="146" t="s">
        <v>309</v>
      </c>
      <c r="B53" s="146"/>
      <c r="C53" s="147" t="s">
        <v>311</v>
      </c>
      <c r="D53" s="148"/>
      <c r="E53" s="148"/>
      <c r="F53" s="148"/>
      <c r="G53" s="13" t="s">
        <v>50</v>
      </c>
      <c r="H53" s="81">
        <f>H52</f>
        <v>44253</v>
      </c>
    </row>
    <row r="54" spans="1:12" s="19" customFormat="1" ht="34.5" customHeight="1" x14ac:dyDescent="0.25">
      <c r="A54" s="160" t="s">
        <v>313</v>
      </c>
      <c r="B54" s="160"/>
      <c r="C54" s="161" t="s">
        <v>312</v>
      </c>
      <c r="D54" s="162"/>
      <c r="E54" s="162"/>
      <c r="F54" s="162" t="s">
        <v>51</v>
      </c>
      <c r="G54" s="79" t="s">
        <v>50</v>
      </c>
      <c r="H54" s="80">
        <v>44855</v>
      </c>
    </row>
    <row r="55" spans="1:12" s="19" customFormat="1" ht="51" customHeight="1" x14ac:dyDescent="0.25">
      <c r="A55" s="160" t="s">
        <v>313</v>
      </c>
      <c r="B55" s="160"/>
      <c r="C55" s="161" t="s">
        <v>322</v>
      </c>
      <c r="D55" s="162"/>
      <c r="E55" s="162"/>
      <c r="F55" s="162" t="s">
        <v>51</v>
      </c>
      <c r="G55" s="105" t="s">
        <v>50</v>
      </c>
      <c r="H55" s="80">
        <v>45738</v>
      </c>
    </row>
    <row r="56" spans="1:12" x14ac:dyDescent="0.25">
      <c r="A56" s="193" t="s">
        <v>53</v>
      </c>
      <c r="B56" s="193"/>
      <c r="C56" s="193"/>
      <c r="D56" s="193"/>
      <c r="E56" s="193"/>
      <c r="F56" s="193"/>
      <c r="G56" s="193"/>
      <c r="H56" s="193"/>
    </row>
    <row r="57" spans="1:12" x14ac:dyDescent="0.25">
      <c r="A57" s="110" t="s">
        <v>54</v>
      </c>
      <c r="B57" s="110"/>
      <c r="C57" s="110"/>
      <c r="D57" s="183">
        <v>10500.06</v>
      </c>
      <c r="E57" s="112"/>
      <c r="F57" s="112"/>
      <c r="G57" s="112"/>
      <c r="H57" s="113"/>
    </row>
    <row r="58" spans="1:12" x14ac:dyDescent="0.25">
      <c r="A58" s="182" t="s">
        <v>55</v>
      </c>
      <c r="B58" s="182"/>
      <c r="C58" s="151" t="s">
        <v>299</v>
      </c>
      <c r="D58" s="152"/>
      <c r="E58" s="152"/>
      <c r="F58" s="152"/>
      <c r="G58" s="152"/>
      <c r="H58" s="153"/>
      <c r="K58" s="12">
        <f>19+12</f>
        <v>31</v>
      </c>
      <c r="L58" s="12">
        <f>200+324</f>
        <v>524</v>
      </c>
    </row>
    <row r="59" spans="1:12" ht="67.5" customHeight="1" x14ac:dyDescent="0.25">
      <c r="A59" s="182" t="s">
        <v>56</v>
      </c>
      <c r="B59" s="182"/>
      <c r="C59" s="151" t="s">
        <v>274</v>
      </c>
      <c r="D59" s="152"/>
      <c r="E59" s="152"/>
      <c r="F59" s="152"/>
      <c r="G59" s="152"/>
      <c r="H59" s="153"/>
    </row>
    <row r="60" spans="1:12" ht="33" customHeight="1" x14ac:dyDescent="0.25">
      <c r="A60" s="154" t="s">
        <v>275</v>
      </c>
      <c r="B60" s="155"/>
      <c r="C60" s="151" t="s">
        <v>253</v>
      </c>
      <c r="D60" s="152"/>
      <c r="E60" s="152"/>
      <c r="F60" s="152"/>
      <c r="G60" s="152"/>
      <c r="H60" s="153"/>
    </row>
    <row r="61" spans="1:12" x14ac:dyDescent="0.25">
      <c r="A61" s="156"/>
      <c r="B61" s="157"/>
      <c r="C61" s="151" t="s">
        <v>277</v>
      </c>
      <c r="D61" s="152"/>
      <c r="E61" s="152"/>
      <c r="F61" s="152"/>
      <c r="G61" s="152"/>
      <c r="H61" s="153"/>
    </row>
    <row r="62" spans="1:12" x14ac:dyDescent="0.25">
      <c r="A62" s="158"/>
      <c r="B62" s="159"/>
      <c r="C62" s="151" t="s">
        <v>276</v>
      </c>
      <c r="D62" s="152"/>
      <c r="E62" s="152"/>
      <c r="F62" s="152"/>
      <c r="G62" s="152"/>
      <c r="H62" s="153"/>
    </row>
    <row r="63" spans="1:12" x14ac:dyDescent="0.25">
      <c r="A63" s="110" t="s">
        <v>52</v>
      </c>
      <c r="B63" s="110"/>
      <c r="C63" s="110"/>
      <c r="D63" s="111" t="s">
        <v>300</v>
      </c>
      <c r="E63" s="112"/>
      <c r="F63" s="112"/>
      <c r="G63" s="112"/>
      <c r="H63" s="113"/>
    </row>
    <row r="64" spans="1:12" ht="37.5" customHeight="1" x14ac:dyDescent="0.25">
      <c r="A64" s="110" t="s">
        <v>278</v>
      </c>
      <c r="B64" s="110"/>
      <c r="C64" s="110"/>
      <c r="D64" s="111" t="s">
        <v>316</v>
      </c>
      <c r="E64" s="112"/>
      <c r="F64" s="112"/>
      <c r="G64" s="112"/>
      <c r="H64" s="113"/>
    </row>
    <row r="65" spans="1:11" ht="15.75" customHeight="1" x14ac:dyDescent="0.25">
      <c r="A65" s="184" t="s">
        <v>279</v>
      </c>
      <c r="B65" s="184"/>
      <c r="C65" s="184"/>
      <c r="D65" s="185" t="str">
        <f ca="1">(IF(E99&gt;95%,"Nothing",IF(E99&gt;0%,"Cement, Aggregate, Steel, etc",IF(E99=0%,"Work not yet Started"))))</f>
        <v>Cement, Aggregate, Steel, etc</v>
      </c>
      <c r="E65" s="185"/>
      <c r="F65" s="185"/>
      <c r="G65" s="185"/>
      <c r="H65" s="185"/>
      <c r="J65" s="100"/>
    </row>
    <row r="66" spans="1:11" ht="33.75" customHeight="1" x14ac:dyDescent="0.25">
      <c r="A66" s="186" t="s">
        <v>280</v>
      </c>
      <c r="B66" s="186"/>
      <c r="C66" s="186"/>
      <c r="D66" s="185" t="str">
        <f ca="1">(IF(D65="Nothing","Yes",IF(D65="Cement, Aggregate, Steel, etc","Under Construction",IF(D65="Work not yet Started","Work not yet Started"))))</f>
        <v>Under Construction</v>
      </c>
      <c r="E66" s="185"/>
      <c r="F66" s="185" t="str">
        <f ca="1">(IF(D65="Nothing","Yes",IF(D65="Cement, Aggregate, Steel, etc","Under Construction",IF(D65="Work not yet Started","Work not yet Started"))))</f>
        <v>Under Construction</v>
      </c>
      <c r="G66" s="185"/>
      <c r="H66" s="185"/>
    </row>
    <row r="67" spans="1:11" x14ac:dyDescent="0.25">
      <c r="A67" s="110" t="s">
        <v>63</v>
      </c>
      <c r="B67" s="110"/>
      <c r="C67" s="110"/>
      <c r="D67" s="110"/>
      <c r="E67" s="110"/>
      <c r="F67" s="110"/>
      <c r="G67" s="110"/>
      <c r="H67" s="110"/>
    </row>
    <row r="68" spans="1:11" ht="36" customHeight="1" thickBot="1" x14ac:dyDescent="0.3">
      <c r="A68" s="190" t="s">
        <v>132</v>
      </c>
      <c r="B68" s="190"/>
      <c r="C68" s="191" t="s">
        <v>133</v>
      </c>
      <c r="D68" s="191"/>
      <c r="E68" s="191"/>
      <c r="F68" s="191"/>
      <c r="G68" s="191"/>
      <c r="H68" s="191"/>
    </row>
    <row r="69" spans="1:11" ht="15.75" customHeight="1" x14ac:dyDescent="0.25">
      <c r="A69" s="174" t="s">
        <v>255</v>
      </c>
      <c r="B69" s="175"/>
      <c r="C69" s="175"/>
      <c r="D69" s="175"/>
      <c r="E69" s="175"/>
      <c r="F69" s="175"/>
      <c r="G69" s="175"/>
      <c r="H69" s="176"/>
      <c r="I69" s="65" t="e">
        <f>(IF(#REF!=0,"Work not yet Started.",IF(#REF!=50%,"Excavation work in process",IF(#REF!=100%,"Excavation work completed, ","0")))&amp;(IF(#REF!=0%,"",IF(#REF!=25%,"Footing work is process",IF(#REF!=50%,"Footing work Completed",IF(#REF!=75%,"Plinth work is process",IF(#REF!=100%,"Plinth work completed","0"))))))&amp;(IF(#REF!&gt;0,", RCC upto "&amp;#REF!&amp;" Slab completed",""))&amp;(IF(#REF!&gt;0,", Brickwork upto "&amp;#REF!&amp;" Floor completed"," "))&amp;(IF(#REF!&gt;0,", Internal Plaster upto "&amp;#REF!&amp;" Floor completed"," "))&amp;(IF(#REF!&gt;0,", External Plaster upto "&amp;#REF!&amp;" Floor completed"," "))&amp;(IF(#REF!&gt;0,", Flooring upto "&amp;#REF!&amp;" Floor completed"," "))&amp;(IF(#REF!&gt;0,", Painting upto "&amp;#REF!&amp;" Floor completed"," "))&amp;(IF(#REF!&gt;0,", Finishing upto "&amp;#REF!&amp;" Floor completed"," ")))</f>
        <v>#REF!</v>
      </c>
      <c r="J69" s="60"/>
      <c r="K69" s="61"/>
    </row>
    <row r="70" spans="1:11" x14ac:dyDescent="0.25">
      <c r="A70" s="177" t="s">
        <v>129</v>
      </c>
      <c r="B70" s="178"/>
      <c r="C70" s="178">
        <v>1</v>
      </c>
      <c r="D70" s="178"/>
      <c r="E70" s="76" t="s">
        <v>128</v>
      </c>
      <c r="F70" s="76">
        <v>0</v>
      </c>
      <c r="G70" s="76" t="s">
        <v>233</v>
      </c>
      <c r="H70" s="72">
        <v>9</v>
      </c>
      <c r="I70" s="66" t="s">
        <v>234</v>
      </c>
      <c r="J70" s="62"/>
      <c r="K70" s="63"/>
    </row>
    <row r="71" spans="1:11" x14ac:dyDescent="0.25">
      <c r="A71" s="225" t="s">
        <v>235</v>
      </c>
      <c r="B71" s="226"/>
      <c r="C71" s="227" t="str">
        <f>I71</f>
        <v>All work Completed. OC Received.</v>
      </c>
      <c r="D71" s="227"/>
      <c r="E71" s="227"/>
      <c r="F71" s="227"/>
      <c r="G71" s="227"/>
      <c r="H71" s="228"/>
      <c r="I71" s="66" t="s">
        <v>239</v>
      </c>
      <c r="J71" s="62"/>
      <c r="K71" s="63"/>
    </row>
    <row r="72" spans="1:11" s="3" customFormat="1" x14ac:dyDescent="0.25">
      <c r="A72" s="163" t="s">
        <v>237</v>
      </c>
      <c r="B72" s="164"/>
      <c r="C72" s="167">
        <v>1</v>
      </c>
      <c r="D72" s="168"/>
      <c r="E72" s="171" t="s">
        <v>238</v>
      </c>
      <c r="F72" s="168"/>
      <c r="G72" s="167">
        <v>1</v>
      </c>
      <c r="H72" s="172"/>
      <c r="I72" s="73"/>
      <c r="J72" s="74"/>
      <c r="K72" s="75"/>
    </row>
    <row r="73" spans="1:11" s="3" customFormat="1" ht="16.5" thickBot="1" x14ac:dyDescent="0.3">
      <c r="A73" s="165"/>
      <c r="B73" s="166"/>
      <c r="C73" s="169"/>
      <c r="D73" s="170"/>
      <c r="E73" s="169"/>
      <c r="F73" s="170"/>
      <c r="G73" s="169"/>
      <c r="H73" s="173"/>
      <c r="I73" s="73"/>
      <c r="J73" s="74"/>
      <c r="K73" s="75"/>
    </row>
    <row r="74" spans="1:11" s="84" customFormat="1" x14ac:dyDescent="0.25">
      <c r="A74" s="114" t="s">
        <v>268</v>
      </c>
      <c r="B74" s="115"/>
      <c r="C74" s="116" t="s">
        <v>323</v>
      </c>
      <c r="D74" s="117"/>
      <c r="E74" s="117"/>
      <c r="F74" s="117"/>
      <c r="G74" s="117"/>
      <c r="H74" s="118"/>
      <c r="I74" s="82" t="str">
        <f ca="1">IF(D89=100%,"All work Completed. Possession granted to the Building.",IF(D88=100%,"All work Completed, Waiting for OC",I75&amp;""&amp;I76&amp;""&amp;J75&amp;""&amp;J74&amp;" "&amp;J76))</f>
        <v>Excavation, External Plaster, Flooring, Painting Completed0, RCC upto 1 Slab, Internal Plaster upto Slab/Floor Floor, External Plaster upto 9 Floor, Flooring upto 9 Floor, Painting upto 10 Floor Completed</v>
      </c>
      <c r="J74" s="83" t="str">
        <f ca="1">(IF(C82=(D75+F75+H75),"",IF(C82&gt;0,", RCC upto "&amp;C82&amp;" Slab","")))&amp;(IF(C83=H75,"",IF(C83&gt;0,", Brickwork upto "&amp;C83&amp;" Floor","")))&amp;(IF(C84=H75,"",IF(C84&gt;0,", Internal Plaster upto "&amp;C84&amp;" Floor","")))&amp;(IF(C85=H75,"",IF(C85&gt;0,", External Plaster upto "&amp;C85&amp;" Floor","")))&amp;(IF(C86=H75,"",IF(C86&gt;0,", Flooring upto "&amp;C86&amp;" Floor","")))&amp;(IF(C87=H75,"",IF(C87&gt;0,", Painting upto "&amp;C87&amp;" Floor","")))&amp;(IF(C88=H75,"",IF(C88&gt;0,", Finishing upto "&amp;C88&amp;" Floor","")))&amp;(IF(C89=H75,"",IF(C89&gt;0,", Possession upto "&amp;C89&amp;" Floor","")))</f>
        <v>, RCC upto 1 Slab, Internal Plaster upto Slab/Floor Floor, External Plaster upto 9 Floor, Flooring upto 9 Floor, Painting upto 10 Floor</v>
      </c>
    </row>
    <row r="75" spans="1:11" s="84" customFormat="1" x14ac:dyDescent="0.25">
      <c r="A75" s="85" t="s">
        <v>127</v>
      </c>
      <c r="B75" s="86">
        <v>0</v>
      </c>
      <c r="C75" s="86" t="s">
        <v>129</v>
      </c>
      <c r="D75" s="86">
        <v>1</v>
      </c>
      <c r="E75" s="86" t="s">
        <v>128</v>
      </c>
      <c r="F75" s="86">
        <v>0</v>
      </c>
      <c r="G75" s="86" t="s">
        <v>233</v>
      </c>
      <c r="H75" s="87">
        <f ca="1">--TRIM(RIGHT(SUBSTITUTE(LEFT(C74,_xlfn.AGGREGATE(16,6,FIND({0,1,2,3,4,5,6,7,8,9},C74,ROW(INDIRECT("1:"&amp;LEN(C74)))),1))," ",REPT(" ",LEN(C74))),LEN(C74)))</f>
        <v>15</v>
      </c>
      <c r="I75" s="88" t="str">
        <f ca="1">IF(D80=100%,"Excavation","")&amp;IF(D81=100%,", Plinth","")&amp;IF(D82=100%,", RCC Slab","")&amp;IF(D83=100%,", Brickwork","")&amp;IF(D84=100%,", Internal Plaster","")&amp;IF(D85=100%,", External Plaster","")&amp;IF(D86=100%,", Flooring","")&amp;IF(D87=100%,", Painting","")&amp;IF(D88=100%,", Building common Amenities","")</f>
        <v>Excavation, External Plaster, Flooring, Painting</v>
      </c>
      <c r="J75" s="89"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0</v>
      </c>
    </row>
    <row r="76" spans="1:11" s="84" customFormat="1" x14ac:dyDescent="0.25">
      <c r="A76" s="119" t="s">
        <v>235</v>
      </c>
      <c r="B76" s="120"/>
      <c r="C76" s="121" t="str">
        <f>I77</f>
        <v>All work Completed. OC Received.</v>
      </c>
      <c r="D76" s="121"/>
      <c r="E76" s="121"/>
      <c r="F76" s="121"/>
      <c r="G76" s="121"/>
      <c r="H76" s="122"/>
      <c r="I76" s="88" t="str">
        <f ca="1">IF(I75&lt;&gt;""," Completed","")</f>
        <v xml:space="preserve"> Completed</v>
      </c>
      <c r="J76" s="89" t="str">
        <f ca="1">IF(J74&lt;&gt;"","Completed","")</f>
        <v>Completed</v>
      </c>
    </row>
    <row r="77" spans="1:11" s="3" customFormat="1" x14ac:dyDescent="0.25">
      <c r="A77" s="163" t="s">
        <v>237</v>
      </c>
      <c r="B77" s="164"/>
      <c r="C77" s="167">
        <v>1</v>
      </c>
      <c r="D77" s="168"/>
      <c r="E77" s="171" t="s">
        <v>238</v>
      </c>
      <c r="F77" s="168"/>
      <c r="G77" s="167">
        <v>1</v>
      </c>
      <c r="H77" s="172"/>
      <c r="I77" s="73" t="s">
        <v>239</v>
      </c>
      <c r="J77" s="74"/>
      <c r="K77" s="75"/>
    </row>
    <row r="78" spans="1:11" s="3" customFormat="1" ht="16.5" thickBot="1" x14ac:dyDescent="0.3">
      <c r="A78" s="165"/>
      <c r="B78" s="166"/>
      <c r="C78" s="169"/>
      <c r="D78" s="170"/>
      <c r="E78" s="169"/>
      <c r="F78" s="170"/>
      <c r="G78" s="169"/>
      <c r="H78" s="173"/>
      <c r="I78" s="73"/>
      <c r="J78" s="74"/>
      <c r="K78" s="75"/>
    </row>
    <row r="79" spans="1:11" s="84" customFormat="1" x14ac:dyDescent="0.25">
      <c r="A79" s="114" t="s">
        <v>268</v>
      </c>
      <c r="B79" s="115"/>
      <c r="C79" s="116" t="s">
        <v>324</v>
      </c>
      <c r="D79" s="117"/>
      <c r="E79" s="117"/>
      <c r="F79" s="117"/>
      <c r="G79" s="117"/>
      <c r="H79" s="118"/>
      <c r="I79" s="82" t="str">
        <f ca="1">IF(D94=100%,"All work Completed. Possession granted to the Building.",IF(D93=100%,"All work Completed, Waiting for OC",I80&amp;""&amp;I81&amp;""&amp;J80&amp;""&amp;J79&amp;" "&amp;J81))</f>
        <v>Excavation, Plinth, RCC Slab Completed, Brickwork upto 15 Floor, Internal Plaster upto 15 Floor, External Plaster upto 15 Floor, Flooring upto 15 Floor, Painting upto 15 Floor, Finishing upto 15 Floor, Possession upto 15 Floor Completed</v>
      </c>
      <c r="J79" s="83" t="str">
        <f ca="1">(IF(C87=(D80+F80+H80),"",IF(C87&gt;0,", RCC upto "&amp;C87&amp;" Slab","")))&amp;(IF(C88=H80,"",IF(C88&gt;0,", Brickwork upto "&amp;C88&amp;" Floor","")))&amp;(IF(C89=H80,"",IF(C89&gt;0,", Internal Plaster upto "&amp;C89&amp;" Floor","")))&amp;(IF(C90=H80,"",IF(C90&gt;0,", External Plaster upto "&amp;C90&amp;" Floor","")))&amp;(IF(C91=H80,"",IF(C91&gt;0,", Flooring upto "&amp;C91&amp;" Floor","")))&amp;(IF(C92=H80,"",IF(C92&gt;0,", Painting upto "&amp;C92&amp;" Floor","")))&amp;(IF(C93=H80,"",IF(C93&gt;0,", Finishing upto "&amp;C93&amp;" Floor","")))&amp;(IF(C94=H80,"",IF(C94&gt;0,", Possession upto "&amp;C94&amp;" Floor","")))</f>
        <v>, Brickwork upto 15 Floor, Internal Plaster upto 15 Floor, External Plaster upto 15 Floor, Flooring upto 15 Floor, Painting upto 15 Floor, Finishing upto 15 Floor, Possession upto 15 Floor</v>
      </c>
    </row>
    <row r="80" spans="1:11" s="84" customFormat="1" x14ac:dyDescent="0.25">
      <c r="A80" s="85" t="s">
        <v>127</v>
      </c>
      <c r="B80" s="86">
        <v>0</v>
      </c>
      <c r="C80" s="86" t="s">
        <v>129</v>
      </c>
      <c r="D80" s="86">
        <v>1</v>
      </c>
      <c r="E80" s="86" t="s">
        <v>128</v>
      </c>
      <c r="F80" s="86">
        <v>0</v>
      </c>
      <c r="G80" s="86" t="s">
        <v>233</v>
      </c>
      <c r="H80" s="87">
        <f ca="1">--TRIM(RIGHT(SUBSTITUTE(LEFT(C79,_xlfn.AGGREGATE(16,6,FIND({0,1,2,3,4,5,6,7,8,9},C79,ROW(INDIRECT("1:"&amp;LEN(C79)))),1))," ",REPT(" ",LEN(C79))),LEN(C79)))</f>
        <v>9</v>
      </c>
      <c r="I80" s="88" t="str">
        <f ca="1">IF(D85=100%,"Excavation","")&amp;IF(D86=100%,", Plinth","")&amp;IF(D87=100%,", RCC Slab","")&amp;IF(D88=100%,", Brickwork","")&amp;IF(D89=100%,", Internal Plaster","")&amp;IF(D90=100%,", External Plaster","")&amp;IF(D91=100%,", Flooring","")&amp;IF(D92=100%,", Painting","")&amp;IF(D93=100%,", Building common Amenities","")</f>
        <v>Excavation, Plinth, RCC Slab</v>
      </c>
      <c r="J80" s="89" t="str">
        <f ca="1">(IF(C85=0,"Work not yet Started.",IF(D85=25%,"Piling work in process",IF(D85=50%,"Excavation work in process",IF(D85=100%,"","0")))))&amp;(IF(C86=0%,"",IF(C86=J87,", Footing work is process",IF(C86=J88,", Footing work Completed",IF(C86=J89,", 1st Basement Completed",IF(C86=J90,", 1st &amp; 2nd Basement Completed",IF(C86=J91,", 1st to 3rd Basement Completed",IF(C86=J92,", 1st to 4th Basement Completed",IF(C86=J93,", Plinth work is process",IF(C86=J94,"","0"))))))))))</f>
        <v/>
      </c>
    </row>
    <row r="81" spans="1:11" s="84" customFormat="1" x14ac:dyDescent="0.25">
      <c r="A81" s="119" t="s">
        <v>235</v>
      </c>
      <c r="B81" s="120"/>
      <c r="C81" s="121" t="str">
        <f ca="1">I79</f>
        <v>Excavation, Plinth, RCC Slab Completed, Brickwork upto 15 Floor, Internal Plaster upto 15 Floor, External Plaster upto 15 Floor, Flooring upto 15 Floor, Painting upto 15 Floor, Finishing upto 15 Floor, Possession upto 15 Floor Completed</v>
      </c>
      <c r="D81" s="121"/>
      <c r="E81" s="121"/>
      <c r="F81" s="121"/>
      <c r="G81" s="121"/>
      <c r="H81" s="122"/>
      <c r="I81" s="88" t="str">
        <f ca="1">IF(I80&lt;&gt;""," Completed","")</f>
        <v xml:space="preserve"> Completed</v>
      </c>
      <c r="J81" s="89" t="str">
        <f ca="1">IF(J79&lt;&gt;"","Completed","")</f>
        <v>Completed</v>
      </c>
    </row>
    <row r="82" spans="1:11" s="3" customFormat="1" x14ac:dyDescent="0.25">
      <c r="A82" s="163" t="s">
        <v>237</v>
      </c>
      <c r="B82" s="164"/>
      <c r="C82" s="167">
        <v>1</v>
      </c>
      <c r="D82" s="168"/>
      <c r="E82" s="171" t="s">
        <v>238</v>
      </c>
      <c r="F82" s="168"/>
      <c r="G82" s="167">
        <v>1</v>
      </c>
      <c r="H82" s="172"/>
      <c r="I82" s="73"/>
      <c r="J82" s="74"/>
      <c r="K82" s="75"/>
    </row>
    <row r="83" spans="1:11" s="3" customFormat="1" ht="16.5" thickBot="1" x14ac:dyDescent="0.3">
      <c r="A83" s="165"/>
      <c r="B83" s="166"/>
      <c r="C83" s="169"/>
      <c r="D83" s="170"/>
      <c r="E83" s="169"/>
      <c r="F83" s="170"/>
      <c r="G83" s="169"/>
      <c r="H83" s="173"/>
      <c r="I83" s="73"/>
      <c r="J83" s="74"/>
      <c r="K83" s="75"/>
    </row>
    <row r="84" spans="1:11" s="84" customFormat="1" ht="15.75" hidden="1" customHeight="1" x14ac:dyDescent="0.25">
      <c r="A84" s="123" t="s">
        <v>57</v>
      </c>
      <c r="B84" s="124"/>
      <c r="C84" s="90" t="s">
        <v>249</v>
      </c>
      <c r="D84" s="90" t="s">
        <v>236</v>
      </c>
      <c r="E84" s="124" t="s">
        <v>237</v>
      </c>
      <c r="F84" s="124"/>
      <c r="G84" s="124" t="s">
        <v>238</v>
      </c>
      <c r="H84" s="125"/>
      <c r="I84" s="64" t="s">
        <v>269</v>
      </c>
      <c r="J84" s="91">
        <f ca="1">H80*25%</f>
        <v>2.25</v>
      </c>
    </row>
    <row r="85" spans="1:11" s="84" customFormat="1" hidden="1" x14ac:dyDescent="0.25">
      <c r="A85" s="123" t="s">
        <v>240</v>
      </c>
      <c r="B85" s="124"/>
      <c r="C85" s="90">
        <f ca="1">J86</f>
        <v>9</v>
      </c>
      <c r="D85" s="92">
        <f ca="1">((100/H80)*C85)/100</f>
        <v>1</v>
      </c>
      <c r="E85" s="126">
        <f ca="1">(((C86/H80*10)+(40/(D80+F80+H80)*C87)+(7.5/(H80)*C88)+(7.5/(H80)*C89)+(10/H80*C90)+(10/H80*C91)+(5/H80*C92)+(5/H80*C93)+(5/H80*C94))/100)</f>
        <v>1.3333333333333335</v>
      </c>
      <c r="F85" s="127"/>
      <c r="G85" s="126">
        <f ca="1">((((C85/H80)*20)+((C86/H80)*25)+(30/(H80+F80+D80)*C87)+(5/H80*C88)+(5/H80*C89)+(5/H80*C90)+(5/H80*C91)+(0/H80*C92)+(0/H80*C93)+(5/H80*C94))/100)</f>
        <v>1.1666666666666665</v>
      </c>
      <c r="H85" s="132"/>
      <c r="I85" s="64" t="s">
        <v>134</v>
      </c>
      <c r="J85" s="93">
        <f ca="1">H80*50%</f>
        <v>4.5</v>
      </c>
    </row>
    <row r="86" spans="1:11" s="84" customFormat="1" hidden="1" x14ac:dyDescent="0.25">
      <c r="A86" s="123" t="s">
        <v>58</v>
      </c>
      <c r="B86" s="124"/>
      <c r="C86" s="90">
        <f ca="1">J94</f>
        <v>9</v>
      </c>
      <c r="D86" s="92">
        <f ca="1">((100/H80)*C86)/100</f>
        <v>1</v>
      </c>
      <c r="E86" s="128"/>
      <c r="F86" s="129"/>
      <c r="G86" s="128"/>
      <c r="H86" s="133"/>
      <c r="I86" s="64" t="s">
        <v>135</v>
      </c>
      <c r="J86" s="93">
        <f ca="1">H80</f>
        <v>9</v>
      </c>
    </row>
    <row r="87" spans="1:11" s="84" customFormat="1" ht="15.75" hidden="1" customHeight="1" x14ac:dyDescent="0.25">
      <c r="A87" s="123" t="s">
        <v>241</v>
      </c>
      <c r="B87" s="124"/>
      <c r="C87" s="90">
        <f ca="1">D80+H80</f>
        <v>10</v>
      </c>
      <c r="D87" s="92">
        <f ca="1">((100/(D80+F80+H80))*C87)/100</f>
        <v>1</v>
      </c>
      <c r="E87" s="128"/>
      <c r="F87" s="129"/>
      <c r="G87" s="128"/>
      <c r="H87" s="133"/>
      <c r="I87" s="64" t="s">
        <v>136</v>
      </c>
      <c r="J87" s="94">
        <f ca="1">(IF(B80&gt;1,(H80/(B80+2)),H80/4))</f>
        <v>2.25</v>
      </c>
    </row>
    <row r="88" spans="1:11" s="84" customFormat="1" ht="15.75" hidden="1" customHeight="1" x14ac:dyDescent="0.25">
      <c r="A88" s="123" t="s">
        <v>250</v>
      </c>
      <c r="B88" s="124" t="s">
        <v>242</v>
      </c>
      <c r="C88" s="90">
        <v>15</v>
      </c>
      <c r="D88" s="92">
        <f ca="1">((100/H80)*C88)/100</f>
        <v>1.6666666666666665</v>
      </c>
      <c r="E88" s="128"/>
      <c r="F88" s="129"/>
      <c r="G88" s="128"/>
      <c r="H88" s="133"/>
      <c r="I88" s="64" t="s">
        <v>137</v>
      </c>
      <c r="J88" s="94">
        <f ca="1">(IF(B80&gt;1,(H80/(B80+2)+J87),H80/4+J87))</f>
        <v>4.5</v>
      </c>
    </row>
    <row r="89" spans="1:11" s="84" customFormat="1" ht="15.75" hidden="1" customHeight="1" x14ac:dyDescent="0.25">
      <c r="A89" s="123" t="s">
        <v>251</v>
      </c>
      <c r="B89" s="124" t="s">
        <v>242</v>
      </c>
      <c r="C89" s="90">
        <v>15</v>
      </c>
      <c r="D89" s="92">
        <f ca="1">((100/H80)*C89)/100</f>
        <v>1.6666666666666665</v>
      </c>
      <c r="E89" s="128"/>
      <c r="F89" s="129"/>
      <c r="G89" s="128"/>
      <c r="H89" s="133"/>
      <c r="I89" s="64" t="s">
        <v>270</v>
      </c>
      <c r="J89" s="94">
        <f>(IF(B80&gt;1,(H80/(B80+2)+J88),0))</f>
        <v>0</v>
      </c>
    </row>
    <row r="90" spans="1:11" s="84" customFormat="1" ht="15" hidden="1" customHeight="1" x14ac:dyDescent="0.25">
      <c r="A90" s="123" t="s">
        <v>244</v>
      </c>
      <c r="B90" s="124" t="s">
        <v>245</v>
      </c>
      <c r="C90" s="90">
        <v>15</v>
      </c>
      <c r="D90" s="92">
        <f ca="1">((100/(H80))*C90)/100</f>
        <v>1.6666666666666665</v>
      </c>
      <c r="E90" s="128"/>
      <c r="F90" s="129"/>
      <c r="G90" s="128"/>
      <c r="H90" s="133"/>
      <c r="I90" s="64" t="s">
        <v>271</v>
      </c>
      <c r="J90" s="94">
        <f>(IF(B80&gt;2,(H80/(B80+2)+J89),0))</f>
        <v>0</v>
      </c>
    </row>
    <row r="91" spans="1:11" s="84" customFormat="1" ht="15.75" hidden="1" customHeight="1" x14ac:dyDescent="0.25">
      <c r="A91" s="123" t="s">
        <v>243</v>
      </c>
      <c r="B91" s="124" t="s">
        <v>243</v>
      </c>
      <c r="C91" s="90">
        <v>15</v>
      </c>
      <c r="D91" s="92">
        <f ca="1">((100/H80)*C91)/100</f>
        <v>1.6666666666666665</v>
      </c>
      <c r="E91" s="128"/>
      <c r="F91" s="129"/>
      <c r="G91" s="128"/>
      <c r="H91" s="133"/>
      <c r="I91" s="64" t="s">
        <v>272</v>
      </c>
      <c r="J91" s="95">
        <f>(IF(B80&gt;3,(H80/(B80+2)+J90),0))</f>
        <v>0</v>
      </c>
    </row>
    <row r="92" spans="1:11" s="84" customFormat="1" ht="15.75" hidden="1" customHeight="1" x14ac:dyDescent="0.25">
      <c r="A92" s="123" t="s">
        <v>252</v>
      </c>
      <c r="B92" s="124"/>
      <c r="C92" s="90">
        <v>15</v>
      </c>
      <c r="D92" s="92">
        <f ca="1">((100/H80)*C92)/100</f>
        <v>1.6666666666666665</v>
      </c>
      <c r="E92" s="128"/>
      <c r="F92" s="129"/>
      <c r="G92" s="128"/>
      <c r="H92" s="133"/>
      <c r="I92" s="64" t="s">
        <v>273</v>
      </c>
      <c r="J92" s="94">
        <f>(IF(B80&gt;4,(H80/(B80+2)+J91),0))</f>
        <v>0</v>
      </c>
    </row>
    <row r="93" spans="1:11" s="84" customFormat="1" ht="15.75" hidden="1" customHeight="1" x14ac:dyDescent="0.25">
      <c r="A93" s="123" t="s">
        <v>246</v>
      </c>
      <c r="B93" s="124" t="s">
        <v>246</v>
      </c>
      <c r="C93" s="90">
        <v>15</v>
      </c>
      <c r="D93" s="92">
        <f ca="1">((100/(H80))*C93)/100</f>
        <v>1.6666666666666665</v>
      </c>
      <c r="E93" s="128"/>
      <c r="F93" s="129"/>
      <c r="G93" s="128"/>
      <c r="H93" s="133"/>
      <c r="I93" s="64" t="s">
        <v>138</v>
      </c>
      <c r="J93" s="94">
        <f ca="1">(IF(B80=1,(H80/(B80+3)+J88),IF(B80=0,(H80/4+J88),IF(B80&gt;1,0))))</f>
        <v>6.75</v>
      </c>
    </row>
    <row r="94" spans="1:11" s="84" customFormat="1" ht="16.5" hidden="1" thickBot="1" x14ac:dyDescent="0.3">
      <c r="A94" s="144" t="s">
        <v>247</v>
      </c>
      <c r="B94" s="145"/>
      <c r="C94" s="96">
        <v>15</v>
      </c>
      <c r="D94" s="97">
        <f ca="1">((100/(H80))*C94)/100</f>
        <v>1.6666666666666665</v>
      </c>
      <c r="E94" s="130"/>
      <c r="F94" s="131"/>
      <c r="G94" s="130"/>
      <c r="H94" s="134"/>
      <c r="I94" s="98" t="s">
        <v>139</v>
      </c>
      <c r="J94" s="99">
        <f ca="1">(IF(B80&gt;1.5,(H80/(B80+2)+J88+MAX(0,J89-J88)+MAX(0,J90-J89)+MAX(0,J91-J90)+MAX(0,J92-J91)+MAX(0,J93-J92)),IF(B80=1,(H80/(B80+3)+J93),IF(B80=0,H80/4+J93))))</f>
        <v>9</v>
      </c>
    </row>
    <row r="95" spans="1:11" x14ac:dyDescent="0.25">
      <c r="A95" s="114" t="s">
        <v>268</v>
      </c>
      <c r="B95" s="115"/>
      <c r="C95" s="116" t="str">
        <f>C62</f>
        <v>Bldg No.4(A &amp; B Wing) - Gr. + 1st to 15th Floor</v>
      </c>
      <c r="D95" s="117"/>
      <c r="E95" s="117"/>
      <c r="F95" s="117"/>
      <c r="G95" s="117"/>
      <c r="H95" s="118"/>
      <c r="I95" s="82" t="str">
        <f ca="1">IF(D108=100%,"All work Completed. Possession granted to the Building.",IF(D107=100%,"All work Completed, Waiting for OC",I96&amp;""&amp;I97&amp;""&amp;J96&amp;""&amp;J95&amp;" "&amp;J97))</f>
        <v>Excavation, Plinth, RCC Slab, Brickwork Completed, Internal Plaster upto 13 Floor, External Plaster upto 7 Floor Completed</v>
      </c>
      <c r="J95" s="83" t="str">
        <f ca="1">(IF(C101=(D96+F96+H96),"",IF(C101&gt;0,", RCC upto "&amp;C101&amp;" Slab","")))&amp;(IF(C102=H96,"",IF(C102&gt;0,", Brickwork upto "&amp;C102&amp;" Floor","")))&amp;(IF(C103=H96,"",IF(C103&gt;0,", Internal Plaster upto "&amp;C103&amp;" Floor","")))&amp;(IF(C104=H96,"",IF(C104&gt;0,", External Plaster upto "&amp;C104&amp;" Floor","")))&amp;(IF(C105=H96,"",IF(C105&gt;0,", Flooring upto "&amp;C105&amp;" Floor","")))&amp;(IF(C106=H96,"",IF(C106&gt;0,", Painting upto "&amp;C106&amp;" Floor","")))&amp;(IF(C107=H96,"",IF(C107&gt;0,", Finishing upto "&amp;C107&amp;" Floor","")))&amp;(IF(C108=H96,"",IF(C108&gt;0,", Possession upto "&amp;C108&amp;" Floor","")))</f>
        <v>, Internal Plaster upto 13 Floor, External Plaster upto 7 Floor</v>
      </c>
    </row>
    <row r="96" spans="1:11" x14ac:dyDescent="0.25">
      <c r="A96" s="85" t="s">
        <v>127</v>
      </c>
      <c r="B96" s="86">
        <v>0</v>
      </c>
      <c r="C96" s="86" t="s">
        <v>129</v>
      </c>
      <c r="D96" s="86">
        <v>1</v>
      </c>
      <c r="E96" s="86" t="s">
        <v>128</v>
      </c>
      <c r="F96" s="86">
        <v>0</v>
      </c>
      <c r="G96" s="86" t="s">
        <v>233</v>
      </c>
      <c r="H96" s="87">
        <f ca="1">--TRIM(RIGHT(SUBSTITUTE(LEFT(C95,_xlfn.AGGREGATE(16,6,FIND({0,1,2,3,4,5,6,7,8,9},C95,ROW(INDIRECT("1:"&amp;LEN(C95)))),1))," ",REPT(" ",LEN(C95))),LEN(C95)))</f>
        <v>15</v>
      </c>
      <c r="I96" s="88" t="str">
        <f ca="1">IF(D99=100%,"Excavation","")&amp;IF(D100=100%,", Plinth","")&amp;IF(D101=100%,", RCC Slab","")&amp;IF(D102=100%,", Brickwork","")&amp;IF(D103=100%,", Internal Plaster","")&amp;IF(D104=100%,", External Plaster","")&amp;IF(D105=100%,", Flooring","")&amp;IF(D106=100%,", Painting","")&amp;IF(D107=100%,", Building common Amenities","")</f>
        <v>Excavation, Plinth, RCC Slab, Brickwork</v>
      </c>
      <c r="J96" s="89" t="str">
        <f ca="1">(IF(C99=0,"Work not yet Started.",IF(D99=25%,"Piling work in process",IF(D99=50%,"Excavation work in process",IF(D99=100%,"","0")))))&amp;(IF(C100=0%,"",IF(C100=J101,", Footing work is process",IF(C100=J102,", Footing work Completed",IF(C100=J103,", 1st Basement Completed",IF(C100=J104,", 1st &amp; 2nd Basement Completed",IF(C100=J105,", 1st to 3rd Basement Completed",IF(C100=J106,", 1st to 4th Basement Completed",IF(C100=J107,", Plinth work is process",IF(C100=J108,"","0"))))))))))</f>
        <v/>
      </c>
    </row>
    <row r="97" spans="1:14" ht="31.5" customHeight="1" x14ac:dyDescent="0.25">
      <c r="A97" s="119" t="s">
        <v>235</v>
      </c>
      <c r="B97" s="120"/>
      <c r="C97" s="121" t="str">
        <f ca="1">I95</f>
        <v>Excavation, Plinth, RCC Slab, Brickwork Completed, Internal Plaster upto 13 Floor, External Plaster upto 7 Floor Completed</v>
      </c>
      <c r="D97" s="121"/>
      <c r="E97" s="121"/>
      <c r="F97" s="121"/>
      <c r="G97" s="121"/>
      <c r="H97" s="122"/>
      <c r="I97" s="88" t="str">
        <f ca="1">IF(I96&lt;&gt;""," Completed","")</f>
        <v xml:space="preserve"> Completed</v>
      </c>
      <c r="J97" s="89" t="str">
        <f ca="1">IF(J95&lt;&gt;"","Completed","")</f>
        <v>Completed</v>
      </c>
    </row>
    <row r="98" spans="1:14" x14ac:dyDescent="0.25">
      <c r="A98" s="123" t="s">
        <v>57</v>
      </c>
      <c r="B98" s="124"/>
      <c r="C98" s="90" t="s">
        <v>249</v>
      </c>
      <c r="D98" s="104" t="s">
        <v>236</v>
      </c>
      <c r="E98" s="124" t="s">
        <v>237</v>
      </c>
      <c r="F98" s="124"/>
      <c r="G98" s="124" t="s">
        <v>238</v>
      </c>
      <c r="H98" s="125"/>
      <c r="I98" s="64" t="s">
        <v>269</v>
      </c>
      <c r="J98" s="91">
        <f ca="1">H96*25%</f>
        <v>3.75</v>
      </c>
    </row>
    <row r="99" spans="1:14" x14ac:dyDescent="0.25">
      <c r="A99" s="123" t="s">
        <v>240</v>
      </c>
      <c r="B99" s="124"/>
      <c r="C99" s="90">
        <f ca="1">J100</f>
        <v>15</v>
      </c>
      <c r="D99" s="92">
        <f ca="1">((100/H96)*C99)/100</f>
        <v>1</v>
      </c>
      <c r="E99" s="126">
        <f ca="1">(((C100/H96*10)+(40/(D96+F96+H96)*C101)+(7.5/(H96)*C102)+(7.5/(H96)*C103)+(10/H96*C104)+(10/H96*C105)+(5/H96*C106)+(5/H96*C107)+(5/H96*C108))/100)</f>
        <v>0.68666666666666676</v>
      </c>
      <c r="F99" s="127"/>
      <c r="G99" s="126">
        <f ca="1">((((C99/H96)*20)+((C100/H96)*25)+(30/(H96+F96+D96)*C101)+(5/H96*C102)+(5/H96*C103)+(5/H96*C104)+(5/H96*C105)+(0/H96*C106)+(0/H96*C107)+(5/H96*C108))/100)</f>
        <v>0.86666666666666659</v>
      </c>
      <c r="H99" s="132"/>
      <c r="I99" s="64" t="s">
        <v>134</v>
      </c>
      <c r="J99" s="93">
        <f ca="1">H96*50%</f>
        <v>7.5</v>
      </c>
    </row>
    <row r="100" spans="1:14" x14ac:dyDescent="0.25">
      <c r="A100" s="123" t="s">
        <v>58</v>
      </c>
      <c r="B100" s="124"/>
      <c r="C100" s="90">
        <f ca="1">J108</f>
        <v>15</v>
      </c>
      <c r="D100" s="92">
        <f ca="1">((100/H96)*C100)/100</f>
        <v>1</v>
      </c>
      <c r="E100" s="128"/>
      <c r="F100" s="129"/>
      <c r="G100" s="128"/>
      <c r="H100" s="133"/>
      <c r="I100" s="64" t="s">
        <v>135</v>
      </c>
      <c r="J100" s="93">
        <f ca="1">H96</f>
        <v>15</v>
      </c>
    </row>
    <row r="101" spans="1:14" x14ac:dyDescent="0.25">
      <c r="A101" s="123" t="s">
        <v>241</v>
      </c>
      <c r="B101" s="124"/>
      <c r="C101" s="90">
        <v>16</v>
      </c>
      <c r="D101" s="92">
        <f ca="1">((100/(D96+F96+H96))*C101)/100</f>
        <v>1</v>
      </c>
      <c r="E101" s="128"/>
      <c r="F101" s="129"/>
      <c r="G101" s="128"/>
      <c r="H101" s="133"/>
      <c r="I101" s="64" t="s">
        <v>136</v>
      </c>
      <c r="J101" s="94">
        <f ca="1">(IF(B96&gt;1,(H96/(B96+2)),H96/4))</f>
        <v>3.75</v>
      </c>
    </row>
    <row r="102" spans="1:14" x14ac:dyDescent="0.25">
      <c r="A102" s="123" t="s">
        <v>250</v>
      </c>
      <c r="B102" s="124" t="s">
        <v>242</v>
      </c>
      <c r="C102" s="90">
        <v>15</v>
      </c>
      <c r="D102" s="92">
        <f ca="1">((100/H96)*C102)/100</f>
        <v>1</v>
      </c>
      <c r="E102" s="128"/>
      <c r="F102" s="129"/>
      <c r="G102" s="128"/>
      <c r="H102" s="133"/>
      <c r="I102" s="64" t="s">
        <v>137</v>
      </c>
      <c r="J102" s="94">
        <f ca="1">(IF(B96&gt;1,(H96/(B96+2)+J101),H96/4+J101))</f>
        <v>7.5</v>
      </c>
    </row>
    <row r="103" spans="1:14" ht="15.75" customHeight="1" x14ac:dyDescent="0.25">
      <c r="A103" s="123" t="s">
        <v>251</v>
      </c>
      <c r="B103" s="124" t="s">
        <v>242</v>
      </c>
      <c r="C103" s="90">
        <v>13</v>
      </c>
      <c r="D103" s="92">
        <f ca="1">((100/H96)*C103)/100</f>
        <v>0.8666666666666667</v>
      </c>
      <c r="E103" s="128"/>
      <c r="F103" s="129"/>
      <c r="G103" s="128"/>
      <c r="H103" s="133"/>
      <c r="I103" s="64" t="s">
        <v>270</v>
      </c>
      <c r="J103" s="94">
        <f>(IF(B96&gt;1,(H96/(B96+2)+J102),0))</f>
        <v>0</v>
      </c>
    </row>
    <row r="104" spans="1:14" x14ac:dyDescent="0.25">
      <c r="A104" s="123" t="s">
        <v>244</v>
      </c>
      <c r="B104" s="124" t="s">
        <v>245</v>
      </c>
      <c r="C104" s="90">
        <v>7</v>
      </c>
      <c r="D104" s="92">
        <f ca="1">((100/(H96))*C104)/100</f>
        <v>0.46666666666666673</v>
      </c>
      <c r="E104" s="128"/>
      <c r="F104" s="129"/>
      <c r="G104" s="128"/>
      <c r="H104" s="133"/>
      <c r="I104" s="64" t="s">
        <v>271</v>
      </c>
      <c r="J104" s="94">
        <f>(IF(B96&gt;2,(H96/(B96+2)+J103),0))</f>
        <v>0</v>
      </c>
    </row>
    <row r="105" spans="1:14" x14ac:dyDescent="0.25">
      <c r="A105" s="123" t="s">
        <v>243</v>
      </c>
      <c r="B105" s="124" t="s">
        <v>243</v>
      </c>
      <c r="C105" s="90">
        <v>0</v>
      </c>
      <c r="D105" s="92">
        <f ca="1">((100/H96)*C105)/100</f>
        <v>0</v>
      </c>
      <c r="E105" s="128"/>
      <c r="F105" s="129"/>
      <c r="G105" s="128"/>
      <c r="H105" s="133"/>
      <c r="I105" s="64" t="s">
        <v>272</v>
      </c>
      <c r="J105" s="95">
        <f>(IF(B96&gt;3,(H96/(B96+2)+J104),0))</f>
        <v>0</v>
      </c>
    </row>
    <row r="106" spans="1:14" s="14" customFormat="1" ht="14.45" customHeight="1" x14ac:dyDescent="0.25">
      <c r="A106" s="123" t="s">
        <v>252</v>
      </c>
      <c r="B106" s="124"/>
      <c r="C106" s="90">
        <v>0</v>
      </c>
      <c r="D106" s="92">
        <f ca="1">((100/H96)*C106)/100</f>
        <v>0</v>
      </c>
      <c r="E106" s="128"/>
      <c r="F106" s="129"/>
      <c r="G106" s="128"/>
      <c r="H106" s="133"/>
      <c r="I106" s="64" t="s">
        <v>273</v>
      </c>
      <c r="J106" s="94">
        <f>(IF(B96&gt;4,(H96/(B96+2)+J105),0))</f>
        <v>0</v>
      </c>
    </row>
    <row r="107" spans="1:14" s="1" customFormat="1" ht="15.75" customHeight="1" x14ac:dyDescent="0.25">
      <c r="A107" s="123" t="s">
        <v>246</v>
      </c>
      <c r="B107" s="124" t="s">
        <v>246</v>
      </c>
      <c r="C107" s="90">
        <v>0</v>
      </c>
      <c r="D107" s="92">
        <f ca="1">((100/(H96))*C107)/100</f>
        <v>0</v>
      </c>
      <c r="E107" s="128"/>
      <c r="F107" s="129"/>
      <c r="G107" s="128"/>
      <c r="H107" s="133"/>
      <c r="I107" s="64" t="s">
        <v>138</v>
      </c>
      <c r="J107" s="94">
        <f ca="1">(IF(B96=1,(H96/(B96+3)+J102),IF(B96=0,(H96/4+J102),IF(B96&gt;1,0))))</f>
        <v>11.25</v>
      </c>
    </row>
    <row r="108" spans="1:14" s="1" customFormat="1" ht="15.75" customHeight="1" thickBot="1" x14ac:dyDescent="0.3">
      <c r="A108" s="144" t="s">
        <v>247</v>
      </c>
      <c r="B108" s="145"/>
      <c r="C108" s="96">
        <v>0</v>
      </c>
      <c r="D108" s="97">
        <f ca="1">((100/(H96))*C108)/100</f>
        <v>0</v>
      </c>
      <c r="E108" s="130"/>
      <c r="F108" s="131"/>
      <c r="G108" s="130"/>
      <c r="H108" s="134"/>
      <c r="I108" s="98" t="s">
        <v>139</v>
      </c>
      <c r="J108" s="99">
        <f ca="1">(IF(B96&gt;1.5,(H96/(B96+2)+J102+MAX(0,J103-J102)+MAX(0,J104-J103)+MAX(0,J105-J104)+MAX(0,J106-J105)+MAX(0,J107-J106)),IF(B96=1,(H96/(B96+3)+J107),IF(B96=0,H96/4+J107))))</f>
        <v>15</v>
      </c>
    </row>
    <row r="109" spans="1:14" s="1" customFormat="1" ht="15.75" customHeight="1" x14ac:dyDescent="0.25">
      <c r="A109" s="193" t="s">
        <v>64</v>
      </c>
      <c r="B109" s="193"/>
      <c r="C109" s="193"/>
      <c r="D109" s="193"/>
      <c r="E109" s="193"/>
      <c r="F109" s="193"/>
      <c r="G109" s="193"/>
      <c r="H109" s="193"/>
      <c r="I109" s="12"/>
      <c r="J109" s="12"/>
    </row>
    <row r="110" spans="1:14" s="1" customFormat="1" x14ac:dyDescent="0.25">
      <c r="A110" s="182" t="s">
        <v>140</v>
      </c>
      <c r="B110" s="182"/>
      <c r="C110" s="182"/>
      <c r="D110" s="182"/>
      <c r="E110" s="182"/>
      <c r="F110" s="182"/>
      <c r="G110" s="192">
        <v>4600</v>
      </c>
      <c r="H110" s="192"/>
      <c r="I110" s="12"/>
      <c r="J110" s="12"/>
      <c r="L110" s="1" t="s">
        <v>307</v>
      </c>
      <c r="M110" s="102">
        <v>45624</v>
      </c>
      <c r="N110" s="1" t="s">
        <v>308</v>
      </c>
    </row>
    <row r="111" spans="1:14" s="1" customFormat="1" x14ac:dyDescent="0.25">
      <c r="A111" s="182" t="s">
        <v>216</v>
      </c>
      <c r="B111" s="182"/>
      <c r="C111" s="182"/>
      <c r="D111" s="182"/>
      <c r="E111" s="182"/>
      <c r="F111" s="182"/>
      <c r="G111" s="192">
        <v>6000</v>
      </c>
      <c r="H111" s="192"/>
      <c r="I111" s="12" t="s">
        <v>320</v>
      </c>
      <c r="J111" s="12"/>
    </row>
    <row r="112" spans="1:14" s="1" customFormat="1" x14ac:dyDescent="0.25">
      <c r="A112" s="182" t="s">
        <v>141</v>
      </c>
      <c r="B112" s="182"/>
      <c r="C112" s="182"/>
      <c r="D112" s="182"/>
      <c r="E112" s="182"/>
      <c r="F112" s="182"/>
      <c r="G112" s="192">
        <v>7000</v>
      </c>
      <c r="H112" s="192"/>
      <c r="I112" s="12"/>
      <c r="J112" s="12"/>
    </row>
    <row r="113" spans="1:11" s="1" customFormat="1" hidden="1" x14ac:dyDescent="0.25">
      <c r="A113" s="110" t="s">
        <v>65</v>
      </c>
      <c r="B113" s="110"/>
      <c r="C113" s="110"/>
      <c r="D113" s="110"/>
      <c r="E113" s="110"/>
      <c r="F113" s="110"/>
      <c r="G113" s="147" t="s">
        <v>32</v>
      </c>
      <c r="H113" s="147"/>
      <c r="I113" s="12"/>
      <c r="J113" s="12"/>
    </row>
    <row r="114" spans="1:11" s="1" customFormat="1" hidden="1" x14ac:dyDescent="0.25">
      <c r="A114" s="110" t="s">
        <v>66</v>
      </c>
      <c r="B114" s="110"/>
      <c r="C114" s="110"/>
      <c r="D114" s="110"/>
      <c r="E114" s="110"/>
      <c r="F114" s="110"/>
      <c r="G114" s="147" t="s">
        <v>32</v>
      </c>
      <c r="H114" s="147"/>
      <c r="I114" s="12"/>
      <c r="J114" s="12"/>
    </row>
    <row r="115" spans="1:11" s="1" customFormat="1" x14ac:dyDescent="0.25">
      <c r="A115" s="110" t="s">
        <v>218</v>
      </c>
      <c r="B115" s="110"/>
      <c r="C115" s="110"/>
      <c r="D115" s="110"/>
      <c r="E115" s="110"/>
      <c r="F115" s="110"/>
      <c r="G115" s="147">
        <v>250000</v>
      </c>
      <c r="H115" s="147"/>
      <c r="I115" s="12"/>
      <c r="J115" s="12"/>
    </row>
    <row r="116" spans="1:11" s="1" customFormat="1" x14ac:dyDescent="0.25">
      <c r="A116" s="110" t="s">
        <v>210</v>
      </c>
      <c r="B116" s="110"/>
      <c r="C116" s="110"/>
      <c r="D116" s="110"/>
      <c r="E116" s="110"/>
      <c r="F116" s="110"/>
      <c r="G116" s="147">
        <v>18000</v>
      </c>
      <c r="H116" s="147"/>
      <c r="I116" s="12"/>
      <c r="J116" s="12"/>
    </row>
    <row r="117" spans="1:11" s="1" customFormat="1" x14ac:dyDescent="0.25">
      <c r="A117" s="146" t="s">
        <v>217</v>
      </c>
      <c r="B117" s="146"/>
      <c r="C117" s="146"/>
      <c r="D117" s="146"/>
      <c r="E117" s="146"/>
      <c r="F117" s="146"/>
      <c r="G117" s="147">
        <v>150000</v>
      </c>
      <c r="H117" s="147"/>
      <c r="I117" s="12"/>
      <c r="J117" s="12"/>
    </row>
    <row r="118" spans="1:11" s="1" customFormat="1" x14ac:dyDescent="0.25">
      <c r="A118" s="110" t="s">
        <v>67</v>
      </c>
      <c r="B118" s="110"/>
      <c r="C118" s="110"/>
      <c r="D118" s="110"/>
      <c r="E118" s="110"/>
      <c r="F118" s="110"/>
      <c r="G118" s="147">
        <v>50000</v>
      </c>
      <c r="H118" s="147"/>
      <c r="I118" s="12"/>
      <c r="J118" s="12"/>
    </row>
    <row r="119" spans="1:11" s="1" customFormat="1" x14ac:dyDescent="0.25">
      <c r="A119" s="110" t="s">
        <v>68</v>
      </c>
      <c r="B119" s="110"/>
      <c r="C119" s="110"/>
      <c r="D119" s="110"/>
      <c r="E119" s="110"/>
      <c r="F119" s="110"/>
      <c r="G119" s="147">
        <v>100000</v>
      </c>
      <c r="H119" s="147"/>
      <c r="I119" s="12"/>
      <c r="J119" s="12"/>
    </row>
    <row r="120" spans="1:11" s="1" customFormat="1" x14ac:dyDescent="0.25">
      <c r="A120" s="207" t="s">
        <v>69</v>
      </c>
      <c r="B120" s="207"/>
      <c r="C120" s="207"/>
      <c r="D120" s="207"/>
      <c r="E120" s="207"/>
      <c r="F120" s="207"/>
      <c r="G120" s="148">
        <f>G110*0.8</f>
        <v>3680</v>
      </c>
      <c r="H120" s="148"/>
      <c r="I120" s="14"/>
      <c r="J120" s="14"/>
    </row>
    <row r="121" spans="1:11" s="1" customFormat="1" x14ac:dyDescent="0.25">
      <c r="A121" s="180" t="s">
        <v>142</v>
      </c>
      <c r="B121" s="180"/>
      <c r="C121" s="180"/>
      <c r="D121" s="180"/>
      <c r="E121" s="180"/>
      <c r="F121" s="180"/>
      <c r="G121" s="180"/>
      <c r="H121" s="180"/>
    </row>
    <row r="122" spans="1:11" s="1" customFormat="1" x14ac:dyDescent="0.25">
      <c r="A122" s="187" t="s">
        <v>70</v>
      </c>
      <c r="B122" s="187"/>
      <c r="C122" s="10" t="s">
        <v>169</v>
      </c>
      <c r="D122" s="188" t="s">
        <v>71</v>
      </c>
      <c r="E122" s="188"/>
      <c r="F122" s="188"/>
      <c r="G122" s="187" t="s">
        <v>72</v>
      </c>
      <c r="H122" s="187"/>
      <c r="K122" s="1">
        <f>144+180</f>
        <v>324</v>
      </c>
    </row>
    <row r="123" spans="1:11" s="1" customFormat="1" x14ac:dyDescent="0.25">
      <c r="A123" s="107" t="s">
        <v>213</v>
      </c>
      <c r="B123" s="107"/>
      <c r="C123" s="40">
        <v>2</v>
      </c>
      <c r="D123" s="108">
        <f>D147+D161</f>
        <v>5688.1281599999993</v>
      </c>
      <c r="E123" s="108"/>
      <c r="F123" s="108"/>
      <c r="G123" s="109">
        <f>G147+G161</f>
        <v>9101.0050559999981</v>
      </c>
      <c r="H123" s="109"/>
    </row>
    <row r="124" spans="1:11" s="1" customFormat="1" x14ac:dyDescent="0.25">
      <c r="A124" s="107" t="s">
        <v>190</v>
      </c>
      <c r="B124" s="107"/>
      <c r="C124" s="40">
        <f>COUNT(D148:E159)+COUNT(D162:E179)</f>
        <v>30</v>
      </c>
      <c r="D124" s="108">
        <f>SUM(D148:E159)+SUM(D162:E179)</f>
        <v>8998.7039999999979</v>
      </c>
      <c r="E124" s="108"/>
      <c r="F124" s="108"/>
      <c r="G124" s="109">
        <f>SUM(G148:G159)+SUM(G162:G179)</f>
        <v>14397.9264</v>
      </c>
      <c r="H124" s="109"/>
    </row>
    <row r="125" spans="1:11" s="14" customFormat="1" x14ac:dyDescent="0.25">
      <c r="A125" s="107" t="s">
        <v>209</v>
      </c>
      <c r="B125" s="107"/>
      <c r="C125" s="40">
        <f>COUNT(D255:E261)</f>
        <v>7</v>
      </c>
      <c r="D125" s="108">
        <f>SUM(D255:E261)</f>
        <v>1116.54972</v>
      </c>
      <c r="E125" s="108"/>
      <c r="F125" s="108"/>
      <c r="G125" s="109">
        <f>SUM(G255:G261)</f>
        <v>1786.479552</v>
      </c>
      <c r="H125" s="109"/>
      <c r="I125" s="1"/>
      <c r="J125" s="1"/>
    </row>
    <row r="126" spans="1:11" x14ac:dyDescent="0.25">
      <c r="A126" s="107" t="s">
        <v>289</v>
      </c>
      <c r="B126" s="107"/>
      <c r="C126" s="40">
        <f>COUNT(D278:E289)</f>
        <v>12</v>
      </c>
      <c r="D126" s="216">
        <f>SUM(D278:E289)</f>
        <v>2281.75272</v>
      </c>
      <c r="E126" s="216"/>
      <c r="F126" s="216"/>
      <c r="G126" s="107">
        <f>SUM(G278:G289)</f>
        <v>4386.1828919999998</v>
      </c>
      <c r="H126" s="107"/>
      <c r="I126" s="1"/>
      <c r="J126" s="1"/>
    </row>
    <row r="127" spans="1:11" ht="57" hidden="1" customHeight="1" x14ac:dyDescent="0.25">
      <c r="A127" s="180" t="s">
        <v>74</v>
      </c>
      <c r="B127" s="180"/>
      <c r="C127" s="101">
        <f>SUM(C123:C126)</f>
        <v>51</v>
      </c>
      <c r="D127" s="181">
        <f>SUM(D123:F126)</f>
        <v>18085.134599999998</v>
      </c>
      <c r="E127" s="181"/>
      <c r="F127" s="181"/>
      <c r="G127" s="187">
        <f>SUM(G123:H126)</f>
        <v>29671.5939</v>
      </c>
      <c r="H127" s="187"/>
      <c r="I127" s="1"/>
      <c r="J127" s="1"/>
    </row>
    <row r="128" spans="1:11" x14ac:dyDescent="0.25">
      <c r="A128" s="180" t="s">
        <v>126</v>
      </c>
      <c r="B128" s="180"/>
      <c r="C128" s="180"/>
      <c r="D128" s="180"/>
      <c r="E128" s="180"/>
      <c r="F128" s="180"/>
      <c r="G128" s="180"/>
      <c r="H128" s="180"/>
      <c r="I128" s="1"/>
      <c r="J128" s="1"/>
    </row>
    <row r="129" spans="1:10" s="3" customFormat="1" ht="15.75" customHeight="1" x14ac:dyDescent="0.25">
      <c r="A129" s="187" t="s">
        <v>70</v>
      </c>
      <c r="B129" s="187"/>
      <c r="C129" s="10" t="s">
        <v>169</v>
      </c>
      <c r="D129" s="188" t="s">
        <v>71</v>
      </c>
      <c r="E129" s="188"/>
      <c r="F129" s="188"/>
      <c r="G129" s="187" t="s">
        <v>72</v>
      </c>
      <c r="H129" s="187"/>
      <c r="I129" s="1"/>
      <c r="J129" s="1"/>
    </row>
    <row r="130" spans="1:10" s="3" customFormat="1" ht="15.75" customHeight="1" x14ac:dyDescent="0.25">
      <c r="A130" s="107" t="s">
        <v>290</v>
      </c>
      <c r="B130" s="107"/>
      <c r="C130" s="11">
        <f>COUNT(D182:E187)+COUNT(D189:E194)*4+COUNT(D196:E201)*2+COUNT(D203:E207)</f>
        <v>47</v>
      </c>
      <c r="D130" s="108">
        <f>SUM(D182:E187)+SUM(D189:E194)*4+SUM(D196:E201)*2+SUM(D203:E207)</f>
        <v>23290.820279999996</v>
      </c>
      <c r="E130" s="108"/>
      <c r="F130" s="108"/>
      <c r="G130" s="109">
        <f>SUM(G182:G187)+SUM(G189:G194)*4+SUM(G196:G201)*2+SUM(G203:G207)</f>
        <v>35996</v>
      </c>
      <c r="H130" s="109"/>
      <c r="I130" s="1"/>
      <c r="J130" s="1"/>
    </row>
    <row r="131" spans="1:10" s="3" customFormat="1" ht="15.75" customHeight="1" x14ac:dyDescent="0.25">
      <c r="A131" s="107" t="s">
        <v>291</v>
      </c>
      <c r="B131" s="107"/>
      <c r="C131" s="11">
        <f>COUNT(D210:E215)+COUNT(D217:E222)*4+COUNT(D224:E229)*2+COUNT(D231:E235)</f>
        <v>47</v>
      </c>
      <c r="D131" s="108">
        <f>SUM(D210:E215)+SUM(D217:E222)*4+SUM(D224:E229)*2+SUM(D231:E235)</f>
        <v>23390.494920000001</v>
      </c>
      <c r="E131" s="108"/>
      <c r="F131" s="108"/>
      <c r="G131" s="109">
        <f>SUM(G210:G215)+SUM(G217:G222)*4+SUM(G224:G229)*2+SUM(G231:G235)</f>
        <v>35861</v>
      </c>
      <c r="H131" s="109"/>
      <c r="I131" s="1"/>
      <c r="J131" s="1"/>
    </row>
    <row r="132" spans="1:10" s="3" customFormat="1" ht="15.75" customHeight="1" x14ac:dyDescent="0.25">
      <c r="A132" s="107" t="s">
        <v>292</v>
      </c>
      <c r="B132" s="107"/>
      <c r="C132" s="11">
        <f>COUNT(D241:E246)*8+COUNT(D248:E252)</f>
        <v>53</v>
      </c>
      <c r="D132" s="108">
        <f>SUM(D241:E246)*8+SUM(D248:E252)</f>
        <v>27424.842120000005</v>
      </c>
      <c r="E132" s="108"/>
      <c r="F132" s="108"/>
      <c r="G132" s="109">
        <f>SUM(G241:G246)*8+SUM(G248:G252)</f>
        <v>39857</v>
      </c>
      <c r="H132" s="109"/>
      <c r="I132" s="1"/>
      <c r="J132" s="1"/>
    </row>
    <row r="133" spans="1:10" s="3" customFormat="1" x14ac:dyDescent="0.25">
      <c r="A133" s="107" t="s">
        <v>293</v>
      </c>
      <c r="B133" s="107"/>
      <c r="C133" s="11">
        <f>COUNT(D263:E268)*8+COUNT(D270:E274)</f>
        <v>53</v>
      </c>
      <c r="D133" s="108">
        <f>SUM(D263:E268)*8+SUM(D270:E274)</f>
        <v>27453.043800000007</v>
      </c>
      <c r="E133" s="108"/>
      <c r="F133" s="108"/>
      <c r="G133" s="109">
        <f>SUM(G263:G268)*8+SUM(G270:G274)</f>
        <v>39857</v>
      </c>
      <c r="H133" s="109"/>
      <c r="I133" s="1"/>
      <c r="J133" s="1"/>
    </row>
    <row r="134" spans="1:10" s="3" customFormat="1" ht="15.75" customHeight="1" x14ac:dyDescent="0.25">
      <c r="A134" s="107" t="s">
        <v>294</v>
      </c>
      <c r="B134" s="107"/>
      <c r="C134" s="11">
        <f>COUNT(D292:E296)*13+COUNT(D298:E302)*2</f>
        <v>75</v>
      </c>
      <c r="D134" s="108">
        <f>SUM(D292:E296)*13+SUM(D298:E302)*2</f>
        <v>45557.876519999998</v>
      </c>
      <c r="E134" s="108"/>
      <c r="F134" s="108"/>
      <c r="G134" s="109">
        <f>SUM(G292:G296)*13+SUM(G298:G302)*2</f>
        <v>65900</v>
      </c>
      <c r="H134" s="109"/>
      <c r="I134" s="1"/>
      <c r="J134" s="1"/>
    </row>
    <row r="135" spans="1:10" s="3" customFormat="1" x14ac:dyDescent="0.25">
      <c r="A135" s="107" t="s">
        <v>295</v>
      </c>
      <c r="B135" s="107"/>
      <c r="C135" s="11">
        <f>COUNT(D305:E309)*13+COUNT(D312:E315)*2</f>
        <v>73</v>
      </c>
      <c r="D135" s="108">
        <f>SUM(D305:E309)*13+SUM(D312:E315)*2</f>
        <v>39046.62528</v>
      </c>
      <c r="E135" s="108"/>
      <c r="F135" s="108"/>
      <c r="G135" s="109">
        <f>SUM(G305:G309)*13+SUM(G312:G315)*2</f>
        <v>56791</v>
      </c>
      <c r="H135" s="109"/>
      <c r="I135" s="1"/>
      <c r="J135" s="1"/>
    </row>
    <row r="136" spans="1:10" s="3" customFormat="1" x14ac:dyDescent="0.25">
      <c r="A136" s="107" t="s">
        <v>296</v>
      </c>
      <c r="B136" s="107"/>
      <c r="C136" s="11">
        <f>COUNT(D320:E325)*13+COUNT(D327:E330,D332)*2</f>
        <v>88</v>
      </c>
      <c r="D136" s="108">
        <f>SUM(D320:E325)*13+SUM(D327:E330,D332)*2</f>
        <v>49713.318720000003</v>
      </c>
      <c r="E136" s="108"/>
      <c r="F136" s="108"/>
      <c r="G136" s="109">
        <f>SUM(G320:G325)*13+SUM(G327:G330,G332)*2</f>
        <v>71879</v>
      </c>
      <c r="H136" s="109"/>
      <c r="I136" s="1"/>
      <c r="J136" s="1"/>
    </row>
    <row r="137" spans="1:10" s="3" customFormat="1" x14ac:dyDescent="0.25">
      <c r="A137" s="107" t="s">
        <v>297</v>
      </c>
      <c r="B137" s="107"/>
      <c r="C137" s="11">
        <f>COUNT(D335:E340)*13+COUNT(D342:E345,D347)*2</f>
        <v>88</v>
      </c>
      <c r="D137" s="108">
        <f>SUM(D335:E340)*13+SUM(D342:E345,D347)*2</f>
        <v>44083.746720000003</v>
      </c>
      <c r="E137" s="108"/>
      <c r="F137" s="108"/>
      <c r="G137" s="109">
        <f>SUM(G335:G340)*13+SUM(G342:G345,G347)*2</f>
        <v>63874</v>
      </c>
      <c r="H137" s="109"/>
      <c r="I137" s="1"/>
      <c r="J137" s="1"/>
    </row>
    <row r="138" spans="1:10" s="3" customFormat="1" x14ac:dyDescent="0.25">
      <c r="A138" s="180" t="s">
        <v>74</v>
      </c>
      <c r="B138" s="180"/>
      <c r="C138" s="10">
        <f>SUM(C130:C137)</f>
        <v>524</v>
      </c>
      <c r="D138" s="181">
        <f>SUM(D130:F133)</f>
        <v>101559.20112000001</v>
      </c>
      <c r="E138" s="181"/>
      <c r="F138" s="181"/>
      <c r="G138" s="187">
        <f>SUM(G130:H133)</f>
        <v>151571</v>
      </c>
      <c r="H138" s="187"/>
      <c r="I138" s="1"/>
      <c r="J138" s="1"/>
    </row>
    <row r="139" spans="1:10" s="3" customFormat="1" x14ac:dyDescent="0.25">
      <c r="A139" s="189" t="s">
        <v>75</v>
      </c>
      <c r="B139" s="189"/>
      <c r="C139" s="189"/>
      <c r="D139" s="189"/>
      <c r="E139" s="189"/>
      <c r="F139" s="189"/>
      <c r="G139" s="189"/>
      <c r="H139" s="189"/>
      <c r="I139" s="14"/>
      <c r="J139" s="14"/>
    </row>
    <row r="140" spans="1:10" s="3" customFormat="1" ht="19.5" customHeight="1" x14ac:dyDescent="0.25">
      <c r="A140" s="189" t="s">
        <v>76</v>
      </c>
      <c r="B140" s="189"/>
      <c r="C140" s="189"/>
      <c r="D140" s="189"/>
      <c r="E140" s="189"/>
      <c r="F140" s="189"/>
      <c r="G140" s="189"/>
      <c r="H140" s="189"/>
      <c r="I140" s="12"/>
      <c r="J140" s="12"/>
    </row>
    <row r="141" spans="1:10" s="3" customFormat="1" ht="51.75" hidden="1" x14ac:dyDescent="0.25">
      <c r="A141" s="20" t="s">
        <v>143</v>
      </c>
      <c r="B141" s="20" t="s">
        <v>144</v>
      </c>
      <c r="C141" s="20" t="s">
        <v>77</v>
      </c>
      <c r="D141" s="197" t="s">
        <v>78</v>
      </c>
      <c r="E141" s="197"/>
      <c r="F141" s="21" t="s">
        <v>79</v>
      </c>
      <c r="G141" s="20" t="s">
        <v>80</v>
      </c>
      <c r="H141" s="20" t="s">
        <v>81</v>
      </c>
      <c r="I141" s="12"/>
      <c r="J141" s="12"/>
    </row>
    <row r="142" spans="1:10" s="3" customFormat="1" ht="47.25" x14ac:dyDescent="0.25">
      <c r="A142" s="201" t="s">
        <v>145</v>
      </c>
      <c r="B142" s="201"/>
      <c r="C142" s="2" t="s">
        <v>77</v>
      </c>
      <c r="D142" s="201" t="s">
        <v>78</v>
      </c>
      <c r="E142" s="201"/>
      <c r="F142" s="15" t="s">
        <v>283</v>
      </c>
      <c r="G142" s="2" t="s">
        <v>232</v>
      </c>
      <c r="H142" s="2" t="s">
        <v>81</v>
      </c>
      <c r="I142" s="12"/>
      <c r="J142" s="12"/>
    </row>
    <row r="143" spans="1:10" s="3" customFormat="1" x14ac:dyDescent="0.25">
      <c r="A143" s="140" t="s">
        <v>190</v>
      </c>
      <c r="B143" s="140"/>
      <c r="C143" s="140"/>
      <c r="D143" s="140"/>
      <c r="E143" s="140"/>
      <c r="F143" s="140"/>
      <c r="G143" s="140"/>
      <c r="H143" s="140"/>
    </row>
    <row r="144" spans="1:10" s="3" customFormat="1" x14ac:dyDescent="0.25">
      <c r="A144" s="135" t="s">
        <v>212</v>
      </c>
      <c r="B144" s="135"/>
      <c r="C144" s="135"/>
      <c r="D144" s="135"/>
      <c r="E144" s="135"/>
      <c r="F144" s="135"/>
      <c r="G144" s="135"/>
      <c r="H144" s="135"/>
    </row>
    <row r="145" spans="1:8" s="3" customFormat="1" x14ac:dyDescent="0.25">
      <c r="A145" s="135" t="s">
        <v>191</v>
      </c>
      <c r="B145" s="135"/>
      <c r="C145" s="135"/>
      <c r="D145" s="135"/>
      <c r="E145" s="135"/>
      <c r="F145" s="135"/>
      <c r="G145" s="135"/>
      <c r="H145" s="135"/>
    </row>
    <row r="146" spans="1:8" s="3" customFormat="1" ht="15.75" customHeight="1" x14ac:dyDescent="0.25">
      <c r="A146" s="135" t="s">
        <v>192</v>
      </c>
      <c r="B146" s="135"/>
      <c r="C146" s="135"/>
      <c r="D146" s="135"/>
      <c r="E146" s="135"/>
      <c r="F146" s="135"/>
      <c r="G146" s="135"/>
      <c r="H146" s="135"/>
    </row>
    <row r="147" spans="1:8" s="3" customFormat="1" ht="47.25" x14ac:dyDescent="0.25">
      <c r="A147" s="136">
        <v>1</v>
      </c>
      <c r="B147" s="136"/>
      <c r="C147" s="4" t="s">
        <v>211</v>
      </c>
      <c r="D147" s="194">
        <f>350.77*10.764</f>
        <v>3775.6882799999994</v>
      </c>
      <c r="E147" s="194"/>
      <c r="F147" s="4">
        <v>0</v>
      </c>
      <c r="G147" s="4">
        <f>D147*1.6+F147</f>
        <v>6041.101247999999</v>
      </c>
      <c r="H147" s="136" t="str">
        <f>A146</f>
        <v>Ground Floor for Commercial &amp; Parking</v>
      </c>
    </row>
    <row r="148" spans="1:8" s="3" customFormat="1" ht="15.75" customHeight="1" x14ac:dyDescent="0.25">
      <c r="A148" s="136">
        <v>1</v>
      </c>
      <c r="B148" s="136"/>
      <c r="C148" s="4" t="s">
        <v>193</v>
      </c>
      <c r="D148" s="136">
        <f>71.46*10.764</f>
        <v>769.19543999999985</v>
      </c>
      <c r="E148" s="136"/>
      <c r="F148" s="4">
        <v>0</v>
      </c>
      <c r="G148" s="4">
        <f>D148*1.6+F148</f>
        <v>1230.7127039999998</v>
      </c>
      <c r="H148" s="136"/>
    </row>
    <row r="149" spans="1:8" s="3" customFormat="1" x14ac:dyDescent="0.25">
      <c r="A149" s="136">
        <v>2</v>
      </c>
      <c r="B149" s="136"/>
      <c r="C149" s="4" t="s">
        <v>193</v>
      </c>
      <c r="D149" s="136">
        <f>31.07*10.764</f>
        <v>334.43747999999999</v>
      </c>
      <c r="E149" s="136"/>
      <c r="F149" s="4">
        <v>0</v>
      </c>
      <c r="G149" s="4">
        <f t="shared" ref="G149:G151" si="0">D149*1.6+F149</f>
        <v>535.09996799999999</v>
      </c>
      <c r="H149" s="136"/>
    </row>
    <row r="150" spans="1:8" s="3" customFormat="1" x14ac:dyDescent="0.25">
      <c r="A150" s="136">
        <v>3</v>
      </c>
      <c r="B150" s="136"/>
      <c r="C150" s="4" t="s">
        <v>193</v>
      </c>
      <c r="D150" s="136">
        <f>15.83*10.764</f>
        <v>170.39411999999999</v>
      </c>
      <c r="E150" s="136"/>
      <c r="F150" s="4">
        <v>0</v>
      </c>
      <c r="G150" s="4">
        <f t="shared" si="0"/>
        <v>272.63059199999998</v>
      </c>
      <c r="H150" s="136"/>
    </row>
    <row r="151" spans="1:8" s="3" customFormat="1" x14ac:dyDescent="0.25">
      <c r="A151" s="136">
        <v>4</v>
      </c>
      <c r="B151" s="136"/>
      <c r="C151" s="4" t="s">
        <v>193</v>
      </c>
      <c r="D151" s="136">
        <f>17.79*10.764</f>
        <v>191.49155999999999</v>
      </c>
      <c r="E151" s="136"/>
      <c r="F151" s="4">
        <v>0</v>
      </c>
      <c r="G151" s="4">
        <f t="shared" si="0"/>
        <v>306.38649600000002</v>
      </c>
      <c r="H151" s="136"/>
    </row>
    <row r="152" spans="1:8" s="3" customFormat="1" x14ac:dyDescent="0.25">
      <c r="A152" s="136">
        <v>5</v>
      </c>
      <c r="B152" s="136"/>
      <c r="C152" s="4" t="s">
        <v>193</v>
      </c>
      <c r="D152" s="136">
        <f>16.81*10.764</f>
        <v>180.94283999999996</v>
      </c>
      <c r="E152" s="136"/>
      <c r="F152" s="4">
        <v>0</v>
      </c>
      <c r="G152" s="4">
        <f>D152*1.6+F152</f>
        <v>289.50854399999997</v>
      </c>
      <c r="H152" s="136"/>
    </row>
    <row r="153" spans="1:8" s="3" customFormat="1" x14ac:dyDescent="0.25">
      <c r="A153" s="136">
        <v>6</v>
      </c>
      <c r="B153" s="136"/>
      <c r="C153" s="4" t="s">
        <v>193</v>
      </c>
      <c r="D153" s="136">
        <f>16.81*10.764</f>
        <v>180.94283999999996</v>
      </c>
      <c r="E153" s="136"/>
      <c r="F153" s="4">
        <v>0</v>
      </c>
      <c r="G153" s="4">
        <f t="shared" ref="G153:G159" si="1">D153*1.6+F153</f>
        <v>289.50854399999997</v>
      </c>
      <c r="H153" s="136"/>
    </row>
    <row r="154" spans="1:8" s="3" customFormat="1" ht="15.75" customHeight="1" x14ac:dyDescent="0.25">
      <c r="A154" s="136">
        <v>7</v>
      </c>
      <c r="B154" s="136"/>
      <c r="C154" s="4" t="s">
        <v>193</v>
      </c>
      <c r="D154" s="136">
        <f>28.82*10.764</f>
        <v>310.21848</v>
      </c>
      <c r="E154" s="136"/>
      <c r="F154" s="4">
        <v>0</v>
      </c>
      <c r="G154" s="4">
        <f t="shared" si="1"/>
        <v>496.34956800000003</v>
      </c>
      <c r="H154" s="136"/>
    </row>
    <row r="155" spans="1:8" s="3" customFormat="1" x14ac:dyDescent="0.25">
      <c r="A155" s="136">
        <v>8</v>
      </c>
      <c r="B155" s="136"/>
      <c r="C155" s="4" t="s">
        <v>193</v>
      </c>
      <c r="D155" s="136">
        <f>57.91*10.764</f>
        <v>623.34323999999992</v>
      </c>
      <c r="E155" s="136"/>
      <c r="F155" s="4">
        <v>0</v>
      </c>
      <c r="G155" s="4">
        <f t="shared" si="1"/>
        <v>997.34918399999992</v>
      </c>
      <c r="H155" s="136"/>
    </row>
    <row r="156" spans="1:8" s="3" customFormat="1" x14ac:dyDescent="0.25">
      <c r="A156" s="136">
        <v>9</v>
      </c>
      <c r="B156" s="136"/>
      <c r="C156" s="4" t="s">
        <v>193</v>
      </c>
      <c r="D156" s="136">
        <f>17.95*10.764</f>
        <v>193.21379999999999</v>
      </c>
      <c r="E156" s="136"/>
      <c r="F156" s="4">
        <v>0</v>
      </c>
      <c r="G156" s="4">
        <f t="shared" si="1"/>
        <v>309.14208000000002</v>
      </c>
      <c r="H156" s="136"/>
    </row>
    <row r="157" spans="1:8" s="3" customFormat="1" x14ac:dyDescent="0.25">
      <c r="A157" s="136">
        <v>10</v>
      </c>
      <c r="B157" s="136"/>
      <c r="C157" s="4" t="s">
        <v>193</v>
      </c>
      <c r="D157" s="136">
        <f>15.22*10.764</f>
        <v>163.82808</v>
      </c>
      <c r="E157" s="136"/>
      <c r="F157" s="4">
        <v>0</v>
      </c>
      <c r="G157" s="4">
        <f t="shared" si="1"/>
        <v>262.12492800000001</v>
      </c>
      <c r="H157" s="136"/>
    </row>
    <row r="158" spans="1:8" s="3" customFormat="1" x14ac:dyDescent="0.25">
      <c r="A158" s="136">
        <v>11</v>
      </c>
      <c r="B158" s="136"/>
      <c r="C158" s="4" t="s">
        <v>193</v>
      </c>
      <c r="D158" s="136">
        <f>13.52*10.764</f>
        <v>145.52928</v>
      </c>
      <c r="E158" s="136"/>
      <c r="F158" s="4">
        <v>0</v>
      </c>
      <c r="G158" s="4">
        <f t="shared" si="1"/>
        <v>232.84684800000002</v>
      </c>
      <c r="H158" s="136"/>
    </row>
    <row r="159" spans="1:8" s="3" customFormat="1" ht="15.75" customHeight="1" x14ac:dyDescent="0.25">
      <c r="A159" s="136">
        <v>12</v>
      </c>
      <c r="B159" s="136"/>
      <c r="C159" s="4" t="s">
        <v>193</v>
      </c>
      <c r="D159" s="136">
        <f>15.92*10.764</f>
        <v>171.36287999999999</v>
      </c>
      <c r="E159" s="136"/>
      <c r="F159" s="4">
        <v>0</v>
      </c>
      <c r="G159" s="4">
        <f t="shared" si="1"/>
        <v>274.18060800000001</v>
      </c>
      <c r="H159" s="136"/>
    </row>
    <row r="160" spans="1:8" s="3" customFormat="1" x14ac:dyDescent="0.25">
      <c r="A160" s="135" t="s">
        <v>199</v>
      </c>
      <c r="B160" s="135"/>
      <c r="C160" s="135"/>
      <c r="D160" s="135"/>
      <c r="E160" s="135"/>
      <c r="F160" s="135"/>
      <c r="G160" s="135"/>
      <c r="H160" s="135"/>
    </row>
    <row r="161" spans="1:8" s="3" customFormat="1" ht="47.25" x14ac:dyDescent="0.25">
      <c r="A161" s="136">
        <v>1</v>
      </c>
      <c r="B161" s="136"/>
      <c r="C161" s="103" t="s">
        <v>211</v>
      </c>
      <c r="D161" s="194">
        <f>177.67*10.764</f>
        <v>1912.4398799999997</v>
      </c>
      <c r="E161" s="194"/>
      <c r="F161" s="103">
        <v>0</v>
      </c>
      <c r="G161" s="103">
        <f>D161*1.6</f>
        <v>3059.9038079999996</v>
      </c>
      <c r="H161" s="136" t="str">
        <f>A160</f>
        <v xml:space="preserve">1st Floor for Commercial </v>
      </c>
    </row>
    <row r="162" spans="1:8" s="3" customFormat="1" x14ac:dyDescent="0.25">
      <c r="A162" s="136">
        <v>1</v>
      </c>
      <c r="B162" s="136"/>
      <c r="C162" s="103" t="s">
        <v>196</v>
      </c>
      <c r="D162" s="136">
        <f>(40.66+6.16)*10.764</f>
        <v>503.9704799999999</v>
      </c>
      <c r="E162" s="136"/>
      <c r="F162" s="103">
        <v>0</v>
      </c>
      <c r="G162" s="103">
        <f>D162*1.6</f>
        <v>806.35276799999986</v>
      </c>
      <c r="H162" s="136"/>
    </row>
    <row r="163" spans="1:8" s="3" customFormat="1" x14ac:dyDescent="0.25">
      <c r="A163" s="136">
        <v>2</v>
      </c>
      <c r="B163" s="136"/>
      <c r="C163" s="103" t="s">
        <v>196</v>
      </c>
      <c r="D163" s="136">
        <f>(36.37+5.99)*10.764</f>
        <v>455.96303999999998</v>
      </c>
      <c r="E163" s="136"/>
      <c r="F163" s="103">
        <v>0</v>
      </c>
      <c r="G163" s="103">
        <f t="shared" ref="G163:G167" si="2">D163*1.6</f>
        <v>729.54086400000006</v>
      </c>
      <c r="H163" s="136"/>
    </row>
    <row r="164" spans="1:8" s="3" customFormat="1" x14ac:dyDescent="0.25">
      <c r="A164" s="136">
        <v>3</v>
      </c>
      <c r="B164" s="136"/>
      <c r="C164" s="103" t="s">
        <v>196</v>
      </c>
      <c r="D164" s="136">
        <f>(53.48+7.39)*10.764</f>
        <v>655.20467999999994</v>
      </c>
      <c r="E164" s="136"/>
      <c r="F164" s="103">
        <v>0</v>
      </c>
      <c r="G164" s="103">
        <f t="shared" si="2"/>
        <v>1048.3274879999999</v>
      </c>
      <c r="H164" s="136"/>
    </row>
    <row r="165" spans="1:8" s="3" customFormat="1" x14ac:dyDescent="0.25">
      <c r="A165" s="136">
        <v>4</v>
      </c>
      <c r="B165" s="136"/>
      <c r="C165" s="103" t="s">
        <v>196</v>
      </c>
      <c r="D165" s="136">
        <f>(25.96+4.74)*10.764</f>
        <v>330.45480000000003</v>
      </c>
      <c r="E165" s="136"/>
      <c r="F165" s="103">
        <v>0</v>
      </c>
      <c r="G165" s="103">
        <f t="shared" si="2"/>
        <v>528.72768000000008</v>
      </c>
      <c r="H165" s="136"/>
    </row>
    <row r="166" spans="1:8" s="3" customFormat="1" x14ac:dyDescent="0.25">
      <c r="A166" s="136">
        <v>5</v>
      </c>
      <c r="B166" s="136"/>
      <c r="C166" s="103" t="s">
        <v>196</v>
      </c>
      <c r="D166" s="136">
        <f>(11.83+2.98)*10.764</f>
        <v>159.41484</v>
      </c>
      <c r="E166" s="136"/>
      <c r="F166" s="103">
        <v>0</v>
      </c>
      <c r="G166" s="103">
        <f t="shared" si="2"/>
        <v>255.06374400000001</v>
      </c>
      <c r="H166" s="136"/>
    </row>
    <row r="167" spans="1:8" s="3" customFormat="1" ht="15.75" customHeight="1" x14ac:dyDescent="0.25">
      <c r="A167" s="136">
        <v>6</v>
      </c>
      <c r="B167" s="136"/>
      <c r="C167" s="103" t="s">
        <v>196</v>
      </c>
      <c r="D167" s="136">
        <f>(13.32+3.37)*10.764</f>
        <v>179.65116</v>
      </c>
      <c r="E167" s="136"/>
      <c r="F167" s="103">
        <v>0</v>
      </c>
      <c r="G167" s="103">
        <f t="shared" si="2"/>
        <v>287.44185600000003</v>
      </c>
      <c r="H167" s="136"/>
    </row>
    <row r="168" spans="1:8" s="3" customFormat="1" ht="15.75" customHeight="1" x14ac:dyDescent="0.25">
      <c r="A168" s="136">
        <v>7</v>
      </c>
      <c r="B168" s="136"/>
      <c r="C168" s="103" t="s">
        <v>196</v>
      </c>
      <c r="D168" s="136">
        <f>(13.32+3.37)*10.764</f>
        <v>179.65116</v>
      </c>
      <c r="E168" s="136"/>
      <c r="F168" s="103">
        <v>0</v>
      </c>
      <c r="G168" s="103">
        <f>D168*1.6</f>
        <v>287.44185600000003</v>
      </c>
      <c r="H168" s="136"/>
    </row>
    <row r="169" spans="1:8" s="3" customFormat="1" x14ac:dyDescent="0.25">
      <c r="A169" s="136">
        <v>8</v>
      </c>
      <c r="B169" s="136"/>
      <c r="C169" s="103" t="s">
        <v>196</v>
      </c>
      <c r="D169" s="136">
        <f>(12.05+3.04)*10.764</f>
        <v>162.42875999999998</v>
      </c>
      <c r="E169" s="136"/>
      <c r="F169" s="103">
        <v>0</v>
      </c>
      <c r="G169" s="103">
        <f t="shared" ref="G169:G179" si="3">D169*1.6</f>
        <v>259.88601599999998</v>
      </c>
      <c r="H169" s="136"/>
    </row>
    <row r="170" spans="1:8" s="3" customFormat="1" x14ac:dyDescent="0.25">
      <c r="A170" s="136">
        <v>9</v>
      </c>
      <c r="B170" s="136"/>
      <c r="C170" s="103" t="s">
        <v>196</v>
      </c>
      <c r="D170" s="136">
        <f>(13.32+3.37)*10.764</f>
        <v>179.65116</v>
      </c>
      <c r="E170" s="136"/>
      <c r="F170" s="103">
        <v>0</v>
      </c>
      <c r="G170" s="103">
        <f t="shared" si="3"/>
        <v>287.44185600000003</v>
      </c>
      <c r="H170" s="136"/>
    </row>
    <row r="171" spans="1:8" s="3" customFormat="1" x14ac:dyDescent="0.25">
      <c r="A171" s="136">
        <v>10</v>
      </c>
      <c r="B171" s="136"/>
      <c r="C171" s="103" t="s">
        <v>196</v>
      </c>
      <c r="D171" s="136">
        <f>(13.32+3.37)*10.764</f>
        <v>179.65116</v>
      </c>
      <c r="E171" s="136"/>
      <c r="F171" s="103">
        <v>0</v>
      </c>
      <c r="G171" s="103">
        <f t="shared" si="3"/>
        <v>287.44185600000003</v>
      </c>
      <c r="H171" s="136"/>
    </row>
    <row r="172" spans="1:8" s="3" customFormat="1" x14ac:dyDescent="0.25">
      <c r="A172" s="136">
        <v>11</v>
      </c>
      <c r="B172" s="136"/>
      <c r="C172" s="103" t="s">
        <v>196</v>
      </c>
      <c r="D172" s="136">
        <f>(12.05+3.04)*10.764</f>
        <v>162.42875999999998</v>
      </c>
      <c r="E172" s="136"/>
      <c r="F172" s="103">
        <v>0</v>
      </c>
      <c r="G172" s="103">
        <f t="shared" si="3"/>
        <v>259.88601599999998</v>
      </c>
      <c r="H172" s="136"/>
    </row>
    <row r="173" spans="1:8" s="3" customFormat="1" x14ac:dyDescent="0.25">
      <c r="A173" s="136">
        <v>12</v>
      </c>
      <c r="B173" s="136"/>
      <c r="C173" s="103" t="s">
        <v>196</v>
      </c>
      <c r="D173" s="136">
        <f>(13.32+3.37)*10.764</f>
        <v>179.65116</v>
      </c>
      <c r="E173" s="136"/>
      <c r="F173" s="103">
        <v>0</v>
      </c>
      <c r="G173" s="103">
        <f t="shared" si="3"/>
        <v>287.44185600000003</v>
      </c>
      <c r="H173" s="136"/>
    </row>
    <row r="174" spans="1:8" s="3" customFormat="1" ht="15.75" customHeight="1" x14ac:dyDescent="0.25">
      <c r="A174" s="136">
        <v>13</v>
      </c>
      <c r="B174" s="136"/>
      <c r="C174" s="103" t="s">
        <v>196</v>
      </c>
      <c r="D174" s="136">
        <f>(12.57+3.17)*10.764</f>
        <v>169.42535999999998</v>
      </c>
      <c r="E174" s="136"/>
      <c r="F174" s="103">
        <v>0</v>
      </c>
      <c r="G174" s="103">
        <f t="shared" si="3"/>
        <v>271.08057600000001</v>
      </c>
      <c r="H174" s="136"/>
    </row>
    <row r="175" spans="1:8" s="3" customFormat="1" ht="15.75" customHeight="1" x14ac:dyDescent="0.25">
      <c r="A175" s="136">
        <v>14</v>
      </c>
      <c r="B175" s="136"/>
      <c r="C175" s="103" t="s">
        <v>196</v>
      </c>
      <c r="D175" s="136">
        <f>(12.57+3.17)*10.764</f>
        <v>169.42535999999998</v>
      </c>
      <c r="E175" s="136"/>
      <c r="F175" s="103">
        <v>0</v>
      </c>
      <c r="G175" s="103">
        <f t="shared" si="3"/>
        <v>271.08057600000001</v>
      </c>
      <c r="H175" s="136"/>
    </row>
    <row r="176" spans="1:8" s="3" customFormat="1" ht="15.75" customHeight="1" x14ac:dyDescent="0.25">
      <c r="A176" s="136">
        <v>15</v>
      </c>
      <c r="B176" s="136"/>
      <c r="C176" s="103" t="s">
        <v>196</v>
      </c>
      <c r="D176" s="136">
        <f>(25.96+4.74)*10.764</f>
        <v>330.45480000000003</v>
      </c>
      <c r="E176" s="136"/>
      <c r="F176" s="103">
        <v>0</v>
      </c>
      <c r="G176" s="103">
        <f t="shared" si="3"/>
        <v>528.72768000000008</v>
      </c>
      <c r="H176" s="136"/>
    </row>
    <row r="177" spans="1:8" s="3" customFormat="1" ht="15.75" customHeight="1" x14ac:dyDescent="0.25">
      <c r="A177" s="136">
        <v>16</v>
      </c>
      <c r="B177" s="136"/>
      <c r="C177" s="103" t="s">
        <v>196</v>
      </c>
      <c r="D177" s="136">
        <f>(51.23+7.07)*10.764</f>
        <v>627.54119999999989</v>
      </c>
      <c r="E177" s="136"/>
      <c r="F177" s="103">
        <v>0</v>
      </c>
      <c r="G177" s="103">
        <f>D177*1.6</f>
        <v>1004.0659199999999</v>
      </c>
      <c r="H177" s="136"/>
    </row>
    <row r="178" spans="1:8" s="3" customFormat="1" ht="15.75" customHeight="1" x14ac:dyDescent="0.25">
      <c r="A178" s="136">
        <v>17</v>
      </c>
      <c r="B178" s="136"/>
      <c r="C178" s="103" t="s">
        <v>196</v>
      </c>
      <c r="D178" s="136">
        <f>(38.7+5.99)*10.764</f>
        <v>481.04316</v>
      </c>
      <c r="E178" s="136"/>
      <c r="F178" s="103">
        <v>0</v>
      </c>
      <c r="G178" s="103">
        <f t="shared" si="3"/>
        <v>769.66905600000007</v>
      </c>
      <c r="H178" s="136"/>
    </row>
    <row r="179" spans="1:8" s="3" customFormat="1" ht="15.75" customHeight="1" x14ac:dyDescent="0.25">
      <c r="A179" s="136">
        <v>18</v>
      </c>
      <c r="B179" s="136"/>
      <c r="C179" s="103" t="s">
        <v>196</v>
      </c>
      <c r="D179" s="136">
        <f>(36.37+6.16)*10.764</f>
        <v>457.79291999999998</v>
      </c>
      <c r="E179" s="136"/>
      <c r="F179" s="103">
        <v>0</v>
      </c>
      <c r="G179" s="103">
        <f t="shared" si="3"/>
        <v>732.46867199999997</v>
      </c>
      <c r="H179" s="136"/>
    </row>
    <row r="180" spans="1:8" s="3" customFormat="1" ht="15.75" customHeight="1" x14ac:dyDescent="0.25">
      <c r="A180" s="135" t="s">
        <v>194</v>
      </c>
      <c r="B180" s="135"/>
      <c r="C180" s="135"/>
      <c r="D180" s="135"/>
      <c r="E180" s="135"/>
      <c r="F180" s="135"/>
      <c r="G180" s="135"/>
      <c r="H180" s="135"/>
    </row>
    <row r="181" spans="1:8" s="3" customFormat="1" ht="15.75" customHeight="1" x14ac:dyDescent="0.25">
      <c r="A181" s="135" t="s">
        <v>200</v>
      </c>
      <c r="B181" s="135"/>
      <c r="C181" s="135"/>
      <c r="D181" s="135"/>
      <c r="E181" s="135"/>
      <c r="F181" s="135"/>
      <c r="G181" s="135"/>
      <c r="H181" s="135"/>
    </row>
    <row r="182" spans="1:8" s="3" customFormat="1" ht="15.75" customHeight="1" x14ac:dyDescent="0.25">
      <c r="A182" s="136">
        <v>1</v>
      </c>
      <c r="B182" s="136"/>
      <c r="C182" s="4" t="s">
        <v>197</v>
      </c>
      <c r="D182" s="136">
        <f>(27.25+2.29+1.55)*10.764</f>
        <v>334.65276</v>
      </c>
      <c r="E182" s="136"/>
      <c r="F182" s="4">
        <v>0</v>
      </c>
      <c r="G182" s="4">
        <v>479</v>
      </c>
      <c r="H182" s="136" t="str">
        <f>A181</f>
        <v xml:space="preserve">2nd Floor </v>
      </c>
    </row>
    <row r="183" spans="1:8" s="3" customFormat="1" x14ac:dyDescent="0.25">
      <c r="A183" s="136">
        <v>2</v>
      </c>
      <c r="B183" s="136"/>
      <c r="C183" s="4" t="s">
        <v>197</v>
      </c>
      <c r="D183" s="136">
        <f>(30.24+1.8+1.99+2.59+2.59)*10.764</f>
        <v>422.05644000000007</v>
      </c>
      <c r="E183" s="136"/>
      <c r="F183" s="4">
        <f>3.22*10.764</f>
        <v>34.660080000000001</v>
      </c>
      <c r="G183" s="4">
        <v>647</v>
      </c>
      <c r="H183" s="136"/>
    </row>
    <row r="184" spans="1:8" s="3" customFormat="1" x14ac:dyDescent="0.25">
      <c r="A184" s="136">
        <v>3</v>
      </c>
      <c r="B184" s="136"/>
      <c r="C184" s="4" t="s">
        <v>198</v>
      </c>
      <c r="D184" s="136">
        <f>(46.6+1.76+2.02+2.59+2.6+2.6)*10.764</f>
        <v>626.14188000000001</v>
      </c>
      <c r="E184" s="136"/>
      <c r="F184" s="4">
        <f>4.28*10.764</f>
        <v>46.069920000000003</v>
      </c>
      <c r="G184" s="4">
        <v>985</v>
      </c>
      <c r="H184" s="136"/>
    </row>
    <row r="185" spans="1:8" s="3" customFormat="1" x14ac:dyDescent="0.25">
      <c r="A185" s="136">
        <v>4</v>
      </c>
      <c r="B185" s="136"/>
      <c r="C185" s="4" t="s">
        <v>198</v>
      </c>
      <c r="D185" s="136">
        <f>(46.3+1.76+2.03+2.02+2.6+2.6+2.6)*10.764</f>
        <v>644.87124000000006</v>
      </c>
      <c r="E185" s="136"/>
      <c r="F185" s="4">
        <f>(3.7+5.54)*10.764</f>
        <v>99.45935999999999</v>
      </c>
      <c r="G185" s="4">
        <v>1034</v>
      </c>
      <c r="H185" s="136"/>
    </row>
    <row r="186" spans="1:8" s="3" customFormat="1" x14ac:dyDescent="0.25">
      <c r="A186" s="136">
        <v>5</v>
      </c>
      <c r="B186" s="136"/>
      <c r="C186" s="4" t="s">
        <v>197</v>
      </c>
      <c r="D186" s="136">
        <f>(30.42+1.8+1.99+2.6+2.41)*10.764</f>
        <v>422.16407999999996</v>
      </c>
      <c r="E186" s="136"/>
      <c r="F186" s="4">
        <f>(3.7)*10.764</f>
        <v>39.826799999999999</v>
      </c>
      <c r="G186" s="4">
        <v>652</v>
      </c>
      <c r="H186" s="136"/>
    </row>
    <row r="187" spans="1:8" s="3" customFormat="1" x14ac:dyDescent="0.25">
      <c r="A187" s="136">
        <v>6</v>
      </c>
      <c r="B187" s="136"/>
      <c r="C187" s="4" t="s">
        <v>197</v>
      </c>
      <c r="D187" s="136">
        <f>(30.42+1.99+1.8+1.99+2.6+2.41)*10.764</f>
        <v>443.58444000000009</v>
      </c>
      <c r="E187" s="136"/>
      <c r="F187" s="4">
        <v>0</v>
      </c>
      <c r="G187" s="4">
        <v>643</v>
      </c>
      <c r="H187" s="136"/>
    </row>
    <row r="188" spans="1:8" s="3" customFormat="1" ht="15.75" customHeight="1" x14ac:dyDescent="0.25">
      <c r="A188" s="135" t="s">
        <v>201</v>
      </c>
      <c r="B188" s="135"/>
      <c r="C188" s="135"/>
      <c r="D188" s="135"/>
      <c r="E188" s="135"/>
      <c r="F188" s="135"/>
      <c r="G188" s="135"/>
      <c r="H188" s="135"/>
    </row>
    <row r="189" spans="1:8" s="3" customFormat="1" ht="15.75" customHeight="1" x14ac:dyDescent="0.25">
      <c r="A189" s="136">
        <v>1</v>
      </c>
      <c r="B189" s="136"/>
      <c r="C189" s="4" t="s">
        <v>197</v>
      </c>
      <c r="D189" s="136">
        <f>(30.24+1.99+1.8+2.59+2.59)*10.764</f>
        <v>422.0564399999999</v>
      </c>
      <c r="E189" s="136"/>
      <c r="F189" s="4">
        <f>4.05*10.764</f>
        <v>43.594199999999994</v>
      </c>
      <c r="G189" s="4">
        <v>655</v>
      </c>
      <c r="H189" s="136" t="str">
        <f>A188</f>
        <v xml:space="preserve">3rd, 5th, 7th &amp; 9th Floor </v>
      </c>
    </row>
    <row r="190" spans="1:8" s="3" customFormat="1" x14ac:dyDescent="0.25">
      <c r="A190" s="136">
        <v>2</v>
      </c>
      <c r="B190" s="136"/>
      <c r="C190" s="4" t="s">
        <v>197</v>
      </c>
      <c r="D190" s="136">
        <f>(30.24+1.99+1.8+2.59+2.59)*10.764</f>
        <v>422.0564399999999</v>
      </c>
      <c r="E190" s="136"/>
      <c r="F190" s="4">
        <f>3.98*10.764</f>
        <v>42.840719999999997</v>
      </c>
      <c r="G190" s="4">
        <v>655</v>
      </c>
      <c r="H190" s="136"/>
    </row>
    <row r="191" spans="1:8" s="3" customFormat="1" x14ac:dyDescent="0.25">
      <c r="A191" s="136">
        <v>3</v>
      </c>
      <c r="B191" s="136"/>
      <c r="C191" s="4" t="s">
        <v>198</v>
      </c>
      <c r="D191" s="136">
        <f>(46.6+1.99+1.76+2.02+2.59+2.59+2.59)*10.764</f>
        <v>647.34696000000008</v>
      </c>
      <c r="E191" s="136"/>
      <c r="F191" s="4">
        <f>3.98*10.764</f>
        <v>42.840719999999997</v>
      </c>
      <c r="G191" s="4">
        <v>981</v>
      </c>
      <c r="H191" s="136"/>
    </row>
    <row r="192" spans="1:8" s="3" customFormat="1" x14ac:dyDescent="0.25">
      <c r="A192" s="136">
        <v>4</v>
      </c>
      <c r="B192" s="136"/>
      <c r="C192" s="4" t="s">
        <v>198</v>
      </c>
      <c r="D192" s="136">
        <f>(45.84+1.99+1.76+2.02+2.59+2.59+2.59)*10.764</f>
        <v>639.16632000000004</v>
      </c>
      <c r="E192" s="136"/>
      <c r="F192" s="4">
        <f>4.39*10.764</f>
        <v>47.253959999999992</v>
      </c>
      <c r="G192" s="4">
        <v>974</v>
      </c>
      <c r="H192" s="136"/>
    </row>
    <row r="193" spans="1:10" s="3" customFormat="1" x14ac:dyDescent="0.25">
      <c r="A193" s="136">
        <v>5</v>
      </c>
      <c r="B193" s="136"/>
      <c r="C193" s="4" t="s">
        <v>197</v>
      </c>
      <c r="D193" s="136">
        <f>(30.42+1.99+1.8+2.59+2.41)*10.764</f>
        <v>422.0564399999999</v>
      </c>
      <c r="E193" s="136"/>
      <c r="F193" s="4">
        <f>4.32*10.764</f>
        <v>46.500480000000003</v>
      </c>
      <c r="G193" s="4">
        <v>655</v>
      </c>
      <c r="H193" s="136"/>
    </row>
    <row r="194" spans="1:10" s="3" customFormat="1" x14ac:dyDescent="0.25">
      <c r="A194" s="136">
        <v>6</v>
      </c>
      <c r="B194" s="136"/>
      <c r="C194" s="4" t="s">
        <v>197</v>
      </c>
      <c r="D194" s="136">
        <f>(30.42+1.99+1.8+1.99+2.59+2.41)*10.764</f>
        <v>443.47680000000003</v>
      </c>
      <c r="E194" s="136"/>
      <c r="F194" s="4">
        <v>0</v>
      </c>
      <c r="G194" s="4">
        <v>643</v>
      </c>
      <c r="H194" s="136"/>
      <c r="J194" s="3">
        <f>G194/D194</f>
        <v>1.4499067369476824</v>
      </c>
    </row>
    <row r="195" spans="1:10" s="3" customFormat="1" ht="15.75" customHeight="1" x14ac:dyDescent="0.25">
      <c r="A195" s="135" t="s">
        <v>202</v>
      </c>
      <c r="B195" s="135"/>
      <c r="C195" s="135"/>
      <c r="D195" s="135"/>
      <c r="E195" s="135"/>
      <c r="F195" s="135"/>
      <c r="G195" s="135"/>
      <c r="H195" s="135"/>
    </row>
    <row r="196" spans="1:10" s="3" customFormat="1" ht="15.75" customHeight="1" x14ac:dyDescent="0.25">
      <c r="A196" s="136">
        <v>1</v>
      </c>
      <c r="B196" s="136"/>
      <c r="C196" s="4" t="s">
        <v>197</v>
      </c>
      <c r="D196" s="136">
        <f>(30.24+1.8+2.02+2.59+1.55)*10.764</f>
        <v>411.1848</v>
      </c>
      <c r="E196" s="136"/>
      <c r="F196" s="4">
        <f>(3.97)*10.764</f>
        <v>42.733080000000001</v>
      </c>
      <c r="G196" s="4">
        <v>655</v>
      </c>
      <c r="H196" s="136" t="str">
        <f>A195</f>
        <v xml:space="preserve">4th &amp; 6th Floor </v>
      </c>
    </row>
    <row r="197" spans="1:10" s="3" customFormat="1" x14ac:dyDescent="0.25">
      <c r="A197" s="136">
        <v>2</v>
      </c>
      <c r="B197" s="136"/>
      <c r="C197" s="4" t="s">
        <v>197</v>
      </c>
      <c r="D197" s="136">
        <f>(30.24+1.8+1.99+2.59+2.59)*10.764</f>
        <v>422.05644000000007</v>
      </c>
      <c r="E197" s="136"/>
      <c r="F197" s="4">
        <f>(4.2)*10.764</f>
        <v>45.208799999999997</v>
      </c>
      <c r="G197" s="4">
        <v>655</v>
      </c>
      <c r="H197" s="136"/>
    </row>
    <row r="198" spans="1:10" s="3" customFormat="1" x14ac:dyDescent="0.25">
      <c r="A198" s="136">
        <v>3</v>
      </c>
      <c r="B198" s="136"/>
      <c r="C198" s="4" t="s">
        <v>198</v>
      </c>
      <c r="D198" s="136">
        <f>(46.6+1.76+1.99+2.59+2.6+2.6)*10.764</f>
        <v>625.81895999999995</v>
      </c>
      <c r="E198" s="136"/>
      <c r="F198" s="4">
        <f>(4.2+4.05)*10.764</f>
        <v>88.802999999999997</v>
      </c>
      <c r="G198" s="4">
        <v>996</v>
      </c>
      <c r="H198" s="136"/>
    </row>
    <row r="199" spans="1:10" s="3" customFormat="1" x14ac:dyDescent="0.25">
      <c r="A199" s="136">
        <v>4</v>
      </c>
      <c r="B199" s="136"/>
      <c r="C199" s="4" t="s">
        <v>198</v>
      </c>
      <c r="D199" s="136">
        <f>(45.84+1.76+2.03+2.02+2.6+2.6+2.6)*10.764</f>
        <v>639.91980000000012</v>
      </c>
      <c r="E199" s="136"/>
      <c r="F199" s="4">
        <f>(3.98+6.44)*10.764</f>
        <v>112.16087999999999</v>
      </c>
      <c r="G199" s="4">
        <v>1037</v>
      </c>
      <c r="H199" s="136"/>
    </row>
    <row r="200" spans="1:10" s="3" customFormat="1" x14ac:dyDescent="0.25">
      <c r="A200" s="136">
        <v>5</v>
      </c>
      <c r="B200" s="136"/>
      <c r="C200" s="4" t="s">
        <v>197</v>
      </c>
      <c r="D200" s="136">
        <f>(30.42+1.8+1.99+2.6+2.41)*10.764</f>
        <v>422.16407999999996</v>
      </c>
      <c r="E200" s="136"/>
      <c r="F200" s="4">
        <f>(3.97)*10.764</f>
        <v>42.733080000000001</v>
      </c>
      <c r="G200" s="4">
        <v>655</v>
      </c>
      <c r="H200" s="136"/>
    </row>
    <row r="201" spans="1:10" s="3" customFormat="1" x14ac:dyDescent="0.25">
      <c r="A201" s="136">
        <v>6</v>
      </c>
      <c r="B201" s="136"/>
      <c r="C201" s="4" t="s">
        <v>197</v>
      </c>
      <c r="D201" s="136">
        <f>(30.42+1.99+1.8+2.6+2.41)*10.764</f>
        <v>422.16407999999996</v>
      </c>
      <c r="E201" s="136"/>
      <c r="F201" s="4">
        <f>(4.32)*10.764</f>
        <v>46.500480000000003</v>
      </c>
      <c r="G201" s="4">
        <v>655</v>
      </c>
      <c r="H201" s="136"/>
    </row>
    <row r="202" spans="1:10" s="3" customFormat="1" ht="15.75" customHeight="1" x14ac:dyDescent="0.25">
      <c r="A202" s="135" t="s">
        <v>203</v>
      </c>
      <c r="B202" s="135"/>
      <c r="C202" s="135"/>
      <c r="D202" s="135"/>
      <c r="E202" s="135"/>
      <c r="F202" s="135"/>
      <c r="G202" s="135"/>
      <c r="H202" s="135"/>
    </row>
    <row r="203" spans="1:10" s="3" customFormat="1" ht="15.75" customHeight="1" x14ac:dyDescent="0.25">
      <c r="A203" s="136">
        <v>1</v>
      </c>
      <c r="B203" s="136"/>
      <c r="C203" s="4" t="s">
        <v>197</v>
      </c>
      <c r="D203" s="136">
        <f>(30.24+1.8+2.02+2.59+1.55)*10.764</f>
        <v>411.1848</v>
      </c>
      <c r="E203" s="136"/>
      <c r="F203" s="4">
        <f>(3.97)*10.764</f>
        <v>42.733080000000001</v>
      </c>
      <c r="G203" s="4">
        <v>655</v>
      </c>
      <c r="H203" s="136" t="str">
        <f>A202</f>
        <v xml:space="preserve">8th Floor (Part Refuge Area) </v>
      </c>
    </row>
    <row r="204" spans="1:10" s="3" customFormat="1" ht="15.75" customHeight="1" x14ac:dyDescent="0.25">
      <c r="A204" s="136">
        <v>2</v>
      </c>
      <c r="B204" s="136"/>
      <c r="C204" s="4" t="s">
        <v>197</v>
      </c>
      <c r="D204" s="136">
        <f>(30.24+1.8+1.99+2.59+2.59)*10.764</f>
        <v>422.05644000000007</v>
      </c>
      <c r="E204" s="136"/>
      <c r="F204" s="4">
        <f>(4.2)*10.764</f>
        <v>45.208799999999997</v>
      </c>
      <c r="G204" s="4">
        <v>655</v>
      </c>
      <c r="H204" s="136"/>
    </row>
    <row r="205" spans="1:10" s="3" customFormat="1" ht="15.75" customHeight="1" x14ac:dyDescent="0.25">
      <c r="A205" s="136">
        <v>3</v>
      </c>
      <c r="B205" s="136"/>
      <c r="C205" s="4" t="s">
        <v>198</v>
      </c>
      <c r="D205" s="136">
        <f>(46.6+1.76+1.99+2.59+2.6+2.6)*10.764</f>
        <v>625.81895999999995</v>
      </c>
      <c r="E205" s="136"/>
      <c r="F205" s="4">
        <f>(4.2+4.05)*10.764</f>
        <v>88.802999999999997</v>
      </c>
      <c r="G205" s="4">
        <v>996</v>
      </c>
      <c r="H205" s="136"/>
    </row>
    <row r="206" spans="1:10" s="3" customFormat="1" x14ac:dyDescent="0.25">
      <c r="A206" s="136">
        <v>4</v>
      </c>
      <c r="B206" s="136"/>
      <c r="C206" s="4" t="s">
        <v>198</v>
      </c>
      <c r="D206" s="136">
        <f>(46.3+1.76+2.03+2.02+2.6+2.6+2.6)*10.764</f>
        <v>644.87124000000006</v>
      </c>
      <c r="E206" s="136"/>
      <c r="F206" s="4">
        <f>(3.98+6.44)*10.764</f>
        <v>112.16087999999999</v>
      </c>
      <c r="G206" s="4">
        <v>1037</v>
      </c>
      <c r="H206" s="136"/>
    </row>
    <row r="207" spans="1:10" s="3" customFormat="1" x14ac:dyDescent="0.25">
      <c r="A207" s="136">
        <v>5</v>
      </c>
      <c r="B207" s="136"/>
      <c r="C207" s="4" t="s">
        <v>197</v>
      </c>
      <c r="D207" s="136">
        <f>(30.42+1.8+1.99+2.6+2.41)*10.764</f>
        <v>422.16407999999996</v>
      </c>
      <c r="E207" s="136"/>
      <c r="F207" s="4">
        <f>(3.97)*10.764</f>
        <v>42.733080000000001</v>
      </c>
      <c r="G207" s="4">
        <v>655</v>
      </c>
      <c r="H207" s="136"/>
    </row>
    <row r="208" spans="1:10" s="3" customFormat="1" x14ac:dyDescent="0.25">
      <c r="A208" s="135" t="s">
        <v>195</v>
      </c>
      <c r="B208" s="135"/>
      <c r="C208" s="135"/>
      <c r="D208" s="135"/>
      <c r="E208" s="135"/>
      <c r="F208" s="135"/>
      <c r="G208" s="135"/>
      <c r="H208" s="135"/>
    </row>
    <row r="209" spans="1:9" s="3" customFormat="1" ht="15.75" customHeight="1" x14ac:dyDescent="0.25">
      <c r="A209" s="135" t="s">
        <v>200</v>
      </c>
      <c r="B209" s="135"/>
      <c r="C209" s="135"/>
      <c r="D209" s="135"/>
      <c r="E209" s="135"/>
      <c r="F209" s="135"/>
      <c r="G209" s="135"/>
      <c r="H209" s="135"/>
    </row>
    <row r="210" spans="1:9" s="3" customFormat="1" ht="15.75" customHeight="1" x14ac:dyDescent="0.25">
      <c r="A210" s="136">
        <v>1</v>
      </c>
      <c r="B210" s="136"/>
      <c r="C210" s="4" t="s">
        <v>197</v>
      </c>
      <c r="D210" s="136">
        <f>(30.06+2.6+2.59)*10.764</f>
        <v>379.43099999999998</v>
      </c>
      <c r="E210" s="136"/>
      <c r="F210" s="4">
        <v>0</v>
      </c>
      <c r="G210" s="4">
        <v>479</v>
      </c>
      <c r="H210" s="136" t="str">
        <f>A209</f>
        <v xml:space="preserve">2nd Floor </v>
      </c>
      <c r="I210" s="3">
        <f>230300000/G210</f>
        <v>480793.31941544887</v>
      </c>
    </row>
    <row r="211" spans="1:9" s="3" customFormat="1" ht="15.75" customHeight="1" x14ac:dyDescent="0.25">
      <c r="A211" s="136">
        <v>2</v>
      </c>
      <c r="B211" s="136"/>
      <c r="C211" s="4" t="s">
        <v>197</v>
      </c>
      <c r="D211" s="136">
        <f>(30.24+1.8+1.99+2.6+2.59)*10.764</f>
        <v>422.16407999999996</v>
      </c>
      <c r="E211" s="136"/>
      <c r="F211" s="4">
        <f>3.22*10.764</f>
        <v>34.660080000000001</v>
      </c>
      <c r="G211" s="4">
        <v>647</v>
      </c>
      <c r="H211" s="136"/>
    </row>
    <row r="212" spans="1:9" s="3" customFormat="1" ht="15.75" customHeight="1" x14ac:dyDescent="0.25">
      <c r="A212" s="136">
        <v>3</v>
      </c>
      <c r="B212" s="136"/>
      <c r="C212" s="4" t="s">
        <v>198</v>
      </c>
      <c r="D212" s="136">
        <f>(46.6+1.76+2.03+1.99+2.6+2.6+2.6)*10.764</f>
        <v>647.77751999999998</v>
      </c>
      <c r="E212" s="136"/>
      <c r="F212" s="4">
        <f>4.28*10.764</f>
        <v>46.069920000000003</v>
      </c>
      <c r="G212" s="4">
        <v>985</v>
      </c>
      <c r="H212" s="136"/>
    </row>
    <row r="213" spans="1:9" s="3" customFormat="1" ht="15.75" customHeight="1" x14ac:dyDescent="0.25">
      <c r="A213" s="136">
        <v>4</v>
      </c>
      <c r="B213" s="136"/>
      <c r="C213" s="4" t="s">
        <v>198</v>
      </c>
      <c r="D213" s="136">
        <f>(46.3+1.76+2.03+2.02+2.6+2.6+2.6)*10.764</f>
        <v>644.87124000000006</v>
      </c>
      <c r="E213" s="136"/>
      <c r="F213" s="4">
        <f>(3.05+5.54)*10.764</f>
        <v>92.462759999999989</v>
      </c>
      <c r="G213" s="4">
        <v>1015</v>
      </c>
      <c r="H213" s="136"/>
    </row>
    <row r="214" spans="1:9" s="3" customFormat="1" ht="15.75" customHeight="1" x14ac:dyDescent="0.25">
      <c r="A214" s="136">
        <v>5</v>
      </c>
      <c r="B214" s="136"/>
      <c r="C214" s="4" t="s">
        <v>197</v>
      </c>
      <c r="D214" s="136">
        <f>(30.24+1.8+1.99+2.6+2.6)*10.764</f>
        <v>422.27172000000002</v>
      </c>
      <c r="E214" s="136"/>
      <c r="F214" s="4">
        <f>3.05*10.764</f>
        <v>32.830199999999998</v>
      </c>
      <c r="G214" s="4">
        <v>643</v>
      </c>
      <c r="H214" s="136"/>
    </row>
    <row r="215" spans="1:9" s="3" customFormat="1" ht="15.75" customHeight="1" x14ac:dyDescent="0.25">
      <c r="A215" s="136">
        <v>6</v>
      </c>
      <c r="B215" s="136"/>
      <c r="C215" s="4" t="s">
        <v>197</v>
      </c>
      <c r="D215" s="136">
        <f>(30.24+1.99+1.8+1.99+2.6+2.6)*10.764</f>
        <v>443.69207999999998</v>
      </c>
      <c r="E215" s="136"/>
      <c r="F215" s="4">
        <v>0</v>
      </c>
      <c r="G215" s="4">
        <v>643</v>
      </c>
      <c r="H215" s="136"/>
    </row>
    <row r="216" spans="1:9" s="3" customFormat="1" ht="15.75" customHeight="1" x14ac:dyDescent="0.25">
      <c r="A216" s="135" t="s">
        <v>201</v>
      </c>
      <c r="B216" s="135"/>
      <c r="C216" s="135"/>
      <c r="D216" s="135"/>
      <c r="E216" s="135"/>
      <c r="F216" s="135"/>
      <c r="G216" s="135"/>
      <c r="H216" s="135"/>
    </row>
    <row r="217" spans="1:9" s="3" customFormat="1" ht="15.75" customHeight="1" x14ac:dyDescent="0.25">
      <c r="A217" s="136">
        <v>1</v>
      </c>
      <c r="B217" s="136"/>
      <c r="C217" s="103" t="s">
        <v>197</v>
      </c>
      <c r="D217" s="136">
        <f>(30.24+1.99+1.8+2.59+2.59)*10.764</f>
        <v>422.0564399999999</v>
      </c>
      <c r="E217" s="136"/>
      <c r="F217" s="103">
        <f>4.05*10.764</f>
        <v>43.594199999999994</v>
      </c>
      <c r="G217" s="103">
        <v>655</v>
      </c>
      <c r="H217" s="136" t="str">
        <f>A216</f>
        <v xml:space="preserve">3rd, 5th, 7th &amp; 9th Floor </v>
      </c>
    </row>
    <row r="218" spans="1:9" s="3" customFormat="1" ht="15.75" customHeight="1" x14ac:dyDescent="0.25">
      <c r="A218" s="136">
        <v>2</v>
      </c>
      <c r="B218" s="136"/>
      <c r="C218" s="103" t="s">
        <v>197</v>
      </c>
      <c r="D218" s="136">
        <f>(30.24+1.99+1.8+2.59+2.59)*10.764</f>
        <v>422.0564399999999</v>
      </c>
      <c r="E218" s="136"/>
      <c r="F218" s="103">
        <f>3.97*10.764</f>
        <v>42.733080000000001</v>
      </c>
      <c r="G218" s="103">
        <v>655</v>
      </c>
      <c r="H218" s="136"/>
    </row>
    <row r="219" spans="1:9" s="3" customFormat="1" x14ac:dyDescent="0.25">
      <c r="A219" s="136">
        <v>3</v>
      </c>
      <c r="B219" s="136"/>
      <c r="C219" s="103" t="s">
        <v>198</v>
      </c>
      <c r="D219" s="136">
        <f>(46.6+1.99+1.76+2.03+2.59+2.59+2.59)*10.764</f>
        <v>647.45460000000003</v>
      </c>
      <c r="E219" s="136"/>
      <c r="F219" s="103">
        <f>3.98*10.764</f>
        <v>42.840719999999997</v>
      </c>
      <c r="G219" s="103">
        <v>965</v>
      </c>
      <c r="H219" s="136"/>
    </row>
    <row r="220" spans="1:9" s="3" customFormat="1" x14ac:dyDescent="0.25">
      <c r="A220" s="136">
        <v>4</v>
      </c>
      <c r="B220" s="136"/>
      <c r="C220" s="103" t="s">
        <v>198</v>
      </c>
      <c r="D220" s="136">
        <f>(45.84+1.99+1.76+2.02+2.59+2.59+2.59)*10.764</f>
        <v>639.16632000000004</v>
      </c>
      <c r="E220" s="136"/>
      <c r="F220" s="103">
        <f>4.39*10.764</f>
        <v>47.253959999999992</v>
      </c>
      <c r="G220" s="103">
        <v>970</v>
      </c>
      <c r="H220" s="136"/>
    </row>
    <row r="221" spans="1:9" s="3" customFormat="1" x14ac:dyDescent="0.25">
      <c r="A221" s="136">
        <v>5</v>
      </c>
      <c r="B221" s="136"/>
      <c r="C221" s="103" t="s">
        <v>197</v>
      </c>
      <c r="D221" s="136">
        <f>(30.24+1.99+1.8+2.59+2.59)*10.764</f>
        <v>422.0564399999999</v>
      </c>
      <c r="E221" s="136"/>
      <c r="F221" s="103">
        <f>4.32*10.764</f>
        <v>46.500480000000003</v>
      </c>
      <c r="G221" s="103">
        <v>655</v>
      </c>
      <c r="H221" s="136"/>
    </row>
    <row r="222" spans="1:9" s="3" customFormat="1" ht="15.75" customHeight="1" x14ac:dyDescent="0.25">
      <c r="A222" s="136">
        <v>6</v>
      </c>
      <c r="B222" s="136"/>
      <c r="C222" s="103" t="s">
        <v>197</v>
      </c>
      <c r="D222" s="136">
        <f>(30.24+1.99+1.8+1.99+2.59+2.59)*10.764</f>
        <v>443.47680000000003</v>
      </c>
      <c r="E222" s="136"/>
      <c r="F222" s="103">
        <v>0</v>
      </c>
      <c r="G222" s="103">
        <v>643</v>
      </c>
      <c r="H222" s="136"/>
    </row>
    <row r="223" spans="1:9" s="3" customFormat="1" ht="15.75" customHeight="1" x14ac:dyDescent="0.25">
      <c r="A223" s="135" t="s">
        <v>202</v>
      </c>
      <c r="B223" s="135"/>
      <c r="C223" s="135"/>
      <c r="D223" s="135"/>
      <c r="E223" s="135"/>
      <c r="F223" s="135"/>
      <c r="G223" s="135"/>
      <c r="H223" s="135"/>
    </row>
    <row r="224" spans="1:9" s="3" customFormat="1" x14ac:dyDescent="0.25">
      <c r="A224" s="136">
        <v>1</v>
      </c>
      <c r="B224" s="136"/>
      <c r="C224" s="4" t="s">
        <v>197</v>
      </c>
      <c r="D224" s="136">
        <f>(30.24+1.8+2.03+2.6+2.59)*10.764</f>
        <v>422.59464000000003</v>
      </c>
      <c r="E224" s="136"/>
      <c r="F224" s="4">
        <f>(3.97)*10.764</f>
        <v>42.733080000000001</v>
      </c>
      <c r="G224" s="4">
        <v>655</v>
      </c>
      <c r="H224" s="136" t="str">
        <f>A223</f>
        <v xml:space="preserve">4th &amp; 6th Floor </v>
      </c>
    </row>
    <row r="225" spans="1:8" s="3" customFormat="1" ht="15.75" customHeight="1" x14ac:dyDescent="0.25">
      <c r="A225" s="136">
        <v>2</v>
      </c>
      <c r="B225" s="136"/>
      <c r="C225" s="4" t="s">
        <v>197</v>
      </c>
      <c r="D225" s="136">
        <f>(30.24+1.8+1.99+2.59+2.59)*10.764</f>
        <v>422.05644000000007</v>
      </c>
      <c r="E225" s="136"/>
      <c r="F225" s="4">
        <f>(4.2)*10.764</f>
        <v>45.208799999999997</v>
      </c>
      <c r="G225" s="4">
        <v>655</v>
      </c>
      <c r="H225" s="136"/>
    </row>
    <row r="226" spans="1:8" s="3" customFormat="1" ht="15.75" customHeight="1" x14ac:dyDescent="0.25">
      <c r="A226" s="136">
        <v>3</v>
      </c>
      <c r="B226" s="136"/>
      <c r="C226" s="4" t="s">
        <v>198</v>
      </c>
      <c r="D226" s="136">
        <f>(46.6+1.76+1.92+2.6+2.6+2.6)*10.764</f>
        <v>625.17312000000004</v>
      </c>
      <c r="E226" s="136"/>
      <c r="F226" s="4">
        <f>(4.2+4.05)*10.764</f>
        <v>88.802999999999997</v>
      </c>
      <c r="G226" s="4">
        <v>977</v>
      </c>
      <c r="H226" s="136"/>
    </row>
    <row r="227" spans="1:8" s="3" customFormat="1" ht="15.75" customHeight="1" x14ac:dyDescent="0.25">
      <c r="A227" s="136">
        <v>4</v>
      </c>
      <c r="B227" s="136"/>
      <c r="C227" s="4" t="s">
        <v>198</v>
      </c>
      <c r="D227" s="136">
        <f>(45.84+1.76+2.02+2.02+2.6+2.6+2.6)*10.764</f>
        <v>639.81216000000006</v>
      </c>
      <c r="E227" s="136"/>
      <c r="F227" s="4">
        <f>(3.98+6.43)*10.764</f>
        <v>112.05323999999999</v>
      </c>
      <c r="G227" s="4">
        <v>1047</v>
      </c>
      <c r="H227" s="136"/>
    </row>
    <row r="228" spans="1:8" s="3" customFormat="1" x14ac:dyDescent="0.25">
      <c r="A228" s="136">
        <v>5</v>
      </c>
      <c r="B228" s="136"/>
      <c r="C228" s="4" t="s">
        <v>197</v>
      </c>
      <c r="D228" s="136">
        <f>(30.24+1.8+1.99+2.6+2.6)*10.764</f>
        <v>422.27172000000002</v>
      </c>
      <c r="E228" s="136"/>
      <c r="F228" s="4">
        <f>(3.98)*10.764</f>
        <v>42.840719999999997</v>
      </c>
      <c r="G228" s="4">
        <v>655</v>
      </c>
      <c r="H228" s="136"/>
    </row>
    <row r="229" spans="1:8" s="3" customFormat="1" x14ac:dyDescent="0.25">
      <c r="A229" s="136">
        <v>6</v>
      </c>
      <c r="B229" s="136"/>
      <c r="C229" s="4" t="s">
        <v>197</v>
      </c>
      <c r="D229" s="136">
        <f>(30.24+1.99+1.8+2.6+2.6)*10.764</f>
        <v>422.27171999999996</v>
      </c>
      <c r="E229" s="136"/>
      <c r="F229" s="4">
        <f>(4.32)*10.764</f>
        <v>46.500480000000003</v>
      </c>
      <c r="G229" s="4">
        <v>655</v>
      </c>
      <c r="H229" s="136"/>
    </row>
    <row r="230" spans="1:8" s="3" customFormat="1" x14ac:dyDescent="0.25">
      <c r="A230" s="135" t="s">
        <v>203</v>
      </c>
      <c r="B230" s="135"/>
      <c r="C230" s="135"/>
      <c r="D230" s="135"/>
      <c r="E230" s="135"/>
      <c r="F230" s="135"/>
      <c r="G230" s="135"/>
      <c r="H230" s="135"/>
    </row>
    <row r="231" spans="1:8" s="3" customFormat="1" x14ac:dyDescent="0.25">
      <c r="A231" s="136">
        <v>1</v>
      </c>
      <c r="B231" s="136"/>
      <c r="C231" s="4" t="s">
        <v>197</v>
      </c>
      <c r="D231" s="136">
        <f>(30.24+1.8+2.03+2.6+2.59)*10.764</f>
        <v>422.59464000000003</v>
      </c>
      <c r="E231" s="136"/>
      <c r="F231" s="4">
        <f>(3.97)*10.764</f>
        <v>42.733080000000001</v>
      </c>
      <c r="G231" s="4">
        <v>655</v>
      </c>
      <c r="H231" s="136" t="str">
        <f>A230</f>
        <v xml:space="preserve">8th Floor (Part Refuge Area) </v>
      </c>
    </row>
    <row r="232" spans="1:8" s="3" customFormat="1" ht="15.75" customHeight="1" x14ac:dyDescent="0.25">
      <c r="A232" s="136">
        <v>2</v>
      </c>
      <c r="B232" s="136"/>
      <c r="C232" s="4" t="s">
        <v>197</v>
      </c>
      <c r="D232" s="136">
        <f>(30.24+1.8+1.99+2.59+2.59)*10.764</f>
        <v>422.05644000000007</v>
      </c>
      <c r="E232" s="136"/>
      <c r="F232" s="4">
        <f>(4.2)*10.764</f>
        <v>45.208799999999997</v>
      </c>
      <c r="G232" s="4">
        <v>655</v>
      </c>
      <c r="H232" s="136"/>
    </row>
    <row r="233" spans="1:8" s="3" customFormat="1" ht="15.75" customHeight="1" x14ac:dyDescent="0.25">
      <c r="A233" s="136">
        <v>3</v>
      </c>
      <c r="B233" s="136"/>
      <c r="C233" s="4" t="s">
        <v>198</v>
      </c>
      <c r="D233" s="136">
        <f>(46.6+1.76+1.92+2.6+2.6+2.6)*10.764</f>
        <v>625.17312000000004</v>
      </c>
      <c r="E233" s="136"/>
      <c r="F233" s="4">
        <f>(4.2+4.05)*10.764</f>
        <v>88.802999999999997</v>
      </c>
      <c r="G233" s="4">
        <v>977</v>
      </c>
      <c r="H233" s="136"/>
    </row>
    <row r="234" spans="1:8" s="3" customFormat="1" x14ac:dyDescent="0.25">
      <c r="A234" s="136">
        <v>4</v>
      </c>
      <c r="B234" s="136"/>
      <c r="C234" s="4" t="s">
        <v>198</v>
      </c>
      <c r="D234" s="136">
        <f>(46.3+1.76+2.02+2.02+2.6+2.6+2.6)*10.764</f>
        <v>644.7636</v>
      </c>
      <c r="E234" s="136"/>
      <c r="F234" s="4">
        <f>(3.98+6.43)*10.764</f>
        <v>112.05323999999999</v>
      </c>
      <c r="G234" s="4">
        <v>1047</v>
      </c>
      <c r="H234" s="136"/>
    </row>
    <row r="235" spans="1:8" s="3" customFormat="1" x14ac:dyDescent="0.25">
      <c r="A235" s="136">
        <v>5</v>
      </c>
      <c r="B235" s="136"/>
      <c r="C235" s="4" t="s">
        <v>197</v>
      </c>
      <c r="D235" s="136">
        <f>(30.24+1.8+1.99+2.6+2.6)*10.764</f>
        <v>422.27172000000002</v>
      </c>
      <c r="E235" s="136"/>
      <c r="F235" s="4">
        <f>(3.98)*10.764</f>
        <v>42.840719999999997</v>
      </c>
      <c r="G235" s="4">
        <v>655</v>
      </c>
      <c r="H235" s="136"/>
    </row>
    <row r="236" spans="1:8" s="3" customFormat="1" x14ac:dyDescent="0.25">
      <c r="A236" s="140" t="s">
        <v>204</v>
      </c>
      <c r="B236" s="140"/>
      <c r="C236" s="140"/>
      <c r="D236" s="140"/>
      <c r="E236" s="140"/>
      <c r="F236" s="140"/>
      <c r="G236" s="140"/>
      <c r="H236" s="140"/>
    </row>
    <row r="237" spans="1:8" s="3" customFormat="1" x14ac:dyDescent="0.25">
      <c r="A237" s="135" t="s">
        <v>191</v>
      </c>
      <c r="B237" s="135"/>
      <c r="C237" s="135"/>
      <c r="D237" s="135"/>
      <c r="E237" s="135"/>
      <c r="F237" s="135"/>
      <c r="G237" s="135"/>
      <c r="H237" s="135"/>
    </row>
    <row r="238" spans="1:8" s="3" customFormat="1" x14ac:dyDescent="0.25">
      <c r="A238" s="135" t="s">
        <v>194</v>
      </c>
      <c r="B238" s="135"/>
      <c r="C238" s="135"/>
      <c r="D238" s="135"/>
      <c r="E238" s="135"/>
      <c r="F238" s="135"/>
      <c r="G238" s="135"/>
      <c r="H238" s="135"/>
    </row>
    <row r="239" spans="1:8" s="3" customFormat="1" ht="15.75" customHeight="1" x14ac:dyDescent="0.25">
      <c r="A239" s="135" t="s">
        <v>205</v>
      </c>
      <c r="B239" s="135"/>
      <c r="C239" s="135"/>
      <c r="D239" s="135"/>
      <c r="E239" s="135"/>
      <c r="F239" s="135"/>
      <c r="G239" s="135"/>
      <c r="H239" s="135"/>
    </row>
    <row r="240" spans="1:8" s="3" customFormat="1" ht="15.75" customHeight="1" x14ac:dyDescent="0.25">
      <c r="A240" s="135" t="s">
        <v>206</v>
      </c>
      <c r="B240" s="135"/>
      <c r="C240" s="135"/>
      <c r="D240" s="135"/>
      <c r="E240" s="135"/>
      <c r="F240" s="135"/>
      <c r="G240" s="135"/>
      <c r="H240" s="135"/>
    </row>
    <row r="241" spans="1:12" s="3" customFormat="1" ht="15.75" customHeight="1" x14ac:dyDescent="0.25">
      <c r="A241" s="136">
        <v>1</v>
      </c>
      <c r="B241" s="136"/>
      <c r="C241" s="4" t="s">
        <v>197</v>
      </c>
      <c r="D241" s="136">
        <f>(30.24+1.99+1.8+2.02+2.59+2.59)*10.764</f>
        <v>443.79972000000004</v>
      </c>
      <c r="E241" s="136"/>
      <c r="F241" s="4">
        <v>0</v>
      </c>
      <c r="G241" s="4">
        <v>643</v>
      </c>
      <c r="H241" s="136" t="str">
        <f>A240</f>
        <v xml:space="preserve">1st to 7th &amp; 9th Floor </v>
      </c>
    </row>
    <row r="242" spans="1:12" s="3" customFormat="1" ht="15.75" customHeight="1" x14ac:dyDescent="0.25">
      <c r="A242" s="136">
        <v>2</v>
      </c>
      <c r="B242" s="136"/>
      <c r="C242" s="4" t="s">
        <v>197</v>
      </c>
      <c r="D242" s="136">
        <f>(30.24+1.99+1.8+1.99+2.59+2.59)*10.764</f>
        <v>443.47680000000003</v>
      </c>
      <c r="E242" s="136"/>
      <c r="F242" s="4">
        <v>0</v>
      </c>
      <c r="G242" s="4">
        <v>643</v>
      </c>
      <c r="H242" s="136"/>
    </row>
    <row r="243" spans="1:12" s="3" customFormat="1" ht="15.75" customHeight="1" x14ac:dyDescent="0.25">
      <c r="A243" s="136">
        <v>3</v>
      </c>
      <c r="B243" s="136"/>
      <c r="C243" s="4" t="s">
        <v>198</v>
      </c>
      <c r="D243" s="136">
        <f>(46.06+1.99+1.76+2.02+1.99+2.59+2.59+2.59)*10.764</f>
        <v>662.95476000000019</v>
      </c>
      <c r="E243" s="136"/>
      <c r="F243" s="4">
        <v>0</v>
      </c>
      <c r="G243" s="4">
        <v>970</v>
      </c>
      <c r="H243" s="136"/>
    </row>
    <row r="244" spans="1:12" s="3" customFormat="1" x14ac:dyDescent="0.25">
      <c r="A244" s="136">
        <v>4</v>
      </c>
      <c r="B244" s="136"/>
      <c r="C244" s="4" t="s">
        <v>198</v>
      </c>
      <c r="D244" s="136">
        <f>(45.84+1.99+1.76+2.03+2.02+2.59+2.59+2.59)*10.764</f>
        <v>661.01724000000013</v>
      </c>
      <c r="E244" s="136"/>
      <c r="F244" s="4">
        <v>0</v>
      </c>
      <c r="G244" s="4">
        <v>958</v>
      </c>
      <c r="H244" s="136"/>
    </row>
    <row r="245" spans="1:12" s="3" customFormat="1" x14ac:dyDescent="0.25">
      <c r="A245" s="136">
        <v>5</v>
      </c>
      <c r="B245" s="136"/>
      <c r="C245" s="4" t="s">
        <v>197</v>
      </c>
      <c r="D245" s="136">
        <f>(30.24+1.99+1.8+1.99+2.59+2.41)*10.764</f>
        <v>441.53927999999991</v>
      </c>
      <c r="E245" s="136"/>
      <c r="F245" s="4">
        <v>0</v>
      </c>
      <c r="G245" s="4">
        <v>643</v>
      </c>
      <c r="H245" s="136"/>
    </row>
    <row r="246" spans="1:12" s="3" customFormat="1" x14ac:dyDescent="0.25">
      <c r="A246" s="136">
        <v>6</v>
      </c>
      <c r="B246" s="136"/>
      <c r="C246" s="4" t="s">
        <v>197</v>
      </c>
      <c r="D246" s="136">
        <f>(30.42+1.99+1.8+1.99+2.59+2.41)*10.764</f>
        <v>443.47680000000003</v>
      </c>
      <c r="E246" s="136"/>
      <c r="F246" s="4">
        <v>0</v>
      </c>
      <c r="G246" s="4">
        <v>643</v>
      </c>
      <c r="H246" s="136"/>
    </row>
    <row r="247" spans="1:12" s="3" customFormat="1" x14ac:dyDescent="0.25">
      <c r="A247" s="135" t="s">
        <v>207</v>
      </c>
      <c r="B247" s="135"/>
      <c r="C247" s="135"/>
      <c r="D247" s="135"/>
      <c r="E247" s="135"/>
      <c r="F247" s="135"/>
      <c r="G247" s="135"/>
      <c r="H247" s="135"/>
    </row>
    <row r="248" spans="1:12" s="3" customFormat="1" ht="15.75" customHeight="1" x14ac:dyDescent="0.25">
      <c r="A248" s="136">
        <v>1</v>
      </c>
      <c r="B248" s="136"/>
      <c r="C248" s="4" t="s">
        <v>197</v>
      </c>
      <c r="D248" s="136">
        <f>(30.24+1.99+1.8+2.02+2.59+2.59)*10.764</f>
        <v>443.79972000000004</v>
      </c>
      <c r="E248" s="136"/>
      <c r="F248" s="4">
        <v>0</v>
      </c>
      <c r="G248" s="4">
        <v>643</v>
      </c>
      <c r="H248" s="136" t="str">
        <f>A247</f>
        <v xml:space="preserve">8th Floor </v>
      </c>
    </row>
    <row r="249" spans="1:12" s="3" customFormat="1" ht="15.75" customHeight="1" x14ac:dyDescent="0.25">
      <c r="A249" s="136">
        <v>2</v>
      </c>
      <c r="B249" s="136"/>
      <c r="C249" s="4" t="s">
        <v>197</v>
      </c>
      <c r="D249" s="136">
        <f>(30.24+1.99+1.8+1.99+2.59+2.59)*10.764</f>
        <v>443.47680000000003</v>
      </c>
      <c r="E249" s="136"/>
      <c r="F249" s="4">
        <v>0</v>
      </c>
      <c r="G249" s="4">
        <v>643</v>
      </c>
      <c r="H249" s="136"/>
      <c r="L249" s="3">
        <f>G263/D263</f>
        <v>1.4488517478109268</v>
      </c>
    </row>
    <row r="250" spans="1:12" s="3" customFormat="1" ht="15.75" customHeight="1" x14ac:dyDescent="0.25">
      <c r="A250" s="136">
        <v>3</v>
      </c>
      <c r="B250" s="136"/>
      <c r="C250" s="4" t="s">
        <v>198</v>
      </c>
      <c r="D250" s="136">
        <f>(46.06+1.99+1.76+2.02+1.99+2.59+2.59+2.59)*10.764</f>
        <v>662.95476000000019</v>
      </c>
      <c r="E250" s="136"/>
      <c r="F250" s="4">
        <v>0</v>
      </c>
      <c r="G250" s="4">
        <v>970</v>
      </c>
      <c r="H250" s="136"/>
    </row>
    <row r="251" spans="1:12" s="3" customFormat="1" ht="15.75" customHeight="1" x14ac:dyDescent="0.25">
      <c r="A251" s="136">
        <v>4</v>
      </c>
      <c r="B251" s="136"/>
      <c r="C251" s="4" t="s">
        <v>198</v>
      </c>
      <c r="D251" s="136">
        <f>(45.84+1.99+1.76+2.03+2.02+2.59+2.59+2.59)*10.764</f>
        <v>661.01724000000013</v>
      </c>
      <c r="E251" s="136"/>
      <c r="F251" s="4">
        <v>0</v>
      </c>
      <c r="G251" s="4">
        <v>958</v>
      </c>
      <c r="H251" s="136"/>
    </row>
    <row r="252" spans="1:12" s="3" customFormat="1" ht="15.75" customHeight="1" x14ac:dyDescent="0.25">
      <c r="A252" s="136">
        <v>5</v>
      </c>
      <c r="B252" s="136"/>
      <c r="C252" s="4" t="s">
        <v>197</v>
      </c>
      <c r="D252" s="136">
        <f>(30.42+1.99+1.8+1.99+2.59+2.41)*10.764</f>
        <v>443.47680000000003</v>
      </c>
      <c r="E252" s="136"/>
      <c r="F252" s="4">
        <v>0</v>
      </c>
      <c r="G252" s="4">
        <v>643</v>
      </c>
      <c r="H252" s="136"/>
    </row>
    <row r="253" spans="1:12" s="3" customFormat="1" ht="15.75" customHeight="1" x14ac:dyDescent="0.25">
      <c r="A253" s="135" t="s">
        <v>195</v>
      </c>
      <c r="B253" s="135"/>
      <c r="C253" s="135"/>
      <c r="D253" s="135"/>
      <c r="E253" s="135"/>
      <c r="F253" s="135"/>
      <c r="G253" s="135"/>
      <c r="H253" s="135"/>
    </row>
    <row r="254" spans="1:12" s="3" customFormat="1" ht="15.75" customHeight="1" x14ac:dyDescent="0.25">
      <c r="A254" s="135" t="s">
        <v>205</v>
      </c>
      <c r="B254" s="135"/>
      <c r="C254" s="135"/>
      <c r="D254" s="135"/>
      <c r="E254" s="135"/>
      <c r="F254" s="135"/>
      <c r="G254" s="135"/>
      <c r="H254" s="135"/>
    </row>
    <row r="255" spans="1:12" s="3" customFormat="1" ht="15.75" customHeight="1" x14ac:dyDescent="0.25">
      <c r="A255" s="136">
        <v>18</v>
      </c>
      <c r="B255" s="136"/>
      <c r="C255" s="4" t="s">
        <v>193</v>
      </c>
      <c r="D255" s="136">
        <f>15.22*10.764</f>
        <v>163.82808</v>
      </c>
      <c r="E255" s="136"/>
      <c r="F255" s="4">
        <v>0</v>
      </c>
      <c r="G255" s="4">
        <f>D255*1.6</f>
        <v>262.12492800000001</v>
      </c>
      <c r="H255" s="136" t="str">
        <f>A254</f>
        <v>Ground Floor for Parking</v>
      </c>
    </row>
    <row r="256" spans="1:12" s="3" customFormat="1" ht="15.75" customHeight="1" x14ac:dyDescent="0.25">
      <c r="A256" s="136">
        <v>19</v>
      </c>
      <c r="B256" s="136"/>
      <c r="C256" s="4" t="s">
        <v>193</v>
      </c>
      <c r="D256" s="136">
        <f>13.8*10.764</f>
        <v>148.54319999999998</v>
      </c>
      <c r="E256" s="136"/>
      <c r="F256" s="4">
        <v>0</v>
      </c>
      <c r="G256" s="4">
        <f t="shared" ref="G256:G261" si="4">D256*1.6</f>
        <v>237.66911999999999</v>
      </c>
      <c r="H256" s="136"/>
    </row>
    <row r="257" spans="1:8" s="3" customFormat="1" ht="15.75" customHeight="1" x14ac:dyDescent="0.25">
      <c r="A257" s="136">
        <v>20</v>
      </c>
      <c r="B257" s="136"/>
      <c r="C257" s="4" t="s">
        <v>193</v>
      </c>
      <c r="D257" s="136">
        <f>15.22*10.764</f>
        <v>163.82808</v>
      </c>
      <c r="E257" s="136"/>
      <c r="F257" s="4">
        <v>0</v>
      </c>
      <c r="G257" s="4">
        <f t="shared" si="4"/>
        <v>262.12492800000001</v>
      </c>
      <c r="H257" s="136"/>
    </row>
    <row r="258" spans="1:8" s="3" customFormat="1" x14ac:dyDescent="0.25">
      <c r="A258" s="136">
        <v>21</v>
      </c>
      <c r="B258" s="136"/>
      <c r="C258" s="4" t="s">
        <v>193</v>
      </c>
      <c r="D258" s="136">
        <f>15.22*10.764</f>
        <v>163.82808</v>
      </c>
      <c r="E258" s="136"/>
      <c r="F258" s="4">
        <v>0</v>
      </c>
      <c r="G258" s="4">
        <f t="shared" si="4"/>
        <v>262.12492800000001</v>
      </c>
      <c r="H258" s="136"/>
    </row>
    <row r="259" spans="1:8" s="3" customFormat="1" x14ac:dyDescent="0.25">
      <c r="A259" s="136">
        <v>22</v>
      </c>
      <c r="B259" s="136"/>
      <c r="C259" s="4" t="s">
        <v>193</v>
      </c>
      <c r="D259" s="136">
        <f>13.55*10.764</f>
        <v>145.85220000000001</v>
      </c>
      <c r="E259" s="136"/>
      <c r="F259" s="4">
        <v>0</v>
      </c>
      <c r="G259" s="4">
        <f t="shared" si="4"/>
        <v>233.36352000000002</v>
      </c>
      <c r="H259" s="136"/>
    </row>
    <row r="260" spans="1:8" s="3" customFormat="1" x14ac:dyDescent="0.25">
      <c r="A260" s="136">
        <v>23</v>
      </c>
      <c r="B260" s="136"/>
      <c r="C260" s="4" t="s">
        <v>193</v>
      </c>
      <c r="D260" s="136">
        <f>15.5*10.764</f>
        <v>166.84199999999998</v>
      </c>
      <c r="E260" s="136"/>
      <c r="F260" s="4">
        <v>0</v>
      </c>
      <c r="G260" s="4">
        <f t="shared" si="4"/>
        <v>266.94720000000001</v>
      </c>
      <c r="H260" s="136"/>
    </row>
    <row r="261" spans="1:8" s="3" customFormat="1" ht="15.75" customHeight="1" x14ac:dyDescent="0.25">
      <c r="A261" s="136">
        <v>24</v>
      </c>
      <c r="B261" s="136"/>
      <c r="C261" s="4" t="s">
        <v>193</v>
      </c>
      <c r="D261" s="136">
        <f>15.22*10.764</f>
        <v>163.82808</v>
      </c>
      <c r="E261" s="136"/>
      <c r="F261" s="4">
        <v>0</v>
      </c>
      <c r="G261" s="4">
        <f t="shared" si="4"/>
        <v>262.12492800000001</v>
      </c>
      <c r="H261" s="136"/>
    </row>
    <row r="262" spans="1:8" s="3" customFormat="1" ht="15.75" customHeight="1" x14ac:dyDescent="0.25">
      <c r="A262" s="135" t="s">
        <v>206</v>
      </c>
      <c r="B262" s="135"/>
      <c r="C262" s="135"/>
      <c r="D262" s="135"/>
      <c r="E262" s="135"/>
      <c r="F262" s="135"/>
      <c r="G262" s="135"/>
      <c r="H262" s="135"/>
    </row>
    <row r="263" spans="1:8" s="3" customFormat="1" ht="15.75" customHeight="1" x14ac:dyDescent="0.25">
      <c r="A263" s="136">
        <v>1</v>
      </c>
      <c r="B263" s="136"/>
      <c r="C263" s="103" t="s">
        <v>197</v>
      </c>
      <c r="D263" s="136">
        <f>(30.24+1.99+1.8+2.02+2.59+2.59)*10.764</f>
        <v>443.79972000000004</v>
      </c>
      <c r="E263" s="136"/>
      <c r="F263" s="103">
        <v>0</v>
      </c>
      <c r="G263" s="103">
        <v>643</v>
      </c>
      <c r="H263" s="136" t="str">
        <f>A262</f>
        <v xml:space="preserve">1st to 7th &amp; 9th Floor </v>
      </c>
    </row>
    <row r="264" spans="1:8" s="3" customFormat="1" ht="15.75" customHeight="1" x14ac:dyDescent="0.25">
      <c r="A264" s="136">
        <v>2</v>
      </c>
      <c r="B264" s="136"/>
      <c r="C264" s="103" t="s">
        <v>197</v>
      </c>
      <c r="D264" s="136">
        <f>(30.24+1.99+1.8+1.99+2.59+2.59)*10.764</f>
        <v>443.47680000000003</v>
      </c>
      <c r="E264" s="136"/>
      <c r="F264" s="103">
        <v>0</v>
      </c>
      <c r="G264" s="103">
        <v>643</v>
      </c>
      <c r="H264" s="136"/>
    </row>
    <row r="265" spans="1:8" s="3" customFormat="1" x14ac:dyDescent="0.25">
      <c r="A265" s="136">
        <v>3</v>
      </c>
      <c r="B265" s="136"/>
      <c r="C265" s="103" t="s">
        <v>198</v>
      </c>
      <c r="D265" s="136">
        <f>(46.06+1.99+1.76+2.02+1.99+2.59+2.59+2.59)*10.764</f>
        <v>662.95476000000019</v>
      </c>
      <c r="E265" s="136"/>
      <c r="F265" s="103">
        <v>0</v>
      </c>
      <c r="G265" s="103">
        <v>970</v>
      </c>
      <c r="H265" s="136"/>
    </row>
    <row r="266" spans="1:8" s="3" customFormat="1" x14ac:dyDescent="0.25">
      <c r="A266" s="136">
        <v>4</v>
      </c>
      <c r="B266" s="136"/>
      <c r="C266" s="103" t="s">
        <v>198</v>
      </c>
      <c r="D266" s="136">
        <f>(45.84+1.99+1.76+2.02+2.02+2.59+2.59+2.59)*10.764</f>
        <v>660.90960000000018</v>
      </c>
      <c r="E266" s="136"/>
      <c r="F266" s="103">
        <v>0</v>
      </c>
      <c r="G266" s="103">
        <v>958</v>
      </c>
      <c r="H266" s="136"/>
    </row>
    <row r="267" spans="1:8" s="3" customFormat="1" x14ac:dyDescent="0.25">
      <c r="A267" s="136">
        <v>5</v>
      </c>
      <c r="B267" s="136"/>
      <c r="C267" s="103" t="s">
        <v>197</v>
      </c>
      <c r="D267" s="136">
        <f>(30.24+1.99+1.8+1.99+2.59+2.59)*10.764</f>
        <v>443.47680000000003</v>
      </c>
      <c r="E267" s="136"/>
      <c r="F267" s="103">
        <v>0</v>
      </c>
      <c r="G267" s="103">
        <v>643</v>
      </c>
      <c r="H267" s="136"/>
    </row>
    <row r="268" spans="1:8" s="3" customFormat="1" x14ac:dyDescent="0.25">
      <c r="A268" s="136">
        <v>6</v>
      </c>
      <c r="B268" s="136"/>
      <c r="C268" s="103" t="s">
        <v>197</v>
      </c>
      <c r="D268" s="136">
        <f>(30.42+1.99+1.8+1.99+2.59+2.59)*10.764</f>
        <v>445.41432000000009</v>
      </c>
      <c r="E268" s="136"/>
      <c r="F268" s="103">
        <v>0</v>
      </c>
      <c r="G268" s="103">
        <v>643</v>
      </c>
      <c r="H268" s="136"/>
    </row>
    <row r="269" spans="1:8" s="3" customFormat="1" x14ac:dyDescent="0.25">
      <c r="A269" s="135" t="s">
        <v>207</v>
      </c>
      <c r="B269" s="135"/>
      <c r="C269" s="135"/>
      <c r="D269" s="135"/>
      <c r="E269" s="135"/>
      <c r="F269" s="135"/>
      <c r="G269" s="135"/>
      <c r="H269" s="135"/>
    </row>
    <row r="270" spans="1:8" s="3" customFormat="1" x14ac:dyDescent="0.25">
      <c r="A270" s="136">
        <v>1</v>
      </c>
      <c r="B270" s="136"/>
      <c r="C270" s="4" t="s">
        <v>197</v>
      </c>
      <c r="D270" s="136">
        <f>(30.24+1.99+1.8+2.03+2.59+2.59)*10.764</f>
        <v>443.90735999999993</v>
      </c>
      <c r="E270" s="136"/>
      <c r="F270" s="4">
        <v>0</v>
      </c>
      <c r="G270" s="4">
        <v>643</v>
      </c>
      <c r="H270" s="136" t="str">
        <f>A269</f>
        <v xml:space="preserve">8th Floor </v>
      </c>
    </row>
    <row r="271" spans="1:8" s="3" customFormat="1" x14ac:dyDescent="0.25">
      <c r="A271" s="136">
        <v>2</v>
      </c>
      <c r="B271" s="136"/>
      <c r="C271" s="4" t="s">
        <v>197</v>
      </c>
      <c r="D271" s="136">
        <f>(30.24+1.99+1.8+1.99+2.59+2.59)*10.764</f>
        <v>443.47680000000003</v>
      </c>
      <c r="E271" s="136"/>
      <c r="F271" s="4">
        <v>0</v>
      </c>
      <c r="G271" s="4">
        <v>643</v>
      </c>
      <c r="H271" s="136"/>
    </row>
    <row r="272" spans="1:8" s="3" customFormat="1" x14ac:dyDescent="0.25">
      <c r="A272" s="136">
        <v>3</v>
      </c>
      <c r="B272" s="136"/>
      <c r="C272" s="4" t="s">
        <v>198</v>
      </c>
      <c r="D272" s="136">
        <f>(46.06+1.99+1.76+2.02+1.99+2.59+2.59+2.59)*10.764</f>
        <v>662.95476000000019</v>
      </c>
      <c r="E272" s="136"/>
      <c r="F272" s="4">
        <v>0</v>
      </c>
      <c r="G272" s="4">
        <v>970</v>
      </c>
      <c r="H272" s="136"/>
    </row>
    <row r="273" spans="1:14" s="3" customFormat="1" x14ac:dyDescent="0.25">
      <c r="A273" s="136">
        <v>4</v>
      </c>
      <c r="B273" s="136"/>
      <c r="C273" s="4" t="s">
        <v>198</v>
      </c>
      <c r="D273" s="136">
        <f>(45.84+1.99+1.76+2.02+2.02+2.59+2.59+2.59)*10.764</f>
        <v>660.90960000000018</v>
      </c>
      <c r="E273" s="136"/>
      <c r="F273" s="4">
        <v>0</v>
      </c>
      <c r="G273" s="4">
        <v>958</v>
      </c>
      <c r="H273" s="136"/>
    </row>
    <row r="274" spans="1:14" s="3" customFormat="1" x14ac:dyDescent="0.25">
      <c r="A274" s="136">
        <v>5</v>
      </c>
      <c r="B274" s="136"/>
      <c r="C274" s="4" t="s">
        <v>197</v>
      </c>
      <c r="D274" s="136">
        <f>(30.24+1.99+1.8+1.99+2.59+2.41)*10.764</f>
        <v>441.53927999999991</v>
      </c>
      <c r="E274" s="136"/>
      <c r="F274" s="4">
        <v>0</v>
      </c>
      <c r="G274" s="4">
        <v>643</v>
      </c>
      <c r="H274" s="136"/>
    </row>
    <row r="275" spans="1:14" s="3" customFormat="1" x14ac:dyDescent="0.25">
      <c r="A275" s="140" t="s">
        <v>282</v>
      </c>
      <c r="B275" s="140"/>
      <c r="C275" s="140"/>
      <c r="D275" s="140"/>
      <c r="E275" s="140"/>
      <c r="F275" s="140"/>
      <c r="G275" s="140"/>
      <c r="H275" s="140"/>
    </row>
    <row r="276" spans="1:14" s="3" customFormat="1" x14ac:dyDescent="0.25">
      <c r="A276" s="135" t="s">
        <v>212</v>
      </c>
      <c r="B276" s="135"/>
      <c r="C276" s="135"/>
      <c r="D276" s="135"/>
      <c r="E276" s="135"/>
      <c r="F276" s="135"/>
      <c r="G276" s="135"/>
      <c r="H276" s="135"/>
    </row>
    <row r="277" spans="1:14" s="3" customFormat="1" ht="15.75" customHeight="1" x14ac:dyDescent="0.25">
      <c r="A277" s="135" t="s">
        <v>192</v>
      </c>
      <c r="B277" s="135"/>
      <c r="C277" s="135"/>
      <c r="D277" s="135"/>
      <c r="E277" s="135"/>
      <c r="F277" s="135"/>
      <c r="G277" s="135"/>
      <c r="H277" s="135"/>
    </row>
    <row r="278" spans="1:14" s="3" customFormat="1" ht="15.75" customHeight="1" x14ac:dyDescent="0.25">
      <c r="A278" s="136">
        <v>1</v>
      </c>
      <c r="B278" s="136"/>
      <c r="C278" s="77" t="s">
        <v>193</v>
      </c>
      <c r="D278" s="136">
        <f>15.57*10.764</f>
        <v>167.59547999999998</v>
      </c>
      <c r="E278" s="136"/>
      <c r="F278" s="77">
        <f>6.1*10.764</f>
        <v>65.660399999999996</v>
      </c>
      <c r="G278" s="77">
        <f>D278*1.6+F278</f>
        <v>333.81316799999996</v>
      </c>
      <c r="H278" s="136" t="str">
        <f>A277</f>
        <v>Ground Floor for Commercial &amp; Parking</v>
      </c>
      <c r="J278" s="3">
        <f>4.72*3.2</f>
        <v>15.103999999999999</v>
      </c>
      <c r="K278" s="3">
        <f>1*2.9+1*1.2</f>
        <v>4.0999999999999996</v>
      </c>
      <c r="M278" s="3">
        <f>928/D292</f>
        <v>1.450425699942933</v>
      </c>
      <c r="N278" s="3">
        <f>3450*G292</f>
        <v>3201600</v>
      </c>
    </row>
    <row r="279" spans="1:14" s="3" customFormat="1" x14ac:dyDescent="0.25">
      <c r="A279" s="136">
        <v>2</v>
      </c>
      <c r="B279" s="136"/>
      <c r="C279" s="77" t="s">
        <v>193</v>
      </c>
      <c r="D279" s="136">
        <f>11.55*10.764</f>
        <v>124.3242</v>
      </c>
      <c r="E279" s="136"/>
      <c r="F279" s="77">
        <f>4.48*10.764</f>
        <v>48.222720000000002</v>
      </c>
      <c r="G279" s="77">
        <f t="shared" ref="G279:G281" si="5">D279*1.6+F279</f>
        <v>247.14144000000002</v>
      </c>
      <c r="H279" s="136"/>
      <c r="N279" s="3">
        <f t="shared" ref="N279:N281" si="6">3450*G293</f>
        <v>4685100</v>
      </c>
    </row>
    <row r="280" spans="1:14" s="3" customFormat="1" x14ac:dyDescent="0.25">
      <c r="A280" s="136">
        <v>3</v>
      </c>
      <c r="B280" s="136"/>
      <c r="C280" s="77" t="s">
        <v>193</v>
      </c>
      <c r="D280" s="136">
        <f>17.47*10.764</f>
        <v>188.04707999999997</v>
      </c>
      <c r="E280" s="136"/>
      <c r="F280" s="77">
        <f>9.69*10.764</f>
        <v>104.30315999999999</v>
      </c>
      <c r="G280" s="77">
        <f>D280*1.6+F280/2</f>
        <v>353.02690799999993</v>
      </c>
      <c r="H280" s="136"/>
      <c r="N280" s="3">
        <f t="shared" si="6"/>
        <v>2204550</v>
      </c>
    </row>
    <row r="281" spans="1:14" s="3" customFormat="1" x14ac:dyDescent="0.25">
      <c r="A281" s="136">
        <v>4</v>
      </c>
      <c r="B281" s="136"/>
      <c r="C281" s="77" t="s">
        <v>193</v>
      </c>
      <c r="D281" s="136">
        <f>14.38*10.764</f>
        <v>154.78631999999999</v>
      </c>
      <c r="E281" s="136"/>
      <c r="F281" s="77">
        <f>5.06*10.764</f>
        <v>54.465839999999993</v>
      </c>
      <c r="G281" s="77">
        <f t="shared" si="5"/>
        <v>302.12395199999997</v>
      </c>
      <c r="H281" s="136"/>
      <c r="N281" s="3">
        <f t="shared" si="6"/>
        <v>1990650</v>
      </c>
    </row>
    <row r="282" spans="1:14" s="3" customFormat="1" x14ac:dyDescent="0.25">
      <c r="A282" s="136">
        <v>5</v>
      </c>
      <c r="B282" s="136"/>
      <c r="C282" s="77" t="s">
        <v>193</v>
      </c>
      <c r="D282" s="136">
        <f>22.85*10.764</f>
        <v>245.95740000000001</v>
      </c>
      <c r="E282" s="136"/>
      <c r="F282" s="77">
        <f>11.19*10.764</f>
        <v>120.44915999999999</v>
      </c>
      <c r="G282" s="77">
        <f>D282*1.6+F282/2</f>
        <v>453.75642000000005</v>
      </c>
      <c r="H282" s="136"/>
    </row>
    <row r="283" spans="1:14" s="3" customFormat="1" ht="15.75" customHeight="1" x14ac:dyDescent="0.25">
      <c r="A283" s="136">
        <v>6</v>
      </c>
      <c r="B283" s="136"/>
      <c r="C283" s="77" t="s">
        <v>193</v>
      </c>
      <c r="D283" s="136">
        <f>20.89*10.764</f>
        <v>224.85996</v>
      </c>
      <c r="E283" s="136"/>
      <c r="F283" s="77">
        <f>9.43*10.764</f>
        <v>101.50451999999999</v>
      </c>
      <c r="G283" s="77">
        <f>D283*1.6+F283/2</f>
        <v>410.52819599999998</v>
      </c>
      <c r="H283" s="136"/>
    </row>
    <row r="284" spans="1:14" s="3" customFormat="1" x14ac:dyDescent="0.25">
      <c r="A284" s="136">
        <v>7</v>
      </c>
      <c r="B284" s="136"/>
      <c r="C284" s="77" t="s">
        <v>193</v>
      </c>
      <c r="D284" s="136">
        <f>16.51*10.764</f>
        <v>177.71364</v>
      </c>
      <c r="E284" s="136"/>
      <c r="F284" s="77">
        <f>8.02*10.764</f>
        <v>86.327279999999988</v>
      </c>
      <c r="G284" s="77">
        <f t="shared" ref="G284:G288" si="7">D284*1.6+F284</f>
        <v>370.669104</v>
      </c>
      <c r="H284" s="136"/>
    </row>
    <row r="285" spans="1:14" s="3" customFormat="1" x14ac:dyDescent="0.25">
      <c r="A285" s="136">
        <v>8</v>
      </c>
      <c r="B285" s="136"/>
      <c r="C285" s="77" t="s">
        <v>193</v>
      </c>
      <c r="D285" s="136">
        <f>16.79*10.764</f>
        <v>180.72755999999998</v>
      </c>
      <c r="E285" s="136"/>
      <c r="F285" s="77">
        <f>8.16*10.764</f>
        <v>87.834239999999994</v>
      </c>
      <c r="G285" s="77">
        <f t="shared" si="7"/>
        <v>376.99833599999999</v>
      </c>
      <c r="H285" s="136"/>
    </row>
    <row r="286" spans="1:14" s="3" customFormat="1" x14ac:dyDescent="0.25">
      <c r="A286" s="136">
        <v>9</v>
      </c>
      <c r="B286" s="136"/>
      <c r="C286" s="77" t="s">
        <v>193</v>
      </c>
      <c r="D286" s="136">
        <f>21*10.764</f>
        <v>226.04399999999998</v>
      </c>
      <c r="E286" s="136"/>
      <c r="F286" s="77">
        <f>9.54*10.764</f>
        <v>102.68855999999998</v>
      </c>
      <c r="G286" s="77">
        <f>D286*1.6+F286/2</f>
        <v>413.01467999999994</v>
      </c>
      <c r="H286" s="136"/>
    </row>
    <row r="287" spans="1:14" s="3" customFormat="1" x14ac:dyDescent="0.25">
      <c r="A287" s="136">
        <v>10</v>
      </c>
      <c r="B287" s="136"/>
      <c r="C287" s="77" t="s">
        <v>193</v>
      </c>
      <c r="D287" s="136">
        <f>22.46*10.764</f>
        <v>241.75943999999998</v>
      </c>
      <c r="E287" s="136"/>
      <c r="F287" s="77">
        <f>11*10.764</f>
        <v>118.404</v>
      </c>
      <c r="G287" s="77">
        <f>D287*1.6+F287/2</f>
        <v>446.01710400000002</v>
      </c>
      <c r="H287" s="136"/>
    </row>
    <row r="288" spans="1:14" s="3" customFormat="1" x14ac:dyDescent="0.25">
      <c r="A288" s="136">
        <v>11</v>
      </c>
      <c r="B288" s="136"/>
      <c r="C288" s="77" t="s">
        <v>193</v>
      </c>
      <c r="D288" s="136">
        <f>13.72*10.764</f>
        <v>147.68207999999998</v>
      </c>
      <c r="E288" s="136"/>
      <c r="F288" s="77">
        <f>4.81*10.764</f>
        <v>51.77483999999999</v>
      </c>
      <c r="G288" s="77">
        <f t="shared" si="7"/>
        <v>288.066168</v>
      </c>
      <c r="H288" s="136"/>
    </row>
    <row r="289" spans="1:13" s="3" customFormat="1" x14ac:dyDescent="0.25">
      <c r="A289" s="136">
        <v>12</v>
      </c>
      <c r="B289" s="136"/>
      <c r="C289" s="77" t="s">
        <v>193</v>
      </c>
      <c r="D289" s="136">
        <f>18.79*10.764</f>
        <v>202.25555999999997</v>
      </c>
      <c r="E289" s="136"/>
      <c r="F289" s="77">
        <f>18.79*10.764</f>
        <v>202.25555999999997</v>
      </c>
      <c r="G289" s="77">
        <f>D289*1.6+F289/3</f>
        <v>391.02741599999996</v>
      </c>
      <c r="H289" s="136"/>
    </row>
    <row r="290" spans="1:13" s="3" customFormat="1" ht="15.75" customHeight="1" x14ac:dyDescent="0.25">
      <c r="A290" s="135" t="s">
        <v>194</v>
      </c>
      <c r="B290" s="135"/>
      <c r="C290" s="135"/>
      <c r="D290" s="135"/>
      <c r="E290" s="135"/>
      <c r="F290" s="135"/>
      <c r="G290" s="135"/>
      <c r="H290" s="135"/>
    </row>
    <row r="291" spans="1:13" s="3" customFormat="1" ht="15.75" customHeight="1" x14ac:dyDescent="0.25">
      <c r="A291" s="141" t="s">
        <v>284</v>
      </c>
      <c r="B291" s="142"/>
      <c r="C291" s="142"/>
      <c r="D291" s="142"/>
      <c r="E291" s="142"/>
      <c r="F291" s="142"/>
      <c r="G291" s="142"/>
      <c r="H291" s="143"/>
      <c r="K291" s="3">
        <f>1*2.9+1*1.2</f>
        <v>4.0999999999999996</v>
      </c>
      <c r="M291" s="3">
        <f>928/D305</f>
        <v>2.3313494755167108</v>
      </c>
    </row>
    <row r="292" spans="1:13" s="3" customFormat="1" x14ac:dyDescent="0.25">
      <c r="A292" s="136">
        <v>1</v>
      </c>
      <c r="B292" s="136"/>
      <c r="C292" s="77" t="s">
        <v>198</v>
      </c>
      <c r="D292" s="136">
        <f>(54.59+4.85)*10.764</f>
        <v>639.81216000000006</v>
      </c>
      <c r="E292" s="136"/>
      <c r="F292" s="77">
        <v>0</v>
      </c>
      <c r="G292" s="77">
        <v>928</v>
      </c>
      <c r="H292" s="136" t="str">
        <f>A291</f>
        <v xml:space="preserve">1st to 7th &amp; 9th to 11th &amp; 13th to 15th Floor </v>
      </c>
      <c r="J292" s="3">
        <f>4.22*2.9+2.15*3+3.33*2.9+4.33*2.9+1.2*2.1+1.2*2.1+0.9*2.9+1.2*1.5+1.63*0.45</f>
        <v>51.085500000000003</v>
      </c>
    </row>
    <row r="293" spans="1:13" s="3" customFormat="1" x14ac:dyDescent="0.25">
      <c r="A293" s="136">
        <v>2</v>
      </c>
      <c r="B293" s="136"/>
      <c r="C293" s="77" t="s">
        <v>285</v>
      </c>
      <c r="D293" s="136">
        <f>(79.61+7.39)*10.764</f>
        <v>936.46799999999996</v>
      </c>
      <c r="E293" s="136"/>
      <c r="F293" s="77">
        <v>0</v>
      </c>
      <c r="G293" s="77">
        <v>1358</v>
      </c>
      <c r="H293" s="136"/>
    </row>
    <row r="294" spans="1:13" s="3" customFormat="1" x14ac:dyDescent="0.25">
      <c r="A294" s="136">
        <v>3</v>
      </c>
      <c r="B294" s="136"/>
      <c r="C294" s="77" t="s">
        <v>197</v>
      </c>
      <c r="D294" s="136">
        <f>(38.02+2.91)*10.764</f>
        <v>440.57052000000004</v>
      </c>
      <c r="E294" s="136"/>
      <c r="F294" s="77">
        <v>0</v>
      </c>
      <c r="G294" s="77">
        <v>639</v>
      </c>
      <c r="H294" s="136"/>
      <c r="J294" s="3">
        <f>4.2*2.8+0.9*2.4+2.4*2.7+3.12*3+1.2*2+0.9*0.9</f>
        <v>32.97</v>
      </c>
    </row>
    <row r="295" spans="1:13" s="3" customFormat="1" x14ac:dyDescent="0.25">
      <c r="A295" s="136">
        <v>4</v>
      </c>
      <c r="B295" s="136"/>
      <c r="C295" s="77" t="s">
        <v>197</v>
      </c>
      <c r="D295" s="136">
        <f>(34.95+2.75)*10.764</f>
        <v>405.80279999999999</v>
      </c>
      <c r="E295" s="136"/>
      <c r="F295" s="77">
        <v>0</v>
      </c>
      <c r="G295" s="77">
        <v>577</v>
      </c>
      <c r="H295" s="136"/>
    </row>
    <row r="296" spans="1:13" s="3" customFormat="1" ht="15.75" customHeight="1" x14ac:dyDescent="0.25">
      <c r="A296" s="136">
        <v>5</v>
      </c>
      <c r="B296" s="136"/>
      <c r="C296" s="77" t="s">
        <v>198</v>
      </c>
      <c r="D296" s="136">
        <f>(54.59+4.85)*10.764</f>
        <v>639.81216000000006</v>
      </c>
      <c r="E296" s="136"/>
      <c r="F296" s="77">
        <v>0</v>
      </c>
      <c r="G296" s="77">
        <v>928</v>
      </c>
      <c r="H296" s="136"/>
    </row>
    <row r="297" spans="1:13" s="3" customFormat="1" x14ac:dyDescent="0.25">
      <c r="A297" s="135" t="s">
        <v>286</v>
      </c>
      <c r="B297" s="135"/>
      <c r="C297" s="135"/>
      <c r="D297" s="135"/>
      <c r="E297" s="135"/>
      <c r="F297" s="135"/>
      <c r="G297" s="135"/>
      <c r="H297" s="135"/>
    </row>
    <row r="298" spans="1:13" s="3" customFormat="1" x14ac:dyDescent="0.25">
      <c r="A298" s="136">
        <v>1</v>
      </c>
      <c r="B298" s="136"/>
      <c r="C298" s="77" t="s">
        <v>198</v>
      </c>
      <c r="D298" s="136">
        <f>(54.59+4.85)*10.764</f>
        <v>639.81216000000006</v>
      </c>
      <c r="E298" s="136"/>
      <c r="F298" s="77">
        <v>0</v>
      </c>
      <c r="G298" s="77">
        <v>928</v>
      </c>
      <c r="H298" s="136" t="str">
        <f>A297</f>
        <v>8th &amp; 12th Floor (Part Refuge Area)</v>
      </c>
    </row>
    <row r="299" spans="1:13" s="3" customFormat="1" x14ac:dyDescent="0.25">
      <c r="A299" s="136">
        <v>2</v>
      </c>
      <c r="B299" s="136"/>
      <c r="C299" s="77" t="s">
        <v>198</v>
      </c>
      <c r="D299" s="136">
        <f>(64.24+5.15)*10.764</f>
        <v>746.91395999999997</v>
      </c>
      <c r="E299" s="136"/>
      <c r="F299" s="77">
        <v>0</v>
      </c>
      <c r="G299" s="77">
        <v>1083</v>
      </c>
      <c r="H299" s="136"/>
    </row>
    <row r="300" spans="1:13" s="3" customFormat="1" x14ac:dyDescent="0.25">
      <c r="A300" s="136">
        <v>3</v>
      </c>
      <c r="B300" s="136"/>
      <c r="C300" s="77" t="s">
        <v>197</v>
      </c>
      <c r="D300" s="136">
        <f>(38.02+2.91)*10.764</f>
        <v>440.57052000000004</v>
      </c>
      <c r="E300" s="136"/>
      <c r="F300" s="77">
        <v>0</v>
      </c>
      <c r="G300" s="77">
        <v>639</v>
      </c>
      <c r="H300" s="136"/>
    </row>
    <row r="301" spans="1:13" s="3" customFormat="1" x14ac:dyDescent="0.25">
      <c r="A301" s="136">
        <v>4</v>
      </c>
      <c r="B301" s="136"/>
      <c r="C301" s="77" t="s">
        <v>197</v>
      </c>
      <c r="D301" s="136">
        <f>(34.95+2.75)*10.764</f>
        <v>405.80279999999999</v>
      </c>
      <c r="E301" s="136"/>
      <c r="F301" s="77">
        <v>0</v>
      </c>
      <c r="G301" s="77">
        <v>577</v>
      </c>
      <c r="H301" s="136"/>
    </row>
    <row r="302" spans="1:13" s="3" customFormat="1" ht="15.75" customHeight="1" x14ac:dyDescent="0.25">
      <c r="A302" s="136">
        <v>5</v>
      </c>
      <c r="B302" s="136"/>
      <c r="C302" s="77" t="s">
        <v>198</v>
      </c>
      <c r="D302" s="136">
        <f>(54.59+4.85)*10.764</f>
        <v>639.81216000000006</v>
      </c>
      <c r="E302" s="136"/>
      <c r="F302" s="77">
        <v>0</v>
      </c>
      <c r="G302" s="77">
        <v>928</v>
      </c>
      <c r="H302" s="136"/>
    </row>
    <row r="303" spans="1:13" s="3" customFormat="1" x14ac:dyDescent="0.25">
      <c r="A303" s="135" t="s">
        <v>195</v>
      </c>
      <c r="B303" s="135"/>
      <c r="C303" s="135"/>
      <c r="D303" s="135"/>
      <c r="E303" s="135"/>
      <c r="F303" s="135"/>
      <c r="G303" s="135"/>
      <c r="H303" s="135"/>
    </row>
    <row r="304" spans="1:13" s="3" customFormat="1" ht="15.75" customHeight="1" x14ac:dyDescent="0.25">
      <c r="A304" s="141" t="s">
        <v>284</v>
      </c>
      <c r="B304" s="142"/>
      <c r="C304" s="142"/>
      <c r="D304" s="142"/>
      <c r="E304" s="142"/>
      <c r="F304" s="142"/>
      <c r="G304" s="142"/>
      <c r="H304" s="143"/>
    </row>
    <row r="305" spans="1:10" s="3" customFormat="1" ht="15.75" customHeight="1" x14ac:dyDescent="0.25">
      <c r="A305" s="136">
        <v>1</v>
      </c>
      <c r="B305" s="136"/>
      <c r="C305" s="77" t="s">
        <v>197</v>
      </c>
      <c r="D305" s="136">
        <f>(34.23+2.75)*10.764</f>
        <v>398.05271999999997</v>
      </c>
      <c r="E305" s="136"/>
      <c r="F305" s="77">
        <v>0</v>
      </c>
      <c r="G305" s="77">
        <v>577</v>
      </c>
      <c r="H305" s="136" t="str">
        <f>A304</f>
        <v xml:space="preserve">1st to 7th &amp; 9th to 11th &amp; 13th to 15th Floor </v>
      </c>
      <c r="J305" s="3">
        <f>4.22*2.9+2.15*3+3.33*2.9+4.33*2.9+1.2*2.1+1.2*2.1+0.9*2.9+1.2*1.5+1.63*0.45</f>
        <v>51.085500000000003</v>
      </c>
    </row>
    <row r="306" spans="1:10" s="3" customFormat="1" ht="15.75" customHeight="1" x14ac:dyDescent="0.25">
      <c r="A306" s="136">
        <v>2</v>
      </c>
      <c r="B306" s="136"/>
      <c r="C306" s="77" t="s">
        <v>198</v>
      </c>
      <c r="D306" s="136">
        <f>(54.59+4.85)*10.764</f>
        <v>639.81216000000006</v>
      </c>
      <c r="E306" s="136"/>
      <c r="F306" s="77">
        <v>0</v>
      </c>
      <c r="G306" s="77">
        <v>928</v>
      </c>
      <c r="H306" s="136"/>
    </row>
    <row r="307" spans="1:10" s="3" customFormat="1" x14ac:dyDescent="0.25">
      <c r="A307" s="136">
        <v>3</v>
      </c>
      <c r="B307" s="136"/>
      <c r="C307" s="77" t="s">
        <v>198</v>
      </c>
      <c r="D307" s="136">
        <f>(54.59+4.85)*10.764</f>
        <v>639.81216000000006</v>
      </c>
      <c r="E307" s="136"/>
      <c r="F307" s="77">
        <v>0</v>
      </c>
      <c r="G307" s="77">
        <v>928</v>
      </c>
      <c r="H307" s="136"/>
      <c r="J307" s="3">
        <f>4.2*2.8+0.9*2.4+2.4*2.7+3.12*3+1.2*2+0.9*0.9</f>
        <v>32.97</v>
      </c>
    </row>
    <row r="308" spans="1:10" s="3" customFormat="1" x14ac:dyDescent="0.25">
      <c r="A308" s="136">
        <v>4</v>
      </c>
      <c r="B308" s="136"/>
      <c r="C308" s="77" t="s">
        <v>197</v>
      </c>
      <c r="D308" s="136">
        <f>(34.55+2.75)*10.764</f>
        <v>401.49719999999996</v>
      </c>
      <c r="E308" s="136"/>
      <c r="F308" s="77">
        <v>0</v>
      </c>
      <c r="G308" s="77">
        <v>577</v>
      </c>
      <c r="H308" s="136"/>
    </row>
    <row r="309" spans="1:10" s="3" customFormat="1" x14ac:dyDescent="0.25">
      <c r="A309" s="136">
        <v>5</v>
      </c>
      <c r="B309" s="136"/>
      <c r="C309" s="77" t="s">
        <v>198</v>
      </c>
      <c r="D309" s="136">
        <f>(49.65+2.05)*10.764</f>
        <v>556.49879999999996</v>
      </c>
      <c r="E309" s="136"/>
      <c r="F309" s="77">
        <v>0</v>
      </c>
      <c r="G309" s="77">
        <v>807</v>
      </c>
      <c r="H309" s="136"/>
    </row>
    <row r="310" spans="1:10" s="3" customFormat="1" x14ac:dyDescent="0.25">
      <c r="A310" s="135" t="s">
        <v>286</v>
      </c>
      <c r="B310" s="135"/>
      <c r="C310" s="135"/>
      <c r="D310" s="135"/>
      <c r="E310" s="135"/>
      <c r="F310" s="135"/>
      <c r="G310" s="135"/>
      <c r="H310" s="135"/>
    </row>
    <row r="311" spans="1:10" s="3" customFormat="1" ht="15.75" customHeight="1" x14ac:dyDescent="0.25">
      <c r="A311" s="136">
        <v>1</v>
      </c>
      <c r="B311" s="136"/>
      <c r="C311" s="136" t="s">
        <v>287</v>
      </c>
      <c r="D311" s="136"/>
      <c r="E311" s="136"/>
      <c r="F311" s="136"/>
      <c r="G311" s="136"/>
      <c r="H311" s="136" t="str">
        <f>A310</f>
        <v>8th &amp; 12th Floor (Part Refuge Area)</v>
      </c>
    </row>
    <row r="312" spans="1:10" s="3" customFormat="1" ht="15.75" customHeight="1" x14ac:dyDescent="0.25">
      <c r="A312" s="136">
        <v>2</v>
      </c>
      <c r="B312" s="136"/>
      <c r="C312" s="103" t="s">
        <v>285</v>
      </c>
      <c r="D312" s="136">
        <f>(68.93+4.8)*10.764</f>
        <v>793.62972000000002</v>
      </c>
      <c r="E312" s="136"/>
      <c r="F312" s="103">
        <v>0</v>
      </c>
      <c r="G312" s="103">
        <v>1152</v>
      </c>
      <c r="H312" s="136"/>
    </row>
    <row r="313" spans="1:10" s="3" customFormat="1" ht="15.75" customHeight="1" x14ac:dyDescent="0.25">
      <c r="A313" s="136">
        <v>3</v>
      </c>
      <c r="B313" s="136"/>
      <c r="C313" s="103" t="s">
        <v>198</v>
      </c>
      <c r="D313" s="136">
        <f>(54.59+4.85)*10.764</f>
        <v>639.81216000000006</v>
      </c>
      <c r="E313" s="136"/>
      <c r="F313" s="103">
        <v>0</v>
      </c>
      <c r="G313" s="103">
        <v>928</v>
      </c>
      <c r="H313" s="136"/>
    </row>
    <row r="314" spans="1:10" s="3" customFormat="1" x14ac:dyDescent="0.25">
      <c r="A314" s="136">
        <v>4</v>
      </c>
      <c r="B314" s="136"/>
      <c r="C314" s="103" t="s">
        <v>197</v>
      </c>
      <c r="D314" s="136">
        <f>(34.55+2.75)*10.764</f>
        <v>401.49719999999996</v>
      </c>
      <c r="E314" s="136"/>
      <c r="F314" s="103">
        <v>0</v>
      </c>
      <c r="G314" s="103">
        <v>577</v>
      </c>
      <c r="H314" s="136"/>
    </row>
    <row r="315" spans="1:10" s="3" customFormat="1" x14ac:dyDescent="0.25">
      <c r="A315" s="136">
        <v>5</v>
      </c>
      <c r="B315" s="136"/>
      <c r="C315" s="103" t="s">
        <v>198</v>
      </c>
      <c r="D315" s="136">
        <f>(49.65+2.05)*10.764</f>
        <v>556.49879999999996</v>
      </c>
      <c r="E315" s="136"/>
      <c r="F315" s="103">
        <v>0</v>
      </c>
      <c r="G315" s="103">
        <v>928</v>
      </c>
      <c r="H315" s="136"/>
    </row>
    <row r="316" spans="1:10" s="3" customFormat="1" x14ac:dyDescent="0.25">
      <c r="A316" s="140" t="s">
        <v>288</v>
      </c>
      <c r="B316" s="140"/>
      <c r="C316" s="140"/>
      <c r="D316" s="140"/>
      <c r="E316" s="140"/>
      <c r="F316" s="140"/>
      <c r="G316" s="140"/>
      <c r="H316" s="140"/>
    </row>
    <row r="317" spans="1:10" s="3" customFormat="1" x14ac:dyDescent="0.25">
      <c r="A317" s="135" t="s">
        <v>194</v>
      </c>
      <c r="B317" s="135"/>
      <c r="C317" s="135"/>
      <c r="D317" s="135"/>
      <c r="E317" s="135"/>
      <c r="F317" s="135"/>
      <c r="G317" s="135"/>
      <c r="H317" s="135"/>
    </row>
    <row r="318" spans="1:10" s="3" customFormat="1" ht="15.75" customHeight="1" x14ac:dyDescent="0.25">
      <c r="A318" s="135" t="s">
        <v>205</v>
      </c>
      <c r="B318" s="135"/>
      <c r="C318" s="135"/>
      <c r="D318" s="135"/>
      <c r="E318" s="135"/>
      <c r="F318" s="135"/>
      <c r="G318" s="135"/>
      <c r="H318" s="135"/>
    </row>
    <row r="319" spans="1:10" s="3" customFormat="1" ht="15.75" customHeight="1" x14ac:dyDescent="0.25">
      <c r="A319" s="135" t="s">
        <v>284</v>
      </c>
      <c r="B319" s="135"/>
      <c r="C319" s="135"/>
      <c r="D319" s="135"/>
      <c r="E319" s="135"/>
      <c r="F319" s="135"/>
      <c r="G319" s="135"/>
      <c r="H319" s="135"/>
    </row>
    <row r="320" spans="1:10" s="3" customFormat="1" ht="15.75" customHeight="1" x14ac:dyDescent="0.25">
      <c r="A320" s="136">
        <v>1</v>
      </c>
      <c r="B320" s="136"/>
      <c r="C320" s="77" t="s">
        <v>198</v>
      </c>
      <c r="D320" s="136">
        <f>(54.59+4.85)*10.764</f>
        <v>639.81216000000006</v>
      </c>
      <c r="E320" s="136"/>
      <c r="F320" s="77">
        <v>0</v>
      </c>
      <c r="G320" s="77">
        <v>928</v>
      </c>
      <c r="H320" s="136" t="str">
        <f>A319</f>
        <v xml:space="preserve">1st to 7th &amp; 9th to 11th &amp; 13th to 15th Floor </v>
      </c>
    </row>
    <row r="321" spans="1:13" s="3" customFormat="1" ht="15.75" customHeight="1" x14ac:dyDescent="0.25">
      <c r="A321" s="136">
        <v>2</v>
      </c>
      <c r="B321" s="136"/>
      <c r="C321" s="77" t="s">
        <v>197</v>
      </c>
      <c r="D321" s="136">
        <f>(34.56+2.75)*10.764</f>
        <v>401.60484000000002</v>
      </c>
      <c r="E321" s="136"/>
      <c r="F321" s="77">
        <v>0</v>
      </c>
      <c r="G321" s="77">
        <v>577</v>
      </c>
      <c r="H321" s="136"/>
      <c r="L321" s="3">
        <f>G335/D335</f>
        <v>1.4489344365690597</v>
      </c>
    </row>
    <row r="322" spans="1:13" s="3" customFormat="1" ht="15.75" customHeight="1" x14ac:dyDescent="0.25">
      <c r="A322" s="136">
        <v>3</v>
      </c>
      <c r="B322" s="136"/>
      <c r="C322" s="77" t="s">
        <v>198</v>
      </c>
      <c r="D322" s="136">
        <f>(54.14+4.85)*10.764</f>
        <v>634.96835999999996</v>
      </c>
      <c r="E322" s="136"/>
      <c r="F322" s="77">
        <v>0</v>
      </c>
      <c r="G322" s="77">
        <v>921</v>
      </c>
      <c r="H322" s="136"/>
    </row>
    <row r="323" spans="1:13" s="3" customFormat="1" ht="15.75" customHeight="1" x14ac:dyDescent="0.25">
      <c r="A323" s="136">
        <v>4</v>
      </c>
      <c r="B323" s="136"/>
      <c r="C323" s="77" t="s">
        <v>198</v>
      </c>
      <c r="D323" s="136">
        <f>(53.66+4.48)*10.764</f>
        <v>625.81895999999995</v>
      </c>
      <c r="E323" s="136"/>
      <c r="F323" s="77">
        <v>0</v>
      </c>
      <c r="G323" s="77">
        <v>908</v>
      </c>
      <c r="H323" s="136"/>
    </row>
    <row r="324" spans="1:13" s="3" customFormat="1" ht="15.75" customHeight="1" x14ac:dyDescent="0.25">
      <c r="A324" s="136">
        <v>5</v>
      </c>
      <c r="B324" s="136"/>
      <c r="C324" s="77" t="s">
        <v>197</v>
      </c>
      <c r="D324" s="136">
        <f>(34.95+2.75)*10.764</f>
        <v>405.80279999999999</v>
      </c>
      <c r="E324" s="136"/>
      <c r="F324" s="77">
        <v>0</v>
      </c>
      <c r="G324" s="77">
        <v>577</v>
      </c>
      <c r="H324" s="136"/>
    </row>
    <row r="325" spans="1:13" s="3" customFormat="1" ht="15.75" customHeight="1" x14ac:dyDescent="0.25">
      <c r="A325" s="136">
        <v>6</v>
      </c>
      <c r="B325" s="136"/>
      <c r="C325" s="77" t="s">
        <v>198</v>
      </c>
      <c r="D325" s="136">
        <f>(54.59+4.85)*10.764</f>
        <v>639.81216000000006</v>
      </c>
      <c r="E325" s="136"/>
      <c r="F325" s="77">
        <v>0</v>
      </c>
      <c r="G325" s="77">
        <v>928</v>
      </c>
      <c r="H325" s="136"/>
      <c r="L325" s="3">
        <f>3700*G325</f>
        <v>3433600</v>
      </c>
      <c r="M325" s="3">
        <f>468000</f>
        <v>468000</v>
      </c>
    </row>
    <row r="326" spans="1:13" s="3" customFormat="1" ht="15.75" customHeight="1" x14ac:dyDescent="0.25">
      <c r="A326" s="135" t="s">
        <v>286</v>
      </c>
      <c r="B326" s="135"/>
      <c r="C326" s="135"/>
      <c r="D326" s="135"/>
      <c r="E326" s="135"/>
      <c r="F326" s="135"/>
      <c r="G326" s="135"/>
      <c r="H326" s="135"/>
      <c r="M326" s="3">
        <f>L325+M325</f>
        <v>3901600</v>
      </c>
    </row>
    <row r="327" spans="1:13" s="3" customFormat="1" ht="15.75" customHeight="1" x14ac:dyDescent="0.25">
      <c r="A327" s="136">
        <v>1</v>
      </c>
      <c r="B327" s="136"/>
      <c r="C327" s="77" t="s">
        <v>198</v>
      </c>
      <c r="D327" s="136">
        <f>(54.59+4.85)*10.764</f>
        <v>639.81216000000006</v>
      </c>
      <c r="E327" s="136"/>
      <c r="F327" s="77">
        <v>0</v>
      </c>
      <c r="G327" s="77">
        <v>928</v>
      </c>
      <c r="H327" s="136" t="str">
        <f>A326</f>
        <v>8th &amp; 12th Floor (Part Refuge Area)</v>
      </c>
    </row>
    <row r="328" spans="1:13" s="3" customFormat="1" ht="15.75" customHeight="1" x14ac:dyDescent="0.25">
      <c r="A328" s="136">
        <v>2</v>
      </c>
      <c r="B328" s="136"/>
      <c r="C328" s="77" t="s">
        <v>197</v>
      </c>
      <c r="D328" s="136">
        <f>(34.56+2.75)*10.764</f>
        <v>401.60484000000002</v>
      </c>
      <c r="E328" s="136"/>
      <c r="F328" s="77">
        <v>0</v>
      </c>
      <c r="G328" s="77">
        <v>577</v>
      </c>
      <c r="H328" s="136"/>
      <c r="L328" s="3">
        <f>G342/D342</f>
        <v>1.4489344365690597</v>
      </c>
    </row>
    <row r="329" spans="1:13" s="3" customFormat="1" ht="15.75" customHeight="1" x14ac:dyDescent="0.25">
      <c r="A329" s="136">
        <v>3</v>
      </c>
      <c r="B329" s="136"/>
      <c r="C329" s="77" t="s">
        <v>198</v>
      </c>
      <c r="D329" s="136">
        <f>(54.14+4.85)*10.764</f>
        <v>634.96835999999996</v>
      </c>
      <c r="E329" s="136"/>
      <c r="F329" s="77">
        <v>0</v>
      </c>
      <c r="G329" s="77">
        <v>921</v>
      </c>
      <c r="H329" s="136"/>
    </row>
    <row r="330" spans="1:13" s="3" customFormat="1" ht="15.75" customHeight="1" x14ac:dyDescent="0.25">
      <c r="A330" s="136">
        <v>4</v>
      </c>
      <c r="B330" s="136"/>
      <c r="C330" s="77" t="s">
        <v>198</v>
      </c>
      <c r="D330" s="136">
        <f>(53.66+4.48)*10.764</f>
        <v>625.81895999999995</v>
      </c>
      <c r="E330" s="136"/>
      <c r="F330" s="77">
        <v>0</v>
      </c>
      <c r="G330" s="77">
        <v>908</v>
      </c>
      <c r="H330" s="136"/>
    </row>
    <row r="331" spans="1:13" s="3" customFormat="1" ht="15.75" customHeight="1" x14ac:dyDescent="0.25">
      <c r="A331" s="136">
        <v>5</v>
      </c>
      <c r="B331" s="136"/>
      <c r="C331" s="137" t="s">
        <v>287</v>
      </c>
      <c r="D331" s="138"/>
      <c r="E331" s="138"/>
      <c r="F331" s="138"/>
      <c r="G331" s="139"/>
      <c r="H331" s="136"/>
    </row>
    <row r="332" spans="1:13" s="3" customFormat="1" ht="15.75" customHeight="1" x14ac:dyDescent="0.25">
      <c r="A332" s="136">
        <v>6</v>
      </c>
      <c r="B332" s="136"/>
      <c r="C332" s="77" t="s">
        <v>285</v>
      </c>
      <c r="D332" s="136">
        <f>(68.93+4.8)*10.764</f>
        <v>793.62972000000002</v>
      </c>
      <c r="E332" s="136"/>
      <c r="F332" s="77">
        <v>0</v>
      </c>
      <c r="G332" s="77">
        <v>1152</v>
      </c>
      <c r="H332" s="136"/>
    </row>
    <row r="333" spans="1:13" s="3" customFormat="1" ht="15.75" customHeight="1" x14ac:dyDescent="0.25">
      <c r="A333" s="135" t="s">
        <v>195</v>
      </c>
      <c r="B333" s="135"/>
      <c r="C333" s="135"/>
      <c r="D333" s="135"/>
      <c r="E333" s="135"/>
      <c r="F333" s="135"/>
      <c r="G333" s="135"/>
      <c r="H333" s="135"/>
    </row>
    <row r="334" spans="1:13" s="1" customFormat="1" ht="15.75" customHeight="1" x14ac:dyDescent="0.25">
      <c r="A334" s="135" t="s">
        <v>284</v>
      </c>
      <c r="B334" s="135"/>
      <c r="C334" s="135"/>
      <c r="D334" s="135"/>
      <c r="E334" s="135"/>
      <c r="F334" s="135"/>
      <c r="G334" s="135"/>
      <c r="H334" s="135"/>
      <c r="I334" s="3"/>
      <c r="J334" s="3"/>
    </row>
    <row r="335" spans="1:13" s="16" customFormat="1" x14ac:dyDescent="0.25">
      <c r="A335" s="136">
        <v>1</v>
      </c>
      <c r="B335" s="136"/>
      <c r="C335" s="77" t="s">
        <v>197</v>
      </c>
      <c r="D335" s="136">
        <f>(37.5+2.83)*10.764</f>
        <v>434.11211999999995</v>
      </c>
      <c r="E335" s="136"/>
      <c r="F335" s="77">
        <v>0</v>
      </c>
      <c r="G335" s="77">
        <v>629</v>
      </c>
      <c r="H335" s="136" t="str">
        <f>A334</f>
        <v xml:space="preserve">1st to 7th &amp; 9th to 11th &amp; 13th to 15th Floor </v>
      </c>
      <c r="I335" s="3"/>
      <c r="J335" s="3"/>
    </row>
    <row r="336" spans="1:13" ht="15.75" customHeight="1" x14ac:dyDescent="0.25">
      <c r="A336" s="136">
        <v>2</v>
      </c>
      <c r="B336" s="136"/>
      <c r="C336" s="77" t="s">
        <v>197</v>
      </c>
      <c r="D336" s="136">
        <f>(34.95+2.75)*10.764</f>
        <v>405.80279999999999</v>
      </c>
      <c r="E336" s="136"/>
      <c r="F336" s="77">
        <v>0</v>
      </c>
      <c r="G336" s="77">
        <v>585</v>
      </c>
      <c r="H336" s="136"/>
      <c r="I336" s="3"/>
      <c r="J336" s="3"/>
    </row>
    <row r="337" spans="1:12" ht="15.75" customHeight="1" x14ac:dyDescent="0.25">
      <c r="A337" s="136">
        <v>3</v>
      </c>
      <c r="B337" s="136"/>
      <c r="C337" s="77" t="s">
        <v>198</v>
      </c>
      <c r="D337" s="136">
        <f>(54.59+4.85)*10.764</f>
        <v>639.81216000000006</v>
      </c>
      <c r="E337" s="136"/>
      <c r="F337" s="77">
        <v>0</v>
      </c>
      <c r="G337" s="77">
        <v>928</v>
      </c>
      <c r="H337" s="136"/>
      <c r="I337" s="3"/>
      <c r="J337" s="3"/>
    </row>
    <row r="338" spans="1:12" ht="15.75" customHeight="1" x14ac:dyDescent="0.25">
      <c r="A338" s="136">
        <v>4</v>
      </c>
      <c r="B338" s="136"/>
      <c r="C338" s="77" t="s">
        <v>198</v>
      </c>
      <c r="D338" s="136">
        <f>(54.59+4.85)*10.764</f>
        <v>639.81216000000006</v>
      </c>
      <c r="E338" s="136"/>
      <c r="F338" s="77">
        <v>0</v>
      </c>
      <c r="G338" s="77">
        <v>928</v>
      </c>
      <c r="H338" s="136"/>
      <c r="I338" s="3"/>
      <c r="J338" s="3"/>
    </row>
    <row r="339" spans="1:12" x14ac:dyDescent="0.25">
      <c r="A339" s="136">
        <v>5</v>
      </c>
      <c r="B339" s="136"/>
      <c r="C339" s="77" t="s">
        <v>197</v>
      </c>
      <c r="D339" s="136">
        <f>(34.55+2.75)*10.764</f>
        <v>401.49719999999996</v>
      </c>
      <c r="E339" s="136"/>
      <c r="F339" s="77">
        <v>0</v>
      </c>
      <c r="G339" s="77">
        <v>582</v>
      </c>
      <c r="H339" s="136"/>
      <c r="I339" s="3"/>
      <c r="J339" s="3"/>
    </row>
    <row r="340" spans="1:12" x14ac:dyDescent="0.25">
      <c r="A340" s="136">
        <v>6</v>
      </c>
      <c r="B340" s="136"/>
      <c r="C340" s="77" t="s">
        <v>197</v>
      </c>
      <c r="D340" s="136">
        <f>(36.91+4.98)*10.764</f>
        <v>450.90395999999998</v>
      </c>
      <c r="E340" s="136"/>
      <c r="F340" s="77">
        <v>0</v>
      </c>
      <c r="G340" s="77">
        <v>654</v>
      </c>
      <c r="H340" s="136"/>
      <c r="I340" s="3"/>
      <c r="J340" s="3"/>
    </row>
    <row r="341" spans="1:12" x14ac:dyDescent="0.25">
      <c r="A341" s="135" t="s">
        <v>286</v>
      </c>
      <c r="B341" s="135"/>
      <c r="C341" s="135"/>
      <c r="D341" s="135"/>
      <c r="E341" s="135"/>
      <c r="F341" s="135"/>
      <c r="G341" s="135"/>
      <c r="H341" s="135"/>
      <c r="I341" s="3"/>
      <c r="J341" s="3"/>
    </row>
    <row r="342" spans="1:12" x14ac:dyDescent="0.25">
      <c r="A342" s="136">
        <v>1</v>
      </c>
      <c r="B342" s="136"/>
      <c r="C342" s="103" t="s">
        <v>197</v>
      </c>
      <c r="D342" s="136">
        <f>(37.5+2.83)*10.764</f>
        <v>434.11211999999995</v>
      </c>
      <c r="E342" s="136"/>
      <c r="F342" s="103">
        <v>0</v>
      </c>
      <c r="G342" s="103">
        <v>629</v>
      </c>
      <c r="H342" s="136" t="str">
        <f>A341</f>
        <v>8th &amp; 12th Floor (Part Refuge Area)</v>
      </c>
      <c r="I342" s="3"/>
      <c r="J342" s="3"/>
    </row>
    <row r="343" spans="1:12" ht="15.75" customHeight="1" x14ac:dyDescent="0.25">
      <c r="A343" s="136">
        <v>2</v>
      </c>
      <c r="B343" s="136"/>
      <c r="C343" s="103" t="s">
        <v>197</v>
      </c>
      <c r="D343" s="136">
        <f>(34.95+2.75)*10.764</f>
        <v>405.80279999999999</v>
      </c>
      <c r="E343" s="136"/>
      <c r="F343" s="103">
        <v>0</v>
      </c>
      <c r="G343" s="103">
        <v>585</v>
      </c>
      <c r="H343" s="136"/>
      <c r="I343" s="3"/>
      <c r="J343" s="3"/>
    </row>
    <row r="344" spans="1:12" ht="15.75" customHeight="1" x14ac:dyDescent="0.25">
      <c r="A344" s="136">
        <v>3</v>
      </c>
      <c r="B344" s="136"/>
      <c r="C344" s="103" t="s">
        <v>198</v>
      </c>
      <c r="D344" s="136">
        <f>(54.59+4.85)*10.764</f>
        <v>639.81216000000006</v>
      </c>
      <c r="E344" s="136"/>
      <c r="F344" s="103">
        <v>0</v>
      </c>
      <c r="G344" s="103">
        <v>928</v>
      </c>
      <c r="H344" s="136"/>
      <c r="I344" s="3"/>
      <c r="J344" s="3"/>
    </row>
    <row r="345" spans="1:12" ht="15.75" customHeight="1" x14ac:dyDescent="0.25">
      <c r="A345" s="136">
        <v>4</v>
      </c>
      <c r="B345" s="136"/>
      <c r="C345" s="103" t="s">
        <v>285</v>
      </c>
      <c r="D345" s="136">
        <f>(68.93+4.8)*10.764</f>
        <v>793.62972000000002</v>
      </c>
      <c r="E345" s="136"/>
      <c r="F345" s="103">
        <v>0</v>
      </c>
      <c r="G345" s="103">
        <v>1152</v>
      </c>
      <c r="H345" s="136"/>
      <c r="I345" s="3"/>
      <c r="J345" s="3"/>
    </row>
    <row r="346" spans="1:12" x14ac:dyDescent="0.25">
      <c r="A346" s="136">
        <v>5</v>
      </c>
      <c r="B346" s="136"/>
      <c r="C346" s="136" t="s">
        <v>287</v>
      </c>
      <c r="D346" s="136"/>
      <c r="E346" s="136"/>
      <c r="F346" s="136"/>
      <c r="G346" s="136"/>
      <c r="H346" s="136"/>
      <c r="I346" s="3"/>
      <c r="J346" s="3"/>
    </row>
    <row r="347" spans="1:12" x14ac:dyDescent="0.25">
      <c r="A347" s="136">
        <v>6</v>
      </c>
      <c r="B347" s="136"/>
      <c r="C347" s="103" t="s">
        <v>197</v>
      </c>
      <c r="D347" s="136">
        <f>(36.91+4.98)*10.764</f>
        <v>450.90395999999998</v>
      </c>
      <c r="E347" s="136"/>
      <c r="F347" s="103">
        <v>0</v>
      </c>
      <c r="G347" s="103">
        <v>654</v>
      </c>
      <c r="H347" s="136"/>
      <c r="I347" s="3"/>
      <c r="J347" s="3"/>
    </row>
    <row r="348" spans="1:12" x14ac:dyDescent="0.25">
      <c r="A348" s="223" t="s">
        <v>91</v>
      </c>
      <c r="B348" s="223"/>
      <c r="C348" s="223"/>
      <c r="D348" s="223"/>
      <c r="E348" s="223"/>
      <c r="F348" s="223"/>
      <c r="G348" s="223"/>
      <c r="H348" s="223"/>
      <c r="I348" s="1"/>
      <c r="J348" s="1"/>
    </row>
    <row r="349" spans="1:12" s="42" customFormat="1" ht="255.75" customHeight="1" x14ac:dyDescent="0.25">
      <c r="A349" s="224" t="s">
        <v>325</v>
      </c>
      <c r="B349" s="224"/>
      <c r="C349" s="224"/>
      <c r="D349" s="224"/>
      <c r="E349" s="224"/>
      <c r="F349" s="224"/>
      <c r="G349" s="224"/>
      <c r="H349" s="224"/>
      <c r="I349" s="16"/>
      <c r="J349" s="16"/>
      <c r="L349" s="42" t="s">
        <v>315</v>
      </c>
    </row>
    <row r="350" spans="1:12" s="42" customFormat="1" ht="15.75" customHeight="1" x14ac:dyDescent="0.25">
      <c r="A350" s="219" t="s">
        <v>82</v>
      </c>
      <c r="B350" s="219"/>
      <c r="C350" s="219"/>
      <c r="D350" s="219"/>
      <c r="E350" s="219"/>
      <c r="F350" s="219"/>
      <c r="G350" s="219"/>
      <c r="H350" s="219"/>
      <c r="I350" s="12"/>
      <c r="J350" s="12"/>
    </row>
    <row r="351" spans="1:12" s="42" customFormat="1" ht="15.75" customHeight="1" x14ac:dyDescent="0.25">
      <c r="A351" s="220" t="s">
        <v>83</v>
      </c>
      <c r="B351" s="220"/>
      <c r="C351" s="220"/>
      <c r="D351" s="220"/>
      <c r="E351" s="220"/>
      <c r="F351" s="220"/>
      <c r="G351" s="220"/>
      <c r="H351" s="220"/>
      <c r="I351" s="12"/>
      <c r="J351" s="12"/>
    </row>
    <row r="352" spans="1:12" s="42" customFormat="1" ht="15.75" customHeight="1" x14ac:dyDescent="0.25">
      <c r="A352" s="219" t="s">
        <v>84</v>
      </c>
      <c r="B352" s="219"/>
      <c r="C352" s="219"/>
      <c r="D352" s="219"/>
      <c r="E352" s="219"/>
      <c r="F352" s="219"/>
      <c r="G352" s="219"/>
      <c r="H352" s="219"/>
      <c r="I352" s="12"/>
      <c r="J352" s="12"/>
    </row>
    <row r="353" spans="1:10" s="42" customFormat="1" ht="15.75" customHeight="1" x14ac:dyDescent="0.25">
      <c r="A353" s="220" t="s">
        <v>85</v>
      </c>
      <c r="B353" s="220"/>
      <c r="C353" s="220"/>
      <c r="D353" s="220"/>
      <c r="E353" s="220"/>
      <c r="F353" s="220"/>
      <c r="G353" s="220"/>
      <c r="H353" s="220"/>
      <c r="I353" s="12"/>
      <c r="J353" s="12"/>
    </row>
    <row r="354" spans="1:10" s="42" customFormat="1" ht="15.75" customHeight="1" x14ac:dyDescent="0.25">
      <c r="A354" s="220" t="s">
        <v>86</v>
      </c>
      <c r="B354" s="220"/>
      <c r="C354" s="220"/>
      <c r="D354" s="220"/>
      <c r="E354" s="220"/>
      <c r="F354" s="220"/>
      <c r="G354" s="220"/>
      <c r="H354" s="220"/>
      <c r="I354" s="12"/>
      <c r="J354" s="12"/>
    </row>
    <row r="355" spans="1:10" s="42" customFormat="1" ht="15.75" customHeight="1" x14ac:dyDescent="0.25">
      <c r="A355" s="220" t="s">
        <v>87</v>
      </c>
      <c r="B355" s="220"/>
      <c r="C355" s="220"/>
      <c r="D355" s="220"/>
      <c r="E355" s="220"/>
      <c r="F355" s="220"/>
      <c r="G355" s="220"/>
      <c r="H355" s="220"/>
      <c r="I355" s="12"/>
      <c r="J355" s="12"/>
    </row>
    <row r="356" spans="1:10" s="42" customFormat="1" ht="15.75" customHeight="1" x14ac:dyDescent="0.25">
      <c r="A356" s="211" t="s">
        <v>88</v>
      </c>
      <c r="B356" s="211"/>
      <c r="C356" s="211"/>
      <c r="D356" s="211"/>
      <c r="E356" s="211"/>
      <c r="F356" s="211"/>
      <c r="G356" s="211"/>
      <c r="H356" s="211"/>
      <c r="I356" s="12"/>
      <c r="J356" s="12"/>
    </row>
    <row r="357" spans="1:10" s="42" customFormat="1" ht="15.75" customHeight="1" x14ac:dyDescent="0.25">
      <c r="A357" s="222" t="s">
        <v>167</v>
      </c>
      <c r="B357" s="222"/>
      <c r="C357" s="217" t="s">
        <v>319</v>
      </c>
      <c r="D357" s="217"/>
      <c r="E357" s="199" t="s">
        <v>168</v>
      </c>
      <c r="F357" s="200"/>
      <c r="G357" s="199" t="s">
        <v>318</v>
      </c>
      <c r="H357" s="200"/>
      <c r="I357" s="12"/>
      <c r="J357" s="12"/>
    </row>
    <row r="358" spans="1:10" s="42" customFormat="1" ht="15.75" customHeight="1" x14ac:dyDescent="0.25">
      <c r="A358" s="221" t="s">
        <v>170</v>
      </c>
      <c r="B358" s="221"/>
      <c r="C358" s="221"/>
      <c r="D358" s="221"/>
      <c r="E358" s="221"/>
      <c r="F358" s="221"/>
      <c r="G358" s="221"/>
      <c r="H358" s="221"/>
      <c r="I358" s="12"/>
      <c r="J358" s="12"/>
    </row>
    <row r="359" spans="1:10" s="42" customFormat="1" x14ac:dyDescent="0.25">
      <c r="A359" s="221"/>
      <c r="B359" s="221"/>
      <c r="C359" s="221"/>
      <c r="D359" s="221"/>
      <c r="E359" s="221"/>
      <c r="F359" s="221"/>
      <c r="G359" s="221"/>
      <c r="H359" s="221"/>
      <c r="I359" s="12"/>
      <c r="J359" s="12"/>
    </row>
    <row r="360" spans="1:10" s="42" customFormat="1" x14ac:dyDescent="0.25">
      <c r="A360" s="221"/>
      <c r="B360" s="221"/>
      <c r="C360" s="221"/>
      <c r="D360" s="221"/>
      <c r="E360" s="221"/>
      <c r="F360" s="221"/>
      <c r="G360" s="221"/>
      <c r="H360" s="221"/>
      <c r="I360" s="12"/>
      <c r="J360" s="12"/>
    </row>
    <row r="361" spans="1:10" s="42" customFormat="1" x14ac:dyDescent="0.25">
      <c r="A361" s="221"/>
      <c r="B361" s="221"/>
      <c r="C361" s="221"/>
      <c r="D361" s="221"/>
      <c r="E361" s="221"/>
      <c r="F361" s="221"/>
      <c r="G361" s="221"/>
      <c r="H361" s="221"/>
      <c r="I361" s="12"/>
      <c r="J361" s="12"/>
    </row>
    <row r="362" spans="1:10" s="42" customFormat="1" x14ac:dyDescent="0.25">
      <c r="A362" s="17" t="s">
        <v>89</v>
      </c>
      <c r="B362" s="18"/>
      <c r="C362" s="18"/>
      <c r="D362" s="17" t="str">
        <f>E8</f>
        <v>Ashiyana Infinity Phase 1 &amp; 2</v>
      </c>
      <c r="E362" s="12"/>
      <c r="F362" s="12"/>
      <c r="G362" s="18"/>
      <c r="H362" s="18"/>
      <c r="I362" s="12"/>
      <c r="J362" s="12"/>
    </row>
    <row r="363" spans="1:10" s="42" customFormat="1" x14ac:dyDescent="0.25">
      <c r="A363" s="218"/>
      <c r="B363" s="218"/>
      <c r="C363" s="58"/>
      <c r="D363" s="198"/>
      <c r="E363" s="198"/>
      <c r="F363" s="198"/>
      <c r="G363" s="58"/>
      <c r="H363" s="59"/>
    </row>
    <row r="364" spans="1:10" s="42" customFormat="1" x14ac:dyDescent="0.25">
      <c r="A364" s="218"/>
      <c r="B364" s="218"/>
      <c r="C364" s="58"/>
      <c r="D364" s="218"/>
      <c r="E364" s="218"/>
      <c r="F364" s="58"/>
      <c r="G364" s="58"/>
      <c r="H364" s="59"/>
    </row>
    <row r="365" spans="1:10" s="42" customFormat="1" x14ac:dyDescent="0.25">
      <c r="A365" s="218"/>
      <c r="B365" s="218"/>
      <c r="C365" s="58"/>
      <c r="D365" s="218"/>
      <c r="E365" s="218"/>
      <c r="F365" s="58"/>
      <c r="G365" s="58"/>
      <c r="H365" s="59"/>
    </row>
    <row r="366" spans="1:10" s="42" customFormat="1" x14ac:dyDescent="0.25">
      <c r="A366" s="218"/>
      <c r="B366" s="218"/>
      <c r="C366" s="58"/>
      <c r="D366" s="218"/>
      <c r="E366" s="218"/>
      <c r="F366" s="58"/>
      <c r="G366" s="58"/>
      <c r="H366" s="59"/>
    </row>
    <row r="367" spans="1:10" s="42" customFormat="1" x14ac:dyDescent="0.25">
      <c r="A367" s="218"/>
      <c r="B367" s="218"/>
      <c r="C367" s="58"/>
      <c r="D367" s="218"/>
      <c r="E367" s="218"/>
      <c r="F367" s="58"/>
      <c r="G367" s="58"/>
      <c r="H367" s="59"/>
    </row>
    <row r="368" spans="1:10" s="42" customFormat="1" x14ac:dyDescent="0.25">
      <c r="A368" s="218"/>
      <c r="B368" s="218"/>
      <c r="C368" s="58"/>
      <c r="D368" s="218"/>
      <c r="E368" s="218"/>
      <c r="F368" s="58"/>
      <c r="G368" s="58"/>
      <c r="H368" s="59"/>
    </row>
    <row r="369" spans="1:10" s="42" customFormat="1" x14ac:dyDescent="0.25">
      <c r="A369" s="218"/>
      <c r="B369" s="218"/>
      <c r="C369" s="58"/>
      <c r="D369" s="218"/>
      <c r="E369" s="218"/>
      <c r="F369" s="58"/>
      <c r="G369" s="58"/>
      <c r="H369" s="59"/>
    </row>
    <row r="370" spans="1:10" s="42" customFormat="1" x14ac:dyDescent="0.25">
      <c r="A370" s="218"/>
      <c r="B370" s="218"/>
      <c r="C370" s="58"/>
      <c r="D370" s="218"/>
      <c r="E370" s="218"/>
      <c r="F370" s="58"/>
      <c r="G370" s="58"/>
      <c r="H370" s="59"/>
    </row>
    <row r="371" spans="1:10" s="42" customFormat="1" x14ac:dyDescent="0.25">
      <c r="A371" s="218"/>
      <c r="B371" s="218"/>
      <c r="C371" s="58"/>
      <c r="D371" s="218"/>
      <c r="E371" s="218"/>
      <c r="F371" s="58"/>
      <c r="G371" s="58"/>
      <c r="H371" s="59"/>
    </row>
    <row r="372" spans="1:10" s="42" customFormat="1" x14ac:dyDescent="0.25">
      <c r="A372" s="218"/>
      <c r="B372" s="218"/>
      <c r="C372" s="58"/>
      <c r="D372" s="218"/>
      <c r="E372" s="218"/>
      <c r="F372" s="58"/>
      <c r="G372" s="58"/>
      <c r="H372" s="59"/>
    </row>
    <row r="373" spans="1:10" s="42" customFormat="1" x14ac:dyDescent="0.25">
      <c r="A373" s="218"/>
      <c r="B373" s="218"/>
      <c r="C373" s="58"/>
      <c r="D373" s="218"/>
      <c r="E373" s="218"/>
      <c r="F373" s="58"/>
      <c r="G373" s="58"/>
      <c r="H373" s="59"/>
    </row>
    <row r="374" spans="1:10" s="42" customFormat="1" x14ac:dyDescent="0.25">
      <c r="A374" s="218"/>
      <c r="B374" s="218"/>
      <c r="C374" s="58"/>
      <c r="D374" s="218"/>
      <c r="E374" s="218"/>
      <c r="F374" s="58"/>
      <c r="G374" s="58"/>
      <c r="H374" s="59"/>
    </row>
    <row r="375" spans="1:10" ht="15" customHeight="1" x14ac:dyDescent="0.25">
      <c r="A375" s="218"/>
      <c r="B375" s="218"/>
      <c r="C375" s="58"/>
      <c r="D375" s="218"/>
      <c r="E375" s="218"/>
      <c r="F375" s="58"/>
      <c r="G375" s="58"/>
      <c r="H375" s="59"/>
      <c r="I375" s="42"/>
      <c r="J375" s="42"/>
    </row>
    <row r="376" spans="1:10" ht="15" customHeight="1" x14ac:dyDescent="0.25">
      <c r="A376" s="218"/>
      <c r="B376" s="218"/>
      <c r="C376" s="58"/>
      <c r="D376" s="218"/>
      <c r="E376" s="218"/>
      <c r="F376" s="58"/>
      <c r="G376" s="58"/>
      <c r="H376" s="59"/>
      <c r="I376" s="42"/>
      <c r="J376" s="42"/>
    </row>
    <row r="377" spans="1:10" x14ac:dyDescent="0.25">
      <c r="A377" s="218"/>
      <c r="B377" s="218"/>
      <c r="C377" s="41"/>
      <c r="D377" s="218"/>
      <c r="E377" s="218"/>
      <c r="F377" s="41"/>
      <c r="G377" s="41"/>
      <c r="H377" s="59"/>
      <c r="I377" s="42"/>
      <c r="J377" s="42"/>
    </row>
    <row r="378" spans="1:10" x14ac:dyDescent="0.25">
      <c r="A378" s="218"/>
      <c r="B378" s="218"/>
      <c r="C378" s="41"/>
      <c r="D378" s="218"/>
      <c r="E378" s="218"/>
      <c r="F378" s="41"/>
      <c r="G378" s="41"/>
      <c r="H378" s="59"/>
      <c r="I378" s="42"/>
      <c r="J378" s="42"/>
    </row>
    <row r="379" spans="1:10" x14ac:dyDescent="0.25">
      <c r="A379" s="218"/>
      <c r="B379" s="218"/>
      <c r="C379" s="41"/>
      <c r="D379" s="218"/>
      <c r="E379" s="218"/>
      <c r="F379" s="41"/>
      <c r="G379" s="41"/>
      <c r="H379" s="59"/>
      <c r="I379" s="42"/>
      <c r="J379" s="42"/>
    </row>
    <row r="380" spans="1:10" ht="15" customHeight="1" x14ac:dyDescent="0.25">
      <c r="A380" s="218"/>
      <c r="B380" s="218"/>
      <c r="C380" s="41"/>
      <c r="D380" s="218"/>
      <c r="E380" s="218"/>
      <c r="F380" s="41"/>
      <c r="G380" s="41"/>
      <c r="H380" s="59"/>
      <c r="I380" s="42"/>
      <c r="J380" s="42"/>
    </row>
    <row r="381" spans="1:10" x14ac:dyDescent="0.25">
      <c r="A381" s="218"/>
      <c r="B381" s="218"/>
      <c r="C381" s="41"/>
      <c r="D381" s="218"/>
      <c r="E381" s="218"/>
      <c r="F381" s="41"/>
      <c r="G381" s="41"/>
      <c r="H381" s="59"/>
      <c r="I381" s="42"/>
      <c r="J381" s="42"/>
    </row>
    <row r="382" spans="1:10" x14ac:dyDescent="0.25">
      <c r="A382" s="218"/>
      <c r="B382" s="218"/>
      <c r="C382" s="41"/>
      <c r="D382" s="218"/>
      <c r="E382" s="218"/>
      <c r="F382" s="41"/>
      <c r="G382" s="41"/>
      <c r="H382" s="59"/>
      <c r="I382" s="42"/>
      <c r="J382" s="42"/>
    </row>
    <row r="383" spans="1:10" x14ac:dyDescent="0.25">
      <c r="A383" s="218"/>
      <c r="B383" s="218"/>
      <c r="C383" s="41"/>
      <c r="D383" s="218"/>
      <c r="E383" s="218"/>
      <c r="F383" s="41"/>
      <c r="G383" s="41"/>
      <c r="H383" s="59"/>
      <c r="I383" s="42"/>
      <c r="J383" s="42"/>
    </row>
    <row r="384" spans="1:10" x14ac:dyDescent="0.25">
      <c r="A384" s="218"/>
      <c r="B384" s="218"/>
      <c r="C384" s="41"/>
      <c r="D384" s="218"/>
      <c r="E384" s="218"/>
      <c r="F384" s="41"/>
      <c r="G384" s="41"/>
      <c r="H384" s="59"/>
      <c r="I384" s="42"/>
      <c r="J384" s="42"/>
    </row>
    <row r="385" spans="1:10" x14ac:dyDescent="0.25">
      <c r="A385" s="218"/>
      <c r="B385" s="218"/>
      <c r="C385" s="41"/>
      <c r="D385" s="218"/>
      <c r="E385" s="218"/>
      <c r="F385" s="41"/>
      <c r="G385" s="41"/>
      <c r="H385" s="59"/>
      <c r="I385" s="42"/>
      <c r="J385" s="42"/>
    </row>
    <row r="386" spans="1:10" x14ac:dyDescent="0.25">
      <c r="A386" s="218"/>
      <c r="B386" s="218"/>
      <c r="C386" s="41"/>
      <c r="D386" s="218"/>
      <c r="E386" s="218"/>
      <c r="F386" s="41"/>
      <c r="G386" s="41"/>
      <c r="H386" s="59"/>
      <c r="I386" s="42"/>
      <c r="J386" s="42"/>
    </row>
    <row r="387" spans="1:10" x14ac:dyDescent="0.25">
      <c r="A387" s="218"/>
      <c r="B387" s="218"/>
      <c r="C387" s="41"/>
      <c r="D387" s="218"/>
      <c r="E387" s="218"/>
      <c r="F387" s="41"/>
      <c r="G387" s="41"/>
      <c r="H387" s="59"/>
      <c r="I387" s="42"/>
      <c r="J387" s="42"/>
    </row>
    <row r="388" spans="1:10" x14ac:dyDescent="0.25">
      <c r="A388" s="218"/>
      <c r="B388" s="218"/>
      <c r="C388" s="41"/>
      <c r="D388" s="218"/>
      <c r="E388" s="218"/>
      <c r="F388" s="41"/>
      <c r="G388" s="41"/>
      <c r="H388" s="59"/>
      <c r="I388" s="42"/>
      <c r="J388" s="42"/>
    </row>
    <row r="389" spans="1:10" x14ac:dyDescent="0.25">
      <c r="A389" s="17"/>
      <c r="B389" s="18"/>
      <c r="C389" s="18"/>
      <c r="D389" s="18"/>
      <c r="E389" s="18"/>
      <c r="F389" s="18"/>
      <c r="G389" s="18"/>
      <c r="H389" s="18"/>
    </row>
    <row r="390" spans="1:10" x14ac:dyDescent="0.25">
      <c r="A390" s="17"/>
      <c r="B390" s="18"/>
      <c r="C390" s="18"/>
      <c r="D390" s="18"/>
      <c r="E390" s="18"/>
      <c r="F390" s="18"/>
      <c r="G390" s="18"/>
      <c r="H390" s="18"/>
    </row>
    <row r="392" spans="1:10" x14ac:dyDescent="0.25">
      <c r="A392" s="18"/>
      <c r="B392" s="18"/>
      <c r="C392" s="18"/>
      <c r="D392" s="18"/>
      <c r="E392" s="18"/>
      <c r="F392" s="18"/>
      <c r="G392" s="18"/>
      <c r="H392" s="18"/>
    </row>
    <row r="393" spans="1:10" x14ac:dyDescent="0.25">
      <c r="A393" s="18"/>
      <c r="B393" s="18"/>
      <c r="C393" s="18"/>
      <c r="D393" s="18"/>
      <c r="E393" s="18"/>
      <c r="F393" s="18"/>
      <c r="G393" s="18"/>
      <c r="H393" s="18"/>
    </row>
    <row r="403" spans="1:1" x14ac:dyDescent="0.25">
      <c r="A403" s="19" t="s">
        <v>298</v>
      </c>
    </row>
    <row r="446" spans="1:1" x14ac:dyDescent="0.25">
      <c r="A446" s="19" t="s">
        <v>90</v>
      </c>
    </row>
  </sheetData>
  <mergeCells count="724">
    <mergeCell ref="A55:B55"/>
    <mergeCell ref="C55:F55"/>
    <mergeCell ref="A74:B74"/>
    <mergeCell ref="C74:H74"/>
    <mergeCell ref="A76:B76"/>
    <mergeCell ref="C76:H76"/>
    <mergeCell ref="A77:B78"/>
    <mergeCell ref="C77:D78"/>
    <mergeCell ref="E77:F78"/>
    <mergeCell ref="G77:H78"/>
    <mergeCell ref="A71:B71"/>
    <mergeCell ref="C71:H71"/>
    <mergeCell ref="A72:B73"/>
    <mergeCell ref="C72:D73"/>
    <mergeCell ref="E72:F73"/>
    <mergeCell ref="G72:H73"/>
    <mergeCell ref="I11:L11"/>
    <mergeCell ref="A39:E39"/>
    <mergeCell ref="F39:H39"/>
    <mergeCell ref="A48:B48"/>
    <mergeCell ref="C48:F48"/>
    <mergeCell ref="A49:B49"/>
    <mergeCell ref="C49:F49"/>
    <mergeCell ref="A47:B47"/>
    <mergeCell ref="C47:F47"/>
    <mergeCell ref="A41:E41"/>
    <mergeCell ref="F41:H41"/>
    <mergeCell ref="A42:E42"/>
    <mergeCell ref="F42:H42"/>
    <mergeCell ref="A43:E43"/>
    <mergeCell ref="F43:H43"/>
    <mergeCell ref="A44:E44"/>
    <mergeCell ref="F44:H44"/>
    <mergeCell ref="A45:H45"/>
    <mergeCell ref="A121:H121"/>
    <mergeCell ref="A115:F115"/>
    <mergeCell ref="G115:H115"/>
    <mergeCell ref="A117:F117"/>
    <mergeCell ref="G117:H117"/>
    <mergeCell ref="A118:F118"/>
    <mergeCell ref="G118:H118"/>
    <mergeCell ref="A119:F119"/>
    <mergeCell ref="G119:H119"/>
    <mergeCell ref="A120:F120"/>
    <mergeCell ref="G120:H120"/>
    <mergeCell ref="D377:E377"/>
    <mergeCell ref="A378:B378"/>
    <mergeCell ref="D378:E378"/>
    <mergeCell ref="A375:B375"/>
    <mergeCell ref="D375:E375"/>
    <mergeCell ref="A376:B376"/>
    <mergeCell ref="D376:E376"/>
    <mergeCell ref="A377:B377"/>
    <mergeCell ref="A253:H253"/>
    <mergeCell ref="D373:E373"/>
    <mergeCell ref="A371:B371"/>
    <mergeCell ref="D371:E371"/>
    <mergeCell ref="A372:B372"/>
    <mergeCell ref="D372:E372"/>
    <mergeCell ref="A369:B369"/>
    <mergeCell ref="D369:E369"/>
    <mergeCell ref="A370:B370"/>
    <mergeCell ref="D370:E370"/>
    <mergeCell ref="D273:E273"/>
    <mergeCell ref="A367:B367"/>
    <mergeCell ref="D367:E367"/>
    <mergeCell ref="A368:B368"/>
    <mergeCell ref="D368:E368"/>
    <mergeCell ref="A365:B365"/>
    <mergeCell ref="A374:B374"/>
    <mergeCell ref="D374:E374"/>
    <mergeCell ref="D365:E365"/>
    <mergeCell ref="G138:H138"/>
    <mergeCell ref="H224:H229"/>
    <mergeCell ref="D198:E198"/>
    <mergeCell ref="A227:B227"/>
    <mergeCell ref="D227:E227"/>
    <mergeCell ref="A228:B228"/>
    <mergeCell ref="A354:H354"/>
    <mergeCell ref="A355:H355"/>
    <mergeCell ref="A356:H356"/>
    <mergeCell ref="A348:H348"/>
    <mergeCell ref="A349:H349"/>
    <mergeCell ref="A350:H350"/>
    <mergeCell ref="A351:H351"/>
    <mergeCell ref="A235:B235"/>
    <mergeCell ref="D235:E235"/>
    <mergeCell ref="A236:H236"/>
    <mergeCell ref="A237:H237"/>
    <mergeCell ref="A238:H238"/>
    <mergeCell ref="A239:H239"/>
    <mergeCell ref="A373:B373"/>
    <mergeCell ref="A366:B366"/>
    <mergeCell ref="A388:B388"/>
    <mergeCell ref="D388:E388"/>
    <mergeCell ref="A386:B386"/>
    <mergeCell ref="A381:B381"/>
    <mergeCell ref="D381:E381"/>
    <mergeCell ref="A382:B382"/>
    <mergeCell ref="D382:E382"/>
    <mergeCell ref="A379:B379"/>
    <mergeCell ref="D379:E379"/>
    <mergeCell ref="A380:B380"/>
    <mergeCell ref="D380:E380"/>
    <mergeCell ref="D386:E386"/>
    <mergeCell ref="A383:B383"/>
    <mergeCell ref="D383:E383"/>
    <mergeCell ref="A384:B384"/>
    <mergeCell ref="D384:E384"/>
    <mergeCell ref="A387:B387"/>
    <mergeCell ref="D387:E387"/>
    <mergeCell ref="A385:B385"/>
    <mergeCell ref="D385:E385"/>
    <mergeCell ref="D366:E366"/>
    <mergeCell ref="A363:B363"/>
    <mergeCell ref="A364:B364"/>
    <mergeCell ref="D364:E364"/>
    <mergeCell ref="A352:H352"/>
    <mergeCell ref="A353:H353"/>
    <mergeCell ref="A242:B242"/>
    <mergeCell ref="D242:E242"/>
    <mergeCell ref="A243:B243"/>
    <mergeCell ref="D243:E243"/>
    <mergeCell ref="A262:H262"/>
    <mergeCell ref="A263:B263"/>
    <mergeCell ref="D263:E263"/>
    <mergeCell ref="A264:B264"/>
    <mergeCell ref="D264:E264"/>
    <mergeCell ref="A265:B265"/>
    <mergeCell ref="D265:E265"/>
    <mergeCell ref="A266:B266"/>
    <mergeCell ref="D266:E266"/>
    <mergeCell ref="A358:H361"/>
    <mergeCell ref="A357:B357"/>
    <mergeCell ref="D246:E246"/>
    <mergeCell ref="D261:E261"/>
    <mergeCell ref="D249:E249"/>
    <mergeCell ref="A241:B241"/>
    <mergeCell ref="A246:B246"/>
    <mergeCell ref="D241:E241"/>
    <mergeCell ref="A240:H240"/>
    <mergeCell ref="A244:B244"/>
    <mergeCell ref="D244:E244"/>
    <mergeCell ref="A245:B245"/>
    <mergeCell ref="D245:E245"/>
    <mergeCell ref="H241:H246"/>
    <mergeCell ref="C357:D357"/>
    <mergeCell ref="H248:H252"/>
    <mergeCell ref="A274:B274"/>
    <mergeCell ref="D274:E274"/>
    <mergeCell ref="H263:H268"/>
    <mergeCell ref="H270:H274"/>
    <mergeCell ref="A273:B273"/>
    <mergeCell ref="A247:H247"/>
    <mergeCell ref="A248:B248"/>
    <mergeCell ref="D248:E248"/>
    <mergeCell ref="A249:B249"/>
    <mergeCell ref="A260:B260"/>
    <mergeCell ref="D260:E260"/>
    <mergeCell ref="A261:B261"/>
    <mergeCell ref="H255:H261"/>
    <mergeCell ref="A270:B270"/>
    <mergeCell ref="D270:E270"/>
    <mergeCell ref="A250:B250"/>
    <mergeCell ref="D250:E250"/>
    <mergeCell ref="A251:B251"/>
    <mergeCell ref="D251:E251"/>
    <mergeCell ref="A271:B271"/>
    <mergeCell ref="A275:H275"/>
    <mergeCell ref="A276:H276"/>
    <mergeCell ref="A234:B234"/>
    <mergeCell ref="D228:E228"/>
    <mergeCell ref="A207:B207"/>
    <mergeCell ref="D207:E207"/>
    <mergeCell ref="A221:B221"/>
    <mergeCell ref="D221:E221"/>
    <mergeCell ref="A222:B222"/>
    <mergeCell ref="D222:E222"/>
    <mergeCell ref="A220:B220"/>
    <mergeCell ref="D220:E220"/>
    <mergeCell ref="A224:B224"/>
    <mergeCell ref="D224:E224"/>
    <mergeCell ref="A225:B225"/>
    <mergeCell ref="D225:E225"/>
    <mergeCell ref="D234:E234"/>
    <mergeCell ref="A229:B229"/>
    <mergeCell ref="A201:B201"/>
    <mergeCell ref="D201:E201"/>
    <mergeCell ref="A205:B205"/>
    <mergeCell ref="D205:E205"/>
    <mergeCell ref="A206:B206"/>
    <mergeCell ref="D206:E206"/>
    <mergeCell ref="A219:B219"/>
    <mergeCell ref="D219:E219"/>
    <mergeCell ref="A217:B217"/>
    <mergeCell ref="D217:E217"/>
    <mergeCell ref="A218:B218"/>
    <mergeCell ref="D218:E218"/>
    <mergeCell ref="A202:H202"/>
    <mergeCell ref="A208:H208"/>
    <mergeCell ref="A203:B203"/>
    <mergeCell ref="D203:E203"/>
    <mergeCell ref="A204:B204"/>
    <mergeCell ref="D204:E204"/>
    <mergeCell ref="A216:H216"/>
    <mergeCell ref="D214:E214"/>
    <mergeCell ref="A215:B215"/>
    <mergeCell ref="D215:E215"/>
    <mergeCell ref="A171:B171"/>
    <mergeCell ref="D171:E171"/>
    <mergeCell ref="A172:B172"/>
    <mergeCell ref="D172:E172"/>
    <mergeCell ref="A191:B191"/>
    <mergeCell ref="D191:E191"/>
    <mergeCell ref="A192:B192"/>
    <mergeCell ref="D192:E192"/>
    <mergeCell ref="A179:B179"/>
    <mergeCell ref="D179:E179"/>
    <mergeCell ref="A189:B189"/>
    <mergeCell ref="D189:E189"/>
    <mergeCell ref="A190:B190"/>
    <mergeCell ref="D190:E190"/>
    <mergeCell ref="A176:B176"/>
    <mergeCell ref="D176:E176"/>
    <mergeCell ref="A182:B182"/>
    <mergeCell ref="A188:H188"/>
    <mergeCell ref="A181:H181"/>
    <mergeCell ref="A186:B186"/>
    <mergeCell ref="D186:E186"/>
    <mergeCell ref="A187:B187"/>
    <mergeCell ref="D187:E187"/>
    <mergeCell ref="A184:B184"/>
    <mergeCell ref="A193:B193"/>
    <mergeCell ref="D193:E193"/>
    <mergeCell ref="A199:B199"/>
    <mergeCell ref="D199:E199"/>
    <mergeCell ref="A200:B200"/>
    <mergeCell ref="D200:E200"/>
    <mergeCell ref="A197:B197"/>
    <mergeCell ref="D197:E197"/>
    <mergeCell ref="A198:B198"/>
    <mergeCell ref="H182:H187"/>
    <mergeCell ref="D184:E184"/>
    <mergeCell ref="A185:B185"/>
    <mergeCell ref="D185:E185"/>
    <mergeCell ref="A152:B152"/>
    <mergeCell ref="D152:E152"/>
    <mergeCell ref="A162:B162"/>
    <mergeCell ref="D162:E162"/>
    <mergeCell ref="A160:H160"/>
    <mergeCell ref="A165:B165"/>
    <mergeCell ref="D165:E165"/>
    <mergeCell ref="A166:B166"/>
    <mergeCell ref="D166:E166"/>
    <mergeCell ref="A163:B163"/>
    <mergeCell ref="D163:E163"/>
    <mergeCell ref="A164:B164"/>
    <mergeCell ref="D164:E164"/>
    <mergeCell ref="A161:B161"/>
    <mergeCell ref="D161:E161"/>
    <mergeCell ref="H147:H159"/>
    <mergeCell ref="H161:H179"/>
    <mergeCell ref="A173:B173"/>
    <mergeCell ref="D173:E173"/>
    <mergeCell ref="A169:B169"/>
    <mergeCell ref="A170:B170"/>
    <mergeCell ref="D168:E168"/>
    <mergeCell ref="A153:B153"/>
    <mergeCell ref="D153:E153"/>
    <mergeCell ref="A154:B154"/>
    <mergeCell ref="D154:E154"/>
    <mergeCell ref="A159:B159"/>
    <mergeCell ref="D159:E159"/>
    <mergeCell ref="A157:B157"/>
    <mergeCell ref="D157:E157"/>
    <mergeCell ref="D170:E170"/>
    <mergeCell ref="A167:B167"/>
    <mergeCell ref="D167:E167"/>
    <mergeCell ref="A168:B168"/>
    <mergeCell ref="A155:B155"/>
    <mergeCell ref="D155:E155"/>
    <mergeCell ref="A133:B133"/>
    <mergeCell ref="G133:H133"/>
    <mergeCell ref="G123:H123"/>
    <mergeCell ref="G124:H124"/>
    <mergeCell ref="G132:H132"/>
    <mergeCell ref="A124:B124"/>
    <mergeCell ref="D124:F124"/>
    <mergeCell ref="D169:E169"/>
    <mergeCell ref="A158:B158"/>
    <mergeCell ref="D158:E158"/>
    <mergeCell ref="A131:B131"/>
    <mergeCell ref="D131:F131"/>
    <mergeCell ref="G125:H125"/>
    <mergeCell ref="G127:H127"/>
    <mergeCell ref="G130:H130"/>
    <mergeCell ref="G131:H131"/>
    <mergeCell ref="A126:B126"/>
    <mergeCell ref="D126:F126"/>
    <mergeCell ref="G126:H126"/>
    <mergeCell ref="A132:B132"/>
    <mergeCell ref="D132:F132"/>
    <mergeCell ref="A123:B123"/>
    <mergeCell ref="D123:F123"/>
    <mergeCell ref="A128:H128"/>
    <mergeCell ref="A125:B125"/>
    <mergeCell ref="D125:F125"/>
    <mergeCell ref="A127:B127"/>
    <mergeCell ref="D127:F127"/>
    <mergeCell ref="A130:B130"/>
    <mergeCell ref="A129:B129"/>
    <mergeCell ref="D129:F129"/>
    <mergeCell ref="G129:H129"/>
    <mergeCell ref="D130:F130"/>
    <mergeCell ref="A16:B16"/>
    <mergeCell ref="C16:E16"/>
    <mergeCell ref="A25:E25"/>
    <mergeCell ref="A26:E26"/>
    <mergeCell ref="F26:H26"/>
    <mergeCell ref="F25:H25"/>
    <mergeCell ref="A27:E27"/>
    <mergeCell ref="F27:H27"/>
    <mergeCell ref="A24:E24"/>
    <mergeCell ref="F24:H24"/>
    <mergeCell ref="A18:B18"/>
    <mergeCell ref="C18:E18"/>
    <mergeCell ref="A19:B19"/>
    <mergeCell ref="C19:E19"/>
    <mergeCell ref="A20:E21"/>
    <mergeCell ref="F20:H21"/>
    <mergeCell ref="A22:E23"/>
    <mergeCell ref="F22:H23"/>
    <mergeCell ref="A17:B17"/>
    <mergeCell ref="C17:E17"/>
    <mergeCell ref="G16:H16"/>
    <mergeCell ref="G17:H17"/>
    <mergeCell ref="G18:H18"/>
    <mergeCell ref="G19:H19"/>
    <mergeCell ref="A1:H1"/>
    <mergeCell ref="A2:H2"/>
    <mergeCell ref="A15:B15"/>
    <mergeCell ref="C15:E15"/>
    <mergeCell ref="A14:B14"/>
    <mergeCell ref="C14:H14"/>
    <mergeCell ref="G15:H15"/>
    <mergeCell ref="A11:D11"/>
    <mergeCell ref="A12:D12"/>
    <mergeCell ref="A13:D13"/>
    <mergeCell ref="A3:D3"/>
    <mergeCell ref="A4:D4"/>
    <mergeCell ref="A5:D5"/>
    <mergeCell ref="A6:D6"/>
    <mergeCell ref="A7:D7"/>
    <mergeCell ref="A8:D8"/>
    <mergeCell ref="A9:D9"/>
    <mergeCell ref="A10:D10"/>
    <mergeCell ref="E10:H10"/>
    <mergeCell ref="D151:E151"/>
    <mergeCell ref="A28:B28"/>
    <mergeCell ref="C28:D28"/>
    <mergeCell ref="E28:F28"/>
    <mergeCell ref="A29:B29"/>
    <mergeCell ref="C29:D29"/>
    <mergeCell ref="E29:F29"/>
    <mergeCell ref="A40:E40"/>
    <mergeCell ref="F40:H40"/>
    <mergeCell ref="A36:E36"/>
    <mergeCell ref="F36:H36"/>
    <mergeCell ref="A31:H31"/>
    <mergeCell ref="A30:B30"/>
    <mergeCell ref="C30:D30"/>
    <mergeCell ref="E30:F30"/>
    <mergeCell ref="A32:H32"/>
    <mergeCell ref="A33:B33"/>
    <mergeCell ref="A35:H35"/>
    <mergeCell ref="A37:E37"/>
    <mergeCell ref="F37:H37"/>
    <mergeCell ref="A38:H38"/>
    <mergeCell ref="A56:H56"/>
    <mergeCell ref="A57:C57"/>
    <mergeCell ref="A59:B59"/>
    <mergeCell ref="A143:H143"/>
    <mergeCell ref="A142:B142"/>
    <mergeCell ref="D142:E142"/>
    <mergeCell ref="A195:H195"/>
    <mergeCell ref="A230:H230"/>
    <mergeCell ref="A231:B231"/>
    <mergeCell ref="D231:E231"/>
    <mergeCell ref="A232:B232"/>
    <mergeCell ref="D232:E232"/>
    <mergeCell ref="A209:H209"/>
    <mergeCell ref="A212:B212"/>
    <mergeCell ref="D212:E212"/>
    <mergeCell ref="A213:B213"/>
    <mergeCell ref="D213:E213"/>
    <mergeCell ref="A210:B210"/>
    <mergeCell ref="D210:E210"/>
    <mergeCell ref="A211:B211"/>
    <mergeCell ref="D211:E211"/>
    <mergeCell ref="A196:B196"/>
    <mergeCell ref="D196:E196"/>
    <mergeCell ref="D229:E229"/>
    <mergeCell ref="A223:H223"/>
    <mergeCell ref="A226:B226"/>
    <mergeCell ref="A151:B151"/>
    <mergeCell ref="H231:H235"/>
    <mergeCell ref="H217:H222"/>
    <mergeCell ref="H210:H215"/>
    <mergeCell ref="H203:H207"/>
    <mergeCell ref="H196:H201"/>
    <mergeCell ref="H189:H194"/>
    <mergeCell ref="A174:B174"/>
    <mergeCell ref="D174:E174"/>
    <mergeCell ref="A177:B177"/>
    <mergeCell ref="D177:E177"/>
    <mergeCell ref="A178:B178"/>
    <mergeCell ref="D178:E178"/>
    <mergeCell ref="A175:B175"/>
    <mergeCell ref="D175:E175"/>
    <mergeCell ref="A233:B233"/>
    <mergeCell ref="D233:E233"/>
    <mergeCell ref="D226:E226"/>
    <mergeCell ref="A214:B214"/>
    <mergeCell ref="A194:B194"/>
    <mergeCell ref="D194:E194"/>
    <mergeCell ref="D182:E182"/>
    <mergeCell ref="A183:B183"/>
    <mergeCell ref="D183:E183"/>
    <mergeCell ref="A180:H180"/>
    <mergeCell ref="D363:F363"/>
    <mergeCell ref="A252:B252"/>
    <mergeCell ref="D252:E252"/>
    <mergeCell ref="A269:H269"/>
    <mergeCell ref="D272:E272"/>
    <mergeCell ref="A267:B267"/>
    <mergeCell ref="D267:E267"/>
    <mergeCell ref="A268:B268"/>
    <mergeCell ref="D268:E268"/>
    <mergeCell ref="A255:B255"/>
    <mergeCell ref="D255:E255"/>
    <mergeCell ref="A254:H254"/>
    <mergeCell ref="A258:B258"/>
    <mergeCell ref="D258:E258"/>
    <mergeCell ref="A259:B259"/>
    <mergeCell ref="D259:E259"/>
    <mergeCell ref="A256:B256"/>
    <mergeCell ref="E357:F357"/>
    <mergeCell ref="G357:H357"/>
    <mergeCell ref="D256:E256"/>
    <mergeCell ref="A257:B257"/>
    <mergeCell ref="D257:E257"/>
    <mergeCell ref="D271:E271"/>
    <mergeCell ref="A272:B272"/>
    <mergeCell ref="A147:B147"/>
    <mergeCell ref="D147:E147"/>
    <mergeCell ref="A145:H145"/>
    <mergeCell ref="A156:B156"/>
    <mergeCell ref="D156:E156"/>
    <mergeCell ref="E3:H3"/>
    <mergeCell ref="E4:H4"/>
    <mergeCell ref="E5:H5"/>
    <mergeCell ref="E6:H6"/>
    <mergeCell ref="E7:H7"/>
    <mergeCell ref="E8:H8"/>
    <mergeCell ref="E9:H9"/>
    <mergeCell ref="E11:H11"/>
    <mergeCell ref="E12:H12"/>
    <mergeCell ref="E13:H13"/>
    <mergeCell ref="D141:E141"/>
    <mergeCell ref="A149:B149"/>
    <mergeCell ref="D149:E149"/>
    <mergeCell ref="A150:B150"/>
    <mergeCell ref="D150:E150"/>
    <mergeCell ref="A148:B148"/>
    <mergeCell ref="D148:E148"/>
    <mergeCell ref="A146:H146"/>
    <mergeCell ref="A144:H144"/>
    <mergeCell ref="A139:H139"/>
    <mergeCell ref="A140:H140"/>
    <mergeCell ref="A67:H67"/>
    <mergeCell ref="A68:B68"/>
    <mergeCell ref="C68:H68"/>
    <mergeCell ref="G113:H113"/>
    <mergeCell ref="A114:F114"/>
    <mergeCell ref="G114:H114"/>
    <mergeCell ref="A116:F116"/>
    <mergeCell ref="G116:H116"/>
    <mergeCell ref="A112:F112"/>
    <mergeCell ref="G112:H112"/>
    <mergeCell ref="A109:H109"/>
    <mergeCell ref="A110:F110"/>
    <mergeCell ref="G110:H110"/>
    <mergeCell ref="A111:F111"/>
    <mergeCell ref="G111:H111"/>
    <mergeCell ref="A85:B85"/>
    <mergeCell ref="E85:F94"/>
    <mergeCell ref="G85:H94"/>
    <mergeCell ref="A86:B86"/>
    <mergeCell ref="A87:B87"/>
    <mergeCell ref="A88:B88"/>
    <mergeCell ref="A89:B89"/>
    <mergeCell ref="A34:B34"/>
    <mergeCell ref="C34:H34"/>
    <mergeCell ref="C33:H33"/>
    <mergeCell ref="A51:B51"/>
    <mergeCell ref="C51:F51"/>
    <mergeCell ref="A52:B52"/>
    <mergeCell ref="C52:F52"/>
    <mergeCell ref="A138:B138"/>
    <mergeCell ref="D138:F138"/>
    <mergeCell ref="C59:H59"/>
    <mergeCell ref="A58:B58"/>
    <mergeCell ref="C58:H58"/>
    <mergeCell ref="D57:H57"/>
    <mergeCell ref="A64:C64"/>
    <mergeCell ref="D64:H64"/>
    <mergeCell ref="A65:C65"/>
    <mergeCell ref="D65:H65"/>
    <mergeCell ref="A66:C66"/>
    <mergeCell ref="D66:H66"/>
    <mergeCell ref="A113:F113"/>
    <mergeCell ref="D133:F133"/>
    <mergeCell ref="A122:B122"/>
    <mergeCell ref="D122:F122"/>
    <mergeCell ref="G122:H122"/>
    <mergeCell ref="A53:B53"/>
    <mergeCell ref="C53:F53"/>
    <mergeCell ref="A46:H46"/>
    <mergeCell ref="A50:H50"/>
    <mergeCell ref="A79:B79"/>
    <mergeCell ref="C79:H79"/>
    <mergeCell ref="A81:B81"/>
    <mergeCell ref="C81:H81"/>
    <mergeCell ref="A84:B84"/>
    <mergeCell ref="E84:F84"/>
    <mergeCell ref="G84:H84"/>
    <mergeCell ref="C60:H60"/>
    <mergeCell ref="C61:H61"/>
    <mergeCell ref="C62:H62"/>
    <mergeCell ref="A60:B62"/>
    <mergeCell ref="A54:B54"/>
    <mergeCell ref="C54:F54"/>
    <mergeCell ref="A82:B83"/>
    <mergeCell ref="C82:D83"/>
    <mergeCell ref="E82:F83"/>
    <mergeCell ref="G82:H83"/>
    <mergeCell ref="A69:H69"/>
    <mergeCell ref="A70:B70"/>
    <mergeCell ref="C70:D70"/>
    <mergeCell ref="A90:B90"/>
    <mergeCell ref="A91:B91"/>
    <mergeCell ref="A92:B92"/>
    <mergeCell ref="A93:B93"/>
    <mergeCell ref="A94:B94"/>
    <mergeCell ref="A100:B100"/>
    <mergeCell ref="A101:B101"/>
    <mergeCell ref="A102:B102"/>
    <mergeCell ref="A103:B103"/>
    <mergeCell ref="A104:B104"/>
    <mergeCell ref="A105:B105"/>
    <mergeCell ref="A106:B106"/>
    <mergeCell ref="A107:B107"/>
    <mergeCell ref="A108:B108"/>
    <mergeCell ref="A277:H277"/>
    <mergeCell ref="H278:H289"/>
    <mergeCell ref="A278:B278"/>
    <mergeCell ref="D278:E278"/>
    <mergeCell ref="A279:B279"/>
    <mergeCell ref="D279:E279"/>
    <mergeCell ref="A280:B280"/>
    <mergeCell ref="D280:E280"/>
    <mergeCell ref="A281:B281"/>
    <mergeCell ref="D281:E281"/>
    <mergeCell ref="A282:B282"/>
    <mergeCell ref="D282:E282"/>
    <mergeCell ref="A283:B283"/>
    <mergeCell ref="D283:E283"/>
    <mergeCell ref="A284:B284"/>
    <mergeCell ref="D284:E284"/>
    <mergeCell ref="A285:B285"/>
    <mergeCell ref="D285:E285"/>
    <mergeCell ref="A286:B286"/>
    <mergeCell ref="D286:E286"/>
    <mergeCell ref="A287:B287"/>
    <mergeCell ref="D287:E287"/>
    <mergeCell ref="A288:B288"/>
    <mergeCell ref="D288:E288"/>
    <mergeCell ref="A289:B289"/>
    <mergeCell ref="D289:E289"/>
    <mergeCell ref="A290:H290"/>
    <mergeCell ref="A291:H291"/>
    <mergeCell ref="A292:B292"/>
    <mergeCell ref="D292:E292"/>
    <mergeCell ref="H292:H296"/>
    <mergeCell ref="A293:B293"/>
    <mergeCell ref="D293:E293"/>
    <mergeCell ref="A294:B294"/>
    <mergeCell ref="D294:E294"/>
    <mergeCell ref="A295:B295"/>
    <mergeCell ref="D295:E295"/>
    <mergeCell ref="A296:B296"/>
    <mergeCell ref="D296:E296"/>
    <mergeCell ref="A297:H297"/>
    <mergeCell ref="A298:B298"/>
    <mergeCell ref="D298:E298"/>
    <mergeCell ref="H298:H302"/>
    <mergeCell ref="A299:B299"/>
    <mergeCell ref="D299:E299"/>
    <mergeCell ref="A300:B300"/>
    <mergeCell ref="D300:E300"/>
    <mergeCell ref="A301:B301"/>
    <mergeCell ref="D301:E301"/>
    <mergeCell ref="A302:B302"/>
    <mergeCell ref="D302:E302"/>
    <mergeCell ref="A303:H303"/>
    <mergeCell ref="A304:H304"/>
    <mergeCell ref="A305:B305"/>
    <mergeCell ref="D305:E305"/>
    <mergeCell ref="H305:H309"/>
    <mergeCell ref="A306:B306"/>
    <mergeCell ref="D306:E306"/>
    <mergeCell ref="A307:B307"/>
    <mergeCell ref="D307:E307"/>
    <mergeCell ref="A308:B308"/>
    <mergeCell ref="D308:E308"/>
    <mergeCell ref="A309:B309"/>
    <mergeCell ref="D309:E309"/>
    <mergeCell ref="A310:H310"/>
    <mergeCell ref="A311:B311"/>
    <mergeCell ref="H311:H315"/>
    <mergeCell ref="A312:B312"/>
    <mergeCell ref="D312:E312"/>
    <mergeCell ref="A313:B313"/>
    <mergeCell ref="D313:E313"/>
    <mergeCell ref="A314:B314"/>
    <mergeCell ref="D314:E314"/>
    <mergeCell ref="A315:B315"/>
    <mergeCell ref="D315:E315"/>
    <mergeCell ref="C311:G311"/>
    <mergeCell ref="D329:E329"/>
    <mergeCell ref="A330:B330"/>
    <mergeCell ref="D330:E330"/>
    <mergeCell ref="A331:B331"/>
    <mergeCell ref="A332:B332"/>
    <mergeCell ref="D332:E332"/>
    <mergeCell ref="C331:G331"/>
    <mergeCell ref="A316:H316"/>
    <mergeCell ref="A317:H317"/>
    <mergeCell ref="A318:H318"/>
    <mergeCell ref="A319:H319"/>
    <mergeCell ref="A320:B320"/>
    <mergeCell ref="D320:E320"/>
    <mergeCell ref="H320:H325"/>
    <mergeCell ref="A321:B321"/>
    <mergeCell ref="D321:E321"/>
    <mergeCell ref="A322:B322"/>
    <mergeCell ref="D322:E322"/>
    <mergeCell ref="A323:B323"/>
    <mergeCell ref="D323:E323"/>
    <mergeCell ref="A324:B324"/>
    <mergeCell ref="D324:E324"/>
    <mergeCell ref="A325:B325"/>
    <mergeCell ref="D325:E325"/>
    <mergeCell ref="A342:B342"/>
    <mergeCell ref="D342:E342"/>
    <mergeCell ref="H342:H347"/>
    <mergeCell ref="A343:B343"/>
    <mergeCell ref="D343:E343"/>
    <mergeCell ref="A344:B344"/>
    <mergeCell ref="D344:E344"/>
    <mergeCell ref="A345:B345"/>
    <mergeCell ref="D345:E345"/>
    <mergeCell ref="A346:B346"/>
    <mergeCell ref="A347:B347"/>
    <mergeCell ref="D347:E347"/>
    <mergeCell ref="C346:G346"/>
    <mergeCell ref="G99:H108"/>
    <mergeCell ref="A341:H341"/>
    <mergeCell ref="A334:H334"/>
    <mergeCell ref="A335:B335"/>
    <mergeCell ref="D335:E335"/>
    <mergeCell ref="H335:H340"/>
    <mergeCell ref="A336:B336"/>
    <mergeCell ref="D336:E336"/>
    <mergeCell ref="A337:B337"/>
    <mergeCell ref="D337:E337"/>
    <mergeCell ref="A338:B338"/>
    <mergeCell ref="D338:E338"/>
    <mergeCell ref="A339:B339"/>
    <mergeCell ref="D339:E339"/>
    <mergeCell ref="A340:B340"/>
    <mergeCell ref="D340:E340"/>
    <mergeCell ref="A333:H333"/>
    <mergeCell ref="A326:H326"/>
    <mergeCell ref="A327:B327"/>
    <mergeCell ref="D327:E327"/>
    <mergeCell ref="H327:H332"/>
    <mergeCell ref="A328:B328"/>
    <mergeCell ref="D328:E328"/>
    <mergeCell ref="A329:B329"/>
    <mergeCell ref="I10:L10"/>
    <mergeCell ref="A137:B137"/>
    <mergeCell ref="D137:F137"/>
    <mergeCell ref="G137:H137"/>
    <mergeCell ref="A63:C63"/>
    <mergeCell ref="D63:H63"/>
    <mergeCell ref="A134:B134"/>
    <mergeCell ref="D134:F134"/>
    <mergeCell ref="G134:H134"/>
    <mergeCell ref="A135:B135"/>
    <mergeCell ref="D135:F135"/>
    <mergeCell ref="G135:H135"/>
    <mergeCell ref="A136:B136"/>
    <mergeCell ref="D136:F136"/>
    <mergeCell ref="G136:H136"/>
    <mergeCell ref="A95:B95"/>
    <mergeCell ref="C95:H95"/>
    <mergeCell ref="A97:B97"/>
    <mergeCell ref="C97:H97"/>
    <mergeCell ref="A98:B98"/>
    <mergeCell ref="E98:F98"/>
    <mergeCell ref="G98:H98"/>
    <mergeCell ref="A99:B99"/>
    <mergeCell ref="E99:F108"/>
  </mergeCells>
  <hyperlinks>
    <hyperlink ref="C34" r:id="rId1"/>
  </hyperlinks>
  <pageMargins left="0.43307086614173229" right="0.43307086614173229" top="0.78740157480314965" bottom="0.78740157480314965" header="0.19685039370078741" footer="0.19685039370078741"/>
  <pageSetup paperSize="9" fitToHeight="0" orientation="portrait" r:id="rId2"/>
  <headerFooter>
    <oddHeader>&amp;C&amp;"Times New Roman,Bold"&amp;20&amp;G</oddHeader>
    <oddFooter>&amp;L&amp;"Times New Roman,Bold"&amp;12Ref No: &amp;F&amp;C&amp;G&amp;R&amp;"Times New Roman,Bold"&amp;12&amp;P</oddFooter>
  </headerFooter>
  <rowBreaks count="3" manualBreakCount="3">
    <brk id="361" max="7" man="1"/>
    <brk id="402" max="7" man="1"/>
    <brk id="445" max="7"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2" sqref="C12"/>
    </sheetView>
  </sheetViews>
  <sheetFormatPr defaultRowHeight="15" x14ac:dyDescent="0.25"/>
  <cols>
    <col min="1" max="1" width="20.5703125" style="22" customWidth="1"/>
    <col min="2" max="2" width="11.7109375" style="22" customWidth="1"/>
    <col min="3" max="4" width="9.140625" style="22"/>
    <col min="5" max="5" width="10.140625" style="22" customWidth="1"/>
    <col min="6" max="6" width="10.7109375" style="22" customWidth="1"/>
    <col min="7" max="7" width="9.140625" style="22"/>
    <col min="8" max="8" width="10.42578125" style="22" customWidth="1"/>
    <col min="9" max="9" width="15.42578125" style="22" customWidth="1"/>
    <col min="10" max="258" width="9.140625" style="22"/>
    <col min="259" max="259" width="11.7109375" style="22" customWidth="1"/>
    <col min="260" max="260" width="9.140625" style="22"/>
    <col min="261" max="261" width="14.7109375" style="22" customWidth="1"/>
    <col min="262" max="262" width="10.7109375" style="22" customWidth="1"/>
    <col min="263" max="514" width="9.140625" style="22"/>
    <col min="515" max="515" width="11.7109375" style="22" customWidth="1"/>
    <col min="516" max="516" width="9.140625" style="22"/>
    <col min="517" max="517" width="14.7109375" style="22" customWidth="1"/>
    <col min="518" max="518" width="10.7109375" style="22" customWidth="1"/>
    <col min="519" max="770" width="9.140625" style="22"/>
    <col min="771" max="771" width="11.7109375" style="22" customWidth="1"/>
    <col min="772" max="772" width="9.140625" style="22"/>
    <col min="773" max="773" width="14.7109375" style="22" customWidth="1"/>
    <col min="774" max="774" width="10.7109375" style="22" customWidth="1"/>
    <col min="775" max="1026" width="9.140625" style="22"/>
    <col min="1027" max="1027" width="11.7109375" style="22" customWidth="1"/>
    <col min="1028" max="1028" width="9.140625" style="22"/>
    <col min="1029" max="1029" width="14.7109375" style="22" customWidth="1"/>
    <col min="1030" max="1030" width="10.7109375" style="22" customWidth="1"/>
    <col min="1031" max="1282" width="9.140625" style="22"/>
    <col min="1283" max="1283" width="11.7109375" style="22" customWidth="1"/>
    <col min="1284" max="1284" width="9.140625" style="22"/>
    <col min="1285" max="1285" width="14.7109375" style="22" customWidth="1"/>
    <col min="1286" max="1286" width="10.7109375" style="22" customWidth="1"/>
    <col min="1287" max="1538" width="9.140625" style="22"/>
    <col min="1539" max="1539" width="11.7109375" style="22" customWidth="1"/>
    <col min="1540" max="1540" width="9.140625" style="22"/>
    <col min="1541" max="1541" width="14.7109375" style="22" customWidth="1"/>
    <col min="1542" max="1542" width="10.7109375" style="22" customWidth="1"/>
    <col min="1543" max="1794" width="9.140625" style="22"/>
    <col min="1795" max="1795" width="11.7109375" style="22" customWidth="1"/>
    <col min="1796" max="1796" width="9.140625" style="22"/>
    <col min="1797" max="1797" width="14.7109375" style="22" customWidth="1"/>
    <col min="1798" max="1798" width="10.7109375" style="22" customWidth="1"/>
    <col min="1799" max="2050" width="9.140625" style="22"/>
    <col min="2051" max="2051" width="11.7109375" style="22" customWidth="1"/>
    <col min="2052" max="2052" width="9.140625" style="22"/>
    <col min="2053" max="2053" width="14.7109375" style="22" customWidth="1"/>
    <col min="2054" max="2054" width="10.7109375" style="22" customWidth="1"/>
    <col min="2055" max="2306" width="9.140625" style="22"/>
    <col min="2307" max="2307" width="11.7109375" style="22" customWidth="1"/>
    <col min="2308" max="2308" width="9.140625" style="22"/>
    <col min="2309" max="2309" width="14.7109375" style="22" customWidth="1"/>
    <col min="2310" max="2310" width="10.7109375" style="22" customWidth="1"/>
    <col min="2311" max="2562" width="9.140625" style="22"/>
    <col min="2563" max="2563" width="11.7109375" style="22" customWidth="1"/>
    <col min="2564" max="2564" width="9.140625" style="22"/>
    <col min="2565" max="2565" width="14.7109375" style="22" customWidth="1"/>
    <col min="2566" max="2566" width="10.7109375" style="22" customWidth="1"/>
    <col min="2567" max="2818" width="9.140625" style="22"/>
    <col min="2819" max="2819" width="11.7109375" style="22" customWidth="1"/>
    <col min="2820" max="2820" width="9.140625" style="22"/>
    <col min="2821" max="2821" width="14.7109375" style="22" customWidth="1"/>
    <col min="2822" max="2822" width="10.7109375" style="22" customWidth="1"/>
    <col min="2823" max="3074" width="9.140625" style="22"/>
    <col min="3075" max="3075" width="11.7109375" style="22" customWidth="1"/>
    <col min="3076" max="3076" width="9.140625" style="22"/>
    <col min="3077" max="3077" width="14.7109375" style="22" customWidth="1"/>
    <col min="3078" max="3078" width="10.7109375" style="22" customWidth="1"/>
    <col min="3079" max="3330" width="9.140625" style="22"/>
    <col min="3331" max="3331" width="11.7109375" style="22" customWidth="1"/>
    <col min="3332" max="3332" width="9.140625" style="22"/>
    <col min="3333" max="3333" width="14.7109375" style="22" customWidth="1"/>
    <col min="3334" max="3334" width="10.7109375" style="22" customWidth="1"/>
    <col min="3335" max="3586" width="9.140625" style="22"/>
    <col min="3587" max="3587" width="11.7109375" style="22" customWidth="1"/>
    <col min="3588" max="3588" width="9.140625" style="22"/>
    <col min="3589" max="3589" width="14.7109375" style="22" customWidth="1"/>
    <col min="3590" max="3590" width="10.7109375" style="22" customWidth="1"/>
    <col min="3591" max="3842" width="9.140625" style="22"/>
    <col min="3843" max="3843" width="11.7109375" style="22" customWidth="1"/>
    <col min="3844" max="3844" width="9.140625" style="22"/>
    <col min="3845" max="3845" width="14.7109375" style="22" customWidth="1"/>
    <col min="3846" max="3846" width="10.7109375" style="22" customWidth="1"/>
    <col min="3847" max="4098" width="9.140625" style="22"/>
    <col min="4099" max="4099" width="11.7109375" style="22" customWidth="1"/>
    <col min="4100" max="4100" width="9.140625" style="22"/>
    <col min="4101" max="4101" width="14.7109375" style="22" customWidth="1"/>
    <col min="4102" max="4102" width="10.7109375" style="22" customWidth="1"/>
    <col min="4103" max="4354" width="9.140625" style="22"/>
    <col min="4355" max="4355" width="11.7109375" style="22" customWidth="1"/>
    <col min="4356" max="4356" width="9.140625" style="22"/>
    <col min="4357" max="4357" width="14.7109375" style="22" customWidth="1"/>
    <col min="4358" max="4358" width="10.7109375" style="22" customWidth="1"/>
    <col min="4359" max="4610" width="9.140625" style="22"/>
    <col min="4611" max="4611" width="11.7109375" style="22" customWidth="1"/>
    <col min="4612" max="4612" width="9.140625" style="22"/>
    <col min="4613" max="4613" width="14.7109375" style="22" customWidth="1"/>
    <col min="4614" max="4614" width="10.7109375" style="22" customWidth="1"/>
    <col min="4615" max="4866" width="9.140625" style="22"/>
    <col min="4867" max="4867" width="11.7109375" style="22" customWidth="1"/>
    <col min="4868" max="4868" width="9.140625" style="22"/>
    <col min="4869" max="4869" width="14.7109375" style="22" customWidth="1"/>
    <col min="4870" max="4870" width="10.7109375" style="22" customWidth="1"/>
    <col min="4871" max="5122" width="9.140625" style="22"/>
    <col min="5123" max="5123" width="11.7109375" style="22" customWidth="1"/>
    <col min="5124" max="5124" width="9.140625" style="22"/>
    <col min="5125" max="5125" width="14.7109375" style="22" customWidth="1"/>
    <col min="5126" max="5126" width="10.7109375" style="22" customWidth="1"/>
    <col min="5127" max="5378" width="9.140625" style="22"/>
    <col min="5379" max="5379" width="11.7109375" style="22" customWidth="1"/>
    <col min="5380" max="5380" width="9.140625" style="22"/>
    <col min="5381" max="5381" width="14.7109375" style="22" customWidth="1"/>
    <col min="5382" max="5382" width="10.7109375" style="22" customWidth="1"/>
    <col min="5383" max="5634" width="9.140625" style="22"/>
    <col min="5635" max="5635" width="11.7109375" style="22" customWidth="1"/>
    <col min="5636" max="5636" width="9.140625" style="22"/>
    <col min="5637" max="5637" width="14.7109375" style="22" customWidth="1"/>
    <col min="5638" max="5638" width="10.7109375" style="22" customWidth="1"/>
    <col min="5639" max="5890" width="9.140625" style="22"/>
    <col min="5891" max="5891" width="11.7109375" style="22" customWidth="1"/>
    <col min="5892" max="5892" width="9.140625" style="22"/>
    <col min="5893" max="5893" width="14.7109375" style="22" customWidth="1"/>
    <col min="5894" max="5894" width="10.7109375" style="22" customWidth="1"/>
    <col min="5895" max="6146" width="9.140625" style="22"/>
    <col min="6147" max="6147" width="11.7109375" style="22" customWidth="1"/>
    <col min="6148" max="6148" width="9.140625" style="22"/>
    <col min="6149" max="6149" width="14.7109375" style="22" customWidth="1"/>
    <col min="6150" max="6150" width="10.7109375" style="22" customWidth="1"/>
    <col min="6151" max="6402" width="9.140625" style="22"/>
    <col min="6403" max="6403" width="11.7109375" style="22" customWidth="1"/>
    <col min="6404" max="6404" width="9.140625" style="22"/>
    <col min="6405" max="6405" width="14.7109375" style="22" customWidth="1"/>
    <col min="6406" max="6406" width="10.7109375" style="22" customWidth="1"/>
    <col min="6407" max="6658" width="9.140625" style="22"/>
    <col min="6659" max="6659" width="11.7109375" style="22" customWidth="1"/>
    <col min="6660" max="6660" width="9.140625" style="22"/>
    <col min="6661" max="6661" width="14.7109375" style="22" customWidth="1"/>
    <col min="6662" max="6662" width="10.7109375" style="22" customWidth="1"/>
    <col min="6663" max="6914" width="9.140625" style="22"/>
    <col min="6915" max="6915" width="11.7109375" style="22" customWidth="1"/>
    <col min="6916" max="6916" width="9.140625" style="22"/>
    <col min="6917" max="6917" width="14.7109375" style="22" customWidth="1"/>
    <col min="6918" max="6918" width="10.7109375" style="22" customWidth="1"/>
    <col min="6919" max="7170" width="9.140625" style="22"/>
    <col min="7171" max="7171" width="11.7109375" style="22" customWidth="1"/>
    <col min="7172" max="7172" width="9.140625" style="22"/>
    <col min="7173" max="7173" width="14.7109375" style="22" customWidth="1"/>
    <col min="7174" max="7174" width="10.7109375" style="22" customWidth="1"/>
    <col min="7175" max="7426" width="9.140625" style="22"/>
    <col min="7427" max="7427" width="11.7109375" style="22" customWidth="1"/>
    <col min="7428" max="7428" width="9.140625" style="22"/>
    <col min="7429" max="7429" width="14.7109375" style="22" customWidth="1"/>
    <col min="7430" max="7430" width="10.7109375" style="22" customWidth="1"/>
    <col min="7431" max="7682" width="9.140625" style="22"/>
    <col min="7683" max="7683" width="11.7109375" style="22" customWidth="1"/>
    <col min="7684" max="7684" width="9.140625" style="22"/>
    <col min="7685" max="7685" width="14.7109375" style="22" customWidth="1"/>
    <col min="7686" max="7686" width="10.7109375" style="22" customWidth="1"/>
    <col min="7687" max="7938" width="9.140625" style="22"/>
    <col min="7939" max="7939" width="11.7109375" style="22" customWidth="1"/>
    <col min="7940" max="7940" width="9.140625" style="22"/>
    <col min="7941" max="7941" width="14.7109375" style="22" customWidth="1"/>
    <col min="7942" max="7942" width="10.7109375" style="22" customWidth="1"/>
    <col min="7943" max="8194" width="9.140625" style="22"/>
    <col min="8195" max="8195" width="11.7109375" style="22" customWidth="1"/>
    <col min="8196" max="8196" width="9.140625" style="22"/>
    <col min="8197" max="8197" width="14.7109375" style="22" customWidth="1"/>
    <col min="8198" max="8198" width="10.7109375" style="22" customWidth="1"/>
    <col min="8199" max="8450" width="9.140625" style="22"/>
    <col min="8451" max="8451" width="11.7109375" style="22" customWidth="1"/>
    <col min="8452" max="8452" width="9.140625" style="22"/>
    <col min="8453" max="8453" width="14.7109375" style="22" customWidth="1"/>
    <col min="8454" max="8454" width="10.7109375" style="22" customWidth="1"/>
    <col min="8455" max="8706" width="9.140625" style="22"/>
    <col min="8707" max="8707" width="11.7109375" style="22" customWidth="1"/>
    <col min="8708" max="8708" width="9.140625" style="22"/>
    <col min="8709" max="8709" width="14.7109375" style="22" customWidth="1"/>
    <col min="8710" max="8710" width="10.7109375" style="22" customWidth="1"/>
    <col min="8711" max="8962" width="9.140625" style="22"/>
    <col min="8963" max="8963" width="11.7109375" style="22" customWidth="1"/>
    <col min="8964" max="8964" width="9.140625" style="22"/>
    <col min="8965" max="8965" width="14.7109375" style="22" customWidth="1"/>
    <col min="8966" max="8966" width="10.7109375" style="22" customWidth="1"/>
    <col min="8967" max="9218" width="9.140625" style="22"/>
    <col min="9219" max="9219" width="11.7109375" style="22" customWidth="1"/>
    <col min="9220" max="9220" width="9.140625" style="22"/>
    <col min="9221" max="9221" width="14.7109375" style="22" customWidth="1"/>
    <col min="9222" max="9222" width="10.7109375" style="22" customWidth="1"/>
    <col min="9223" max="9474" width="9.140625" style="22"/>
    <col min="9475" max="9475" width="11.7109375" style="22" customWidth="1"/>
    <col min="9476" max="9476" width="9.140625" style="22"/>
    <col min="9477" max="9477" width="14.7109375" style="22" customWidth="1"/>
    <col min="9478" max="9478" width="10.7109375" style="22" customWidth="1"/>
    <col min="9479" max="9730" width="9.140625" style="22"/>
    <col min="9731" max="9731" width="11.7109375" style="22" customWidth="1"/>
    <col min="9732" max="9732" width="9.140625" style="22"/>
    <col min="9733" max="9733" width="14.7109375" style="22" customWidth="1"/>
    <col min="9734" max="9734" width="10.7109375" style="22" customWidth="1"/>
    <col min="9735" max="9986" width="9.140625" style="22"/>
    <col min="9987" max="9987" width="11.7109375" style="22" customWidth="1"/>
    <col min="9988" max="9988" width="9.140625" style="22"/>
    <col min="9989" max="9989" width="14.7109375" style="22" customWidth="1"/>
    <col min="9990" max="9990" width="10.7109375" style="22" customWidth="1"/>
    <col min="9991" max="10242" width="9.140625" style="22"/>
    <col min="10243" max="10243" width="11.7109375" style="22" customWidth="1"/>
    <col min="10244" max="10244" width="9.140625" style="22"/>
    <col min="10245" max="10245" width="14.7109375" style="22" customWidth="1"/>
    <col min="10246" max="10246" width="10.7109375" style="22" customWidth="1"/>
    <col min="10247" max="10498" width="9.140625" style="22"/>
    <col min="10499" max="10499" width="11.7109375" style="22" customWidth="1"/>
    <col min="10500" max="10500" width="9.140625" style="22"/>
    <col min="10501" max="10501" width="14.7109375" style="22" customWidth="1"/>
    <col min="10502" max="10502" width="10.7109375" style="22" customWidth="1"/>
    <col min="10503" max="10754" width="9.140625" style="22"/>
    <col min="10755" max="10755" width="11.7109375" style="22" customWidth="1"/>
    <col min="10756" max="10756" width="9.140625" style="22"/>
    <col min="10757" max="10757" width="14.7109375" style="22" customWidth="1"/>
    <col min="10758" max="10758" width="10.7109375" style="22" customWidth="1"/>
    <col min="10759" max="11010" width="9.140625" style="22"/>
    <col min="11011" max="11011" width="11.7109375" style="22" customWidth="1"/>
    <col min="11012" max="11012" width="9.140625" style="22"/>
    <col min="11013" max="11013" width="14.7109375" style="22" customWidth="1"/>
    <col min="11014" max="11014" width="10.7109375" style="22" customWidth="1"/>
    <col min="11015" max="11266" width="9.140625" style="22"/>
    <col min="11267" max="11267" width="11.7109375" style="22" customWidth="1"/>
    <col min="11268" max="11268" width="9.140625" style="22"/>
    <col min="11269" max="11269" width="14.7109375" style="22" customWidth="1"/>
    <col min="11270" max="11270" width="10.7109375" style="22" customWidth="1"/>
    <col min="11271" max="11522" width="9.140625" style="22"/>
    <col min="11523" max="11523" width="11.7109375" style="22" customWidth="1"/>
    <col min="11524" max="11524" width="9.140625" style="22"/>
    <col min="11525" max="11525" width="14.7109375" style="22" customWidth="1"/>
    <col min="11526" max="11526" width="10.7109375" style="22" customWidth="1"/>
    <col min="11527" max="11778" width="9.140625" style="22"/>
    <col min="11779" max="11779" width="11.7109375" style="22" customWidth="1"/>
    <col min="11780" max="11780" width="9.140625" style="22"/>
    <col min="11781" max="11781" width="14.7109375" style="22" customWidth="1"/>
    <col min="11782" max="11782" width="10.7109375" style="22" customWidth="1"/>
    <col min="11783" max="12034" width="9.140625" style="22"/>
    <col min="12035" max="12035" width="11.7109375" style="22" customWidth="1"/>
    <col min="12036" max="12036" width="9.140625" style="22"/>
    <col min="12037" max="12037" width="14.7109375" style="22" customWidth="1"/>
    <col min="12038" max="12038" width="10.7109375" style="22" customWidth="1"/>
    <col min="12039" max="12290" width="9.140625" style="22"/>
    <col min="12291" max="12291" width="11.7109375" style="22" customWidth="1"/>
    <col min="12292" max="12292" width="9.140625" style="22"/>
    <col min="12293" max="12293" width="14.7109375" style="22" customWidth="1"/>
    <col min="12294" max="12294" width="10.7109375" style="22" customWidth="1"/>
    <col min="12295" max="12546" width="9.140625" style="22"/>
    <col min="12547" max="12547" width="11.7109375" style="22" customWidth="1"/>
    <col min="12548" max="12548" width="9.140625" style="22"/>
    <col min="12549" max="12549" width="14.7109375" style="22" customWidth="1"/>
    <col min="12550" max="12550" width="10.7109375" style="22" customWidth="1"/>
    <col min="12551" max="12802" width="9.140625" style="22"/>
    <col min="12803" max="12803" width="11.7109375" style="22" customWidth="1"/>
    <col min="12804" max="12804" width="9.140625" style="22"/>
    <col min="12805" max="12805" width="14.7109375" style="22" customWidth="1"/>
    <col min="12806" max="12806" width="10.7109375" style="22" customWidth="1"/>
    <col min="12807" max="13058" width="9.140625" style="22"/>
    <col min="13059" max="13059" width="11.7109375" style="22" customWidth="1"/>
    <col min="13060" max="13060" width="9.140625" style="22"/>
    <col min="13061" max="13061" width="14.7109375" style="22" customWidth="1"/>
    <col min="13062" max="13062" width="10.7109375" style="22" customWidth="1"/>
    <col min="13063" max="13314" width="9.140625" style="22"/>
    <col min="13315" max="13315" width="11.7109375" style="22" customWidth="1"/>
    <col min="13316" max="13316" width="9.140625" style="22"/>
    <col min="13317" max="13317" width="14.7109375" style="22" customWidth="1"/>
    <col min="13318" max="13318" width="10.7109375" style="22" customWidth="1"/>
    <col min="13319" max="13570" width="9.140625" style="22"/>
    <col min="13571" max="13571" width="11.7109375" style="22" customWidth="1"/>
    <col min="13572" max="13572" width="9.140625" style="22"/>
    <col min="13573" max="13573" width="14.7109375" style="22" customWidth="1"/>
    <col min="13574" max="13574" width="10.7109375" style="22" customWidth="1"/>
    <col min="13575" max="13826" width="9.140625" style="22"/>
    <col min="13827" max="13827" width="11.7109375" style="22" customWidth="1"/>
    <col min="13828" max="13828" width="9.140625" style="22"/>
    <col min="13829" max="13829" width="14.7109375" style="22" customWidth="1"/>
    <col min="13830" max="13830" width="10.7109375" style="22" customWidth="1"/>
    <col min="13831" max="14082" width="9.140625" style="22"/>
    <col min="14083" max="14083" width="11.7109375" style="22" customWidth="1"/>
    <col min="14084" max="14084" width="9.140625" style="22"/>
    <col min="14085" max="14085" width="14.7109375" style="22" customWidth="1"/>
    <col min="14086" max="14086" width="10.7109375" style="22" customWidth="1"/>
    <col min="14087" max="14338" width="9.140625" style="22"/>
    <col min="14339" max="14339" width="11.7109375" style="22" customWidth="1"/>
    <col min="14340" max="14340" width="9.140625" style="22"/>
    <col min="14341" max="14341" width="14.7109375" style="22" customWidth="1"/>
    <col min="14342" max="14342" width="10.7109375" style="22" customWidth="1"/>
    <col min="14343" max="14594" width="9.140625" style="22"/>
    <col min="14595" max="14595" width="11.7109375" style="22" customWidth="1"/>
    <col min="14596" max="14596" width="9.140625" style="22"/>
    <col min="14597" max="14597" width="14.7109375" style="22" customWidth="1"/>
    <col min="14598" max="14598" width="10.7109375" style="22" customWidth="1"/>
    <col min="14599" max="14850" width="9.140625" style="22"/>
    <col min="14851" max="14851" width="11.7109375" style="22" customWidth="1"/>
    <col min="14852" max="14852" width="9.140625" style="22"/>
    <col min="14853" max="14853" width="14.7109375" style="22" customWidth="1"/>
    <col min="14854" max="14854" width="10.7109375" style="22" customWidth="1"/>
    <col min="14855" max="15106" width="9.140625" style="22"/>
    <col min="15107" max="15107" width="11.7109375" style="22" customWidth="1"/>
    <col min="15108" max="15108" width="9.140625" style="22"/>
    <col min="15109" max="15109" width="14.7109375" style="22" customWidth="1"/>
    <col min="15110" max="15110" width="10.7109375" style="22" customWidth="1"/>
    <col min="15111" max="15362" width="9.140625" style="22"/>
    <col min="15363" max="15363" width="11.7109375" style="22" customWidth="1"/>
    <col min="15364" max="15364" width="9.140625" style="22"/>
    <col min="15365" max="15365" width="14.7109375" style="22" customWidth="1"/>
    <col min="15366" max="15366" width="10.7109375" style="22" customWidth="1"/>
    <col min="15367" max="15618" width="9.140625" style="22"/>
    <col min="15619" max="15619" width="11.7109375" style="22" customWidth="1"/>
    <col min="15620" max="15620" width="9.140625" style="22"/>
    <col min="15621" max="15621" width="14.7109375" style="22" customWidth="1"/>
    <col min="15622" max="15622" width="10.7109375" style="22" customWidth="1"/>
    <col min="15623" max="15874" width="9.140625" style="22"/>
    <col min="15875" max="15875" width="11.7109375" style="22" customWidth="1"/>
    <col min="15876" max="15876" width="9.140625" style="22"/>
    <col min="15877" max="15877" width="14.7109375" style="22" customWidth="1"/>
    <col min="15878" max="15878" width="10.7109375" style="22" customWidth="1"/>
    <col min="15879" max="16130" width="9.140625" style="22"/>
    <col min="16131" max="16131" width="11.7109375" style="22" customWidth="1"/>
    <col min="16132" max="16132" width="9.140625" style="22"/>
    <col min="16133" max="16133" width="14.7109375" style="22" customWidth="1"/>
    <col min="16134" max="16134" width="10.7109375" style="22" customWidth="1"/>
    <col min="16135" max="16384" width="9.140625" style="22"/>
  </cols>
  <sheetData>
    <row r="2" spans="1:13" x14ac:dyDescent="0.25">
      <c r="A2" s="23" t="s">
        <v>127</v>
      </c>
      <c r="B2" s="23" t="s">
        <v>128</v>
      </c>
      <c r="C2" s="23" t="s">
        <v>129</v>
      </c>
      <c r="D2" s="230" t="s">
        <v>130</v>
      </c>
      <c r="E2" s="230"/>
    </row>
    <row r="3" spans="1:13" x14ac:dyDescent="0.25">
      <c r="A3" s="26">
        <v>0</v>
      </c>
      <c r="B3" s="26">
        <v>0</v>
      </c>
      <c r="C3" s="26">
        <v>1</v>
      </c>
      <c r="D3" s="232">
        <v>9</v>
      </c>
      <c r="E3" s="232"/>
    </row>
    <row r="5" spans="1:13" hidden="1" x14ac:dyDescent="0.25">
      <c r="A5" s="22" t="s">
        <v>92</v>
      </c>
      <c r="B5" s="24" t="s">
        <v>147</v>
      </c>
      <c r="C5" s="24">
        <f>D3</f>
        <v>9</v>
      </c>
      <c r="D5" s="25"/>
    </row>
    <row r="6" spans="1:13" x14ac:dyDescent="0.25">
      <c r="A6" s="22" t="s">
        <v>93</v>
      </c>
      <c r="B6" s="27">
        <v>10</v>
      </c>
      <c r="C6" s="28">
        <v>10</v>
      </c>
      <c r="D6" s="29">
        <f>((100/B6)*C6)/100</f>
        <v>1</v>
      </c>
      <c r="E6" s="30"/>
      <c r="J6" s="30"/>
    </row>
    <row r="7" spans="1:13" x14ac:dyDescent="0.25">
      <c r="A7" s="22" t="s">
        <v>94</v>
      </c>
      <c r="B7" s="27">
        <f>A3+B3+C3+D3</f>
        <v>10</v>
      </c>
      <c r="C7" s="28">
        <v>10</v>
      </c>
      <c r="D7" s="29">
        <f t="shared" ref="D7:D12" si="0">((100/B7)*C7)/100</f>
        <v>1</v>
      </c>
      <c r="F7" s="233" t="s">
        <v>148</v>
      </c>
      <c r="G7" s="233"/>
      <c r="H7" s="31" t="s">
        <v>149</v>
      </c>
      <c r="J7" s="38"/>
    </row>
    <row r="8" spans="1:13" x14ac:dyDescent="0.25">
      <c r="A8" s="22" t="s">
        <v>99</v>
      </c>
      <c r="B8" s="27">
        <f>C5</f>
        <v>9</v>
      </c>
      <c r="C8" s="28">
        <v>9</v>
      </c>
      <c r="D8" s="29">
        <f t="shared" si="0"/>
        <v>1</v>
      </c>
      <c r="E8" s="30"/>
      <c r="F8" s="231" t="s">
        <v>150</v>
      </c>
      <c r="G8" s="231"/>
      <c r="H8" s="27" t="s">
        <v>151</v>
      </c>
      <c r="J8" s="30"/>
    </row>
    <row r="9" spans="1:13" x14ac:dyDescent="0.25">
      <c r="A9" s="22" t="s">
        <v>101</v>
      </c>
      <c r="B9" s="27">
        <f>C5</f>
        <v>9</v>
      </c>
      <c r="C9" s="28">
        <v>9</v>
      </c>
      <c r="D9" s="29">
        <f t="shared" si="0"/>
        <v>1</v>
      </c>
      <c r="E9" s="30"/>
      <c r="F9" s="231" t="s">
        <v>152</v>
      </c>
      <c r="G9" s="231"/>
      <c r="H9" s="27" t="s">
        <v>153</v>
      </c>
      <c r="J9" s="30"/>
    </row>
    <row r="10" spans="1:13" x14ac:dyDescent="0.25">
      <c r="A10" s="22" t="s">
        <v>61</v>
      </c>
      <c r="B10" s="27">
        <f>C5</f>
        <v>9</v>
      </c>
      <c r="C10" s="28">
        <v>9</v>
      </c>
      <c r="D10" s="29">
        <f t="shared" si="0"/>
        <v>1</v>
      </c>
      <c r="E10" s="30"/>
      <c r="F10" s="231" t="s">
        <v>154</v>
      </c>
      <c r="G10" s="231"/>
      <c r="H10" s="27" t="s">
        <v>155</v>
      </c>
      <c r="J10" s="30"/>
    </row>
    <row r="11" spans="1:13" x14ac:dyDescent="0.25">
      <c r="A11" s="32" t="s">
        <v>97</v>
      </c>
      <c r="B11" s="27">
        <f>C5</f>
        <v>9</v>
      </c>
      <c r="C11" s="28">
        <v>2</v>
      </c>
      <c r="D11" s="29">
        <f t="shared" si="0"/>
        <v>0.22222222222222221</v>
      </c>
      <c r="E11" s="30"/>
      <c r="F11" s="231" t="s">
        <v>156</v>
      </c>
      <c r="G11" s="231"/>
      <c r="H11" s="27" t="s">
        <v>157</v>
      </c>
    </row>
    <row r="12" spans="1:13" x14ac:dyDescent="0.25">
      <c r="A12" s="22" t="s">
        <v>62</v>
      </c>
      <c r="B12" s="27">
        <f>C5</f>
        <v>9</v>
      </c>
      <c r="C12" s="28">
        <v>0</v>
      </c>
      <c r="D12" s="29">
        <f t="shared" si="0"/>
        <v>0</v>
      </c>
      <c r="E12" s="30"/>
      <c r="F12" s="231" t="s">
        <v>158</v>
      </c>
      <c r="G12" s="231"/>
      <c r="H12" s="27" t="s">
        <v>159</v>
      </c>
    </row>
    <row r="13" spans="1:13" x14ac:dyDescent="0.25">
      <c r="F13" s="231" t="s">
        <v>160</v>
      </c>
      <c r="G13" s="231"/>
      <c r="H13" s="27" t="s">
        <v>161</v>
      </c>
    </row>
    <row r="14" spans="1:13" hidden="1" x14ac:dyDescent="0.25">
      <c r="A14" s="23"/>
      <c r="B14" s="23" t="s">
        <v>98</v>
      </c>
      <c r="C14" s="23" t="s">
        <v>102</v>
      </c>
      <c r="G14" s="23" t="s">
        <v>93</v>
      </c>
      <c r="H14" s="23" t="s">
        <v>95</v>
      </c>
      <c r="I14" s="23" t="s">
        <v>96</v>
      </c>
      <c r="J14" s="23" t="s">
        <v>60</v>
      </c>
      <c r="K14" s="23" t="s">
        <v>61</v>
      </c>
      <c r="L14" s="23" t="s">
        <v>97</v>
      </c>
      <c r="M14" s="23" t="s">
        <v>62</v>
      </c>
    </row>
    <row r="15" spans="1:13" hidden="1" x14ac:dyDescent="0.25">
      <c r="A15" s="23" t="s">
        <v>58</v>
      </c>
      <c r="B15" s="23">
        <f>G15</f>
        <v>10</v>
      </c>
      <c r="C15" s="23">
        <f>G16</f>
        <v>30</v>
      </c>
      <c r="E15" s="230" t="s">
        <v>98</v>
      </c>
      <c r="F15" s="230"/>
      <c r="G15" s="33">
        <f>C6</f>
        <v>10</v>
      </c>
      <c r="H15" s="33">
        <f>40/B7*C7</f>
        <v>40</v>
      </c>
      <c r="I15" s="33">
        <f>15/B8*C8</f>
        <v>15</v>
      </c>
      <c r="J15" s="33">
        <f>10/B9*C9</f>
        <v>10</v>
      </c>
      <c r="K15" s="33">
        <f>10/B10*C10</f>
        <v>10</v>
      </c>
      <c r="L15" s="33">
        <f>5/B11*C11</f>
        <v>1.1111111111111112</v>
      </c>
      <c r="M15" s="33">
        <f>5/B12*C12</f>
        <v>0</v>
      </c>
    </row>
    <row r="16" spans="1:13" hidden="1" x14ac:dyDescent="0.25">
      <c r="A16" s="23" t="s">
        <v>59</v>
      </c>
      <c r="B16" s="23">
        <f>H15</f>
        <v>40</v>
      </c>
      <c r="C16" s="23">
        <f>H16</f>
        <v>30</v>
      </c>
      <c r="E16" s="230" t="s">
        <v>100</v>
      </c>
      <c r="F16" s="230"/>
      <c r="G16" s="23">
        <f>G15+20</f>
        <v>30</v>
      </c>
      <c r="H16" s="23">
        <f>30/B7*C7</f>
        <v>30</v>
      </c>
      <c r="I16" s="23">
        <f>15/B8*C8</f>
        <v>15</v>
      </c>
      <c r="J16" s="23">
        <f>10/B9*C9</f>
        <v>10</v>
      </c>
      <c r="K16" s="23">
        <f>5/B10*C10</f>
        <v>5</v>
      </c>
      <c r="L16" s="23">
        <f>5/B11*C11</f>
        <v>1.1111111111111112</v>
      </c>
      <c r="M16" s="23">
        <f>5/B12*C12</f>
        <v>0</v>
      </c>
    </row>
    <row r="17" spans="1:13" hidden="1" x14ac:dyDescent="0.25">
      <c r="A17" s="23" t="s">
        <v>96</v>
      </c>
      <c r="B17" s="23">
        <f>I15</f>
        <v>15</v>
      </c>
      <c r="C17" s="23">
        <f>I16</f>
        <v>15</v>
      </c>
      <c r="M17" s="30"/>
    </row>
    <row r="18" spans="1:13" hidden="1" x14ac:dyDescent="0.25">
      <c r="A18" s="23" t="s">
        <v>60</v>
      </c>
      <c r="B18" s="23">
        <f>J15</f>
        <v>10</v>
      </c>
      <c r="C18" s="23">
        <f>J16</f>
        <v>10</v>
      </c>
      <c r="M18" s="30"/>
    </row>
    <row r="19" spans="1:13" hidden="1" x14ac:dyDescent="0.25">
      <c r="A19" s="23" t="s">
        <v>61</v>
      </c>
      <c r="B19" s="23">
        <f>K15</f>
        <v>10</v>
      </c>
      <c r="C19" s="23">
        <f>K16</f>
        <v>5</v>
      </c>
      <c r="M19" s="30"/>
    </row>
    <row r="20" spans="1:13" hidden="1" x14ac:dyDescent="0.25">
      <c r="A20" s="34" t="s">
        <v>97</v>
      </c>
      <c r="B20" s="23">
        <f>L15</f>
        <v>1.1111111111111112</v>
      </c>
      <c r="C20" s="23">
        <f>L16</f>
        <v>1.1111111111111112</v>
      </c>
      <c r="M20" s="30"/>
    </row>
    <row r="21" spans="1:13" hidden="1" x14ac:dyDescent="0.25">
      <c r="A21" s="23" t="s">
        <v>62</v>
      </c>
      <c r="B21" s="23">
        <f>M15</f>
        <v>0</v>
      </c>
      <c r="C21" s="23">
        <f>M16</f>
        <v>0</v>
      </c>
      <c r="M21" s="30"/>
    </row>
    <row r="22" spans="1:13" x14ac:dyDescent="0.25">
      <c r="A22" s="23" t="s">
        <v>103</v>
      </c>
      <c r="B22" s="35">
        <f>(B15+B16+B17+B18+B19+B20+B21)/100</f>
        <v>0.86111111111111116</v>
      </c>
      <c r="C22" s="35">
        <f>(C15+C16+C17+C18+C19+C20+C21)/100</f>
        <v>0.91111111111111109</v>
      </c>
      <c r="F22" s="231" t="s">
        <v>162</v>
      </c>
      <c r="G22" s="231"/>
      <c r="H22" s="27" t="s">
        <v>153</v>
      </c>
      <c r="M22" s="30"/>
    </row>
    <row r="23" spans="1:13" x14ac:dyDescent="0.25">
      <c r="F23" s="231" t="s">
        <v>163</v>
      </c>
      <c r="G23" s="231"/>
      <c r="H23" s="27" t="s">
        <v>164</v>
      </c>
    </row>
    <row r="24" spans="1:13" x14ac:dyDescent="0.25">
      <c r="A24" s="36" t="s">
        <v>134</v>
      </c>
      <c r="B24" s="37">
        <v>0.01</v>
      </c>
      <c r="C24" s="37">
        <v>0.02</v>
      </c>
      <c r="F24" s="231" t="s">
        <v>165</v>
      </c>
      <c r="G24" s="231"/>
      <c r="H24" s="27" t="s">
        <v>166</v>
      </c>
    </row>
    <row r="25" spans="1:13" x14ac:dyDescent="0.25">
      <c r="A25" s="36" t="s">
        <v>135</v>
      </c>
      <c r="B25" s="37">
        <v>0.01</v>
      </c>
      <c r="C25" s="37">
        <v>0.03</v>
      </c>
    </row>
    <row r="26" spans="1:13" x14ac:dyDescent="0.25">
      <c r="A26" s="36" t="s">
        <v>136</v>
      </c>
      <c r="B26" s="37">
        <v>0.03</v>
      </c>
      <c r="C26" s="37">
        <v>0.08</v>
      </c>
    </row>
    <row r="27" spans="1:13" x14ac:dyDescent="0.25">
      <c r="A27" s="36" t="s">
        <v>137</v>
      </c>
      <c r="B27" s="37">
        <v>0.05</v>
      </c>
      <c r="C27" s="37">
        <v>0.15</v>
      </c>
    </row>
    <row r="28" spans="1:13" x14ac:dyDescent="0.25">
      <c r="A28" s="36" t="s">
        <v>138</v>
      </c>
      <c r="B28" s="37">
        <v>7.0000000000000007E-2</v>
      </c>
      <c r="C28" s="37">
        <v>0.2</v>
      </c>
    </row>
    <row r="29" spans="1:13" x14ac:dyDescent="0.25">
      <c r="A29" s="36" t="s">
        <v>139</v>
      </c>
      <c r="B29" s="37">
        <v>0.1</v>
      </c>
      <c r="C29" s="37">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9" sqref="C9"/>
    </sheetView>
  </sheetViews>
  <sheetFormatPr defaultRowHeight="15" x14ac:dyDescent="0.25"/>
  <cols>
    <col min="1" max="1" width="20.5703125" style="22" customWidth="1"/>
    <col min="2" max="2" width="11.7109375" style="22" customWidth="1"/>
    <col min="3" max="4" width="9.140625" style="22"/>
    <col min="5" max="5" width="10.140625" style="22" customWidth="1"/>
    <col min="6" max="6" width="10.7109375" style="22" customWidth="1"/>
    <col min="7" max="7" width="9.140625" style="22"/>
    <col min="8" max="8" width="10.42578125" style="22" customWidth="1"/>
    <col min="9" max="9" width="15.42578125" style="22" customWidth="1"/>
    <col min="10" max="258" width="9.140625" style="22"/>
    <col min="259" max="259" width="11.7109375" style="22" customWidth="1"/>
    <col min="260" max="260" width="9.140625" style="22"/>
    <col min="261" max="261" width="14.7109375" style="22" customWidth="1"/>
    <col min="262" max="262" width="10.7109375" style="22" customWidth="1"/>
    <col min="263" max="514" width="9.140625" style="22"/>
    <col min="515" max="515" width="11.7109375" style="22" customWidth="1"/>
    <col min="516" max="516" width="9.140625" style="22"/>
    <col min="517" max="517" width="14.7109375" style="22" customWidth="1"/>
    <col min="518" max="518" width="10.7109375" style="22" customWidth="1"/>
    <col min="519" max="770" width="9.140625" style="22"/>
    <col min="771" max="771" width="11.7109375" style="22" customWidth="1"/>
    <col min="772" max="772" width="9.140625" style="22"/>
    <col min="773" max="773" width="14.7109375" style="22" customWidth="1"/>
    <col min="774" max="774" width="10.7109375" style="22" customWidth="1"/>
    <col min="775" max="1026" width="9.140625" style="22"/>
    <col min="1027" max="1027" width="11.7109375" style="22" customWidth="1"/>
    <col min="1028" max="1028" width="9.140625" style="22"/>
    <col min="1029" max="1029" width="14.7109375" style="22" customWidth="1"/>
    <col min="1030" max="1030" width="10.7109375" style="22" customWidth="1"/>
    <col min="1031" max="1282" width="9.140625" style="22"/>
    <col min="1283" max="1283" width="11.7109375" style="22" customWidth="1"/>
    <col min="1284" max="1284" width="9.140625" style="22"/>
    <col min="1285" max="1285" width="14.7109375" style="22" customWidth="1"/>
    <col min="1286" max="1286" width="10.7109375" style="22" customWidth="1"/>
    <col min="1287" max="1538" width="9.140625" style="22"/>
    <col min="1539" max="1539" width="11.7109375" style="22" customWidth="1"/>
    <col min="1540" max="1540" width="9.140625" style="22"/>
    <col min="1541" max="1541" width="14.7109375" style="22" customWidth="1"/>
    <col min="1542" max="1542" width="10.7109375" style="22" customWidth="1"/>
    <col min="1543" max="1794" width="9.140625" style="22"/>
    <col min="1795" max="1795" width="11.7109375" style="22" customWidth="1"/>
    <col min="1796" max="1796" width="9.140625" style="22"/>
    <col min="1797" max="1797" width="14.7109375" style="22" customWidth="1"/>
    <col min="1798" max="1798" width="10.7109375" style="22" customWidth="1"/>
    <col min="1799" max="2050" width="9.140625" style="22"/>
    <col min="2051" max="2051" width="11.7109375" style="22" customWidth="1"/>
    <col min="2052" max="2052" width="9.140625" style="22"/>
    <col min="2053" max="2053" width="14.7109375" style="22" customWidth="1"/>
    <col min="2054" max="2054" width="10.7109375" style="22" customWidth="1"/>
    <col min="2055" max="2306" width="9.140625" style="22"/>
    <col min="2307" max="2307" width="11.7109375" style="22" customWidth="1"/>
    <col min="2308" max="2308" width="9.140625" style="22"/>
    <col min="2309" max="2309" width="14.7109375" style="22" customWidth="1"/>
    <col min="2310" max="2310" width="10.7109375" style="22" customWidth="1"/>
    <col min="2311" max="2562" width="9.140625" style="22"/>
    <col min="2563" max="2563" width="11.7109375" style="22" customWidth="1"/>
    <col min="2564" max="2564" width="9.140625" style="22"/>
    <col min="2565" max="2565" width="14.7109375" style="22" customWidth="1"/>
    <col min="2566" max="2566" width="10.7109375" style="22" customWidth="1"/>
    <col min="2567" max="2818" width="9.140625" style="22"/>
    <col min="2819" max="2819" width="11.7109375" style="22" customWidth="1"/>
    <col min="2820" max="2820" width="9.140625" style="22"/>
    <col min="2821" max="2821" width="14.7109375" style="22" customWidth="1"/>
    <col min="2822" max="2822" width="10.7109375" style="22" customWidth="1"/>
    <col min="2823" max="3074" width="9.140625" style="22"/>
    <col min="3075" max="3075" width="11.7109375" style="22" customWidth="1"/>
    <col min="3076" max="3076" width="9.140625" style="22"/>
    <col min="3077" max="3077" width="14.7109375" style="22" customWidth="1"/>
    <col min="3078" max="3078" width="10.7109375" style="22" customWidth="1"/>
    <col min="3079" max="3330" width="9.140625" style="22"/>
    <col min="3331" max="3331" width="11.7109375" style="22" customWidth="1"/>
    <col min="3332" max="3332" width="9.140625" style="22"/>
    <col min="3333" max="3333" width="14.7109375" style="22" customWidth="1"/>
    <col min="3334" max="3334" width="10.7109375" style="22" customWidth="1"/>
    <col min="3335" max="3586" width="9.140625" style="22"/>
    <col min="3587" max="3587" width="11.7109375" style="22" customWidth="1"/>
    <col min="3588" max="3588" width="9.140625" style="22"/>
    <col min="3589" max="3589" width="14.7109375" style="22" customWidth="1"/>
    <col min="3590" max="3590" width="10.7109375" style="22" customWidth="1"/>
    <col min="3591" max="3842" width="9.140625" style="22"/>
    <col min="3843" max="3843" width="11.7109375" style="22" customWidth="1"/>
    <col min="3844" max="3844" width="9.140625" style="22"/>
    <col min="3845" max="3845" width="14.7109375" style="22" customWidth="1"/>
    <col min="3846" max="3846" width="10.7109375" style="22" customWidth="1"/>
    <col min="3847" max="4098" width="9.140625" style="22"/>
    <col min="4099" max="4099" width="11.7109375" style="22" customWidth="1"/>
    <col min="4100" max="4100" width="9.140625" style="22"/>
    <col min="4101" max="4101" width="14.7109375" style="22" customWidth="1"/>
    <col min="4102" max="4102" width="10.7109375" style="22" customWidth="1"/>
    <col min="4103" max="4354" width="9.140625" style="22"/>
    <col min="4355" max="4355" width="11.7109375" style="22" customWidth="1"/>
    <col min="4356" max="4356" width="9.140625" style="22"/>
    <col min="4357" max="4357" width="14.7109375" style="22" customWidth="1"/>
    <col min="4358" max="4358" width="10.7109375" style="22" customWidth="1"/>
    <col min="4359" max="4610" width="9.140625" style="22"/>
    <col min="4611" max="4611" width="11.7109375" style="22" customWidth="1"/>
    <col min="4612" max="4612" width="9.140625" style="22"/>
    <col min="4613" max="4613" width="14.7109375" style="22" customWidth="1"/>
    <col min="4614" max="4614" width="10.7109375" style="22" customWidth="1"/>
    <col min="4615" max="4866" width="9.140625" style="22"/>
    <col min="4867" max="4867" width="11.7109375" style="22" customWidth="1"/>
    <col min="4868" max="4868" width="9.140625" style="22"/>
    <col min="4869" max="4869" width="14.7109375" style="22" customWidth="1"/>
    <col min="4870" max="4870" width="10.7109375" style="22" customWidth="1"/>
    <col min="4871" max="5122" width="9.140625" style="22"/>
    <col min="5123" max="5123" width="11.7109375" style="22" customWidth="1"/>
    <col min="5124" max="5124" width="9.140625" style="22"/>
    <col min="5125" max="5125" width="14.7109375" style="22" customWidth="1"/>
    <col min="5126" max="5126" width="10.7109375" style="22" customWidth="1"/>
    <col min="5127" max="5378" width="9.140625" style="22"/>
    <col min="5379" max="5379" width="11.7109375" style="22" customWidth="1"/>
    <col min="5380" max="5380" width="9.140625" style="22"/>
    <col min="5381" max="5381" width="14.7109375" style="22" customWidth="1"/>
    <col min="5382" max="5382" width="10.7109375" style="22" customWidth="1"/>
    <col min="5383" max="5634" width="9.140625" style="22"/>
    <col min="5635" max="5635" width="11.7109375" style="22" customWidth="1"/>
    <col min="5636" max="5636" width="9.140625" style="22"/>
    <col min="5637" max="5637" width="14.7109375" style="22" customWidth="1"/>
    <col min="5638" max="5638" width="10.7109375" style="22" customWidth="1"/>
    <col min="5639" max="5890" width="9.140625" style="22"/>
    <col min="5891" max="5891" width="11.7109375" style="22" customWidth="1"/>
    <col min="5892" max="5892" width="9.140625" style="22"/>
    <col min="5893" max="5893" width="14.7109375" style="22" customWidth="1"/>
    <col min="5894" max="5894" width="10.7109375" style="22" customWidth="1"/>
    <col min="5895" max="6146" width="9.140625" style="22"/>
    <col min="6147" max="6147" width="11.7109375" style="22" customWidth="1"/>
    <col min="6148" max="6148" width="9.140625" style="22"/>
    <col min="6149" max="6149" width="14.7109375" style="22" customWidth="1"/>
    <col min="6150" max="6150" width="10.7109375" style="22" customWidth="1"/>
    <col min="6151" max="6402" width="9.140625" style="22"/>
    <col min="6403" max="6403" width="11.7109375" style="22" customWidth="1"/>
    <col min="6404" max="6404" width="9.140625" style="22"/>
    <col min="6405" max="6405" width="14.7109375" style="22" customWidth="1"/>
    <col min="6406" max="6406" width="10.7109375" style="22" customWidth="1"/>
    <col min="6407" max="6658" width="9.140625" style="22"/>
    <col min="6659" max="6659" width="11.7109375" style="22" customWidth="1"/>
    <col min="6660" max="6660" width="9.140625" style="22"/>
    <col min="6661" max="6661" width="14.7109375" style="22" customWidth="1"/>
    <col min="6662" max="6662" width="10.7109375" style="22" customWidth="1"/>
    <col min="6663" max="6914" width="9.140625" style="22"/>
    <col min="6915" max="6915" width="11.7109375" style="22" customWidth="1"/>
    <col min="6916" max="6916" width="9.140625" style="22"/>
    <col min="6917" max="6917" width="14.7109375" style="22" customWidth="1"/>
    <col min="6918" max="6918" width="10.7109375" style="22" customWidth="1"/>
    <col min="6919" max="7170" width="9.140625" style="22"/>
    <col min="7171" max="7171" width="11.7109375" style="22" customWidth="1"/>
    <col min="7172" max="7172" width="9.140625" style="22"/>
    <col min="7173" max="7173" width="14.7109375" style="22" customWidth="1"/>
    <col min="7174" max="7174" width="10.7109375" style="22" customWidth="1"/>
    <col min="7175" max="7426" width="9.140625" style="22"/>
    <col min="7427" max="7427" width="11.7109375" style="22" customWidth="1"/>
    <col min="7428" max="7428" width="9.140625" style="22"/>
    <col min="7429" max="7429" width="14.7109375" style="22" customWidth="1"/>
    <col min="7430" max="7430" width="10.7109375" style="22" customWidth="1"/>
    <col min="7431" max="7682" width="9.140625" style="22"/>
    <col min="7683" max="7683" width="11.7109375" style="22" customWidth="1"/>
    <col min="7684" max="7684" width="9.140625" style="22"/>
    <col min="7685" max="7685" width="14.7109375" style="22" customWidth="1"/>
    <col min="7686" max="7686" width="10.7109375" style="22" customWidth="1"/>
    <col min="7687" max="7938" width="9.140625" style="22"/>
    <col min="7939" max="7939" width="11.7109375" style="22" customWidth="1"/>
    <col min="7940" max="7940" width="9.140625" style="22"/>
    <col min="7941" max="7941" width="14.7109375" style="22" customWidth="1"/>
    <col min="7942" max="7942" width="10.7109375" style="22" customWidth="1"/>
    <col min="7943" max="8194" width="9.140625" style="22"/>
    <col min="8195" max="8195" width="11.7109375" style="22" customWidth="1"/>
    <col min="8196" max="8196" width="9.140625" style="22"/>
    <col min="8197" max="8197" width="14.7109375" style="22" customWidth="1"/>
    <col min="8198" max="8198" width="10.7109375" style="22" customWidth="1"/>
    <col min="8199" max="8450" width="9.140625" style="22"/>
    <col min="8451" max="8451" width="11.7109375" style="22" customWidth="1"/>
    <col min="8452" max="8452" width="9.140625" style="22"/>
    <col min="8453" max="8453" width="14.7109375" style="22" customWidth="1"/>
    <col min="8454" max="8454" width="10.7109375" style="22" customWidth="1"/>
    <col min="8455" max="8706" width="9.140625" style="22"/>
    <col min="8707" max="8707" width="11.7109375" style="22" customWidth="1"/>
    <col min="8708" max="8708" width="9.140625" style="22"/>
    <col min="8709" max="8709" width="14.7109375" style="22" customWidth="1"/>
    <col min="8710" max="8710" width="10.7109375" style="22" customWidth="1"/>
    <col min="8711" max="8962" width="9.140625" style="22"/>
    <col min="8963" max="8963" width="11.7109375" style="22" customWidth="1"/>
    <col min="8964" max="8964" width="9.140625" style="22"/>
    <col min="8965" max="8965" width="14.7109375" style="22" customWidth="1"/>
    <col min="8966" max="8966" width="10.7109375" style="22" customWidth="1"/>
    <col min="8967" max="9218" width="9.140625" style="22"/>
    <col min="9219" max="9219" width="11.7109375" style="22" customWidth="1"/>
    <col min="9220" max="9220" width="9.140625" style="22"/>
    <col min="9221" max="9221" width="14.7109375" style="22" customWidth="1"/>
    <col min="9222" max="9222" width="10.7109375" style="22" customWidth="1"/>
    <col min="9223" max="9474" width="9.140625" style="22"/>
    <col min="9475" max="9475" width="11.7109375" style="22" customWidth="1"/>
    <col min="9476" max="9476" width="9.140625" style="22"/>
    <col min="9477" max="9477" width="14.7109375" style="22" customWidth="1"/>
    <col min="9478" max="9478" width="10.7109375" style="22" customWidth="1"/>
    <col min="9479" max="9730" width="9.140625" style="22"/>
    <col min="9731" max="9731" width="11.7109375" style="22" customWidth="1"/>
    <col min="9732" max="9732" width="9.140625" style="22"/>
    <col min="9733" max="9733" width="14.7109375" style="22" customWidth="1"/>
    <col min="9734" max="9734" width="10.7109375" style="22" customWidth="1"/>
    <col min="9735" max="9986" width="9.140625" style="22"/>
    <col min="9987" max="9987" width="11.7109375" style="22" customWidth="1"/>
    <col min="9988" max="9988" width="9.140625" style="22"/>
    <col min="9989" max="9989" width="14.7109375" style="22" customWidth="1"/>
    <col min="9990" max="9990" width="10.7109375" style="22" customWidth="1"/>
    <col min="9991" max="10242" width="9.140625" style="22"/>
    <col min="10243" max="10243" width="11.7109375" style="22" customWidth="1"/>
    <col min="10244" max="10244" width="9.140625" style="22"/>
    <col min="10245" max="10245" width="14.7109375" style="22" customWidth="1"/>
    <col min="10246" max="10246" width="10.7109375" style="22" customWidth="1"/>
    <col min="10247" max="10498" width="9.140625" style="22"/>
    <col min="10499" max="10499" width="11.7109375" style="22" customWidth="1"/>
    <col min="10500" max="10500" width="9.140625" style="22"/>
    <col min="10501" max="10501" width="14.7109375" style="22" customWidth="1"/>
    <col min="10502" max="10502" width="10.7109375" style="22" customWidth="1"/>
    <col min="10503" max="10754" width="9.140625" style="22"/>
    <col min="10755" max="10755" width="11.7109375" style="22" customWidth="1"/>
    <col min="10756" max="10756" width="9.140625" style="22"/>
    <col min="10757" max="10757" width="14.7109375" style="22" customWidth="1"/>
    <col min="10758" max="10758" width="10.7109375" style="22" customWidth="1"/>
    <col min="10759" max="11010" width="9.140625" style="22"/>
    <col min="11011" max="11011" width="11.7109375" style="22" customWidth="1"/>
    <col min="11012" max="11012" width="9.140625" style="22"/>
    <col min="11013" max="11013" width="14.7109375" style="22" customWidth="1"/>
    <col min="11014" max="11014" width="10.7109375" style="22" customWidth="1"/>
    <col min="11015" max="11266" width="9.140625" style="22"/>
    <col min="11267" max="11267" width="11.7109375" style="22" customWidth="1"/>
    <col min="11268" max="11268" width="9.140625" style="22"/>
    <col min="11269" max="11269" width="14.7109375" style="22" customWidth="1"/>
    <col min="11270" max="11270" width="10.7109375" style="22" customWidth="1"/>
    <col min="11271" max="11522" width="9.140625" style="22"/>
    <col min="11523" max="11523" width="11.7109375" style="22" customWidth="1"/>
    <col min="11524" max="11524" width="9.140625" style="22"/>
    <col min="11525" max="11525" width="14.7109375" style="22" customWidth="1"/>
    <col min="11526" max="11526" width="10.7109375" style="22" customWidth="1"/>
    <col min="11527" max="11778" width="9.140625" style="22"/>
    <col min="11779" max="11779" width="11.7109375" style="22" customWidth="1"/>
    <col min="11780" max="11780" width="9.140625" style="22"/>
    <col min="11781" max="11781" width="14.7109375" style="22" customWidth="1"/>
    <col min="11782" max="11782" width="10.7109375" style="22" customWidth="1"/>
    <col min="11783" max="12034" width="9.140625" style="22"/>
    <col min="12035" max="12035" width="11.7109375" style="22" customWidth="1"/>
    <col min="12036" max="12036" width="9.140625" style="22"/>
    <col min="12037" max="12037" width="14.7109375" style="22" customWidth="1"/>
    <col min="12038" max="12038" width="10.7109375" style="22" customWidth="1"/>
    <col min="12039" max="12290" width="9.140625" style="22"/>
    <col min="12291" max="12291" width="11.7109375" style="22" customWidth="1"/>
    <col min="12292" max="12292" width="9.140625" style="22"/>
    <col min="12293" max="12293" width="14.7109375" style="22" customWidth="1"/>
    <col min="12294" max="12294" width="10.7109375" style="22" customWidth="1"/>
    <col min="12295" max="12546" width="9.140625" style="22"/>
    <col min="12547" max="12547" width="11.7109375" style="22" customWidth="1"/>
    <col min="12548" max="12548" width="9.140625" style="22"/>
    <col min="12549" max="12549" width="14.7109375" style="22" customWidth="1"/>
    <col min="12550" max="12550" width="10.7109375" style="22" customWidth="1"/>
    <col min="12551" max="12802" width="9.140625" style="22"/>
    <col min="12803" max="12803" width="11.7109375" style="22" customWidth="1"/>
    <col min="12804" max="12804" width="9.140625" style="22"/>
    <col min="12805" max="12805" width="14.7109375" style="22" customWidth="1"/>
    <col min="12806" max="12806" width="10.7109375" style="22" customWidth="1"/>
    <col min="12807" max="13058" width="9.140625" style="22"/>
    <col min="13059" max="13059" width="11.7109375" style="22" customWidth="1"/>
    <col min="13060" max="13060" width="9.140625" style="22"/>
    <col min="13061" max="13061" width="14.7109375" style="22" customWidth="1"/>
    <col min="13062" max="13062" width="10.7109375" style="22" customWidth="1"/>
    <col min="13063" max="13314" width="9.140625" style="22"/>
    <col min="13315" max="13315" width="11.7109375" style="22" customWidth="1"/>
    <col min="13316" max="13316" width="9.140625" style="22"/>
    <col min="13317" max="13317" width="14.7109375" style="22" customWidth="1"/>
    <col min="13318" max="13318" width="10.7109375" style="22" customWidth="1"/>
    <col min="13319" max="13570" width="9.140625" style="22"/>
    <col min="13571" max="13571" width="11.7109375" style="22" customWidth="1"/>
    <col min="13572" max="13572" width="9.140625" style="22"/>
    <col min="13573" max="13573" width="14.7109375" style="22" customWidth="1"/>
    <col min="13574" max="13574" width="10.7109375" style="22" customWidth="1"/>
    <col min="13575" max="13826" width="9.140625" style="22"/>
    <col min="13827" max="13827" width="11.7109375" style="22" customWidth="1"/>
    <col min="13828" max="13828" width="9.140625" style="22"/>
    <col min="13829" max="13829" width="14.7109375" style="22" customWidth="1"/>
    <col min="13830" max="13830" width="10.7109375" style="22" customWidth="1"/>
    <col min="13831" max="14082" width="9.140625" style="22"/>
    <col min="14083" max="14083" width="11.7109375" style="22" customWidth="1"/>
    <col min="14084" max="14084" width="9.140625" style="22"/>
    <col min="14085" max="14085" width="14.7109375" style="22" customWidth="1"/>
    <col min="14086" max="14086" width="10.7109375" style="22" customWidth="1"/>
    <col min="14087" max="14338" width="9.140625" style="22"/>
    <col min="14339" max="14339" width="11.7109375" style="22" customWidth="1"/>
    <col min="14340" max="14340" width="9.140625" style="22"/>
    <col min="14341" max="14341" width="14.7109375" style="22" customWidth="1"/>
    <col min="14342" max="14342" width="10.7109375" style="22" customWidth="1"/>
    <col min="14343" max="14594" width="9.140625" style="22"/>
    <col min="14595" max="14595" width="11.7109375" style="22" customWidth="1"/>
    <col min="14596" max="14596" width="9.140625" style="22"/>
    <col min="14597" max="14597" width="14.7109375" style="22" customWidth="1"/>
    <col min="14598" max="14598" width="10.7109375" style="22" customWidth="1"/>
    <col min="14599" max="14850" width="9.140625" style="22"/>
    <col min="14851" max="14851" width="11.7109375" style="22" customWidth="1"/>
    <col min="14852" max="14852" width="9.140625" style="22"/>
    <col min="14853" max="14853" width="14.7109375" style="22" customWidth="1"/>
    <col min="14854" max="14854" width="10.7109375" style="22" customWidth="1"/>
    <col min="14855" max="15106" width="9.140625" style="22"/>
    <col min="15107" max="15107" width="11.7109375" style="22" customWidth="1"/>
    <col min="15108" max="15108" width="9.140625" style="22"/>
    <col min="15109" max="15109" width="14.7109375" style="22" customWidth="1"/>
    <col min="15110" max="15110" width="10.7109375" style="22" customWidth="1"/>
    <col min="15111" max="15362" width="9.140625" style="22"/>
    <col min="15363" max="15363" width="11.7109375" style="22" customWidth="1"/>
    <col min="15364" max="15364" width="9.140625" style="22"/>
    <col min="15365" max="15365" width="14.7109375" style="22" customWidth="1"/>
    <col min="15366" max="15366" width="10.7109375" style="22" customWidth="1"/>
    <col min="15367" max="15618" width="9.140625" style="22"/>
    <col min="15619" max="15619" width="11.7109375" style="22" customWidth="1"/>
    <col min="15620" max="15620" width="9.140625" style="22"/>
    <col min="15621" max="15621" width="14.7109375" style="22" customWidth="1"/>
    <col min="15622" max="15622" width="10.7109375" style="22" customWidth="1"/>
    <col min="15623" max="15874" width="9.140625" style="22"/>
    <col min="15875" max="15875" width="11.7109375" style="22" customWidth="1"/>
    <col min="15876" max="15876" width="9.140625" style="22"/>
    <col min="15877" max="15877" width="14.7109375" style="22" customWidth="1"/>
    <col min="15878" max="15878" width="10.7109375" style="22" customWidth="1"/>
    <col min="15879" max="16130" width="9.140625" style="22"/>
    <col min="16131" max="16131" width="11.7109375" style="22" customWidth="1"/>
    <col min="16132" max="16132" width="9.140625" style="22"/>
    <col min="16133" max="16133" width="14.7109375" style="22" customWidth="1"/>
    <col min="16134" max="16134" width="10.7109375" style="22" customWidth="1"/>
    <col min="16135" max="16384" width="9.140625" style="22"/>
  </cols>
  <sheetData>
    <row r="2" spans="1:13" x14ac:dyDescent="0.25">
      <c r="A2" s="23" t="s">
        <v>127</v>
      </c>
      <c r="B2" s="23" t="s">
        <v>128</v>
      </c>
      <c r="C2" s="23" t="s">
        <v>129</v>
      </c>
      <c r="D2" s="230" t="s">
        <v>130</v>
      </c>
      <c r="E2" s="230"/>
    </row>
    <row r="3" spans="1:13" x14ac:dyDescent="0.25">
      <c r="A3" s="26">
        <v>0</v>
      </c>
      <c r="B3" s="26">
        <v>0</v>
      </c>
      <c r="C3" s="26">
        <v>1</v>
      </c>
      <c r="D3" s="232">
        <v>9</v>
      </c>
      <c r="E3" s="232"/>
    </row>
    <row r="5" spans="1:13" hidden="1" x14ac:dyDescent="0.25">
      <c r="A5" s="22" t="s">
        <v>92</v>
      </c>
      <c r="B5" s="24" t="s">
        <v>147</v>
      </c>
      <c r="C5" s="24">
        <f>D3</f>
        <v>9</v>
      </c>
      <c r="D5" s="25"/>
    </row>
    <row r="6" spans="1:13" x14ac:dyDescent="0.25">
      <c r="A6" s="22" t="s">
        <v>93</v>
      </c>
      <c r="B6" s="43">
        <v>10</v>
      </c>
      <c r="C6" s="44">
        <v>10</v>
      </c>
      <c r="D6" s="29">
        <f>((100/B6)*C6)/100</f>
        <v>1</v>
      </c>
      <c r="E6" s="30"/>
      <c r="J6" s="30"/>
    </row>
    <row r="7" spans="1:13" x14ac:dyDescent="0.25">
      <c r="A7" s="22" t="s">
        <v>94</v>
      </c>
      <c r="B7" s="43">
        <f>A3+B3+C3+D3</f>
        <v>10</v>
      </c>
      <c r="C7" s="44">
        <v>10</v>
      </c>
      <c r="D7" s="29">
        <f t="shared" ref="D7:D12" si="0">((100/B7)*C7)/100</f>
        <v>1</v>
      </c>
      <c r="F7" s="233" t="s">
        <v>148</v>
      </c>
      <c r="G7" s="233"/>
      <c r="H7" s="45" t="s">
        <v>149</v>
      </c>
      <c r="J7" s="38"/>
    </row>
    <row r="8" spans="1:13" x14ac:dyDescent="0.25">
      <c r="A8" s="22" t="s">
        <v>99</v>
      </c>
      <c r="B8" s="43">
        <f>C5</f>
        <v>9</v>
      </c>
      <c r="C8" s="44">
        <v>7</v>
      </c>
      <c r="D8" s="29">
        <f t="shared" si="0"/>
        <v>0.77777777777777768</v>
      </c>
      <c r="E8" s="30"/>
      <c r="F8" s="231" t="s">
        <v>150</v>
      </c>
      <c r="G8" s="231"/>
      <c r="H8" s="43" t="s">
        <v>151</v>
      </c>
      <c r="J8" s="30"/>
    </row>
    <row r="9" spans="1:13" x14ac:dyDescent="0.25">
      <c r="A9" s="22" t="s">
        <v>101</v>
      </c>
      <c r="B9" s="43">
        <f>C5</f>
        <v>9</v>
      </c>
      <c r="C9" s="44">
        <v>0</v>
      </c>
      <c r="D9" s="29">
        <f t="shared" si="0"/>
        <v>0</v>
      </c>
      <c r="E9" s="30"/>
      <c r="F9" s="231" t="s">
        <v>152</v>
      </c>
      <c r="G9" s="231"/>
      <c r="H9" s="43" t="s">
        <v>153</v>
      </c>
      <c r="J9" s="30"/>
    </row>
    <row r="10" spans="1:13" x14ac:dyDescent="0.25">
      <c r="A10" s="22" t="s">
        <v>61</v>
      </c>
      <c r="B10" s="43">
        <f>C5</f>
        <v>9</v>
      </c>
      <c r="C10" s="44">
        <v>0</v>
      </c>
      <c r="D10" s="29">
        <f t="shared" si="0"/>
        <v>0</v>
      </c>
      <c r="E10" s="30"/>
      <c r="F10" s="231" t="s">
        <v>154</v>
      </c>
      <c r="G10" s="231"/>
      <c r="H10" s="43" t="s">
        <v>155</v>
      </c>
      <c r="J10" s="30"/>
    </row>
    <row r="11" spans="1:13" x14ac:dyDescent="0.25">
      <c r="A11" s="32" t="s">
        <v>97</v>
      </c>
      <c r="B11" s="43">
        <f>C5</f>
        <v>9</v>
      </c>
      <c r="C11" s="44">
        <v>0</v>
      </c>
      <c r="D11" s="29">
        <f t="shared" si="0"/>
        <v>0</v>
      </c>
      <c r="E11" s="30"/>
      <c r="F11" s="231" t="s">
        <v>156</v>
      </c>
      <c r="G11" s="231"/>
      <c r="H11" s="43" t="s">
        <v>157</v>
      </c>
    </row>
    <row r="12" spans="1:13" x14ac:dyDescent="0.25">
      <c r="A12" s="22" t="s">
        <v>62</v>
      </c>
      <c r="B12" s="43">
        <f>C5</f>
        <v>9</v>
      </c>
      <c r="C12" s="44">
        <v>0</v>
      </c>
      <c r="D12" s="29">
        <f t="shared" si="0"/>
        <v>0</v>
      </c>
      <c r="E12" s="30"/>
      <c r="F12" s="231" t="s">
        <v>158</v>
      </c>
      <c r="G12" s="231"/>
      <c r="H12" s="43" t="s">
        <v>159</v>
      </c>
    </row>
    <row r="13" spans="1:13" x14ac:dyDescent="0.25">
      <c r="F13" s="231" t="s">
        <v>160</v>
      </c>
      <c r="G13" s="231"/>
      <c r="H13" s="43" t="s">
        <v>161</v>
      </c>
    </row>
    <row r="14" spans="1:13" hidden="1" x14ac:dyDescent="0.25">
      <c r="A14" s="23"/>
      <c r="B14" s="23" t="s">
        <v>98</v>
      </c>
      <c r="C14" s="23" t="s">
        <v>102</v>
      </c>
      <c r="G14" s="23" t="s">
        <v>93</v>
      </c>
      <c r="H14" s="23" t="s">
        <v>95</v>
      </c>
      <c r="I14" s="23" t="s">
        <v>96</v>
      </c>
      <c r="J14" s="23" t="s">
        <v>60</v>
      </c>
      <c r="K14" s="23" t="s">
        <v>61</v>
      </c>
      <c r="L14" s="23" t="s">
        <v>97</v>
      </c>
      <c r="M14" s="23" t="s">
        <v>62</v>
      </c>
    </row>
    <row r="15" spans="1:13" hidden="1" x14ac:dyDescent="0.25">
      <c r="A15" s="23" t="s">
        <v>58</v>
      </c>
      <c r="B15" s="23">
        <f>G15</f>
        <v>10</v>
      </c>
      <c r="C15" s="23">
        <f>G16</f>
        <v>30</v>
      </c>
      <c r="E15" s="230" t="s">
        <v>98</v>
      </c>
      <c r="F15" s="230"/>
      <c r="G15" s="33">
        <f>C6</f>
        <v>10</v>
      </c>
      <c r="H15" s="33">
        <f>40/B7*C7</f>
        <v>40</v>
      </c>
      <c r="I15" s="33">
        <f>15/B8*C8</f>
        <v>11.666666666666668</v>
      </c>
      <c r="J15" s="33">
        <f>10/B9*C9</f>
        <v>0</v>
      </c>
      <c r="K15" s="33">
        <f>10/B10*C10</f>
        <v>0</v>
      </c>
      <c r="L15" s="33">
        <f>5/B11*C11</f>
        <v>0</v>
      </c>
      <c r="M15" s="33">
        <f>5/B12*C12</f>
        <v>0</v>
      </c>
    </row>
    <row r="16" spans="1:13" hidden="1" x14ac:dyDescent="0.25">
      <c r="A16" s="23" t="s">
        <v>59</v>
      </c>
      <c r="B16" s="23">
        <f>H15</f>
        <v>40</v>
      </c>
      <c r="C16" s="23">
        <f>H16</f>
        <v>30</v>
      </c>
      <c r="E16" s="230" t="s">
        <v>100</v>
      </c>
      <c r="F16" s="230"/>
      <c r="G16" s="23">
        <f>G15+20</f>
        <v>30</v>
      </c>
      <c r="H16" s="23">
        <f>30/B7*C7</f>
        <v>30</v>
      </c>
      <c r="I16" s="23">
        <f>15/B8*C8</f>
        <v>11.666666666666668</v>
      </c>
      <c r="J16" s="23">
        <f>10/B9*C9</f>
        <v>0</v>
      </c>
      <c r="K16" s="23">
        <f>5/B10*C10</f>
        <v>0</v>
      </c>
      <c r="L16" s="23">
        <f>5/B11*C11</f>
        <v>0</v>
      </c>
      <c r="M16" s="23">
        <f>5/B12*C12</f>
        <v>0</v>
      </c>
    </row>
    <row r="17" spans="1:13" hidden="1" x14ac:dyDescent="0.25">
      <c r="A17" s="23" t="s">
        <v>96</v>
      </c>
      <c r="B17" s="23">
        <f>I15</f>
        <v>11.666666666666668</v>
      </c>
      <c r="C17" s="23">
        <f>I16</f>
        <v>11.666666666666668</v>
      </c>
      <c r="M17" s="30"/>
    </row>
    <row r="18" spans="1:13" hidden="1" x14ac:dyDescent="0.25">
      <c r="A18" s="23" t="s">
        <v>60</v>
      </c>
      <c r="B18" s="23">
        <f>J15</f>
        <v>0</v>
      </c>
      <c r="C18" s="23">
        <f>J16</f>
        <v>0</v>
      </c>
      <c r="M18" s="30"/>
    </row>
    <row r="19" spans="1:13" hidden="1" x14ac:dyDescent="0.25">
      <c r="A19" s="23" t="s">
        <v>61</v>
      </c>
      <c r="B19" s="23">
        <f>K15</f>
        <v>0</v>
      </c>
      <c r="C19" s="23">
        <f>K16</f>
        <v>0</v>
      </c>
      <c r="M19" s="30"/>
    </row>
    <row r="20" spans="1:13" hidden="1" x14ac:dyDescent="0.25">
      <c r="A20" s="34" t="s">
        <v>97</v>
      </c>
      <c r="B20" s="23">
        <f>L15</f>
        <v>0</v>
      </c>
      <c r="C20" s="23">
        <f>L16</f>
        <v>0</v>
      </c>
      <c r="M20" s="30"/>
    </row>
    <row r="21" spans="1:13" hidden="1" x14ac:dyDescent="0.25">
      <c r="A21" s="23" t="s">
        <v>62</v>
      </c>
      <c r="B21" s="23">
        <f>M15</f>
        <v>0</v>
      </c>
      <c r="C21" s="23">
        <f>M16</f>
        <v>0</v>
      </c>
      <c r="M21" s="30"/>
    </row>
    <row r="22" spans="1:13" x14ac:dyDescent="0.25">
      <c r="A22" s="23" t="s">
        <v>103</v>
      </c>
      <c r="B22" s="35">
        <f>(B15+B16+B17+B18+B19+B20+B21)/100</f>
        <v>0.6166666666666667</v>
      </c>
      <c r="C22" s="35">
        <f>(C15+C16+C17+C18+C19+C20+C21)/100</f>
        <v>0.71666666666666667</v>
      </c>
      <c r="F22" s="231" t="s">
        <v>162</v>
      </c>
      <c r="G22" s="231"/>
      <c r="H22" s="43" t="s">
        <v>153</v>
      </c>
      <c r="M22" s="30"/>
    </row>
    <row r="23" spans="1:13" x14ac:dyDescent="0.25">
      <c r="F23" s="231" t="s">
        <v>163</v>
      </c>
      <c r="G23" s="231"/>
      <c r="H23" s="43" t="s">
        <v>164</v>
      </c>
    </row>
    <row r="24" spans="1:13" x14ac:dyDescent="0.25">
      <c r="A24" s="36" t="s">
        <v>134</v>
      </c>
      <c r="B24" s="37">
        <v>0.01</v>
      </c>
      <c r="C24" s="37">
        <v>0.02</v>
      </c>
      <c r="F24" s="231" t="s">
        <v>165</v>
      </c>
      <c r="G24" s="231"/>
      <c r="H24" s="43" t="s">
        <v>166</v>
      </c>
    </row>
    <row r="25" spans="1:13" x14ac:dyDescent="0.25">
      <c r="A25" s="36" t="s">
        <v>135</v>
      </c>
      <c r="B25" s="37">
        <v>0.01</v>
      </c>
      <c r="C25" s="37">
        <v>0.03</v>
      </c>
    </row>
    <row r="26" spans="1:13" x14ac:dyDescent="0.25">
      <c r="A26" s="36" t="s">
        <v>136</v>
      </c>
      <c r="B26" s="37">
        <v>0.03</v>
      </c>
      <c r="C26" s="37">
        <v>0.08</v>
      </c>
    </row>
    <row r="27" spans="1:13" x14ac:dyDescent="0.25">
      <c r="A27" s="36" t="s">
        <v>137</v>
      </c>
      <c r="B27" s="37">
        <v>0.05</v>
      </c>
      <c r="C27" s="37">
        <v>0.15</v>
      </c>
    </row>
    <row r="28" spans="1:13" x14ac:dyDescent="0.25">
      <c r="A28" s="36" t="s">
        <v>138</v>
      </c>
      <c r="B28" s="37">
        <v>7.0000000000000007E-2</v>
      </c>
      <c r="C28" s="37">
        <v>0.2</v>
      </c>
    </row>
    <row r="29" spans="1:13" x14ac:dyDescent="0.25">
      <c r="A29" s="36" t="s">
        <v>139</v>
      </c>
      <c r="B29" s="37">
        <v>0.1</v>
      </c>
      <c r="C29" s="37">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zoomScale="85" zoomScaleNormal="85" workbookViewId="0">
      <selection activeCell="R16" sqref="R16"/>
    </sheetView>
  </sheetViews>
  <sheetFormatPr defaultColWidth="9.140625" defaultRowHeight="15" x14ac:dyDescent="0.25"/>
  <cols>
    <col min="1" max="1" width="10.7109375" style="22" bestFit="1" customWidth="1"/>
    <col min="2" max="2" width="14" style="22" customWidth="1"/>
    <col min="3" max="16384" width="9.140625" style="22"/>
  </cols>
  <sheetData>
    <row r="1" spans="1:3" x14ac:dyDescent="0.25">
      <c r="A1" s="39" t="s">
        <v>171</v>
      </c>
      <c r="B1" s="39" t="s">
        <v>173</v>
      </c>
      <c r="C1" s="39" t="s">
        <v>77</v>
      </c>
    </row>
    <row r="2" spans="1:3" x14ac:dyDescent="0.25">
      <c r="A2" s="22" t="s">
        <v>214</v>
      </c>
      <c r="C2" s="22" t="s">
        <v>215</v>
      </c>
    </row>
    <row r="4" spans="1:3" x14ac:dyDescent="0.25">
      <c r="A4" s="46">
        <v>44174</v>
      </c>
      <c r="B4" s="47" t="s">
        <v>219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K14" sqref="K14"/>
    </sheetView>
  </sheetViews>
  <sheetFormatPr defaultColWidth="8.7109375" defaultRowHeight="15" x14ac:dyDescent="0.25"/>
  <cols>
    <col min="1" max="1" width="10.5703125" style="47" bestFit="1" customWidth="1"/>
    <col min="2" max="2" width="22.140625" style="47" customWidth="1"/>
    <col min="3" max="3" width="37" style="47" customWidth="1"/>
    <col min="4" max="5" width="11.42578125" style="47" customWidth="1"/>
    <col min="6" max="6" width="14" style="47" customWidth="1"/>
    <col min="7" max="7" width="20" style="47" customWidth="1"/>
    <col min="8" max="8" width="16.42578125" style="47" customWidth="1"/>
    <col min="9" max="16384" width="8.7109375" style="47"/>
  </cols>
  <sheetData>
    <row r="1" spans="1:9" ht="15" customHeight="1" x14ac:dyDescent="0.25">
      <c r="A1" s="46">
        <v>44174</v>
      </c>
      <c r="B1" s="47" t="s">
        <v>219</v>
      </c>
    </row>
    <row r="2" spans="1:9" ht="15" customHeight="1" x14ac:dyDescent="0.25">
      <c r="A2" s="48"/>
      <c r="B2" s="48"/>
      <c r="C2" s="48"/>
      <c r="D2" s="48"/>
      <c r="E2" s="48"/>
      <c r="F2" s="48"/>
      <c r="G2" s="48"/>
      <c r="H2" s="48"/>
    </row>
    <row r="3" spans="1:9" ht="15.75" customHeight="1" x14ac:dyDescent="0.25">
      <c r="A3" s="48"/>
      <c r="B3" s="234" t="s">
        <v>220</v>
      </c>
      <c r="C3" s="234"/>
      <c r="D3" s="234"/>
      <c r="E3" s="234"/>
      <c r="F3" s="234"/>
      <c r="G3" s="234"/>
      <c r="H3" s="234"/>
    </row>
    <row r="4" spans="1:9" x14ac:dyDescent="0.25">
      <c r="A4" s="48"/>
      <c r="B4" s="49" t="s">
        <v>221</v>
      </c>
      <c r="C4" s="49" t="s">
        <v>222</v>
      </c>
      <c r="D4" s="49" t="s">
        <v>105</v>
      </c>
      <c r="E4" s="49" t="s">
        <v>223</v>
      </c>
      <c r="F4" s="49" t="s">
        <v>224</v>
      </c>
      <c r="G4" s="49" t="s">
        <v>225</v>
      </c>
      <c r="H4" s="49" t="s">
        <v>226</v>
      </c>
    </row>
    <row r="5" spans="1:9" ht="15" customHeight="1" x14ac:dyDescent="0.25">
      <c r="A5" s="48"/>
      <c r="B5" s="50" t="s">
        <v>228</v>
      </c>
      <c r="C5" s="51" t="s">
        <v>176</v>
      </c>
      <c r="D5" s="50" t="s">
        <v>197</v>
      </c>
      <c r="E5" s="50">
        <v>324</v>
      </c>
      <c r="F5" s="52">
        <f>E5*1.5</f>
        <v>486</v>
      </c>
      <c r="G5" s="52">
        <f>H5/F5</f>
        <v>3833.3333333333335</v>
      </c>
      <c r="H5" s="53">
        <v>1863000</v>
      </c>
    </row>
    <row r="6" spans="1:9" x14ac:dyDescent="0.25">
      <c r="A6" s="48"/>
      <c r="B6" s="50" t="s">
        <v>228</v>
      </c>
      <c r="C6" s="51" t="s">
        <v>176</v>
      </c>
      <c r="D6" s="50" t="s">
        <v>198</v>
      </c>
      <c r="E6" s="50">
        <v>498</v>
      </c>
      <c r="F6" s="52">
        <f>E6*1.5</f>
        <v>747</v>
      </c>
      <c r="G6" s="52">
        <f t="shared" ref="G6:G8" si="0">H6/F6</f>
        <v>3834.0026773761715</v>
      </c>
      <c r="H6" s="53">
        <v>2864000</v>
      </c>
    </row>
    <row r="7" spans="1:9" ht="15" customHeight="1" x14ac:dyDescent="0.25">
      <c r="A7" s="48"/>
      <c r="B7" s="50" t="s">
        <v>227</v>
      </c>
      <c r="C7" s="51" t="s">
        <v>176</v>
      </c>
      <c r="D7" s="50" t="s">
        <v>197</v>
      </c>
      <c r="E7" s="50">
        <v>323</v>
      </c>
      <c r="F7" s="52">
        <f t="shared" ref="F7:F8" si="1">E7*1.5</f>
        <v>484.5</v>
      </c>
      <c r="G7" s="52">
        <f t="shared" si="0"/>
        <v>3095.9896800825595</v>
      </c>
      <c r="H7" s="53">
        <v>1500007</v>
      </c>
    </row>
    <row r="8" spans="1:9" x14ac:dyDescent="0.25">
      <c r="A8" s="48"/>
      <c r="B8" s="50" t="s">
        <v>227</v>
      </c>
      <c r="C8" s="51" t="s">
        <v>176</v>
      </c>
      <c r="D8" s="50" t="s">
        <v>198</v>
      </c>
      <c r="E8" s="50">
        <v>498</v>
      </c>
      <c r="F8" s="52">
        <f t="shared" si="1"/>
        <v>747</v>
      </c>
      <c r="G8" s="52">
        <f t="shared" si="0"/>
        <v>3107.0950468540832</v>
      </c>
      <c r="H8" s="53">
        <v>2321000</v>
      </c>
    </row>
    <row r="9" spans="1:9" ht="15" customHeight="1" x14ac:dyDescent="0.25">
      <c r="A9" s="48"/>
      <c r="B9" s="54" t="s">
        <v>229</v>
      </c>
      <c r="C9" s="50"/>
      <c r="D9" s="50"/>
      <c r="E9" s="50"/>
      <c r="F9" s="50"/>
      <c r="G9" s="55">
        <f>AVERAGE(G5:G8)</f>
        <v>3467.6051844115368</v>
      </c>
      <c r="H9" s="50"/>
    </row>
    <row r="10" spans="1:9" ht="15" customHeight="1" x14ac:dyDescent="0.25">
      <c r="B10" s="54" t="s">
        <v>230</v>
      </c>
      <c r="C10" s="50"/>
      <c r="D10" s="50"/>
      <c r="E10" s="50"/>
      <c r="F10" s="56"/>
      <c r="G10" s="54">
        <v>3500</v>
      </c>
      <c r="H10" s="54"/>
      <c r="I10" s="57"/>
    </row>
    <row r="11" spans="1:9" ht="15" customHeight="1" x14ac:dyDescent="0.25"/>
    <row r="12" spans="1:9" ht="15" customHeight="1" x14ac:dyDescent="0.25"/>
    <row r="13" spans="1:9" ht="15" customHeight="1" x14ac:dyDescent="0.25"/>
  </sheetData>
  <mergeCells count="1">
    <mergeCell ref="B3:H3"/>
  </mergeCells>
  <phoneticPr fontId="25"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zoomScale="85" zoomScaleNormal="85" workbookViewId="0">
      <selection activeCell="O31" sqref="O31"/>
    </sheetView>
  </sheetViews>
  <sheetFormatPr defaultRowHeight="15" x14ac:dyDescent="0.25"/>
  <cols>
    <col min="2" max="2" width="12.28515625" customWidth="1"/>
  </cols>
  <sheetData>
    <row r="2" spans="1:12" x14ac:dyDescent="0.25">
      <c r="B2" s="5" t="s">
        <v>104</v>
      </c>
      <c r="C2" s="235"/>
      <c r="D2" s="235"/>
    </row>
    <row r="3" spans="1:12" x14ac:dyDescent="0.25">
      <c r="D3" s="6"/>
      <c r="E3" s="6"/>
      <c r="F3" s="6"/>
      <c r="G3" s="6"/>
      <c r="H3" s="6"/>
      <c r="I3" s="6"/>
    </row>
    <row r="4" spans="1:12" x14ac:dyDescent="0.25">
      <c r="A4" s="5" t="s">
        <v>105</v>
      </c>
      <c r="B4" s="7" t="s">
        <v>106</v>
      </c>
      <c r="C4" s="236" t="s">
        <v>107</v>
      </c>
      <c r="D4" s="236"/>
      <c r="E4" s="236"/>
      <c r="F4" s="8"/>
      <c r="G4" s="236" t="s">
        <v>108</v>
      </c>
      <c r="H4" s="236"/>
      <c r="I4" s="236"/>
      <c r="J4" s="236" t="s">
        <v>109</v>
      </c>
      <c r="K4" s="236"/>
      <c r="L4" s="236"/>
    </row>
    <row r="5" spans="1:12" x14ac:dyDescent="0.25">
      <c r="A5" s="5">
        <v>1</v>
      </c>
      <c r="B5" s="7"/>
      <c r="C5" s="7" t="s">
        <v>110</v>
      </c>
      <c r="D5" s="7" t="s">
        <v>111</v>
      </c>
      <c r="E5" s="7" t="s">
        <v>73</v>
      </c>
      <c r="F5" s="7"/>
      <c r="G5" s="7" t="s">
        <v>110</v>
      </c>
      <c r="H5" s="7" t="s">
        <v>111</v>
      </c>
      <c r="I5" s="7" t="s">
        <v>73</v>
      </c>
      <c r="J5" s="7" t="s">
        <v>110</v>
      </c>
      <c r="K5" s="7" t="s">
        <v>111</v>
      </c>
      <c r="L5" s="7" t="s">
        <v>73</v>
      </c>
    </row>
    <row r="6" spans="1:12" x14ac:dyDescent="0.25">
      <c r="B6" s="9" t="s">
        <v>112</v>
      </c>
      <c r="C6" s="9">
        <v>2.7</v>
      </c>
      <c r="D6" s="9">
        <v>4.5</v>
      </c>
      <c r="E6" s="9">
        <f>C6*D6</f>
        <v>12.15</v>
      </c>
      <c r="F6" s="9" t="s">
        <v>113</v>
      </c>
      <c r="G6" s="9">
        <v>1</v>
      </c>
      <c r="H6" s="9">
        <v>2.7</v>
      </c>
      <c r="I6" s="9">
        <f>G6*H6</f>
        <v>2.7</v>
      </c>
      <c r="J6" s="9"/>
      <c r="K6" s="9"/>
      <c r="L6" s="9">
        <f>J6*K6</f>
        <v>0</v>
      </c>
    </row>
    <row r="7" spans="1:12" x14ac:dyDescent="0.25">
      <c r="B7" s="9"/>
      <c r="C7" s="9"/>
      <c r="D7" s="9"/>
      <c r="E7" s="9">
        <f t="shared" ref="E7:E33" si="0">C7*D7</f>
        <v>0</v>
      </c>
      <c r="F7" s="9" t="s">
        <v>114</v>
      </c>
      <c r="G7" s="9"/>
      <c r="H7" s="9"/>
      <c r="I7" s="9">
        <f t="shared" ref="I7:I29" si="1">G7*H7</f>
        <v>0</v>
      </c>
      <c r="J7" s="9"/>
      <c r="K7" s="9"/>
      <c r="L7" s="9">
        <f t="shared" ref="L7:L29" si="2">J7*K7</f>
        <v>0</v>
      </c>
    </row>
    <row r="8" spans="1:12" x14ac:dyDescent="0.25">
      <c r="B8" s="9"/>
      <c r="C8" s="9"/>
      <c r="D8" s="9"/>
      <c r="E8" s="9">
        <f t="shared" si="0"/>
        <v>0</v>
      </c>
      <c r="F8" s="9"/>
      <c r="G8" s="9"/>
      <c r="H8" s="9"/>
      <c r="I8" s="9">
        <f t="shared" si="1"/>
        <v>0</v>
      </c>
      <c r="J8" s="9"/>
      <c r="K8" s="9"/>
      <c r="L8" s="9">
        <f t="shared" si="2"/>
        <v>0</v>
      </c>
    </row>
    <row r="9" spans="1:12" x14ac:dyDescent="0.25">
      <c r="B9" s="9" t="s">
        <v>115</v>
      </c>
      <c r="C9" s="9">
        <v>1.55</v>
      </c>
      <c r="D9" s="9">
        <v>3.45</v>
      </c>
      <c r="E9" s="9">
        <f t="shared" si="0"/>
        <v>5.3475000000000001</v>
      </c>
      <c r="F9" s="9" t="s">
        <v>113</v>
      </c>
      <c r="G9" s="9"/>
      <c r="H9" s="9"/>
      <c r="I9" s="9">
        <f t="shared" si="1"/>
        <v>0</v>
      </c>
      <c r="J9" s="9"/>
      <c r="K9" s="9"/>
      <c r="L9" s="9">
        <f t="shared" si="2"/>
        <v>0</v>
      </c>
    </row>
    <row r="10" spans="1:12" x14ac:dyDescent="0.25">
      <c r="B10" s="9"/>
      <c r="C10" s="9"/>
      <c r="D10" s="9"/>
      <c r="E10" s="9">
        <f t="shared" si="0"/>
        <v>0</v>
      </c>
      <c r="F10" s="9" t="s">
        <v>114</v>
      </c>
      <c r="G10" s="9"/>
      <c r="H10" s="9"/>
      <c r="I10" s="9">
        <f t="shared" si="1"/>
        <v>0</v>
      </c>
      <c r="J10" s="9"/>
      <c r="K10" s="9"/>
      <c r="L10" s="9">
        <f t="shared" si="2"/>
        <v>0</v>
      </c>
    </row>
    <row r="11" spans="1:12" x14ac:dyDescent="0.25">
      <c r="B11" s="9"/>
      <c r="C11" s="9"/>
      <c r="D11" s="9"/>
      <c r="E11" s="9">
        <f t="shared" si="0"/>
        <v>0</v>
      </c>
      <c r="F11" s="9"/>
      <c r="G11" s="9"/>
      <c r="H11" s="9"/>
      <c r="I11" s="9">
        <f t="shared" si="1"/>
        <v>0</v>
      </c>
      <c r="J11" s="9"/>
      <c r="K11" s="9"/>
      <c r="L11" s="9">
        <f t="shared" si="2"/>
        <v>0</v>
      </c>
    </row>
    <row r="12" spans="1:12" x14ac:dyDescent="0.25">
      <c r="B12" s="9"/>
      <c r="C12" s="9"/>
      <c r="D12" s="9"/>
      <c r="E12" s="9">
        <f t="shared" si="0"/>
        <v>0</v>
      </c>
      <c r="F12" s="9"/>
      <c r="G12" s="9"/>
      <c r="H12" s="9"/>
      <c r="I12" s="9">
        <f t="shared" si="1"/>
        <v>0</v>
      </c>
      <c r="J12" s="9"/>
      <c r="K12" s="9"/>
      <c r="L12" s="9">
        <f t="shared" si="2"/>
        <v>0</v>
      </c>
    </row>
    <row r="13" spans="1:12" x14ac:dyDescent="0.25">
      <c r="B13" s="9" t="s">
        <v>116</v>
      </c>
      <c r="C13" s="9">
        <v>2.4</v>
      </c>
      <c r="D13" s="9">
        <v>2.4500000000000002</v>
      </c>
      <c r="E13" s="9">
        <f t="shared" si="0"/>
        <v>5.88</v>
      </c>
      <c r="F13" s="9" t="s">
        <v>113</v>
      </c>
      <c r="G13" s="9"/>
      <c r="H13" s="9"/>
      <c r="I13" s="9">
        <f t="shared" si="1"/>
        <v>0</v>
      </c>
      <c r="J13" s="9"/>
      <c r="K13" s="9"/>
      <c r="L13" s="9">
        <f t="shared" si="2"/>
        <v>0</v>
      </c>
    </row>
    <row r="14" spans="1:12" x14ac:dyDescent="0.25">
      <c r="B14" s="9"/>
      <c r="C14" s="9"/>
      <c r="D14" s="9"/>
      <c r="E14" s="9">
        <f t="shared" si="0"/>
        <v>0</v>
      </c>
      <c r="F14" s="9" t="s">
        <v>114</v>
      </c>
      <c r="G14" s="9"/>
      <c r="H14" s="9"/>
      <c r="I14" s="9">
        <f t="shared" si="1"/>
        <v>0</v>
      </c>
      <c r="J14" s="9"/>
      <c r="K14" s="9"/>
      <c r="L14" s="9">
        <f t="shared" si="2"/>
        <v>0</v>
      </c>
    </row>
    <row r="15" spans="1:12" x14ac:dyDescent="0.25">
      <c r="B15" s="9"/>
      <c r="C15" s="9"/>
      <c r="D15" s="9"/>
      <c r="E15" s="9">
        <f t="shared" si="0"/>
        <v>0</v>
      </c>
      <c r="F15" s="9"/>
      <c r="G15" s="9"/>
      <c r="H15" s="9"/>
      <c r="I15" s="9">
        <f t="shared" si="1"/>
        <v>0</v>
      </c>
      <c r="J15" s="9"/>
      <c r="K15" s="9"/>
      <c r="L15" s="9">
        <f t="shared" si="2"/>
        <v>0</v>
      </c>
    </row>
    <row r="16" spans="1:12" x14ac:dyDescent="0.25">
      <c r="B16" s="9"/>
      <c r="C16" s="9"/>
      <c r="D16" s="9"/>
      <c r="E16" s="9">
        <f t="shared" si="0"/>
        <v>0</v>
      </c>
      <c r="F16" s="9"/>
      <c r="G16" s="9"/>
      <c r="H16" s="9"/>
      <c r="I16" s="9">
        <f t="shared" si="1"/>
        <v>0</v>
      </c>
      <c r="J16" s="9"/>
      <c r="K16" s="9"/>
      <c r="L16" s="9">
        <f t="shared" si="2"/>
        <v>0</v>
      </c>
    </row>
    <row r="17" spans="2:12" x14ac:dyDescent="0.25">
      <c r="B17" s="9" t="s">
        <v>117</v>
      </c>
      <c r="C17" s="9"/>
      <c r="D17" s="9"/>
      <c r="E17" s="9">
        <f t="shared" si="0"/>
        <v>0</v>
      </c>
      <c r="F17" s="9" t="s">
        <v>113</v>
      </c>
      <c r="G17" s="9"/>
      <c r="H17" s="9"/>
      <c r="I17" s="9">
        <f t="shared" si="1"/>
        <v>0</v>
      </c>
      <c r="J17" s="9"/>
      <c r="K17" s="9"/>
      <c r="L17" s="9">
        <f t="shared" si="2"/>
        <v>0</v>
      </c>
    </row>
    <row r="18" spans="2:12" x14ac:dyDescent="0.25">
      <c r="B18" s="9"/>
      <c r="C18" s="9"/>
      <c r="D18" s="9"/>
      <c r="E18" s="9">
        <f t="shared" si="0"/>
        <v>0</v>
      </c>
      <c r="F18" s="9" t="s">
        <v>114</v>
      </c>
      <c r="G18" s="9"/>
      <c r="H18" s="9"/>
      <c r="I18" s="9">
        <f t="shared" si="1"/>
        <v>0</v>
      </c>
      <c r="J18" s="9"/>
      <c r="K18" s="9"/>
      <c r="L18" s="9">
        <f t="shared" si="2"/>
        <v>0</v>
      </c>
    </row>
    <row r="19" spans="2:12" x14ac:dyDescent="0.25">
      <c r="B19" s="9"/>
      <c r="C19" s="9"/>
      <c r="D19" s="9"/>
      <c r="E19" s="9">
        <f t="shared" si="0"/>
        <v>0</v>
      </c>
      <c r="F19" s="9"/>
      <c r="G19" s="9"/>
      <c r="H19" s="9"/>
      <c r="I19" s="9">
        <f t="shared" si="1"/>
        <v>0</v>
      </c>
      <c r="J19" s="9"/>
      <c r="K19" s="9"/>
      <c r="L19" s="9">
        <f t="shared" si="2"/>
        <v>0</v>
      </c>
    </row>
    <row r="20" spans="2:12" x14ac:dyDescent="0.25">
      <c r="B20" s="9" t="s">
        <v>117</v>
      </c>
      <c r="C20" s="9"/>
      <c r="D20" s="9"/>
      <c r="E20" s="9">
        <f t="shared" si="0"/>
        <v>0</v>
      </c>
      <c r="F20" s="9" t="s">
        <v>113</v>
      </c>
      <c r="G20" s="9"/>
      <c r="H20" s="9"/>
      <c r="I20" s="9">
        <f t="shared" si="1"/>
        <v>0</v>
      </c>
      <c r="J20" s="9"/>
      <c r="K20" s="9"/>
      <c r="L20" s="9">
        <f t="shared" si="2"/>
        <v>0</v>
      </c>
    </row>
    <row r="21" spans="2:12" x14ac:dyDescent="0.25">
      <c r="B21" s="9"/>
      <c r="C21" s="9"/>
      <c r="D21" s="9"/>
      <c r="E21" s="9">
        <f t="shared" si="0"/>
        <v>0</v>
      </c>
      <c r="F21" s="9" t="s">
        <v>114</v>
      </c>
      <c r="G21" s="9"/>
      <c r="H21" s="9"/>
      <c r="I21" s="9">
        <f t="shared" si="1"/>
        <v>0</v>
      </c>
      <c r="J21" s="9"/>
      <c r="K21" s="9"/>
      <c r="L21" s="9">
        <f t="shared" si="2"/>
        <v>0</v>
      </c>
    </row>
    <row r="22" spans="2:12" x14ac:dyDescent="0.25">
      <c r="B22" s="9"/>
      <c r="C22" s="9"/>
      <c r="D22" s="9"/>
      <c r="E22" s="9">
        <f t="shared" si="0"/>
        <v>0</v>
      </c>
      <c r="F22" s="9"/>
      <c r="G22" s="9"/>
      <c r="H22" s="9"/>
      <c r="I22" s="9">
        <f t="shared" si="1"/>
        <v>0</v>
      </c>
      <c r="J22" s="9"/>
      <c r="K22" s="9"/>
      <c r="L22" s="9">
        <f t="shared" si="2"/>
        <v>0</v>
      </c>
    </row>
    <row r="23" spans="2:12" x14ac:dyDescent="0.25">
      <c r="B23" s="9" t="s">
        <v>118</v>
      </c>
      <c r="C23" s="9">
        <v>1.2</v>
      </c>
      <c r="D23" s="9">
        <v>2.02</v>
      </c>
      <c r="E23" s="9">
        <f t="shared" si="0"/>
        <v>2.4239999999999999</v>
      </c>
      <c r="F23" s="9" t="s">
        <v>119</v>
      </c>
      <c r="G23" s="9"/>
      <c r="H23" s="9"/>
      <c r="I23" s="9">
        <f t="shared" si="1"/>
        <v>0</v>
      </c>
      <c r="J23" s="9"/>
      <c r="K23" s="9"/>
      <c r="L23" s="9">
        <f t="shared" si="2"/>
        <v>0</v>
      </c>
    </row>
    <row r="24" spans="2:12" x14ac:dyDescent="0.25">
      <c r="B24" s="9" t="s">
        <v>120</v>
      </c>
      <c r="C24" s="9">
        <v>1</v>
      </c>
      <c r="D24" s="9">
        <v>1.2</v>
      </c>
      <c r="E24" s="9">
        <f t="shared" si="0"/>
        <v>1.2</v>
      </c>
      <c r="F24" s="9" t="s">
        <v>119</v>
      </c>
      <c r="G24" s="9"/>
      <c r="H24" s="9"/>
      <c r="I24" s="9">
        <f t="shared" si="1"/>
        <v>0</v>
      </c>
      <c r="J24" s="9"/>
      <c r="K24" s="9"/>
      <c r="L24" s="9">
        <f t="shared" si="2"/>
        <v>0</v>
      </c>
    </row>
    <row r="25" spans="2:12" x14ac:dyDescent="0.25">
      <c r="B25" s="9" t="s">
        <v>121</v>
      </c>
      <c r="C25" s="9"/>
      <c r="D25" s="9"/>
      <c r="E25" s="9">
        <f t="shared" si="0"/>
        <v>0</v>
      </c>
      <c r="F25" s="9" t="s">
        <v>119</v>
      </c>
      <c r="G25" s="9"/>
      <c r="H25" s="9"/>
      <c r="I25" s="9">
        <f t="shared" si="1"/>
        <v>0</v>
      </c>
      <c r="J25" s="9"/>
      <c r="K25" s="9"/>
      <c r="L25" s="9">
        <f t="shared" si="2"/>
        <v>0</v>
      </c>
    </row>
    <row r="26" spans="2:12" x14ac:dyDescent="0.25">
      <c r="B26" s="9"/>
      <c r="C26" s="9"/>
      <c r="D26" s="9"/>
      <c r="E26" s="9">
        <f t="shared" si="0"/>
        <v>0</v>
      </c>
      <c r="F26" s="9"/>
      <c r="G26" s="9"/>
      <c r="H26" s="9"/>
      <c r="I26" s="9">
        <f t="shared" si="1"/>
        <v>0</v>
      </c>
      <c r="J26" s="9"/>
      <c r="K26" s="9"/>
      <c r="L26" s="9">
        <f t="shared" si="2"/>
        <v>0</v>
      </c>
    </row>
    <row r="27" spans="2:12" x14ac:dyDescent="0.25">
      <c r="B27" s="9" t="s">
        <v>122</v>
      </c>
      <c r="C27" s="9">
        <v>1</v>
      </c>
      <c r="D27" s="9">
        <v>2.4</v>
      </c>
      <c r="E27" s="9">
        <f t="shared" si="0"/>
        <v>2.4</v>
      </c>
      <c r="F27" s="9"/>
      <c r="G27" s="9"/>
      <c r="H27" s="9"/>
      <c r="I27" s="9">
        <f t="shared" si="1"/>
        <v>0</v>
      </c>
      <c r="J27" s="9"/>
      <c r="K27" s="9"/>
      <c r="L27" s="9">
        <f t="shared" si="2"/>
        <v>0</v>
      </c>
    </row>
    <row r="28" spans="2:12" x14ac:dyDescent="0.25">
      <c r="B28" s="9" t="s">
        <v>123</v>
      </c>
      <c r="C28" s="9"/>
      <c r="D28" s="9"/>
      <c r="E28" s="9">
        <f t="shared" si="0"/>
        <v>0</v>
      </c>
      <c r="F28" s="9"/>
      <c r="G28" s="9"/>
      <c r="H28" s="9"/>
      <c r="I28" s="9">
        <f t="shared" si="1"/>
        <v>0</v>
      </c>
      <c r="J28" s="9"/>
      <c r="K28" s="9"/>
      <c r="L28" s="9">
        <f t="shared" si="2"/>
        <v>0</v>
      </c>
    </row>
    <row r="29" spans="2:12" x14ac:dyDescent="0.25">
      <c r="B29" s="9" t="s">
        <v>124</v>
      </c>
      <c r="C29" s="9"/>
      <c r="D29" s="9"/>
      <c r="E29" s="9">
        <f t="shared" si="0"/>
        <v>0</v>
      </c>
      <c r="F29" s="9"/>
      <c r="G29" s="9"/>
      <c r="H29" s="9"/>
      <c r="I29" s="9">
        <f t="shared" si="1"/>
        <v>0</v>
      </c>
      <c r="J29" s="9"/>
      <c r="K29" s="9"/>
      <c r="L29" s="9">
        <f t="shared" si="2"/>
        <v>0</v>
      </c>
    </row>
    <row r="30" spans="2:12" x14ac:dyDescent="0.25">
      <c r="B30" s="9" t="s">
        <v>125</v>
      </c>
      <c r="C30" s="9"/>
      <c r="D30" s="9"/>
      <c r="E30" s="9">
        <f t="shared" si="0"/>
        <v>0</v>
      </c>
      <c r="F30" s="9"/>
      <c r="G30" s="9"/>
      <c r="H30" s="9"/>
      <c r="I30" s="9">
        <f>G30*H30</f>
        <v>0</v>
      </c>
      <c r="J30" s="9"/>
      <c r="K30" s="9"/>
      <c r="L30" s="9">
        <f>J30*K30</f>
        <v>0</v>
      </c>
    </row>
    <row r="31" spans="2:12" x14ac:dyDescent="0.25">
      <c r="B31" s="9"/>
      <c r="C31" s="9"/>
      <c r="D31" s="9"/>
      <c r="E31" s="9">
        <f t="shared" si="0"/>
        <v>0</v>
      </c>
      <c r="F31" s="9"/>
      <c r="G31" s="9"/>
      <c r="H31" s="9"/>
      <c r="I31" s="9">
        <f>G31*H31</f>
        <v>0</v>
      </c>
      <c r="J31" s="9"/>
      <c r="K31" s="9"/>
      <c r="L31" s="9">
        <f>J31*K31</f>
        <v>0</v>
      </c>
    </row>
    <row r="32" spans="2:12" x14ac:dyDescent="0.25">
      <c r="B32" s="9"/>
      <c r="C32" s="9"/>
      <c r="D32" s="9"/>
      <c r="E32" s="9">
        <f t="shared" si="0"/>
        <v>0</v>
      </c>
      <c r="F32" s="9"/>
      <c r="G32" s="9"/>
      <c r="H32" s="9"/>
      <c r="I32" s="9">
        <f>G32*H32</f>
        <v>0</v>
      </c>
      <c r="J32" s="9"/>
      <c r="K32" s="9"/>
      <c r="L32" s="9">
        <f>J32*K32</f>
        <v>0</v>
      </c>
    </row>
    <row r="33" spans="2:12" x14ac:dyDescent="0.25">
      <c r="B33" s="9"/>
      <c r="C33" s="9"/>
      <c r="D33" s="9"/>
      <c r="E33" s="9">
        <f t="shared" si="0"/>
        <v>0</v>
      </c>
      <c r="F33" s="9"/>
      <c r="G33" s="9"/>
      <c r="H33" s="9"/>
      <c r="I33" s="9">
        <f>G33*H33</f>
        <v>0</v>
      </c>
      <c r="J33" s="9"/>
      <c r="K33" s="9"/>
      <c r="L33" s="9">
        <f>J33*K33</f>
        <v>0</v>
      </c>
    </row>
    <row r="34" spans="2:12" x14ac:dyDescent="0.25">
      <c r="B34" s="9" t="s">
        <v>74</v>
      </c>
      <c r="C34" s="9"/>
      <c r="D34" s="9">
        <f>E34*10.764</f>
        <v>316.47774599999997</v>
      </c>
      <c r="E34" s="9">
        <f>SUM(E6:E33)</f>
        <v>29.401499999999999</v>
      </c>
      <c r="F34" s="9"/>
      <c r="G34" s="9"/>
      <c r="H34" s="9">
        <f>I34*10.764</f>
        <v>29.062799999999999</v>
      </c>
      <c r="I34" s="9">
        <f>SUM(I6:I33)</f>
        <v>2.7</v>
      </c>
      <c r="J34" s="9"/>
      <c r="K34" s="9">
        <f>L34*10.764</f>
        <v>0</v>
      </c>
      <c r="L34" s="9">
        <f>SUM(L6:L33)</f>
        <v>0</v>
      </c>
    </row>
    <row r="36" spans="2:12" x14ac:dyDescent="0.25">
      <c r="D36">
        <f>D34+H34</f>
        <v>345.54054599999995</v>
      </c>
      <c r="E36">
        <f>E34+I34</f>
        <v>32.101500000000001</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 (2)</vt:lpstr>
      <vt:lpstr>B1(A&amp;B)%</vt:lpstr>
      <vt:lpstr>B2(A&amp;B)%</vt:lpstr>
      <vt:lpstr>Note</vt:lpstr>
      <vt:lpstr>Valuation</vt:lpstr>
      <vt:lpstr>Flat detail</vt:lpstr>
      <vt:lpstr>'Report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2025-07-10T06:45:45Z</cp:lastPrinted>
  <dcterms:created xsi:type="dcterms:W3CDTF">2019-07-16T09:29:46Z</dcterms:created>
  <dcterms:modified xsi:type="dcterms:W3CDTF">2025-08-04T10:51:08Z</dcterms:modified>
</cp:coreProperties>
</file>