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July 25\Dump\"/>
    </mc:Choice>
  </mc:AlternateContent>
  <xr:revisionPtr revIDLastSave="0" documentId="13_ncr:1_{2A7FD166-1082-4CE5-9331-941DF9855B53}"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7" i="1" l="1"/>
  <c r="E157" i="1"/>
  <c r="E154" i="1"/>
  <c r="E153" i="1"/>
  <c r="E150" i="1"/>
  <c r="E149" i="1"/>
  <c r="E148" i="1"/>
  <c r="E147" i="1"/>
  <c r="E146" i="1"/>
  <c r="E145" i="1"/>
  <c r="I138" i="1"/>
  <c r="I120" i="1" l="1"/>
  <c r="G241" i="1" l="1"/>
  <c r="G240" i="1"/>
  <c r="G239" i="1"/>
  <c r="G238" i="1"/>
  <c r="G237" i="1"/>
  <c r="G236" i="1"/>
  <c r="E241" i="1"/>
  <c r="D241" i="1"/>
  <c r="E240" i="1"/>
  <c r="D240" i="1"/>
  <c r="E239" i="1"/>
  <c r="D239" i="1"/>
  <c r="F239" i="1" s="1"/>
  <c r="E238" i="1"/>
  <c r="D238" i="1"/>
  <c r="E237" i="1"/>
  <c r="D237" i="1"/>
  <c r="E236" i="1"/>
  <c r="D236" i="1"/>
  <c r="G234" i="1"/>
  <c r="E234" i="1"/>
  <c r="D234" i="1"/>
  <c r="G231" i="1"/>
  <c r="E232" i="1"/>
  <c r="D232" i="1"/>
  <c r="E231" i="1"/>
  <c r="D231" i="1"/>
  <c r="F231" i="1" s="1"/>
  <c r="E230" i="1"/>
  <c r="D230" i="1"/>
  <c r="E229" i="1"/>
  <c r="D229" i="1"/>
  <c r="G227" i="1"/>
  <c r="G226" i="1"/>
  <c r="G225" i="1"/>
  <c r="G224" i="1"/>
  <c r="G223" i="1"/>
  <c r="G222" i="1"/>
  <c r="E227" i="1"/>
  <c r="D227" i="1"/>
  <c r="E226" i="1"/>
  <c r="D226" i="1"/>
  <c r="E225" i="1"/>
  <c r="D225" i="1"/>
  <c r="F225" i="1" s="1"/>
  <c r="E224" i="1"/>
  <c r="D224" i="1"/>
  <c r="E223" i="1"/>
  <c r="D223" i="1"/>
  <c r="E222" i="1"/>
  <c r="D222" i="1"/>
  <c r="G220" i="1"/>
  <c r="G219" i="1"/>
  <c r="G217" i="1"/>
  <c r="E220" i="1"/>
  <c r="D220" i="1"/>
  <c r="E219" i="1"/>
  <c r="D219" i="1"/>
  <c r="E218" i="1"/>
  <c r="D218" i="1"/>
  <c r="E217" i="1"/>
  <c r="D217" i="1"/>
  <c r="E216" i="1"/>
  <c r="D216" i="1"/>
  <c r="E215" i="1"/>
  <c r="D215" i="1"/>
  <c r="G213" i="1"/>
  <c r="E213" i="1"/>
  <c r="D213" i="1"/>
  <c r="G211" i="1"/>
  <c r="G210" i="1"/>
  <c r="G209" i="1"/>
  <c r="G208" i="1"/>
  <c r="E211" i="1"/>
  <c r="D211" i="1"/>
  <c r="E210" i="1"/>
  <c r="D210" i="1"/>
  <c r="E209" i="1"/>
  <c r="D209" i="1"/>
  <c r="E208" i="1"/>
  <c r="D208" i="1"/>
  <c r="G206" i="1"/>
  <c r="G205" i="1"/>
  <c r="G203" i="1"/>
  <c r="E206" i="1"/>
  <c r="D206" i="1"/>
  <c r="E205" i="1"/>
  <c r="D205" i="1"/>
  <c r="E204" i="1"/>
  <c r="D204" i="1"/>
  <c r="E203" i="1"/>
  <c r="D203" i="1"/>
  <c r="E202" i="1"/>
  <c r="D202" i="1"/>
  <c r="E201" i="1"/>
  <c r="D201" i="1"/>
  <c r="G199" i="1"/>
  <c r="G198" i="1"/>
  <c r="G196" i="1"/>
  <c r="E199" i="1"/>
  <c r="D199" i="1"/>
  <c r="E198" i="1"/>
  <c r="D198" i="1"/>
  <c r="F198" i="1" s="1"/>
  <c r="E197" i="1"/>
  <c r="D197" i="1"/>
  <c r="E196" i="1"/>
  <c r="D196" i="1"/>
  <c r="E195" i="1"/>
  <c r="D195" i="1"/>
  <c r="E194" i="1"/>
  <c r="D194" i="1"/>
  <c r="E192" i="1"/>
  <c r="D192" i="1"/>
  <c r="G189" i="1"/>
  <c r="E190" i="1"/>
  <c r="D190" i="1"/>
  <c r="E189" i="1"/>
  <c r="D189" i="1"/>
  <c r="E188" i="1"/>
  <c r="D188" i="1"/>
  <c r="E187" i="1"/>
  <c r="D187" i="1"/>
  <c r="G185" i="1"/>
  <c r="E185" i="1"/>
  <c r="D185" i="1"/>
  <c r="G182" i="1"/>
  <c r="E183" i="1"/>
  <c r="D183" i="1"/>
  <c r="E182" i="1"/>
  <c r="D182" i="1"/>
  <c r="E181" i="1"/>
  <c r="D181" i="1"/>
  <c r="E180" i="1"/>
  <c r="D180" i="1"/>
  <c r="G178" i="1"/>
  <c r="G177" i="1"/>
  <c r="G176" i="1"/>
  <c r="G175" i="1"/>
  <c r="G174" i="1"/>
  <c r="G173" i="1"/>
  <c r="E178" i="1"/>
  <c r="D178" i="1"/>
  <c r="E177" i="1"/>
  <c r="D177" i="1"/>
  <c r="E176" i="1"/>
  <c r="D176" i="1"/>
  <c r="E175" i="1"/>
  <c r="D175" i="1"/>
  <c r="E174" i="1"/>
  <c r="D174" i="1"/>
  <c r="E173" i="1"/>
  <c r="D173" i="1"/>
  <c r="G171" i="1"/>
  <c r="G170" i="1"/>
  <c r="G168" i="1"/>
  <c r="E171" i="1"/>
  <c r="D171" i="1"/>
  <c r="E170" i="1"/>
  <c r="D170" i="1"/>
  <c r="E169" i="1"/>
  <c r="D169" i="1"/>
  <c r="E168" i="1"/>
  <c r="D168" i="1"/>
  <c r="D167" i="1"/>
  <c r="E166" i="1"/>
  <c r="D166" i="1"/>
  <c r="G164" i="1"/>
  <c r="G163" i="1"/>
  <c r="G162" i="1"/>
  <c r="G161" i="1"/>
  <c r="G160" i="1"/>
  <c r="G159" i="1"/>
  <c r="E164" i="1"/>
  <c r="D164" i="1"/>
  <c r="E163" i="1"/>
  <c r="D163" i="1"/>
  <c r="E162" i="1"/>
  <c r="D162" i="1"/>
  <c r="E161" i="1"/>
  <c r="D161" i="1"/>
  <c r="E160" i="1"/>
  <c r="D160" i="1"/>
  <c r="E159" i="1"/>
  <c r="D159" i="1"/>
  <c r="G157" i="1"/>
  <c r="G156" i="1"/>
  <c r="G154" i="1"/>
  <c r="D157" i="1"/>
  <c r="E156" i="1"/>
  <c r="D156" i="1"/>
  <c r="E155" i="1"/>
  <c r="D155" i="1"/>
  <c r="D154" i="1"/>
  <c r="D153" i="1"/>
  <c r="E152" i="1"/>
  <c r="D152" i="1"/>
  <c r="G150" i="1"/>
  <c r="G149" i="1"/>
  <c r="G147" i="1"/>
  <c r="D150" i="1"/>
  <c r="D149" i="1"/>
  <c r="D148" i="1"/>
  <c r="D147" i="1"/>
  <c r="D146" i="1"/>
  <c r="D145" i="1"/>
  <c r="G143" i="1"/>
  <c r="G142" i="1"/>
  <c r="G141" i="1"/>
  <c r="G140" i="1"/>
  <c r="G139" i="1"/>
  <c r="G138" i="1"/>
  <c r="E143" i="1"/>
  <c r="D143" i="1"/>
  <c r="E142" i="1"/>
  <c r="D142" i="1"/>
  <c r="E141" i="1"/>
  <c r="D141" i="1"/>
  <c r="E140" i="1"/>
  <c r="D140" i="1"/>
  <c r="E139" i="1"/>
  <c r="D139" i="1"/>
  <c r="E138" i="1"/>
  <c r="D138" i="1"/>
  <c r="I234" i="1"/>
  <c r="A237" i="1"/>
  <c r="A238" i="1" s="1"/>
  <c r="A239" i="1" s="1"/>
  <c r="A240" i="1" s="1"/>
  <c r="A241" i="1" s="1"/>
  <c r="F234" i="1"/>
  <c r="A230" i="1"/>
  <c r="A231" i="1" s="1"/>
  <c r="A232" i="1" s="1"/>
  <c r="F227" i="1"/>
  <c r="A223" i="1"/>
  <c r="A224" i="1" s="1"/>
  <c r="A225" i="1" s="1"/>
  <c r="A226" i="1" s="1"/>
  <c r="A227" i="1" s="1"/>
  <c r="F216" i="1"/>
  <c r="H216" i="1" s="1"/>
  <c r="A216" i="1"/>
  <c r="A217" i="1" s="1"/>
  <c r="A218" i="1" s="1"/>
  <c r="A219" i="1" s="1"/>
  <c r="A220" i="1" s="1"/>
  <c r="I213" i="1"/>
  <c r="A209" i="1"/>
  <c r="A210" i="1" s="1"/>
  <c r="A211" i="1" s="1"/>
  <c r="A212" i="1" s="1"/>
  <c r="A213" i="1" s="1"/>
  <c r="J139" i="1"/>
  <c r="A202" i="1"/>
  <c r="A203" i="1" s="1"/>
  <c r="A204" i="1" s="1"/>
  <c r="A205" i="1" s="1"/>
  <c r="A206" i="1" s="1"/>
  <c r="A195" i="1"/>
  <c r="A196" i="1" s="1"/>
  <c r="A197" i="1" s="1"/>
  <c r="A198" i="1" s="1"/>
  <c r="A199" i="1" s="1"/>
  <c r="G192" i="1"/>
  <c r="A188" i="1"/>
  <c r="A189" i="1" s="1"/>
  <c r="A190" i="1" s="1"/>
  <c r="A181" i="1"/>
  <c r="A182" i="1" s="1"/>
  <c r="A183" i="1" s="1"/>
  <c r="A174" i="1"/>
  <c r="A175" i="1" s="1"/>
  <c r="A176" i="1" s="1"/>
  <c r="A177" i="1" s="1"/>
  <c r="A178" i="1" s="1"/>
  <c r="I169" i="1"/>
  <c r="I168" i="1"/>
  <c r="A167" i="1"/>
  <c r="A168" i="1" s="1"/>
  <c r="A169" i="1" s="1"/>
  <c r="A170" i="1" s="1"/>
  <c r="A171" i="1" s="1"/>
  <c r="A160" i="1"/>
  <c r="A161" i="1" s="1"/>
  <c r="A162" i="1" s="1"/>
  <c r="A163" i="1" s="1"/>
  <c r="A164" i="1" s="1"/>
  <c r="I156" i="1"/>
  <c r="A153" i="1"/>
  <c r="A154" i="1" s="1"/>
  <c r="A155" i="1" s="1"/>
  <c r="A156" i="1" s="1"/>
  <c r="A157" i="1" s="1"/>
  <c r="A146" i="1"/>
  <c r="A147" i="1" s="1"/>
  <c r="A148" i="1" s="1"/>
  <c r="A149" i="1" s="1"/>
  <c r="A150" i="1" s="1"/>
  <c r="I143" i="1"/>
  <c r="I142" i="1"/>
  <c r="J140" i="1"/>
  <c r="J138" i="1"/>
  <c r="K138" i="1" s="1"/>
  <c r="I139" i="1"/>
  <c r="F232" i="1" l="1"/>
  <c r="H232" i="1" s="1"/>
  <c r="F226" i="1"/>
  <c r="H226" i="1" s="1"/>
  <c r="F237" i="1"/>
  <c r="H237" i="1" s="1"/>
  <c r="F241" i="1"/>
  <c r="H241" i="1" s="1"/>
  <c r="F222" i="1"/>
  <c r="H222" i="1" s="1"/>
  <c r="H227" i="1"/>
  <c r="H231" i="1"/>
  <c r="F219" i="1"/>
  <c r="H219" i="1" s="1"/>
  <c r="F209" i="1"/>
  <c r="H209" i="1" s="1"/>
  <c r="F230" i="1"/>
  <c r="H230" i="1" s="1"/>
  <c r="F236" i="1"/>
  <c r="H236" i="1" s="1"/>
  <c r="F238" i="1"/>
  <c r="H238" i="1" s="1"/>
  <c r="H239" i="1"/>
  <c r="F240" i="1"/>
  <c r="H240" i="1" s="1"/>
  <c r="F196" i="1"/>
  <c r="H196" i="1" s="1"/>
  <c r="F199" i="1"/>
  <c r="H199" i="1" s="1"/>
  <c r="F208" i="1"/>
  <c r="H208" i="1" s="1"/>
  <c r="F211" i="1"/>
  <c r="H211" i="1" s="1"/>
  <c r="F215" i="1"/>
  <c r="H215" i="1" s="1"/>
  <c r="F217" i="1"/>
  <c r="H217" i="1" s="1"/>
  <c r="F223" i="1"/>
  <c r="H223" i="1" s="1"/>
  <c r="F229" i="1"/>
  <c r="H229" i="1" s="1"/>
  <c r="H234" i="1"/>
  <c r="H225" i="1"/>
  <c r="F224" i="1"/>
  <c r="H224" i="1" s="1"/>
  <c r="F218" i="1"/>
  <c r="H218" i="1" s="1"/>
  <c r="F213" i="1"/>
  <c r="H213" i="1" s="1"/>
  <c r="F220" i="1"/>
  <c r="H220" i="1" s="1"/>
  <c r="F168" i="1"/>
  <c r="H168" i="1" s="1"/>
  <c r="F169" i="1"/>
  <c r="H169" i="1" s="1"/>
  <c r="F203" i="1"/>
  <c r="H203" i="1" s="1"/>
  <c r="F178" i="1"/>
  <c r="H178" i="1" s="1"/>
  <c r="F185" i="1"/>
  <c r="H185" i="1" s="1"/>
  <c r="F195" i="1"/>
  <c r="H195" i="1" s="1"/>
  <c r="F210" i="1"/>
  <c r="H210" i="1" s="1"/>
  <c r="F205" i="1"/>
  <c r="H205" i="1" s="1"/>
  <c r="F206" i="1"/>
  <c r="H206" i="1" s="1"/>
  <c r="F202" i="1"/>
  <c r="H202" i="1" s="1"/>
  <c r="F197" i="1"/>
  <c r="H197" i="1" s="1"/>
  <c r="F201" i="1"/>
  <c r="H201" i="1" s="1"/>
  <c r="F204" i="1"/>
  <c r="H204" i="1" s="1"/>
  <c r="F194" i="1"/>
  <c r="H194" i="1" s="1"/>
  <c r="H198" i="1"/>
  <c r="F174" i="1"/>
  <c r="H174" i="1" s="1"/>
  <c r="F173" i="1"/>
  <c r="H173" i="1" s="1"/>
  <c r="F177" i="1"/>
  <c r="H177" i="1" s="1"/>
  <c r="F181" i="1"/>
  <c r="H181" i="1" s="1"/>
  <c r="F189" i="1"/>
  <c r="H189" i="1" s="1"/>
  <c r="F190" i="1"/>
  <c r="H190" i="1" s="1"/>
  <c r="F183" i="1"/>
  <c r="H183" i="1" s="1"/>
  <c r="F188" i="1"/>
  <c r="H188" i="1" s="1"/>
  <c r="F192" i="1"/>
  <c r="H192" i="1" s="1"/>
  <c r="F187" i="1"/>
  <c r="H187" i="1" s="1"/>
  <c r="F167" i="1"/>
  <c r="H167" i="1" s="1"/>
  <c r="F154" i="1"/>
  <c r="H154" i="1" s="1"/>
  <c r="F180" i="1"/>
  <c r="H180" i="1" s="1"/>
  <c r="F182" i="1"/>
  <c r="H182" i="1" s="1"/>
  <c r="F164" i="1"/>
  <c r="H164" i="1" s="1"/>
  <c r="F147" i="1"/>
  <c r="H147" i="1" s="1"/>
  <c r="F176" i="1"/>
  <c r="H176" i="1" s="1"/>
  <c r="F175" i="1"/>
  <c r="H175" i="1" s="1"/>
  <c r="F146" i="1"/>
  <c r="H146" i="1" s="1"/>
  <c r="F152" i="1"/>
  <c r="H152" i="1" s="1"/>
  <c r="F160" i="1"/>
  <c r="H160" i="1" s="1"/>
  <c r="F171" i="1"/>
  <c r="H171" i="1" s="1"/>
  <c r="F163" i="1"/>
  <c r="H163" i="1" s="1"/>
  <c r="F166" i="1"/>
  <c r="H166" i="1" s="1"/>
  <c r="F149" i="1"/>
  <c r="H149" i="1" s="1"/>
  <c r="F170" i="1"/>
  <c r="H170" i="1" s="1"/>
  <c r="F153" i="1"/>
  <c r="H153" i="1" s="1"/>
  <c r="F157" i="1"/>
  <c r="H157" i="1" s="1"/>
  <c r="F161" i="1"/>
  <c r="H161" i="1" s="1"/>
  <c r="F162" i="1"/>
  <c r="H162" i="1" s="1"/>
  <c r="F159" i="1"/>
  <c r="H159" i="1" s="1"/>
  <c r="F156" i="1"/>
  <c r="H156" i="1" s="1"/>
  <c r="F155" i="1"/>
  <c r="H155" i="1" s="1"/>
  <c r="F145" i="1"/>
  <c r="H145" i="1" s="1"/>
  <c r="F148" i="1"/>
  <c r="H148" i="1" s="1"/>
  <c r="F150" i="1"/>
  <c r="H150" i="1" s="1"/>
  <c r="K139" i="1"/>
  <c r="J143" i="1"/>
  <c r="I141" i="1"/>
  <c r="I140" i="1"/>
  <c r="K140" i="1" s="1"/>
  <c r="F143" i="1"/>
  <c r="H143" i="1" s="1"/>
  <c r="F142" i="1"/>
  <c r="H142" i="1" s="1"/>
  <c r="E43" i="1" l="1"/>
  <c r="G51" i="1"/>
  <c r="G52" i="1" s="1"/>
  <c r="F130" i="1" l="1"/>
  <c r="H130" i="1" s="1"/>
  <c r="F131" i="1"/>
  <c r="H131" i="1" s="1"/>
  <c r="F132" i="1"/>
  <c r="H132" i="1" s="1"/>
  <c r="F129" i="1"/>
  <c r="H129" i="1" s="1"/>
  <c r="B245" i="1" l="1"/>
  <c r="G58" i="1" l="1"/>
  <c r="C58" i="1"/>
  <c r="G56" i="1"/>
  <c r="C56" i="1"/>
  <c r="C54" i="1"/>
  <c r="S33" i="1" l="1"/>
  <c r="F11" i="5" l="1"/>
  <c r="G11" i="5" s="1"/>
  <c r="F10" i="5"/>
  <c r="G10" i="5" s="1"/>
  <c r="F9" i="5"/>
  <c r="G9" i="5" s="1"/>
  <c r="G8" i="5"/>
  <c r="F8" i="5"/>
  <c r="F7" i="5"/>
  <c r="G7" i="5" s="1"/>
  <c r="F6" i="5"/>
  <c r="G6" i="5" s="1"/>
  <c r="F5" i="5"/>
  <c r="G5" i="5" s="1"/>
  <c r="G12" i="5" s="1"/>
  <c r="D268" i="1"/>
  <c r="B246" i="1"/>
  <c r="F141" i="1"/>
  <c r="H141" i="1" s="1"/>
  <c r="F140" i="1"/>
  <c r="H140" i="1" s="1"/>
  <c r="F139" i="1"/>
  <c r="H139" i="1" s="1"/>
  <c r="L139" i="1" s="1"/>
  <c r="A139" i="1"/>
  <c r="A140" i="1" s="1"/>
  <c r="A141" i="1" s="1"/>
  <c r="A142" i="1" s="1"/>
  <c r="A143" i="1" s="1"/>
  <c r="F138" i="1"/>
  <c r="A130" i="1"/>
  <c r="A131" i="1" s="1"/>
  <c r="A132" i="1" s="1"/>
  <c r="F113" i="1"/>
  <c r="C87" i="1"/>
  <c r="C73" i="1"/>
  <c r="D67" i="1"/>
  <c r="D62" i="1"/>
  <c r="C51" i="1"/>
  <c r="C52" i="1" s="1"/>
  <c r="E44" i="1"/>
  <c r="E45" i="1" s="1"/>
  <c r="E31" i="1"/>
  <c r="E28" i="1"/>
  <c r="E26" i="1"/>
  <c r="C16" i="1"/>
  <c r="I15" i="1"/>
  <c r="Z13" i="1"/>
  <c r="E8" i="1"/>
  <c r="E3" i="1"/>
  <c r="H74" i="1"/>
  <c r="H88" i="1"/>
  <c r="H138" i="1" l="1"/>
  <c r="G121" i="1" s="1"/>
  <c r="G122" i="1" s="1"/>
  <c r="G123" i="1" s="1"/>
  <c r="C121" i="1"/>
  <c r="C122" i="1" s="1"/>
  <c r="C123" i="1" s="1"/>
  <c r="E121" i="1"/>
  <c r="E122" i="1" s="1"/>
  <c r="E123" i="1" s="1"/>
  <c r="J73" i="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B88" i="1"/>
  <c r="B74" i="1"/>
  <c r="J79" i="1" s="1"/>
  <c r="C91" i="1" l="1"/>
  <c r="D91" i="1" s="1"/>
  <c r="I88" i="1" s="1"/>
  <c r="I89" i="1" s="1"/>
  <c r="D77" i="1"/>
  <c r="J98" i="1"/>
  <c r="J95" i="1"/>
  <c r="J97" i="1"/>
  <c r="J96" i="1"/>
  <c r="J93" i="1"/>
  <c r="J94" i="1" s="1"/>
  <c r="J83" i="1"/>
  <c r="J81" i="1"/>
  <c r="J82" i="1"/>
  <c r="J80" i="1"/>
  <c r="J85" i="1" s="1"/>
  <c r="J86" i="1" s="1"/>
  <c r="C78" i="1" s="1"/>
  <c r="J84" i="1"/>
  <c r="G91" i="1" l="1"/>
  <c r="J74" i="1"/>
  <c r="J99" i="1"/>
  <c r="J100" i="1" s="1"/>
  <c r="J88" i="1" s="1"/>
  <c r="I87" i="1" s="1"/>
  <c r="C89" i="1" s="1"/>
  <c r="E77" i="1"/>
  <c r="D78" i="1"/>
  <c r="I74" i="1" s="1"/>
  <c r="G77" i="1"/>
  <c r="D71" i="1" s="1"/>
  <c r="F72" i="1" l="1"/>
  <c r="D72" i="1"/>
  <c r="I75" i="1"/>
  <c r="I73" i="1" s="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5"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<sst xmlns="http://schemas.openxmlformats.org/spreadsheetml/2006/main" count="664" uniqueCount="364">
  <si>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</si>
  <si>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</si>
  <si>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</si>
  <si>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</si>
  <si>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</si>
  <si>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</si>
  <si>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</si>
  <si>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</si>
  <si>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</si>
  <si>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</si>
  <si>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</si>
  <si>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</si>
  <si>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</si>
  <si>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</si>
  <si>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</si>
  <si>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</si>
  <si>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</si>
  <si>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</si>
  <si>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</si>
  <si>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</si>
  <si>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</si>
  <si>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</si>
  <si>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</si>
  <si>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</si>
  <si>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</si>
  <si>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</si>
  <si>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</si>
  <si>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</si>
  <si>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</si>
  <si>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</si>
  <si>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</si>
  <si>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</si>
  <si>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</si>
  <si>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</si>
  <si>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</si>
  <si>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</si>
  <si>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</si>
  <si>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</si>
  <si>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</si>
  <si>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</si>
  <si>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</si>
  <si>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</si>
  <si>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</si>
  <si>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</si>
  <si>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</si>
  <si>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</si>
  <si>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</si>
  <si>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</si>
  <si>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</si>
  <si>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</si>
  <si>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</si>
  <si>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</si>
  <si>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</si>
  <si>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</si>
  <si>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</si>
  <si>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</si>
  <si>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</si>
  <si>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</si>
  <si>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</si>
  <si>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</si>
  <si>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</si>
  <si>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</si>
  <si>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</si>
  <si>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</si>
  <si>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</si>
  <si>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</si>
  <si>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</si>
  <si>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</si>
  <si>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</si>
  <si>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</si>
  <si>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</si>
  <si>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</si>
  <si>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</si>
  <si>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</si>
  <si>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</si>
  <si>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</si>
  <si>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</si>
  <si>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</si>
  <si>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</si>
  <si>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</si>
  <si>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</si>
  <si>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</si>
  <si>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</si>
  <si>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</si>
  <si>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</si>
  <si>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</si>
  <si>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</si>
  <si>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</si>
  <si>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</si>
  <si>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</si>
  <si>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</si>
  <si>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</si>
  <si>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</si>
  <si>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</si>
  <si>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</si>
  <si>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</si>
  <si>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</si>
  <si>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</si>
  <si>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</si>
  <si>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</si>
  <si>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</si>
  <si>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</si>
  <si>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</si>
  <si>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</si>
  <si>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</si>
  <si>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</si>
  <si>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</si>
  <si>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</si>
  <si>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</si>
  <si>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</si>
  <si>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</si>
  <si>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</si>
  <si>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</si>
  <si>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</si>
  <si>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</si>
  <si>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</si>
  <si>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</si>
  <si>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</si>
  <si>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</si>
  <si>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</si>
  <si>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</si>
  <si>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</si>
  <si>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</si>
  <si>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</si>
  <si>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</si>
  <si>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</si>
  <si>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</si>
  <si>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</si>
  <si>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</si>
  <si>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</si>
  <si>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</si>
  <si>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</si>
  <si>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</si>
  <si>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</si>
  <si>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</si>
  <si>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</si>
  <si>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</si>
  <si>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</si>
  <si>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</si>
  <si>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</si>
  <si>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</si>
  <si>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</si>
  <si>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</si>
  <si>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</si>
  <si>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</si>
  <si>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</si>
  <si>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</si>
  <si>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</si>
  <si>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</si>
  <si>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</si>
  <si>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</si>
  <si>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</si>
  <si>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</si>
  <si>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</si>
  <si>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</si>
  <si>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</si>
  <si>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</si>
  <si>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</si>
  <si>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</si>
  <si>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</si>
  <si>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</si>
  <si>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</si>
  <si>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</si>
  <si>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</si>
  <si>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</si>
  <si>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</si>
  <si>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</si>
  <si>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</si>
  <si>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</si>
  <si>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</si>
  <si>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</si>
  <si>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</si>
  <si>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</si>
  <si>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</si>
  <si>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</si>
  <si>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</si>
  <si>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</si>
  <si>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</si>
  <si>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</si>
  <si>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</si>
  <si>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</si>
  <si>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</si>
  <si>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</si>
  <si>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</si>
  <si>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</si>
  <si>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</si>
  <si>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</si>
  <si>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</si>
  <si>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</si>
  <si>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</si>
  <si>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</si>
  <si>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</si>
  <si>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</si>
  <si>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</si>
  <si>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</si>
  <si>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</si>
  <si>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</si>
  <si>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</si>
  <si>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</si>
  <si>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</si>
  <si>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</si>
  <si>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</si>
  <si>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</si>
  <si>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</si>
  <si>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</si>
  <si>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</si>
  <si>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</si>
  <si>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</si>
  <si>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</si>
  <si>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</si>
  <si>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</si>
  <si>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</si>
  <si>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</si>
  <si>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</si>
  <si>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</si>
  <si>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</si>
  <si>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</si>
  <si>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</si>
  <si>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</si>
  <si>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</si>
  <si>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</si>
  <si>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</si>
  <si>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</si>
  <si>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</si>
  <si>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</si>
  <si>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</si>
  <si>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</si>
  <si>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</si>
  <si>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</si>
  <si>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</si>
  <si>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</si>
  <si>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</si>
  <si>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</si>
  <si>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</si>
  <si>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</si>
  <si>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</si>
  <si>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</si>
  <si>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</si>
  <si>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</si>
  <si>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</si>
  <si>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</si>
  <si>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</si>
  <si>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</si>
  <si>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</si>
  <si>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</si>
  <si>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</si>
  <si>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</si>
  <si>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</si>
  <si>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</si>
  <si>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</si>
  <si>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</si>
  <si>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</si>
  <si>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</si>
  <si>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</si>
  <si>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</si>
  <si>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</si>
  <si>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</si>
  <si>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</si>
  <si>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</si>
  <si>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</si>
  <si>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</si>
  <si>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</si>
  <si>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</si>
  <si>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</si>
  <si>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</si>
  <si>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</si>
  <si>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</si>
  <si>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</si>
  <si>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</si>
  <si>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</si>
  <si>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</si>
  <si>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</si>
  <si>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</si>
  <si>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</si>
  <si>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</si>
  <si>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</si>
  <si>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</si>
  <si>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</si>
  <si>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</si>
  <si>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</si>
  <si>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</si>
  <si>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</si>
  <si>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</si>
  <si>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</si>
  <si>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</si>
  <si>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</si>
  <si>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</si>
  <si>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</si>
  <si>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</si>
  <si>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</si>
  <si>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</si>
  <si>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</si>
  <si>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</si>
  <si>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</si>
  <si>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</si>
  <si>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</si>
  <si>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</si>
  <si>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</si>
  <si>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Amar Realty</t>
  </si>
  <si>
    <t>Amar Elegance</t>
  </si>
  <si>
    <t>Ms. Shilpa 8591213057</t>
  </si>
  <si>
    <t>Mr. Mahesh Rane 8082142659</t>
  </si>
  <si>
    <t>P51700031419</t>
  </si>
  <si>
    <t>KDMC/TPD/BP/DOM/2020-21/0038/118</t>
  </si>
  <si>
    <t>Approved Plans, CC, Cost Sheet</t>
  </si>
  <si>
    <t>Survey No</t>
  </si>
  <si>
    <t>123 (178A), H.No.1</t>
  </si>
  <si>
    <t>Chole</t>
  </si>
  <si>
    <t>Navapada</t>
  </si>
  <si>
    <t>19.230946,73.092784</t>
  </si>
  <si>
    <t>https://maps.app.goo.gl/RgC5ATYgY6nmtBH96</t>
  </si>
  <si>
    <t>1.7 KM from Thakurli Railway Station</t>
  </si>
  <si>
    <t>Thakurli West</t>
  </si>
  <si>
    <t>Vrundavan Complex</t>
  </si>
  <si>
    <t>Internal Road</t>
  </si>
  <si>
    <t xml:space="preserve">As per RERA - 31/12/2025 </t>
  </si>
  <si>
    <r>
      <t xml:space="preserve">Proposed Amenities :                                                                                                                                                                                                                         </t>
    </r>
    <r>
      <rPr>
        <b/>
        <sz val="12"/>
        <rFont val="Times New Roman"/>
        <family val="1"/>
      </rPr>
      <t xml:space="preserve">                                               </t>
    </r>
  </si>
  <si>
    <t>Modern Rooftop Amenities, Designer Lobby with AC and Wi-Fi, 3 Tier Security Ample Car Parking, 24*7 KDMC Water Supply, 24*7 Electricity Back Up, Gazebo Sit Out Area, Open Gymnasium etc.</t>
  </si>
  <si>
    <t>https://www.amarelegance.in/</t>
  </si>
  <si>
    <t xml:space="preserve">Gr/St + 1st to 23rd Floor
</t>
  </si>
  <si>
    <t>Open Plot</t>
  </si>
  <si>
    <t>Internal Road/Building</t>
  </si>
  <si>
    <t>18.00 M WD D.P Road</t>
  </si>
  <si>
    <t>Ward Office - 358 Handed over to KDMC</t>
  </si>
  <si>
    <t>Other Plot</t>
  </si>
  <si>
    <t>Ground Floor For Entrance Lobby, Driver Room, Meter Room &amp; Parking</t>
  </si>
  <si>
    <t>1st &amp; 3rd Floor For Residential</t>
  </si>
  <si>
    <t>15.00 M. WD. D.P Road, Set Back Area</t>
  </si>
  <si>
    <t>1BHK</t>
  </si>
  <si>
    <t>2BHK</t>
  </si>
  <si>
    <t>C.B   +      Balcony Area</t>
  </si>
  <si>
    <t>4th &amp; 10th Floor</t>
  </si>
  <si>
    <t>5th Floor</t>
  </si>
  <si>
    <t>6th Floor</t>
  </si>
  <si>
    <t>3BHK</t>
  </si>
  <si>
    <t>1RK</t>
  </si>
  <si>
    <t>7th, 9th, 11th, 13th &amp; 15th Floor</t>
  </si>
  <si>
    <t>8th Floor (Part Refuge Area)</t>
  </si>
  <si>
    <t>Refuge Area</t>
  </si>
  <si>
    <t>-</t>
  </si>
  <si>
    <t>12th Floor (Part Refuge Area)</t>
  </si>
  <si>
    <t>14th Floor</t>
  </si>
  <si>
    <t>16th Floor</t>
  </si>
  <si>
    <t>17th Floor (Part Refuge Area)</t>
  </si>
  <si>
    <t>18th &amp; 20th Floor</t>
  </si>
  <si>
    <t>19th &amp; 21st Floor</t>
  </si>
  <si>
    <t>22nd Floor (Part Society Office &amp; Refuge Area)</t>
  </si>
  <si>
    <t>We considered Gross carpet area = Net carpet  + C.B +  Balcony Area</t>
  </si>
  <si>
    <t>Kalyan Dombivli Municipal Corporation (KDMC)</t>
  </si>
  <si>
    <t>Society Office &amp; Refuge Area</t>
  </si>
  <si>
    <t>23rd Floor</t>
  </si>
  <si>
    <t>check area flat 5 &amp; 6</t>
  </si>
  <si>
    <t xml:space="preserve">Details of Residential in Building   </t>
  </si>
  <si>
    <t>Flats - 134</t>
  </si>
  <si>
    <t>Flats</t>
  </si>
  <si>
    <t>Other Charges</t>
  </si>
  <si>
    <t>Building No.1 =  Gr/St + 1st to 23rd Floor (Residential)</t>
  </si>
  <si>
    <t>7200 to 7300</t>
  </si>
  <si>
    <t>Viraj</t>
  </si>
  <si>
    <t>verbal</t>
  </si>
  <si>
    <t>Recommended Rates/Other Charges of the Property have been revised on 02/07/2024 &amp; 24/07/2024.</t>
  </si>
  <si>
    <t>Construction work is in process at the time of Visit (Labour found).</t>
  </si>
  <si>
    <t>Gaurav Panchal</t>
  </si>
  <si>
    <t>Mr. Mangesh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</si>
</sst>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27" fillId="0" borderId="0" xfId="10"/>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2" fontId="7" fillId="0" borderId="0" xfId="1" applyNumberFormat="1" applyFont="1" applyAlignment="1">
      <alignment horizontal="center"/>
    </xf>
    <xf numFmtId="9" fontId="13" fillId="0" borderId="15"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34"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35"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0" fillId="0" borderId="2"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1" fontId="13" fillId="0" borderId="7"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370</xdr:row>
      <xdr:rowOff>113062</xdr:rowOff>
    </xdr:from>
    <xdr:to>
      <xdr:col>7</xdr:col>
      <xdr:colOff>246975</xdr:colOff>
      <xdr:row>389</xdr:row>
      <xdr:rowOff>122544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8625" y="68540662"/>
          <a:ext cx="5400000" cy="3809957"/>
        </a:xfrm>
        <a:prstGeom prst="rect">
          <a:avLst/>
        </a:prstGeom>
        <a:ln w="9525">
          <a:solidFill>
            <a:schemeClr val="tx1"/>
          </a:solidFill>
        </a:ln>
      </xdr:spPr>
    </xdr:pic>
    <xdr:clientData/>
  </xdr:twoCellAnchor>
  <xdr:twoCellAnchor editAs="oneCell">
    <xdr:from>
      <xdr:col>0</xdr:col>
      <xdr:colOff>747803</xdr:colOff>
      <xdr:row>352</xdr:row>
      <xdr:rowOff>155122</xdr:rowOff>
    </xdr:from>
    <xdr:to>
      <xdr:col>6</xdr:col>
      <xdr:colOff>579578</xdr:colOff>
      <xdr:row>369</xdr:row>
      <xdr:rowOff>182058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47803" y="66040908"/>
          <a:ext cx="4675918" cy="3496757"/>
        </a:xfrm>
        <a:prstGeom prst="rect">
          <a:avLst/>
        </a:prstGeom>
        <a:ln w="9525">
          <a:solidFill>
            <a:schemeClr val="tx1"/>
          </a:solidFill>
        </a:ln>
      </xdr:spPr>
    </xdr:pic>
    <xdr:clientData/>
  </xdr:twoCellAnchor>
  <xdr:twoCellAnchor>
    <xdr:from>
      <xdr:col>3</xdr:col>
      <xdr:colOff>679174</xdr:colOff>
      <xdr:row>376</xdr:row>
      <xdr:rowOff>165653</xdr:rowOff>
    </xdr:from>
    <xdr:to>
      <xdr:col>4</xdr:col>
      <xdr:colOff>149087</xdr:colOff>
      <xdr:row>378</xdr:row>
      <xdr:rowOff>74544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3089413" y="69424827"/>
          <a:ext cx="381000" cy="306456"/>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217714</xdr:colOff>
      <xdr:row>328</xdr:row>
      <xdr:rowOff>108856</xdr:rowOff>
    </xdr:from>
    <xdr:to>
      <xdr:col>7</xdr:col>
      <xdr:colOff>517071</xdr:colOff>
      <xdr:row>347</xdr:row>
      <xdr:rowOff>28602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cstate="screen">
          <a:biLevel thresh="50000"/>
          <a:extLst>
            <a:ext uri="{28A0092B-C50C-407E-A947-70E740481C1C}">
              <a14:useLocalDpi xmlns:a14="http://schemas.microsoft.com/office/drawing/2010/main"/>
            </a:ext>
          </a:extLst>
        </a:blip>
        <a:srcRect/>
        <a:stretch/>
      </xdr:blipFill>
      <xdr:spPr>
        <a:xfrm>
          <a:off x="217714" y="60687856"/>
          <a:ext cx="5878286" cy="3797781"/>
        </a:xfrm>
        <a:prstGeom prst="rect">
          <a:avLst/>
        </a:prstGeom>
        <a:ln w="9525">
          <a:solidFill>
            <a:schemeClr val="tx1"/>
          </a:solidFill>
        </a:ln>
      </xdr:spPr>
    </xdr:pic>
    <xdr:clientData/>
  </xdr:twoCellAnchor>
  <xdr:twoCellAnchor editAs="oneCell">
    <xdr:from>
      <xdr:col>2</xdr:col>
      <xdr:colOff>68136</xdr:colOff>
      <xdr:row>310</xdr:row>
      <xdr:rowOff>13608</xdr:rowOff>
    </xdr:from>
    <xdr:to>
      <xdr:col>5</xdr:col>
      <xdr:colOff>660736</xdr:colOff>
      <xdr:row>327</xdr:row>
      <xdr:rowOff>143786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cstate="screen">
          <a:biLevel thresh="50000"/>
          <a:extLst>
            <a:ext uri="{28A0092B-C50C-407E-A947-70E740481C1C}">
              <a14:useLocalDpi xmlns:a14="http://schemas.microsoft.com/office/drawing/2010/main"/>
            </a:ext>
          </a:extLst>
        </a:blip>
        <a:srcRect/>
        <a:stretch/>
      </xdr:blipFill>
      <xdr:spPr>
        <a:xfrm>
          <a:off x="1632957" y="56918679"/>
          <a:ext cx="3123529" cy="3600000"/>
        </a:xfrm>
        <a:prstGeom prst="rect">
          <a:avLst/>
        </a:prstGeom>
        <a:ln w="9525">
          <a:solidFill>
            <a:schemeClr val="tx1"/>
          </a:solidFill>
        </a:ln>
      </xdr:spPr>
    </xdr:pic>
    <xdr:clientData/>
  </xdr:twoCellAnchor>
  <xdr:twoCellAnchor>
    <xdr:from>
      <xdr:col>4</xdr:col>
      <xdr:colOff>13607</xdr:colOff>
      <xdr:row>334</xdr:row>
      <xdr:rowOff>40821</xdr:rowOff>
    </xdr:from>
    <xdr:to>
      <xdr:col>7</xdr:col>
      <xdr:colOff>13607</xdr:colOff>
      <xdr:row>344</xdr:row>
      <xdr:rowOff>81643</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3333750" y="61844464"/>
          <a:ext cx="2258786" cy="2081893"/>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396875</xdr:colOff>
      <xdr:row>268</xdr:row>
      <xdr:rowOff>111125</xdr:rowOff>
    </xdr:from>
    <xdr:to>
      <xdr:col>15</xdr:col>
      <xdr:colOff>567028</xdr:colOff>
      <xdr:row>308</xdr:row>
      <xdr:rowOff>87197</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6683375" y="46831250"/>
          <a:ext cx="6161378" cy="7977072"/>
          <a:chOff x="82550" y="46088300"/>
          <a:chExt cx="6437603" cy="7850072"/>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183743" y="51778372"/>
            <a:ext cx="1618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2551" y="46088300"/>
            <a:ext cx="2049863" cy="2736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2550" y="48933336"/>
            <a:ext cx="2049863" cy="2736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470290" y="48933336"/>
            <a:ext cx="2049863" cy="273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76654" y="46088300"/>
            <a:ext cx="2049863" cy="2736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276653" y="48933336"/>
            <a:ext cx="2049863" cy="2736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45137" y="51778372"/>
            <a:ext cx="162506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470290" y="46088300"/>
            <a:ext cx="2049863" cy="2736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414440" y="51778372"/>
            <a:ext cx="1625063" cy="2160000"/>
          </a:xfrm>
          <a:prstGeom prst="rect">
            <a:avLst/>
          </a:prstGeom>
          <a:ln>
            <a:solidFill>
              <a:schemeClr val="tx1"/>
            </a:solidFill>
          </a:ln>
        </xdr:spPr>
      </xdr:pic>
    </xdr:grpSp>
    <xdr:clientData/>
  </xdr:twoCellAnchor>
  <xdr:twoCellAnchor>
    <xdr:from>
      <xdr:col>0</xdr:col>
      <xdr:colOff>47625</xdr:colOff>
      <xdr:row>268</xdr:row>
      <xdr:rowOff>85725</xdr:rowOff>
    </xdr:from>
    <xdr:to>
      <xdr:col>7</xdr:col>
      <xdr:colOff>475140</xdr:colOff>
      <xdr:row>305</xdr:row>
      <xdr:rowOff>60846</xdr:rowOff>
    </xdr:to>
    <xdr:grpSp>
      <xdr:nvGrpSpPr>
        <xdr:cNvPr id="18" name="Group 17">
          <a:extLst>
            <a:ext uri="{FF2B5EF4-FFF2-40B4-BE49-F238E27FC236}">
              <a16:creationId xmlns:a16="http://schemas.microsoft.com/office/drawing/2014/main" id="{13C1E359-75BE-4CA2-BFE1-C02856716C8B}"/>
            </a:ext>
          </a:extLst>
        </xdr:cNvPr>
        <xdr:cNvGrpSpPr/>
      </xdr:nvGrpSpPr>
      <xdr:grpSpPr>
        <a:xfrm>
          <a:off x="47625" y="46805850"/>
          <a:ext cx="5980590" cy="7376046"/>
          <a:chOff x="382851" y="466165"/>
          <a:chExt cx="5980590" cy="7376046"/>
        </a:xfrm>
      </xdr:grpSpPr>
      <xdr:pic>
        <xdr:nvPicPr>
          <xdr:cNvPr id="19" name="Picture 18">
            <a:extLst>
              <a:ext uri="{FF2B5EF4-FFF2-40B4-BE49-F238E27FC236}">
                <a16:creationId xmlns:a16="http://schemas.microsoft.com/office/drawing/2014/main" id="{29A3B9F2-277E-42DD-BA01-0A0638E1FA72}"/>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46260" y="466165"/>
            <a:ext cx="2427469" cy="3240000"/>
          </a:xfrm>
          <a:prstGeom prst="rect">
            <a:avLst/>
          </a:prstGeom>
          <a:ln>
            <a:solidFill>
              <a:schemeClr val="tx1"/>
            </a:solidFill>
          </a:ln>
        </xdr:spPr>
      </xdr:pic>
      <xdr:pic>
        <xdr:nvPicPr>
          <xdr:cNvPr id="20" name="Picture 19">
            <a:extLst>
              <a:ext uri="{FF2B5EF4-FFF2-40B4-BE49-F238E27FC236}">
                <a16:creationId xmlns:a16="http://schemas.microsoft.com/office/drawing/2014/main" id="{0873730A-A632-4EAC-B3B7-C0EAB056FD0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481883" y="466165"/>
            <a:ext cx="2427469" cy="3240000"/>
          </a:xfrm>
          <a:prstGeom prst="rect">
            <a:avLst/>
          </a:prstGeom>
          <a:ln>
            <a:solidFill>
              <a:schemeClr val="tx1"/>
            </a:solidFill>
          </a:ln>
        </xdr:spPr>
      </xdr:pic>
      <xdr:pic>
        <xdr:nvPicPr>
          <xdr:cNvPr id="21" name="Picture 20">
            <a:extLst>
              <a:ext uri="{FF2B5EF4-FFF2-40B4-BE49-F238E27FC236}">
                <a16:creationId xmlns:a16="http://schemas.microsoft.com/office/drawing/2014/main" id="{C66381FB-C8E8-4B52-89F6-5D8C40D96541}"/>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036339" y="3882211"/>
            <a:ext cx="1483453" cy="1980000"/>
          </a:xfrm>
          <a:prstGeom prst="rect">
            <a:avLst/>
          </a:prstGeom>
          <a:ln>
            <a:solidFill>
              <a:schemeClr val="tx1"/>
            </a:solidFill>
          </a:ln>
        </xdr:spPr>
      </xdr:pic>
      <xdr:pic>
        <xdr:nvPicPr>
          <xdr:cNvPr id="31" name="Picture 30">
            <a:extLst>
              <a:ext uri="{FF2B5EF4-FFF2-40B4-BE49-F238E27FC236}">
                <a16:creationId xmlns:a16="http://schemas.microsoft.com/office/drawing/2014/main" id="{E283B8AD-1C38-4A27-95A7-7999C76EDDCE}"/>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82851" y="3882211"/>
            <a:ext cx="1483454" cy="1980000"/>
          </a:xfrm>
          <a:prstGeom prst="rect">
            <a:avLst/>
          </a:prstGeom>
          <a:ln>
            <a:solidFill>
              <a:schemeClr val="tx1"/>
            </a:solidFill>
          </a:ln>
        </xdr:spPr>
      </xdr:pic>
      <xdr:pic>
        <xdr:nvPicPr>
          <xdr:cNvPr id="32" name="Picture 31">
            <a:extLst>
              <a:ext uri="{FF2B5EF4-FFF2-40B4-BE49-F238E27FC236}">
                <a16:creationId xmlns:a16="http://schemas.microsoft.com/office/drawing/2014/main" id="{DE257A2B-F46C-4FD5-801B-C438E8C3D6EE}"/>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689826" y="3882211"/>
            <a:ext cx="2637905" cy="1980000"/>
          </a:xfrm>
          <a:prstGeom prst="rect">
            <a:avLst/>
          </a:prstGeom>
          <a:ln>
            <a:solidFill>
              <a:schemeClr val="tx1"/>
            </a:solidFill>
          </a:ln>
        </xdr:spPr>
      </xdr:pic>
      <xdr:pic>
        <xdr:nvPicPr>
          <xdr:cNvPr id="33" name="Picture 32">
            <a:extLst>
              <a:ext uri="{FF2B5EF4-FFF2-40B4-BE49-F238E27FC236}">
                <a16:creationId xmlns:a16="http://schemas.microsoft.com/office/drawing/2014/main" id="{4514B638-EC4B-4D58-9FC9-E27B879C305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04245" y="6042211"/>
            <a:ext cx="1348594"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F0721B02-E2C1-40B5-8A2B-F9BDCAA838EA}"/>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943064" y="6042211"/>
            <a:ext cx="1348594"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9B1AC82C-A52B-4ADB-A835-2CF135203831}"/>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481883" y="6042211"/>
            <a:ext cx="1348594" cy="1800000"/>
          </a:xfrm>
          <a:prstGeom prst="rect">
            <a:avLst/>
          </a:prstGeom>
          <a:ln>
            <a:solidFill>
              <a:schemeClr val="tx1"/>
            </a:solidFill>
          </a:ln>
        </xdr:spPr>
      </xdr:pic>
      <xdr:pic>
        <xdr:nvPicPr>
          <xdr:cNvPr id="36" name="Picture 35">
            <a:extLst>
              <a:ext uri="{FF2B5EF4-FFF2-40B4-BE49-F238E27FC236}">
                <a16:creationId xmlns:a16="http://schemas.microsoft.com/office/drawing/2014/main" id="{343C3D4C-B521-4D9E-8DDD-D3E4047A9882}"/>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014847" y="6042211"/>
            <a:ext cx="1348594"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amarelegance.in/" TargetMode="External"/><Relationship Id="rId1" Type="http://schemas.openxmlformats.org/officeDocument/2006/relationships/hyperlink" Target="https://maps.app.goo.gl/RgC5ATYgY6nmtBH9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52"/>
  <sheetViews>
    <sheetView tabSelected="1" view="pageBreakPreview" topLeftCell="A244" zoomScaleNormal="100" zoomScaleSheetLayoutView="100" zoomScalePageLayoutView="85" workbookViewId="0">
      <selection activeCell="I7" sqref="I7"/>
    </sheetView>
  </sheetViews>
  <sheetFormatPr defaultColWidth="9.140625" defaultRowHeight="15.75" x14ac:dyDescent="0.25"/>
  <cols>
    <col min="1" max="1" width="11.42578125" style="40" customWidth="1"/>
    <col min="2" max="2" width="12" style="40" customWidth="1"/>
    <col min="3" max="3" width="12.5703125" style="40" customWidth="1"/>
    <col min="4" max="4" width="13.5703125" style="40" customWidth="1"/>
    <col min="5" max="5" width="11.570312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5703125" style="21" customWidth="1"/>
    <col min="17" max="18" width="9.140625" style="21"/>
    <col min="19" max="19" width="10.85546875" style="21" bestFit="1" customWidth="1"/>
    <col min="20" max="20" width="10.5703125" style="21" customWidth="1"/>
    <col min="21" max="247" width="9.140625" style="21"/>
    <col min="248" max="248" width="8.5703125" style="21" customWidth="1"/>
    <col min="249" max="249" width="9.85546875" style="21" customWidth="1"/>
    <col min="250" max="250" width="14.42578125" style="21" customWidth="1"/>
    <col min="251" max="251" width="7.425781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5703125" style="21" customWidth="1"/>
    <col min="505" max="505" width="9.85546875" style="21" customWidth="1"/>
    <col min="506" max="506" width="14.42578125" style="21" customWidth="1"/>
    <col min="507" max="507" width="7.425781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5703125" style="21" customWidth="1"/>
    <col min="761" max="761" width="9.85546875" style="21" customWidth="1"/>
    <col min="762" max="762" width="14.42578125" style="21" customWidth="1"/>
    <col min="763" max="763" width="7.425781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5703125" style="21" customWidth="1"/>
    <col min="1017" max="1017" width="9.85546875" style="21" customWidth="1"/>
    <col min="1018" max="1018" width="14.42578125" style="21" customWidth="1"/>
    <col min="1019" max="1019" width="7.425781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5703125" style="21" customWidth="1"/>
    <col min="1273" max="1273" width="9.85546875" style="21" customWidth="1"/>
    <col min="1274" max="1274" width="14.42578125" style="21" customWidth="1"/>
    <col min="1275" max="1275" width="7.425781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5703125" style="21" customWidth="1"/>
    <col min="1529" max="1529" width="9.85546875" style="21" customWidth="1"/>
    <col min="1530" max="1530" width="14.42578125" style="21" customWidth="1"/>
    <col min="1531" max="1531" width="7.425781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5703125" style="21" customWidth="1"/>
    <col min="1785" max="1785" width="9.85546875" style="21" customWidth="1"/>
    <col min="1786" max="1786" width="14.42578125" style="21" customWidth="1"/>
    <col min="1787" max="1787" width="7.425781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5703125" style="21" customWidth="1"/>
    <col min="2041" max="2041" width="9.85546875" style="21" customWidth="1"/>
    <col min="2042" max="2042" width="14.42578125" style="21" customWidth="1"/>
    <col min="2043" max="2043" width="7.425781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5703125" style="21" customWidth="1"/>
    <col min="2297" max="2297" width="9.85546875" style="21" customWidth="1"/>
    <col min="2298" max="2298" width="14.42578125" style="21" customWidth="1"/>
    <col min="2299" max="2299" width="7.425781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5703125" style="21" customWidth="1"/>
    <col min="2553" max="2553" width="9.85546875" style="21" customWidth="1"/>
    <col min="2554" max="2554" width="14.42578125" style="21" customWidth="1"/>
    <col min="2555" max="2555" width="7.425781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5703125" style="21" customWidth="1"/>
    <col min="2809" max="2809" width="9.85546875" style="21" customWidth="1"/>
    <col min="2810" max="2810" width="14.42578125" style="21" customWidth="1"/>
    <col min="2811" max="2811" width="7.425781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5703125" style="21" customWidth="1"/>
    <col min="3065" max="3065" width="9.85546875" style="21" customWidth="1"/>
    <col min="3066" max="3066" width="14.42578125" style="21" customWidth="1"/>
    <col min="3067" max="3067" width="7.425781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5703125" style="21" customWidth="1"/>
    <col min="3321" max="3321" width="9.85546875" style="21" customWidth="1"/>
    <col min="3322" max="3322" width="14.42578125" style="21" customWidth="1"/>
    <col min="3323" max="3323" width="7.425781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5703125" style="21" customWidth="1"/>
    <col min="3577" max="3577" width="9.85546875" style="21" customWidth="1"/>
    <col min="3578" max="3578" width="14.42578125" style="21" customWidth="1"/>
    <col min="3579" max="3579" width="7.425781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5703125" style="21" customWidth="1"/>
    <col min="3833" max="3833" width="9.85546875" style="21" customWidth="1"/>
    <col min="3834" max="3834" width="14.42578125" style="21" customWidth="1"/>
    <col min="3835" max="3835" width="7.425781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5703125" style="21" customWidth="1"/>
    <col min="4089" max="4089" width="9.85546875" style="21" customWidth="1"/>
    <col min="4090" max="4090" width="14.42578125" style="21" customWidth="1"/>
    <col min="4091" max="4091" width="7.425781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5703125" style="21" customWidth="1"/>
    <col min="4345" max="4345" width="9.85546875" style="21" customWidth="1"/>
    <col min="4346" max="4346" width="14.42578125" style="21" customWidth="1"/>
    <col min="4347" max="4347" width="7.425781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5703125" style="21" customWidth="1"/>
    <col min="4601" max="4601" width="9.85546875" style="21" customWidth="1"/>
    <col min="4602" max="4602" width="14.42578125" style="21" customWidth="1"/>
    <col min="4603" max="4603" width="7.425781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5703125" style="21" customWidth="1"/>
    <col min="4857" max="4857" width="9.85546875" style="21" customWidth="1"/>
    <col min="4858" max="4858" width="14.42578125" style="21" customWidth="1"/>
    <col min="4859" max="4859" width="7.425781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5703125" style="21" customWidth="1"/>
    <col min="5113" max="5113" width="9.85546875" style="21" customWidth="1"/>
    <col min="5114" max="5114" width="14.42578125" style="21" customWidth="1"/>
    <col min="5115" max="5115" width="7.425781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5703125" style="21" customWidth="1"/>
    <col min="5369" max="5369" width="9.85546875" style="21" customWidth="1"/>
    <col min="5370" max="5370" width="14.42578125" style="21" customWidth="1"/>
    <col min="5371" max="5371" width="7.425781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5703125" style="21" customWidth="1"/>
    <col min="5625" max="5625" width="9.85546875" style="21" customWidth="1"/>
    <col min="5626" max="5626" width="14.42578125" style="21" customWidth="1"/>
    <col min="5627" max="5627" width="7.425781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5703125" style="21" customWidth="1"/>
    <col min="5881" max="5881" width="9.85546875" style="21" customWidth="1"/>
    <col min="5882" max="5882" width="14.42578125" style="21" customWidth="1"/>
    <col min="5883" max="5883" width="7.425781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5703125" style="21" customWidth="1"/>
    <col min="6137" max="6137" width="9.85546875" style="21" customWidth="1"/>
    <col min="6138" max="6138" width="14.42578125" style="21" customWidth="1"/>
    <col min="6139" max="6139" width="7.425781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5703125" style="21" customWidth="1"/>
    <col min="6393" max="6393" width="9.85546875" style="21" customWidth="1"/>
    <col min="6394" max="6394" width="14.42578125" style="21" customWidth="1"/>
    <col min="6395" max="6395" width="7.425781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5703125" style="21" customWidth="1"/>
    <col min="6649" max="6649" width="9.85546875" style="21" customWidth="1"/>
    <col min="6650" max="6650" width="14.42578125" style="21" customWidth="1"/>
    <col min="6651" max="6651" width="7.425781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5703125" style="21" customWidth="1"/>
    <col min="6905" max="6905" width="9.85546875" style="21" customWidth="1"/>
    <col min="6906" max="6906" width="14.42578125" style="21" customWidth="1"/>
    <col min="6907" max="6907" width="7.425781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5703125" style="21" customWidth="1"/>
    <col min="7161" max="7161" width="9.85546875" style="21" customWidth="1"/>
    <col min="7162" max="7162" width="14.42578125" style="21" customWidth="1"/>
    <col min="7163" max="7163" width="7.425781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5703125" style="21" customWidth="1"/>
    <col min="7417" max="7417" width="9.85546875" style="21" customWidth="1"/>
    <col min="7418" max="7418" width="14.42578125" style="21" customWidth="1"/>
    <col min="7419" max="7419" width="7.425781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5703125" style="21" customWidth="1"/>
    <col min="7673" max="7673" width="9.85546875" style="21" customWidth="1"/>
    <col min="7674" max="7674" width="14.42578125" style="21" customWidth="1"/>
    <col min="7675" max="7675" width="7.425781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5703125" style="21" customWidth="1"/>
    <col min="7929" max="7929" width="9.85546875" style="21" customWidth="1"/>
    <col min="7930" max="7930" width="14.42578125" style="21" customWidth="1"/>
    <col min="7931" max="7931" width="7.425781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5703125" style="21" customWidth="1"/>
    <col min="8185" max="8185" width="9.85546875" style="21" customWidth="1"/>
    <col min="8186" max="8186" width="14.42578125" style="21" customWidth="1"/>
    <col min="8187" max="8187" width="7.425781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5703125" style="21" customWidth="1"/>
    <col min="8441" max="8441" width="9.85546875" style="21" customWidth="1"/>
    <col min="8442" max="8442" width="14.42578125" style="21" customWidth="1"/>
    <col min="8443" max="8443" width="7.425781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5703125" style="21" customWidth="1"/>
    <col min="8697" max="8697" width="9.85546875" style="21" customWidth="1"/>
    <col min="8698" max="8698" width="14.42578125" style="21" customWidth="1"/>
    <col min="8699" max="8699" width="7.425781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5703125" style="21" customWidth="1"/>
    <col min="8953" max="8953" width="9.85546875" style="21" customWidth="1"/>
    <col min="8954" max="8954" width="14.42578125" style="21" customWidth="1"/>
    <col min="8955" max="8955" width="7.425781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5703125" style="21" customWidth="1"/>
    <col min="9209" max="9209" width="9.85546875" style="21" customWidth="1"/>
    <col min="9210" max="9210" width="14.42578125" style="21" customWidth="1"/>
    <col min="9211" max="9211" width="7.425781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5703125" style="21" customWidth="1"/>
    <col min="9465" max="9465" width="9.85546875" style="21" customWidth="1"/>
    <col min="9466" max="9466" width="14.42578125" style="21" customWidth="1"/>
    <col min="9467" max="9467" width="7.425781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5703125" style="21" customWidth="1"/>
    <col min="9721" max="9721" width="9.85546875" style="21" customWidth="1"/>
    <col min="9722" max="9722" width="14.42578125" style="21" customWidth="1"/>
    <col min="9723" max="9723" width="7.425781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5703125" style="21" customWidth="1"/>
    <col min="9977" max="9977" width="9.85546875" style="21" customWidth="1"/>
    <col min="9978" max="9978" width="14.42578125" style="21" customWidth="1"/>
    <col min="9979" max="9979" width="7.425781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5703125" style="21" customWidth="1"/>
    <col min="10233" max="10233" width="9.85546875" style="21" customWidth="1"/>
    <col min="10234" max="10234" width="14.42578125" style="21" customWidth="1"/>
    <col min="10235" max="10235" width="7.425781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5703125" style="21" customWidth="1"/>
    <col min="10489" max="10489" width="9.85546875" style="21" customWidth="1"/>
    <col min="10490" max="10490" width="14.42578125" style="21" customWidth="1"/>
    <col min="10491" max="10491" width="7.425781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5703125" style="21" customWidth="1"/>
    <col min="10745" max="10745" width="9.85546875" style="21" customWidth="1"/>
    <col min="10746" max="10746" width="14.42578125" style="21" customWidth="1"/>
    <col min="10747" max="10747" width="7.425781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5703125" style="21" customWidth="1"/>
    <col min="11001" max="11001" width="9.85546875" style="21" customWidth="1"/>
    <col min="11002" max="11002" width="14.42578125" style="21" customWidth="1"/>
    <col min="11003" max="11003" width="7.425781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5703125" style="21" customWidth="1"/>
    <col min="11257" max="11257" width="9.85546875" style="21" customWidth="1"/>
    <col min="11258" max="11258" width="14.42578125" style="21" customWidth="1"/>
    <col min="11259" max="11259" width="7.425781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5703125" style="21" customWidth="1"/>
    <col min="11513" max="11513" width="9.85546875" style="21" customWidth="1"/>
    <col min="11514" max="11514" width="14.42578125" style="21" customWidth="1"/>
    <col min="11515" max="11515" width="7.425781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5703125" style="21" customWidth="1"/>
    <col min="11769" max="11769" width="9.85546875" style="21" customWidth="1"/>
    <col min="11770" max="11770" width="14.42578125" style="21" customWidth="1"/>
    <col min="11771" max="11771" width="7.425781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5703125" style="21" customWidth="1"/>
    <col min="12025" max="12025" width="9.85546875" style="21" customWidth="1"/>
    <col min="12026" max="12026" width="14.42578125" style="21" customWidth="1"/>
    <col min="12027" max="12027" width="7.425781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5703125" style="21" customWidth="1"/>
    <col min="12281" max="12281" width="9.85546875" style="21" customWidth="1"/>
    <col min="12282" max="12282" width="14.42578125" style="21" customWidth="1"/>
    <col min="12283" max="12283" width="7.425781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5703125" style="21" customWidth="1"/>
    <col min="12537" max="12537" width="9.85546875" style="21" customWidth="1"/>
    <col min="12538" max="12538" width="14.42578125" style="21" customWidth="1"/>
    <col min="12539" max="12539" width="7.425781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5703125" style="21" customWidth="1"/>
    <col min="12793" max="12793" width="9.85546875" style="21" customWidth="1"/>
    <col min="12794" max="12794" width="14.42578125" style="21" customWidth="1"/>
    <col min="12795" max="12795" width="7.425781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5703125" style="21" customWidth="1"/>
    <col min="13049" max="13049" width="9.85546875" style="21" customWidth="1"/>
    <col min="13050" max="13050" width="14.42578125" style="21" customWidth="1"/>
    <col min="13051" max="13051" width="7.425781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5703125" style="21" customWidth="1"/>
    <col min="13305" max="13305" width="9.85546875" style="21" customWidth="1"/>
    <col min="13306" max="13306" width="14.42578125" style="21" customWidth="1"/>
    <col min="13307" max="13307" width="7.425781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5703125" style="21" customWidth="1"/>
    <col min="13561" max="13561" width="9.85546875" style="21" customWidth="1"/>
    <col min="13562" max="13562" width="14.42578125" style="21" customWidth="1"/>
    <col min="13563" max="13563" width="7.425781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5703125" style="21" customWidth="1"/>
    <col min="13817" max="13817" width="9.85546875" style="21" customWidth="1"/>
    <col min="13818" max="13818" width="14.42578125" style="21" customWidth="1"/>
    <col min="13819" max="13819" width="7.425781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5703125" style="21" customWidth="1"/>
    <col min="14073" max="14073" width="9.85546875" style="21" customWidth="1"/>
    <col min="14074" max="14074" width="14.42578125" style="21" customWidth="1"/>
    <col min="14075" max="14075" width="7.425781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5703125" style="21" customWidth="1"/>
    <col min="14329" max="14329" width="9.85546875" style="21" customWidth="1"/>
    <col min="14330" max="14330" width="14.42578125" style="21" customWidth="1"/>
    <col min="14331" max="14331" width="7.425781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5703125" style="21" customWidth="1"/>
    <col min="14585" max="14585" width="9.85546875" style="21" customWidth="1"/>
    <col min="14586" max="14586" width="14.42578125" style="21" customWidth="1"/>
    <col min="14587" max="14587" width="7.425781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5703125" style="21" customWidth="1"/>
    <col min="14841" max="14841" width="9.85546875" style="21" customWidth="1"/>
    <col min="14842" max="14842" width="14.42578125" style="21" customWidth="1"/>
    <col min="14843" max="14843" width="7.425781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5703125" style="21" customWidth="1"/>
    <col min="15097" max="15097" width="9.85546875" style="21" customWidth="1"/>
    <col min="15098" max="15098" width="14.42578125" style="21" customWidth="1"/>
    <col min="15099" max="15099" width="7.425781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5703125" style="21" customWidth="1"/>
    <col min="15353" max="15353" width="9.85546875" style="21" customWidth="1"/>
    <col min="15354" max="15354" width="14.42578125" style="21" customWidth="1"/>
    <col min="15355" max="15355" width="7.425781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5703125" style="21" customWidth="1"/>
    <col min="15609" max="15609" width="9.85546875" style="21" customWidth="1"/>
    <col min="15610" max="15610" width="14.42578125" style="21" customWidth="1"/>
    <col min="15611" max="15611" width="7.425781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5703125" style="21" customWidth="1"/>
    <col min="15865" max="15865" width="9.85546875" style="21" customWidth="1"/>
    <col min="15866" max="15866" width="14.42578125" style="21" customWidth="1"/>
    <col min="15867" max="15867" width="7.425781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5703125" style="21" customWidth="1"/>
    <col min="16121" max="16121" width="9.85546875" style="21" customWidth="1"/>
    <col min="16122" max="16122" width="14.42578125" style="21" customWidth="1"/>
    <col min="16123" max="16123" width="7.425781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69" t="s">
        <v>164</v>
      </c>
      <c r="B1" s="169"/>
      <c r="C1" s="169"/>
      <c r="D1" s="169"/>
      <c r="E1" s="169"/>
      <c r="F1" s="169"/>
      <c r="G1" s="169"/>
      <c r="H1" s="169"/>
    </row>
    <row r="2" spans="1:26" ht="16.5" customHeight="1" x14ac:dyDescent="0.25">
      <c r="A2" s="161" t="s">
        <v>0</v>
      </c>
      <c r="B2" s="161"/>
      <c r="C2" s="161"/>
      <c r="D2" s="161"/>
      <c r="E2" s="161"/>
      <c r="F2" s="161"/>
      <c r="G2" s="161"/>
      <c r="H2" s="161"/>
    </row>
    <row r="3" spans="1:26" x14ac:dyDescent="0.25">
      <c r="A3" s="104" t="s">
        <v>1</v>
      </c>
      <c r="B3" s="104"/>
      <c r="C3" s="104"/>
      <c r="D3" s="104"/>
      <c r="E3" s="104" t="str">
        <f ca="1">TEXT(TODAY(),"DD/MM/YYYY")</f>
        <v>09/07/2025</v>
      </c>
      <c r="F3" s="104"/>
      <c r="G3" s="104"/>
      <c r="H3" s="104"/>
      <c r="K3" s="57" t="s">
        <v>236</v>
      </c>
      <c r="L3" s="54" t="s">
        <v>234</v>
      </c>
      <c r="M3" s="54" t="s">
        <v>239</v>
      </c>
      <c r="N3" s="54" t="s">
        <v>237</v>
      </c>
      <c r="O3" s="54" t="s">
        <v>238</v>
      </c>
      <c r="P3" s="54" t="s">
        <v>240</v>
      </c>
    </row>
    <row r="4" spans="1:26" ht="15" customHeight="1" x14ac:dyDescent="0.25">
      <c r="A4" s="104" t="s">
        <v>233</v>
      </c>
      <c r="B4" s="104"/>
      <c r="C4" s="104"/>
      <c r="D4" s="104"/>
      <c r="E4" s="104" t="s">
        <v>234</v>
      </c>
      <c r="F4" s="104"/>
      <c r="G4" s="104"/>
      <c r="H4" s="104"/>
      <c r="K4" s="53" t="s">
        <v>235</v>
      </c>
      <c r="L4" s="54" t="s">
        <v>170</v>
      </c>
      <c r="M4" s="54" t="s">
        <v>244</v>
      </c>
      <c r="N4" s="54" t="s">
        <v>246</v>
      </c>
      <c r="O4" s="54" t="s">
        <v>248</v>
      </c>
      <c r="P4" s="54"/>
    </row>
    <row r="5" spans="1:26" ht="15" customHeight="1" x14ac:dyDescent="0.25">
      <c r="A5" s="104" t="s">
        <v>2</v>
      </c>
      <c r="B5" s="104"/>
      <c r="C5" s="104"/>
      <c r="D5" s="104"/>
      <c r="E5" s="104" t="s">
        <v>243</v>
      </c>
      <c r="F5" s="104"/>
      <c r="G5" s="104"/>
      <c r="H5" s="104"/>
      <c r="K5" s="53"/>
      <c r="L5" s="54" t="s">
        <v>241</v>
      </c>
      <c r="M5" s="54" t="s">
        <v>245</v>
      </c>
      <c r="N5" s="54" t="s">
        <v>247</v>
      </c>
      <c r="O5" s="54" t="s">
        <v>249</v>
      </c>
      <c r="P5" s="54"/>
    </row>
    <row r="6" spans="1:26" x14ac:dyDescent="0.25">
      <c r="A6" s="104" t="s">
        <v>3</v>
      </c>
      <c r="B6" s="104"/>
      <c r="C6" s="104"/>
      <c r="D6" s="104"/>
      <c r="E6" s="170">
        <v>45846</v>
      </c>
      <c r="F6" s="104"/>
      <c r="G6" s="104"/>
      <c r="H6" s="104"/>
      <c r="K6" s="53"/>
      <c r="L6" s="54" t="s">
        <v>242</v>
      </c>
      <c r="M6" s="54"/>
      <c r="N6" s="54"/>
      <c r="O6" s="54" t="s">
        <v>250</v>
      </c>
      <c r="P6" s="54"/>
    </row>
    <row r="7" spans="1:26" ht="16.5" customHeight="1" x14ac:dyDescent="0.25">
      <c r="A7" s="104" t="s">
        <v>4</v>
      </c>
      <c r="B7" s="104"/>
      <c r="C7" s="104"/>
      <c r="D7" s="104"/>
      <c r="E7" s="104" t="s">
        <v>298</v>
      </c>
      <c r="F7" s="104"/>
      <c r="G7" s="104"/>
      <c r="H7" s="104"/>
      <c r="K7" s="53"/>
      <c r="L7" s="54" t="s">
        <v>243</v>
      </c>
      <c r="M7" s="54"/>
      <c r="N7" s="54"/>
      <c r="O7" s="54" t="s">
        <v>250</v>
      </c>
      <c r="P7" s="54"/>
    </row>
    <row r="8" spans="1:26" ht="15" customHeight="1" x14ac:dyDescent="0.25">
      <c r="A8" s="104" t="s">
        <v>5</v>
      </c>
      <c r="B8" s="104"/>
      <c r="C8" s="104"/>
      <c r="D8" s="104"/>
      <c r="E8" s="104" t="str">
        <f>E7</f>
        <v>Amar Realty</v>
      </c>
      <c r="F8" s="104"/>
      <c r="G8" s="104"/>
      <c r="H8" s="104"/>
      <c r="K8" s="53"/>
      <c r="L8" s="54"/>
      <c r="M8" s="54"/>
      <c r="N8" s="54"/>
      <c r="O8" s="54" t="s">
        <v>251</v>
      </c>
      <c r="P8" s="54"/>
    </row>
    <row r="9" spans="1:26" x14ac:dyDescent="0.25">
      <c r="A9" s="104" t="s">
        <v>6</v>
      </c>
      <c r="B9" s="104"/>
      <c r="C9" s="104"/>
      <c r="D9" s="104"/>
      <c r="E9" s="151" t="s">
        <v>299</v>
      </c>
      <c r="F9" s="151"/>
      <c r="G9" s="151"/>
      <c r="H9" s="151"/>
      <c r="K9" s="53"/>
      <c r="L9" s="54"/>
      <c r="M9" s="54"/>
      <c r="N9" s="54"/>
      <c r="O9" s="54" t="s">
        <v>252</v>
      </c>
      <c r="P9" s="54"/>
    </row>
    <row r="10" spans="1:26" x14ac:dyDescent="0.25">
      <c r="A10" s="104" t="s">
        <v>167</v>
      </c>
      <c r="B10" s="104"/>
      <c r="C10" s="104"/>
      <c r="D10" s="104"/>
      <c r="E10" s="104" t="s">
        <v>300</v>
      </c>
      <c r="F10" s="104"/>
      <c r="G10" s="104"/>
      <c r="H10" s="104"/>
      <c r="K10" s="53"/>
      <c r="L10" s="54"/>
      <c r="M10" s="54"/>
      <c r="N10" s="54"/>
      <c r="O10" s="54"/>
      <c r="P10" s="54"/>
    </row>
    <row r="11" spans="1:26" x14ac:dyDescent="0.25">
      <c r="A11" s="104" t="s">
        <v>168</v>
      </c>
      <c r="B11" s="104"/>
      <c r="C11" s="104"/>
      <c r="D11" s="104"/>
      <c r="E11" s="104" t="s">
        <v>301</v>
      </c>
      <c r="F11" s="104"/>
      <c r="G11" s="104"/>
      <c r="H11" s="104"/>
      <c r="I11" s="104" t="s">
        <v>301</v>
      </c>
      <c r="J11" s="104"/>
      <c r="K11" s="104"/>
      <c r="L11" s="104"/>
    </row>
    <row r="12" spans="1:26" x14ac:dyDescent="0.25">
      <c r="A12" s="104" t="s">
        <v>7</v>
      </c>
      <c r="B12" s="104"/>
      <c r="C12" s="104"/>
      <c r="D12" s="104"/>
      <c r="E12" s="104" t="s">
        <v>120</v>
      </c>
      <c r="F12" s="104"/>
      <c r="G12" s="104"/>
      <c r="H12" s="104"/>
    </row>
    <row r="13" spans="1:26" x14ac:dyDescent="0.25">
      <c r="A13" s="104" t="s">
        <v>171</v>
      </c>
      <c r="B13" s="104"/>
      <c r="C13" s="104"/>
      <c r="D13" s="104"/>
      <c r="E13" s="104" t="s">
        <v>28</v>
      </c>
      <c r="F13" s="104"/>
      <c r="G13" s="104"/>
      <c r="H13" s="104"/>
      <c r="S13" s="54" t="s">
        <v>178</v>
      </c>
      <c r="T13" s="54" t="s">
        <v>188</v>
      </c>
      <c r="U13" s="54" t="s">
        <v>172</v>
      </c>
      <c r="V13" s="54" t="s">
        <v>193</v>
      </c>
      <c r="W13" s="54" t="s">
        <v>211</v>
      </c>
      <c r="X13"/>
      <c r="Y13" t="s">
        <v>193</v>
      </c>
      <c r="Z13" t="e">
        <f ca="1">OFFSET($S$13,1,MATCH($G20,$S$13:$W$13,0)-1,15,1)</f>
        <v>#VALUE!</v>
      </c>
    </row>
    <row r="14" spans="1:26" x14ac:dyDescent="0.25">
      <c r="A14" s="78" t="s">
        <v>279</v>
      </c>
      <c r="B14" s="78"/>
      <c r="C14" s="78"/>
      <c r="D14" s="78"/>
      <c r="E14" s="103" t="s">
        <v>304</v>
      </c>
      <c r="F14" s="103"/>
      <c r="G14" s="103"/>
      <c r="H14" s="103"/>
      <c r="S14" s="54" t="s">
        <v>179</v>
      </c>
      <c r="T14" s="54" t="s">
        <v>186</v>
      </c>
      <c r="U14" s="54" t="s">
        <v>208</v>
      </c>
      <c r="V14" s="54" t="s">
        <v>194</v>
      </c>
      <c r="W14" s="54" t="s">
        <v>212</v>
      </c>
      <c r="X14"/>
      <c r="Y14"/>
      <c r="Z14"/>
    </row>
    <row r="15" spans="1:26" x14ac:dyDescent="0.25">
      <c r="A15" s="78" t="s">
        <v>8</v>
      </c>
      <c r="B15" s="78"/>
      <c r="C15" s="78"/>
      <c r="D15" s="78"/>
      <c r="E15" s="103" t="s">
        <v>302</v>
      </c>
      <c r="F15" s="104"/>
      <c r="G15" s="104"/>
      <c r="H15" s="104"/>
      <c r="I15" s="72" t="e">
        <f ca="1">OFFSET($D$5,1,MATCH($J13,$D$5:$H$5,0)-1,15,1)</f>
        <v>#N/A</v>
      </c>
      <c r="J15" s="73"/>
      <c r="K15" s="73"/>
      <c r="L15" s="73"/>
      <c r="M15" s="73"/>
      <c r="N15" s="73"/>
      <c r="O15" s="73"/>
      <c r="P15" s="73"/>
      <c r="S15" s="54" t="s">
        <v>180</v>
      </c>
      <c r="T15" s="54" t="s">
        <v>187</v>
      </c>
      <c r="U15" s="54" t="s">
        <v>209</v>
      </c>
      <c r="V15" s="54" t="s">
        <v>195</v>
      </c>
      <c r="W15" s="54" t="s">
        <v>225</v>
      </c>
      <c r="X15"/>
      <c r="Y15"/>
      <c r="Z15"/>
    </row>
    <row r="16" spans="1:26" ht="33" customHeight="1" x14ac:dyDescent="0.25">
      <c r="A16" s="87" t="s">
        <v>9</v>
      </c>
      <c r="B16" s="87"/>
      <c r="C16" s="87" t="str">
        <f>CONCATENATE((IF(OR(E9="",E9="NA"),"",E9)),", ",(IF(OR(A17="",A17="NA"),"",A17)),".",(IF(OR(C17="",C17="NA"),"",C17)),", near ",(IF(OR(C22="",C22="NA"),"",C22)),", ",(IF(OR(C19="",C19="NA"),"",C19)),", ",(IF(OR(C18="",C18="NA"),"",C18)),", ",(IF(OR(G19="",G19="NA"),"",G19)),", ",(IF(OR(C20="",C20="NA"),"",C20)),", ",(IF(OR(C21="",C21="NA"),"",C21)),", ",(IF(OR(G20="",G20="NA"),"",G20))," - ",(IF(OR(G21="",G21="NA"),"",G21)),".")</f>
        <v>Amar Elegance, Survey No.123 (178A), H.No.1, near Vrundavan Complex, Internal Road, Navapada, Chole, Thakurli West, Kalyan, Thane  - 421301.</v>
      </c>
      <c r="D16" s="87"/>
      <c r="E16" s="87"/>
      <c r="F16" s="87"/>
      <c r="G16" s="87"/>
      <c r="H16" s="87"/>
      <c r="S16" s="54" t="s">
        <v>181</v>
      </c>
      <c r="T16" s="54" t="s">
        <v>189</v>
      </c>
      <c r="U16" s="54" t="s">
        <v>210</v>
      </c>
      <c r="V16" s="54" t="s">
        <v>196</v>
      </c>
      <c r="W16" s="54" t="s">
        <v>213</v>
      </c>
      <c r="X16"/>
      <c r="Y16"/>
      <c r="Z16"/>
    </row>
    <row r="17" spans="1:26" x14ac:dyDescent="0.25">
      <c r="A17" s="103" t="s">
        <v>305</v>
      </c>
      <c r="B17" s="103"/>
      <c r="C17" s="103" t="s">
        <v>306</v>
      </c>
      <c r="D17" s="103"/>
      <c r="E17" s="103"/>
      <c r="F17" s="103"/>
      <c r="G17" s="103"/>
      <c r="H17" s="103"/>
      <c r="S17" s="54" t="s">
        <v>182</v>
      </c>
      <c r="T17" s="54" t="s">
        <v>190</v>
      </c>
      <c r="U17" s="54" t="s">
        <v>172</v>
      </c>
      <c r="V17" s="54" t="s">
        <v>197</v>
      </c>
      <c r="W17" s="54" t="s">
        <v>214</v>
      </c>
      <c r="X17"/>
      <c r="Y17"/>
      <c r="Z17"/>
    </row>
    <row r="18" spans="1:26" ht="15.75" customHeight="1" x14ac:dyDescent="0.25">
      <c r="A18" s="103" t="s">
        <v>162</v>
      </c>
      <c r="B18" s="103"/>
      <c r="C18" s="103" t="s">
        <v>308</v>
      </c>
      <c r="D18" s="103"/>
      <c r="E18" s="103"/>
      <c r="F18" s="103"/>
      <c r="G18" s="103"/>
      <c r="H18" s="103"/>
      <c r="S18" s="54" t="s">
        <v>183</v>
      </c>
      <c r="T18" s="54" t="s">
        <v>188</v>
      </c>
      <c r="U18" s="54"/>
      <c r="V18" s="54" t="s">
        <v>198</v>
      </c>
      <c r="W18" s="54" t="s">
        <v>215</v>
      </c>
      <c r="X18"/>
      <c r="Y18"/>
      <c r="Z18"/>
    </row>
    <row r="19" spans="1:26" ht="15.75" customHeight="1" x14ac:dyDescent="0.25">
      <c r="A19" s="87" t="s">
        <v>10</v>
      </c>
      <c r="B19" s="87"/>
      <c r="C19" s="104" t="s">
        <v>314</v>
      </c>
      <c r="D19" s="104"/>
      <c r="E19" s="103" t="s">
        <v>70</v>
      </c>
      <c r="F19" s="103"/>
      <c r="G19" s="103" t="s">
        <v>307</v>
      </c>
      <c r="H19" s="103"/>
      <c r="S19" s="54" t="s">
        <v>184</v>
      </c>
      <c r="T19" s="54" t="s">
        <v>191</v>
      </c>
      <c r="U19" s="54"/>
      <c r="V19" s="54" t="s">
        <v>199</v>
      </c>
      <c r="W19" s="54" t="s">
        <v>216</v>
      </c>
      <c r="X19"/>
      <c r="Y19"/>
      <c r="Z19"/>
    </row>
    <row r="20" spans="1:26" x14ac:dyDescent="0.25">
      <c r="A20" s="78" t="s">
        <v>12</v>
      </c>
      <c r="B20" s="78"/>
      <c r="C20" s="103" t="s">
        <v>312</v>
      </c>
      <c r="D20" s="103"/>
      <c r="E20" s="103" t="s">
        <v>11</v>
      </c>
      <c r="F20" s="103"/>
      <c r="G20" s="171" t="s">
        <v>178</v>
      </c>
      <c r="H20" s="171"/>
      <c r="S20" s="54" t="s">
        <v>185</v>
      </c>
      <c r="T20" s="54" t="s">
        <v>192</v>
      </c>
      <c r="U20" s="54"/>
      <c r="V20" s="54" t="s">
        <v>200</v>
      </c>
      <c r="W20" s="54" t="s">
        <v>217</v>
      </c>
      <c r="X20"/>
      <c r="Y20"/>
      <c r="Z20"/>
    </row>
    <row r="21" spans="1:26" x14ac:dyDescent="0.25">
      <c r="A21" s="78" t="s">
        <v>71</v>
      </c>
      <c r="B21" s="78"/>
      <c r="C21" s="103" t="s">
        <v>181</v>
      </c>
      <c r="D21" s="103"/>
      <c r="E21" s="103" t="s">
        <v>13</v>
      </c>
      <c r="F21" s="103"/>
      <c r="G21" s="103">
        <v>421301</v>
      </c>
      <c r="H21" s="103"/>
      <c r="S21" s="54"/>
      <c r="T21" s="54"/>
      <c r="U21" s="54"/>
      <c r="V21" s="54" t="s">
        <v>201</v>
      </c>
      <c r="W21" s="54" t="s">
        <v>218</v>
      </c>
      <c r="X21"/>
      <c r="Y21"/>
      <c r="Z21"/>
    </row>
    <row r="22" spans="1:26" ht="32.25" customHeight="1" x14ac:dyDescent="0.25">
      <c r="A22" s="78" t="s">
        <v>121</v>
      </c>
      <c r="B22" s="78"/>
      <c r="C22" s="103" t="s">
        <v>313</v>
      </c>
      <c r="D22" s="103"/>
      <c r="E22" s="87" t="s">
        <v>14</v>
      </c>
      <c r="F22" s="87"/>
      <c r="G22" s="103" t="s">
        <v>311</v>
      </c>
      <c r="H22" s="103"/>
      <c r="S22" s="54"/>
      <c r="T22" s="54"/>
      <c r="U22" s="54"/>
      <c r="V22" s="54" t="s">
        <v>202</v>
      </c>
      <c r="W22" s="54" t="s">
        <v>219</v>
      </c>
      <c r="X22"/>
      <c r="Y22"/>
      <c r="Z22"/>
    </row>
    <row r="23" spans="1:26" ht="15" customHeight="1" x14ac:dyDescent="0.25">
      <c r="A23" s="87" t="s">
        <v>73</v>
      </c>
      <c r="B23" s="87"/>
      <c r="C23" s="87"/>
      <c r="D23" s="87"/>
      <c r="E23" s="104" t="s">
        <v>15</v>
      </c>
      <c r="F23" s="104"/>
      <c r="G23" s="104"/>
      <c r="H23" s="104"/>
      <c r="S23" s="54"/>
      <c r="T23" s="54"/>
      <c r="U23" s="54"/>
      <c r="V23" s="54" t="s">
        <v>203</v>
      </c>
      <c r="W23" s="54" t="s">
        <v>220</v>
      </c>
      <c r="X23"/>
      <c r="Y23"/>
      <c r="Z23"/>
    </row>
    <row r="24" spans="1:26" ht="18.75" customHeight="1" x14ac:dyDescent="0.25">
      <c r="A24" s="87"/>
      <c r="B24" s="87"/>
      <c r="C24" s="87"/>
      <c r="D24" s="87"/>
      <c r="E24" s="104"/>
      <c r="F24" s="104"/>
      <c r="G24" s="104"/>
      <c r="H24" s="104"/>
      <c r="S24" s="54"/>
      <c r="T24" s="54"/>
      <c r="U24" s="54"/>
      <c r="V24" s="54" t="s">
        <v>204</v>
      </c>
      <c r="W24" s="54" t="s">
        <v>221</v>
      </c>
      <c r="X24"/>
      <c r="Y24"/>
      <c r="Z24"/>
    </row>
    <row r="25" spans="1:26" ht="15" customHeight="1" x14ac:dyDescent="0.25">
      <c r="A25" s="87" t="s">
        <v>16</v>
      </c>
      <c r="B25" s="87"/>
      <c r="C25" s="87"/>
      <c r="D25" s="87"/>
      <c r="E25" s="103" t="s">
        <v>17</v>
      </c>
      <c r="F25" s="103"/>
      <c r="G25" s="103"/>
      <c r="H25" s="103"/>
      <c r="S25" s="54"/>
      <c r="T25" s="54"/>
      <c r="U25" s="54"/>
      <c r="V25" s="54" t="s">
        <v>205</v>
      </c>
      <c r="W25" s="54" t="s">
        <v>222</v>
      </c>
      <c r="X25"/>
      <c r="Y25"/>
      <c r="Z25"/>
    </row>
    <row r="26" spans="1:26" ht="15" customHeight="1" x14ac:dyDescent="0.25">
      <c r="A26" s="78" t="s">
        <v>18</v>
      </c>
      <c r="B26" s="78"/>
      <c r="C26" s="78"/>
      <c r="D26" s="78"/>
      <c r="E26" s="103" t="str">
        <f>IF(AND(G20="Mumbai"),"Upper Class","Middle Class")</f>
        <v>Middle Class</v>
      </c>
      <c r="F26" s="103"/>
      <c r="G26" s="103"/>
      <c r="H26" s="103"/>
      <c r="S26" s="54"/>
      <c r="T26" s="54"/>
      <c r="U26" s="54"/>
      <c r="V26" s="54" t="s">
        <v>206</v>
      </c>
      <c r="W26" s="54" t="s">
        <v>223</v>
      </c>
      <c r="X26"/>
      <c r="Y26"/>
      <c r="Z26"/>
    </row>
    <row r="27" spans="1:26" x14ac:dyDescent="0.25">
      <c r="A27" s="78" t="s">
        <v>19</v>
      </c>
      <c r="B27" s="78"/>
      <c r="C27" s="78"/>
      <c r="D27" s="78"/>
      <c r="E27" s="103" t="s">
        <v>20</v>
      </c>
      <c r="F27" s="103"/>
      <c r="G27" s="103"/>
      <c r="H27" s="103"/>
      <c r="S27" s="54"/>
      <c r="T27" s="54"/>
      <c r="U27" s="54"/>
      <c r="V27" s="54" t="s">
        <v>207</v>
      </c>
      <c r="W27" s="54" t="s">
        <v>224</v>
      </c>
      <c r="X27"/>
      <c r="Y27"/>
      <c r="Z27"/>
    </row>
    <row r="28" spans="1:26" ht="15.75" customHeight="1" x14ac:dyDescent="0.25">
      <c r="A28" s="78" t="s">
        <v>21</v>
      </c>
      <c r="B28" s="78"/>
      <c r="C28" s="78"/>
      <c r="D28" s="78"/>
      <c r="E28" s="103" t="str">
        <f>IF(AND(G20="Mumbai"),"Developed","Developing")</f>
        <v>Developing</v>
      </c>
      <c r="F28" s="103"/>
      <c r="G28" s="103"/>
      <c r="H28" s="103"/>
    </row>
    <row r="29" spans="1:26" x14ac:dyDescent="0.25">
      <c r="A29" s="78" t="s">
        <v>22</v>
      </c>
      <c r="B29" s="78"/>
      <c r="C29" s="78"/>
      <c r="D29" s="78"/>
      <c r="E29" s="103" t="s">
        <v>23</v>
      </c>
      <c r="F29" s="103"/>
      <c r="G29" s="103"/>
      <c r="H29" s="103"/>
    </row>
    <row r="30" spans="1:26" ht="15.75" customHeight="1" x14ac:dyDescent="0.25">
      <c r="A30" s="78" t="s">
        <v>78</v>
      </c>
      <c r="B30" s="78"/>
      <c r="C30" s="78"/>
      <c r="D30" s="78"/>
      <c r="E30" s="103" t="s">
        <v>79</v>
      </c>
      <c r="F30" s="103"/>
      <c r="G30" s="103"/>
      <c r="H30" s="103"/>
    </row>
    <row r="31" spans="1:26" ht="15" customHeight="1" x14ac:dyDescent="0.25">
      <c r="A31" s="78" t="s">
        <v>30</v>
      </c>
      <c r="B31" s="78"/>
      <c r="C31" s="78"/>
      <c r="D31" s="78"/>
      <c r="E31" s="10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3"/>
      <c r="G31" s="103"/>
      <c r="H31" s="103"/>
    </row>
    <row r="32" spans="1:26" ht="15.75" customHeight="1" x14ac:dyDescent="0.25">
      <c r="A32" s="78" t="s">
        <v>90</v>
      </c>
      <c r="B32" s="78"/>
      <c r="C32" s="78"/>
      <c r="D32" s="78"/>
      <c r="E32" s="103" t="s">
        <v>31</v>
      </c>
      <c r="F32" s="103"/>
      <c r="G32" s="103"/>
      <c r="H32" s="103"/>
    </row>
    <row r="33" spans="1:19" s="22" customFormat="1" x14ac:dyDescent="0.25">
      <c r="A33" s="174" t="s">
        <v>91</v>
      </c>
      <c r="B33" s="174"/>
      <c r="C33" s="76" t="s">
        <v>173</v>
      </c>
      <c r="D33" s="76"/>
      <c r="E33" s="76"/>
      <c r="F33" s="76" t="s">
        <v>29</v>
      </c>
      <c r="G33" s="76"/>
      <c r="H33" s="76"/>
      <c r="S33" s="22" t="e">
        <f ca="1">OFFSET($S$13,1,MATCH($G20,$S$13:$W$13,0)-1,15,1)</f>
        <v>#VALUE!</v>
      </c>
    </row>
    <row r="34" spans="1:19" s="22" customFormat="1" x14ac:dyDescent="0.25">
      <c r="A34" s="172" t="s">
        <v>24</v>
      </c>
      <c r="B34" s="172" t="s">
        <v>28</v>
      </c>
      <c r="C34" s="173" t="s">
        <v>322</v>
      </c>
      <c r="D34" s="173"/>
      <c r="E34" s="173"/>
      <c r="F34" s="173" t="s">
        <v>321</v>
      </c>
      <c r="G34" s="173"/>
      <c r="H34" s="173"/>
    </row>
    <row r="35" spans="1:19" x14ac:dyDescent="0.25">
      <c r="A35" s="172" t="s">
        <v>25</v>
      </c>
      <c r="B35" s="172" t="s">
        <v>28</v>
      </c>
      <c r="C35" s="173" t="s">
        <v>323</v>
      </c>
      <c r="D35" s="173"/>
      <c r="E35" s="173"/>
      <c r="F35" s="173" t="s">
        <v>320</v>
      </c>
      <c r="G35" s="173"/>
      <c r="H35" s="173"/>
    </row>
    <row r="36" spans="1:19" s="22" customFormat="1" x14ac:dyDescent="0.25">
      <c r="A36" s="172" t="s">
        <v>27</v>
      </c>
      <c r="B36" s="172" t="s">
        <v>28</v>
      </c>
      <c r="C36" s="173" t="s">
        <v>327</v>
      </c>
      <c r="D36" s="173"/>
      <c r="E36" s="173"/>
      <c r="F36" s="173" t="s">
        <v>320</v>
      </c>
      <c r="G36" s="173"/>
      <c r="H36" s="173"/>
    </row>
    <row r="37" spans="1:19" x14ac:dyDescent="0.25">
      <c r="A37" s="172" t="s">
        <v>26</v>
      </c>
      <c r="B37" s="172" t="s">
        <v>28</v>
      </c>
      <c r="C37" s="173" t="s">
        <v>324</v>
      </c>
      <c r="D37" s="173"/>
      <c r="E37" s="173"/>
      <c r="F37" s="173" t="s">
        <v>313</v>
      </c>
      <c r="G37" s="173"/>
      <c r="H37" s="173"/>
    </row>
    <row r="38" spans="1:19" x14ac:dyDescent="0.25">
      <c r="A38" s="78" t="s">
        <v>280</v>
      </c>
      <c r="B38" s="78"/>
      <c r="C38" s="78"/>
      <c r="D38" s="78"/>
      <c r="E38" s="78"/>
      <c r="F38" s="78"/>
      <c r="G38" s="78"/>
      <c r="H38" s="78"/>
    </row>
    <row r="39" spans="1:19" ht="15.75" customHeight="1" x14ac:dyDescent="0.25">
      <c r="A39" s="78" t="s">
        <v>165</v>
      </c>
      <c r="B39" s="78"/>
      <c r="C39" s="147" t="s">
        <v>309</v>
      </c>
      <c r="D39" s="147"/>
      <c r="E39" s="147"/>
      <c r="F39" s="147"/>
      <c r="G39" s="147"/>
      <c r="H39" s="147"/>
    </row>
    <row r="40" spans="1:19" x14ac:dyDescent="0.25">
      <c r="A40" s="78" t="s">
        <v>161</v>
      </c>
      <c r="B40" s="78"/>
      <c r="C40" s="188" t="s">
        <v>310</v>
      </c>
      <c r="D40" s="103"/>
      <c r="E40" s="103"/>
      <c r="F40" s="103"/>
      <c r="G40" s="103"/>
      <c r="H40" s="103"/>
    </row>
    <row r="41" spans="1:19" x14ac:dyDescent="0.25">
      <c r="A41" s="147" t="s">
        <v>32</v>
      </c>
      <c r="B41" s="147"/>
      <c r="C41" s="147"/>
      <c r="D41" s="147"/>
      <c r="E41" s="147"/>
      <c r="F41" s="147"/>
      <c r="G41" s="147"/>
      <c r="H41" s="147"/>
    </row>
    <row r="42" spans="1:19" x14ac:dyDescent="0.25">
      <c r="A42" s="78" t="s">
        <v>33</v>
      </c>
      <c r="B42" s="78"/>
      <c r="C42" s="78"/>
      <c r="D42" s="78"/>
      <c r="E42" s="175">
        <v>2050.1999999999998</v>
      </c>
      <c r="F42" s="175"/>
      <c r="G42" s="175"/>
      <c r="H42" s="175"/>
    </row>
    <row r="43" spans="1:19" x14ac:dyDescent="0.25">
      <c r="A43" s="78" t="s">
        <v>34</v>
      </c>
      <c r="B43" s="78"/>
      <c r="C43" s="78"/>
      <c r="D43" s="78"/>
      <c r="E43" s="89">
        <f>2255.22/E42</f>
        <v>1.1000000000000001</v>
      </c>
      <c r="F43" s="89"/>
      <c r="G43" s="89"/>
      <c r="H43" s="89"/>
    </row>
    <row r="44" spans="1:19" x14ac:dyDescent="0.25">
      <c r="A44" s="78" t="s">
        <v>35</v>
      </c>
      <c r="B44" s="78"/>
      <c r="C44" s="78"/>
      <c r="D44" s="78"/>
      <c r="E44" s="89">
        <f>E46/E42-E43</f>
        <v>2.45119988293825</v>
      </c>
      <c r="F44" s="89"/>
      <c r="G44" s="89"/>
      <c r="H44" s="89"/>
    </row>
    <row r="45" spans="1:19" x14ac:dyDescent="0.25">
      <c r="A45" s="78" t="s">
        <v>36</v>
      </c>
      <c r="B45" s="78"/>
      <c r="C45" s="78"/>
      <c r="D45" s="78"/>
      <c r="E45" s="89">
        <f>E43+E44</f>
        <v>3.5511998829382501</v>
      </c>
      <c r="F45" s="89"/>
      <c r="G45" s="89"/>
      <c r="H45" s="89"/>
    </row>
    <row r="46" spans="1:19" x14ac:dyDescent="0.25">
      <c r="A46" s="78" t="s">
        <v>89</v>
      </c>
      <c r="B46" s="78"/>
      <c r="C46" s="78"/>
      <c r="D46" s="78"/>
      <c r="E46" s="177">
        <v>7280.67</v>
      </c>
      <c r="F46" s="177"/>
      <c r="G46" s="177"/>
      <c r="H46" s="177"/>
    </row>
    <row r="47" spans="1:19" x14ac:dyDescent="0.25">
      <c r="A47" s="104" t="s">
        <v>37</v>
      </c>
      <c r="B47" s="104"/>
      <c r="C47" s="104"/>
      <c r="D47" s="104"/>
      <c r="E47" s="104" t="s">
        <v>120</v>
      </c>
      <c r="F47" s="104"/>
      <c r="G47" s="104"/>
      <c r="H47" s="104"/>
    </row>
    <row r="48" spans="1:19" x14ac:dyDescent="0.25">
      <c r="A48" s="147" t="s">
        <v>38</v>
      </c>
      <c r="B48" s="147"/>
      <c r="C48" s="147"/>
      <c r="D48" s="147"/>
      <c r="E48" s="147"/>
      <c r="F48" s="147"/>
      <c r="G48" s="147"/>
      <c r="H48" s="147"/>
    </row>
    <row r="49" spans="1:24" ht="33.75" customHeight="1" x14ac:dyDescent="0.25">
      <c r="A49" s="96" t="s">
        <v>150</v>
      </c>
      <c r="B49" s="97"/>
      <c r="C49" s="178" t="s">
        <v>348</v>
      </c>
      <c r="D49" s="179"/>
      <c r="E49" s="179"/>
      <c r="F49" s="179"/>
      <c r="G49" s="179"/>
      <c r="H49" s="180"/>
      <c r="R49" t="s">
        <v>253</v>
      </c>
      <c r="S49" t="s">
        <v>172</v>
      </c>
      <c r="T49" t="s">
        <v>178</v>
      </c>
      <c r="U49" t="s">
        <v>193</v>
      </c>
      <c r="V49" t="s">
        <v>188</v>
      </c>
    </row>
    <row r="50" spans="1:24" ht="15.75" customHeight="1" x14ac:dyDescent="0.25">
      <c r="A50" s="96" t="s">
        <v>39</v>
      </c>
      <c r="B50" s="97"/>
      <c r="C50" s="98" t="s">
        <v>303</v>
      </c>
      <c r="D50" s="99"/>
      <c r="E50" s="100"/>
      <c r="F50" s="18" t="s">
        <v>40</v>
      </c>
      <c r="G50" s="101">
        <v>45090</v>
      </c>
      <c r="H50" s="97"/>
      <c r="R50"/>
      <c r="S50" t="s">
        <v>254</v>
      </c>
      <c r="T50" t="s">
        <v>259</v>
      </c>
      <c r="U50" t="s">
        <v>270</v>
      </c>
      <c r="V50" t="s">
        <v>275</v>
      </c>
    </row>
    <row r="51" spans="1:24" x14ac:dyDescent="0.25">
      <c r="A51" s="96" t="s">
        <v>41</v>
      </c>
      <c r="B51" s="97"/>
      <c r="C51" s="98" t="str">
        <f>C50</f>
        <v>KDMC/TPD/BP/DOM/2020-21/0038/118</v>
      </c>
      <c r="D51" s="99"/>
      <c r="E51" s="100"/>
      <c r="F51" s="18" t="s">
        <v>40</v>
      </c>
      <c r="G51" s="101">
        <f>G50</f>
        <v>45090</v>
      </c>
      <c r="H51" s="97"/>
      <c r="R51"/>
      <c r="S51" t="s">
        <v>255</v>
      </c>
      <c r="T51" t="s">
        <v>260</v>
      </c>
      <c r="U51" t="s">
        <v>268</v>
      </c>
      <c r="V51" t="s">
        <v>276</v>
      </c>
    </row>
    <row r="52" spans="1:24" s="23" customFormat="1" ht="15.75" customHeight="1" x14ac:dyDescent="0.25">
      <c r="A52" s="112" t="s">
        <v>154</v>
      </c>
      <c r="B52" s="113"/>
      <c r="C52" s="98" t="str">
        <f>C51</f>
        <v>KDMC/TPD/BP/DOM/2020-21/0038/118</v>
      </c>
      <c r="D52" s="99"/>
      <c r="E52" s="100"/>
      <c r="F52" s="18" t="s">
        <v>40</v>
      </c>
      <c r="G52" s="101">
        <f>G51</f>
        <v>45090</v>
      </c>
      <c r="H52" s="97"/>
      <c r="R52"/>
      <c r="S52" t="s">
        <v>256</v>
      </c>
      <c r="T52" t="s">
        <v>261</v>
      </c>
      <c r="U52" t="s">
        <v>258</v>
      </c>
      <c r="V52" t="s">
        <v>277</v>
      </c>
    </row>
    <row r="53" spans="1:24" s="23" customFormat="1" x14ac:dyDescent="0.25">
      <c r="A53" s="114"/>
      <c r="B53" s="115"/>
      <c r="C53" s="96" t="s">
        <v>356</v>
      </c>
      <c r="D53" s="111"/>
      <c r="E53" s="111"/>
      <c r="F53" s="111"/>
      <c r="G53" s="111"/>
      <c r="H53" s="97"/>
      <c r="R53"/>
      <c r="S53" t="s">
        <v>257</v>
      </c>
      <c r="T53" t="s">
        <v>264</v>
      </c>
      <c r="U53" t="s">
        <v>271</v>
      </c>
    </row>
    <row r="54" spans="1:24" s="23" customFormat="1" hidden="1" x14ac:dyDescent="0.25">
      <c r="A54" s="107" t="s">
        <v>281</v>
      </c>
      <c r="B54" s="108"/>
      <c r="C54" s="96" t="str">
        <f>C53</f>
        <v>Building No.1 =  Gr/St + 1st to 23rd Floor (Residential)</v>
      </c>
      <c r="D54" s="111"/>
      <c r="E54" s="97"/>
      <c r="F54" s="18" t="s">
        <v>40</v>
      </c>
      <c r="G54" s="96"/>
      <c r="H54" s="97"/>
      <c r="R54"/>
      <c r="S54" t="s">
        <v>256</v>
      </c>
      <c r="T54" t="s">
        <v>348</v>
      </c>
      <c r="U54" t="s">
        <v>258</v>
      </c>
      <c r="V54" t="s">
        <v>277</v>
      </c>
    </row>
    <row r="55" spans="1:24" s="23" customFormat="1" ht="32.25" hidden="1" customHeight="1" x14ac:dyDescent="0.25">
      <c r="A55" s="109"/>
      <c r="B55" s="110"/>
      <c r="C55" s="192"/>
      <c r="D55" s="193"/>
      <c r="E55" s="193"/>
      <c r="F55" s="193"/>
      <c r="G55" s="193"/>
      <c r="H55" s="194"/>
      <c r="R55"/>
      <c r="S55" t="s">
        <v>258</v>
      </c>
      <c r="T55" t="s">
        <v>262</v>
      </c>
      <c r="U55" t="s">
        <v>272</v>
      </c>
      <c r="V55" s="21"/>
      <c r="W55" s="21"/>
      <c r="X55" s="21"/>
    </row>
    <row r="56" spans="1:24" s="23" customFormat="1" ht="34.5" hidden="1" customHeight="1" x14ac:dyDescent="0.25">
      <c r="A56" s="107" t="s">
        <v>282</v>
      </c>
      <c r="B56" s="108"/>
      <c r="C56" s="96">
        <f>C55</f>
        <v>0</v>
      </c>
      <c r="D56" s="111"/>
      <c r="E56" s="97"/>
      <c r="F56" s="18" t="s">
        <v>40</v>
      </c>
      <c r="G56" s="96">
        <f>G55</f>
        <v>0</v>
      </c>
      <c r="H56" s="97"/>
      <c r="R56"/>
      <c r="S56" s="21"/>
      <c r="T56" t="s">
        <v>263</v>
      </c>
      <c r="U56" t="s">
        <v>273</v>
      </c>
      <c r="V56" s="21"/>
      <c r="W56" s="21"/>
      <c r="X56" s="21"/>
    </row>
    <row r="57" spans="1:24" s="23" customFormat="1" ht="41.25" hidden="1" customHeight="1" x14ac:dyDescent="0.25">
      <c r="A57" s="109"/>
      <c r="B57" s="110"/>
      <c r="C57" s="96"/>
      <c r="D57" s="111"/>
      <c r="E57" s="111"/>
      <c r="F57" s="111"/>
      <c r="G57" s="111"/>
      <c r="H57" s="97"/>
      <c r="R57"/>
      <c r="S57" s="21"/>
      <c r="T57" t="s">
        <v>265</v>
      </c>
      <c r="U57" t="s">
        <v>274</v>
      </c>
      <c r="V57" s="21"/>
      <c r="W57" s="21"/>
      <c r="X57" s="21"/>
    </row>
    <row r="58" spans="1:24" s="23" customFormat="1" ht="15.75" hidden="1" customHeight="1" x14ac:dyDescent="0.25">
      <c r="A58" s="107" t="s">
        <v>283</v>
      </c>
      <c r="B58" s="108"/>
      <c r="C58" s="96">
        <f>C57</f>
        <v>0</v>
      </c>
      <c r="D58" s="111"/>
      <c r="E58" s="97"/>
      <c r="F58" s="18" t="s">
        <v>40</v>
      </c>
      <c r="G58" s="96">
        <f>G57</f>
        <v>0</v>
      </c>
      <c r="H58" s="97"/>
      <c r="R58"/>
      <c r="S58" s="21"/>
      <c r="T58" t="s">
        <v>266</v>
      </c>
      <c r="U58" s="21" t="s">
        <v>297</v>
      </c>
      <c r="V58" s="21"/>
      <c r="W58" s="21"/>
      <c r="X58" s="21"/>
    </row>
    <row r="59" spans="1:24" s="23" customFormat="1" ht="33.75" hidden="1" customHeight="1" x14ac:dyDescent="0.25">
      <c r="A59" s="109"/>
      <c r="B59" s="110"/>
      <c r="C59" s="96"/>
      <c r="D59" s="111"/>
      <c r="E59" s="111"/>
      <c r="F59" s="111"/>
      <c r="G59" s="111"/>
      <c r="H59" s="97"/>
      <c r="R59"/>
      <c r="S59" s="21"/>
      <c r="T59" t="s">
        <v>267</v>
      </c>
      <c r="U59" s="21"/>
      <c r="V59" s="21"/>
      <c r="W59" s="21"/>
      <c r="X59" s="21"/>
    </row>
    <row r="60" spans="1:24" hidden="1" x14ac:dyDescent="0.25">
      <c r="A60" s="81" t="s">
        <v>42</v>
      </c>
      <c r="B60" s="82"/>
      <c r="C60" s="81" t="s">
        <v>102</v>
      </c>
      <c r="D60" s="83"/>
      <c r="E60" s="82"/>
      <c r="F60" s="45" t="s">
        <v>40</v>
      </c>
      <c r="G60" s="105" t="s">
        <v>28</v>
      </c>
      <c r="H60" s="106"/>
      <c r="R60"/>
      <c r="T60" t="s">
        <v>269</v>
      </c>
    </row>
    <row r="61" spans="1:24" x14ac:dyDescent="0.25">
      <c r="A61" s="102" t="s">
        <v>44</v>
      </c>
      <c r="B61" s="102"/>
      <c r="C61" s="102"/>
      <c r="D61" s="102"/>
      <c r="E61" s="102"/>
      <c r="F61" s="102"/>
      <c r="G61" s="102"/>
      <c r="H61" s="102"/>
      <c r="T61" t="s">
        <v>278</v>
      </c>
    </row>
    <row r="62" spans="1:24" x14ac:dyDescent="0.25">
      <c r="A62" s="87" t="s">
        <v>88</v>
      </c>
      <c r="B62" s="87"/>
      <c r="C62" s="87"/>
      <c r="D62" s="78">
        <f>E46</f>
        <v>7280.67</v>
      </c>
      <c r="E62" s="78"/>
      <c r="F62" s="78"/>
      <c r="G62" s="78"/>
      <c r="H62" s="78"/>
      <c r="R62"/>
    </row>
    <row r="63" spans="1:24" x14ac:dyDescent="0.25">
      <c r="A63" s="103" t="s">
        <v>45</v>
      </c>
      <c r="B63" s="104"/>
      <c r="C63" s="104"/>
      <c r="D63" s="104" t="s">
        <v>353</v>
      </c>
      <c r="E63" s="104"/>
      <c r="F63" s="104"/>
      <c r="G63" s="104"/>
      <c r="H63" s="104"/>
      <c r="I63" s="24"/>
      <c r="R63"/>
    </row>
    <row r="64" spans="1:24" x14ac:dyDescent="0.25">
      <c r="A64" s="181" t="s">
        <v>46</v>
      </c>
      <c r="B64" s="182"/>
      <c r="C64" s="187"/>
      <c r="D64" s="166" t="s">
        <v>319</v>
      </c>
      <c r="E64" s="183"/>
      <c r="F64" s="183"/>
      <c r="G64" s="183"/>
      <c r="H64" s="183"/>
      <c r="R64"/>
    </row>
    <row r="65" spans="1:19" ht="15.75" customHeight="1" x14ac:dyDescent="0.25">
      <c r="A65" s="181" t="s">
        <v>86</v>
      </c>
      <c r="B65" s="182"/>
      <c r="C65" s="182"/>
      <c r="D65" s="166" t="s">
        <v>319</v>
      </c>
      <c r="E65" s="183"/>
      <c r="F65" s="183"/>
      <c r="G65" s="183"/>
      <c r="H65" s="183"/>
      <c r="R65"/>
    </row>
    <row r="66" spans="1:19" ht="15.75" customHeight="1" x14ac:dyDescent="0.25">
      <c r="A66" s="78" t="s">
        <v>43</v>
      </c>
      <c r="B66" s="78"/>
      <c r="C66" s="78"/>
      <c r="D66" s="87" t="s">
        <v>315</v>
      </c>
      <c r="E66" s="87"/>
      <c r="F66" s="87"/>
      <c r="G66" s="87"/>
      <c r="H66" s="87"/>
      <c r="J66" s="25"/>
      <c r="K66" s="24"/>
      <c r="N66" s="24"/>
      <c r="S66"/>
    </row>
    <row r="67" spans="1:19" ht="15.75" customHeight="1" x14ac:dyDescent="0.25">
      <c r="A67" s="78" t="s">
        <v>84</v>
      </c>
      <c r="B67" s="78"/>
      <c r="C67" s="78"/>
      <c r="D67" s="176" t="str">
        <f>(IF(G60="NA","60 Years After Completion",IF(G60&lt;&gt;"NA",""&amp;60-ROUNDDOWN((E3-G60)/360,0)&amp;" Years"," ")))</f>
        <v>60 Years After Completion</v>
      </c>
      <c r="E67" s="176"/>
      <c r="F67" s="176"/>
      <c r="G67" s="176"/>
      <c r="H67" s="176"/>
      <c r="N67" s="24"/>
      <c r="S67"/>
    </row>
    <row r="68" spans="1:19" ht="15.75" customHeight="1" x14ac:dyDescent="0.25">
      <c r="A68" s="78" t="s">
        <v>85</v>
      </c>
      <c r="B68" s="78"/>
      <c r="C68" s="78"/>
      <c r="D68" s="87" t="s">
        <v>23</v>
      </c>
      <c r="E68" s="87"/>
      <c r="F68" s="87"/>
      <c r="G68" s="87"/>
      <c r="H68" s="87"/>
      <c r="J68" s="26"/>
      <c r="K68" s="26"/>
      <c r="S68"/>
    </row>
    <row r="69" spans="1:19" ht="48.75" customHeight="1" x14ac:dyDescent="0.25">
      <c r="A69" s="104" t="s">
        <v>316</v>
      </c>
      <c r="B69" s="104"/>
      <c r="C69" s="104"/>
      <c r="D69" s="103" t="s">
        <v>317</v>
      </c>
      <c r="E69" s="103"/>
      <c r="F69" s="103"/>
      <c r="G69" s="103"/>
      <c r="H69" s="103"/>
      <c r="I69" s="63" t="s">
        <v>318</v>
      </c>
      <c r="S69"/>
    </row>
    <row r="70" spans="1:19" x14ac:dyDescent="0.25">
      <c r="A70" s="87" t="s">
        <v>147</v>
      </c>
      <c r="B70" s="87"/>
      <c r="C70" s="87"/>
      <c r="D70" s="87" t="s">
        <v>28</v>
      </c>
      <c r="E70" s="87"/>
      <c r="F70" s="87"/>
      <c r="G70" s="87"/>
      <c r="H70" s="87"/>
      <c r="I70" s="27"/>
      <c r="J70" s="27"/>
      <c r="K70" s="27"/>
      <c r="L70" s="27"/>
      <c r="M70" s="27"/>
      <c r="N70" s="27"/>
    </row>
    <row r="71" spans="1:19" ht="15.75" customHeight="1" x14ac:dyDescent="0.25">
      <c r="A71" s="88" t="s">
        <v>83</v>
      </c>
      <c r="B71" s="88"/>
      <c r="C71" s="88"/>
      <c r="D71" s="166" t="str">
        <f ca="1">(IF(G77&gt;95%,"Nothing",IF(G77&gt;0%,"Cement, Aggregate, Steel, etc",IF(G77=0%,"Work not yet Started"))))</f>
        <v>Cement, Aggregate, Steel, etc</v>
      </c>
      <c r="E71" s="166"/>
      <c r="F71" s="166"/>
      <c r="G71" s="166"/>
      <c r="H71" s="166"/>
      <c r="J71" s="26"/>
      <c r="S71"/>
    </row>
    <row r="72" spans="1:19" ht="33.75" customHeight="1" thickBot="1" x14ac:dyDescent="0.3">
      <c r="A72" s="165" t="s">
        <v>115</v>
      </c>
      <c r="B72" s="165"/>
      <c r="C72" s="165"/>
      <c r="D72" s="166" t="str">
        <f ca="1">(IF(D71="Nothing","Yes",IF(D71="Cement, Aggregate, Steel, etc","Under Construction",IF(D71="Work not yet Started","Work not yet Started"))))</f>
        <v>Under Construction</v>
      </c>
      <c r="E72" s="166"/>
      <c r="F72" s="166" t="str">
        <f ca="1">(IF(D71="Nothing","Yes",IF(D71="Cement, Aggregate, Steel, etc","Under Construction",IF(D71="Work not yet Started","Work not yet Started"))))</f>
        <v>Under Construction</v>
      </c>
      <c r="G72" s="166"/>
      <c r="H72" s="166"/>
      <c r="S72"/>
    </row>
    <row r="73" spans="1:19" ht="15.75" customHeight="1" x14ac:dyDescent="0.25">
      <c r="A73" s="152" t="s">
        <v>139</v>
      </c>
      <c r="B73" s="153"/>
      <c r="C73" s="154" t="str">
        <f>D65</f>
        <v xml:space="preserve">Gr/St + 1st to 23rd Floor
</v>
      </c>
      <c r="D73" s="155"/>
      <c r="E73" s="155"/>
      <c r="F73" s="155"/>
      <c r="G73" s="155"/>
      <c r="H73" s="156"/>
      <c r="I73" s="49" t="str">
        <f ca="1">IF(D86=100%,"All work Completed. Possession granted to the Building.",IF(D85=100%,"All work Completed, Waiting for OC",I74&amp;""&amp;I75&amp;""&amp;J74&amp;""&amp;J73&amp;" "&amp;J75))</f>
        <v>Excavation, Plinth, RCC Slab, Brickwork, Internal Plaster, External Plaster Completed, Flooring upto 2 Floor Completed</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2 Floor</v>
      </c>
      <c r="S73"/>
    </row>
    <row r="74" spans="1:19" x14ac:dyDescent="0.25">
      <c r="A74" s="16" t="s">
        <v>141</v>
      </c>
      <c r="B74" s="47">
        <f>IF(AND(ISNUMBER(SEARCH("1B",C73))),1,IF(AND(ISNUMBER(SEARCH("2B",C73))),2,IF(AND(ISNUMBER(SEARCH("3B",C73))),3,IF(AND(ISNUMBER(SEARCH("4B",C73))),4,IF(ISNUMBER(SEARCH("5B",C73)),5,0)))))</f>
        <v>0</v>
      </c>
      <c r="C74" s="47" t="s">
        <v>69</v>
      </c>
      <c r="D74" s="47">
        <v>1</v>
      </c>
      <c r="E74" s="47" t="s">
        <v>68</v>
      </c>
      <c r="F74" s="47">
        <v>0</v>
      </c>
      <c r="G74" s="47" t="s">
        <v>77</v>
      </c>
      <c r="H74" s="17">
        <f ca="1">--TRIM(RIGHT(SUBSTITUTE(LEFT(C73,_xlfn.AGGREGATE(16,6,FIND({0,1,2,3,4,5,6,7,8,9},C73,ROW(INDIRECT("1:"&amp;LEN(C73)))),1))," ",REPT(" ",LEN(C73))),LEN(C73)))</f>
        <v>23</v>
      </c>
      <c r="I74" s="51"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4.35" customHeight="1" x14ac:dyDescent="0.25">
      <c r="A75" s="150" t="s">
        <v>87</v>
      </c>
      <c r="B75" s="151"/>
      <c r="C75" s="162" t="str">
        <f ca="1">I73</f>
        <v>Excavation, Plinth, RCC Slab, Brickwork, Internal Plaster, External Plaster Completed, Flooring upto 2 Floor Completed</v>
      </c>
      <c r="D75" s="162"/>
      <c r="E75" s="162"/>
      <c r="F75" s="162"/>
      <c r="G75" s="162"/>
      <c r="H75" s="163"/>
      <c r="I75" s="51" t="str">
        <f ca="1">IF(I74&lt;&gt;""," Completed","")</f>
        <v xml:space="preserve"> Completed</v>
      </c>
      <c r="J75" s="52" t="str">
        <f ca="1">IF(J73&lt;&gt;"","Completed","")</f>
        <v>Completed</v>
      </c>
      <c r="S75"/>
    </row>
    <row r="76" spans="1:19" ht="15.75" customHeight="1" x14ac:dyDescent="0.25">
      <c r="A76" s="132" t="s">
        <v>47</v>
      </c>
      <c r="B76" s="95"/>
      <c r="C76" s="64" t="s">
        <v>138</v>
      </c>
      <c r="D76" s="64" t="s">
        <v>80</v>
      </c>
      <c r="E76" s="164" t="s">
        <v>82</v>
      </c>
      <c r="F76" s="164"/>
      <c r="G76" s="164" t="s">
        <v>81</v>
      </c>
      <c r="H76" s="167"/>
      <c r="I76" s="13" t="s">
        <v>140</v>
      </c>
      <c r="J76" s="28">
        <f ca="1">H74*25%</f>
        <v>5.75</v>
      </c>
      <c r="S76"/>
    </row>
    <row r="77" spans="1:19" x14ac:dyDescent="0.25">
      <c r="A77" s="95" t="s">
        <v>127</v>
      </c>
      <c r="B77" s="95"/>
      <c r="C77" s="71">
        <f ca="1">J78</f>
        <v>23</v>
      </c>
      <c r="D77" s="65">
        <f ca="1">((100/H74)*C77)/100</f>
        <v>1</v>
      </c>
      <c r="E77" s="168">
        <f ca="1">(((C78/H74*10)+(40/(D74+F74+H74)*C79)+(7.5/(H74)*C80)+(7.5/(H74)*C81)+(10/H74*C82)+(10/H74*C83)+(5/H74*C84)+(5/H74*C85)+(5/H74*C86))/100)</f>
        <v>0.75869565217391299</v>
      </c>
      <c r="F77" s="168"/>
      <c r="G77" s="168">
        <f ca="1">((((C77/H74)*20)+((C78/H74)*25)+(30/(H74+F74+D74)*C79)+(5/H74*C80)+(5/H74*C81)+(5/H74*C82)+(5/H74*C83)+(0/H74*C84)+(0/H74*C85)+(5/H74*C86))/100)</f>
        <v>0.90434782608695652</v>
      </c>
      <c r="H77" s="168"/>
      <c r="I77" s="13" t="s">
        <v>97</v>
      </c>
      <c r="J77" s="29">
        <f ca="1">H74*50%</f>
        <v>11.5</v>
      </c>
    </row>
    <row r="78" spans="1:19" x14ac:dyDescent="0.25">
      <c r="A78" s="95" t="s">
        <v>48</v>
      </c>
      <c r="B78" s="95"/>
      <c r="C78" s="71">
        <f ca="1">J86</f>
        <v>23</v>
      </c>
      <c r="D78" s="65">
        <f ca="1">((100/H74)*C78)/100</f>
        <v>1</v>
      </c>
      <c r="E78" s="168"/>
      <c r="F78" s="168"/>
      <c r="G78" s="168"/>
      <c r="H78" s="168"/>
      <c r="I78" s="13" t="s">
        <v>98</v>
      </c>
      <c r="J78" s="29">
        <f ca="1">H74</f>
        <v>23</v>
      </c>
      <c r="S78"/>
    </row>
    <row r="79" spans="1:19" ht="15.75" customHeight="1" x14ac:dyDescent="0.25">
      <c r="A79" s="95" t="s">
        <v>128</v>
      </c>
      <c r="B79" s="95"/>
      <c r="C79" s="71">
        <v>24</v>
      </c>
      <c r="D79" s="65">
        <f ca="1">((100/(D74+F74+H74))*C79)/100</f>
        <v>1</v>
      </c>
      <c r="E79" s="168"/>
      <c r="F79" s="168"/>
      <c r="G79" s="168"/>
      <c r="H79" s="168"/>
      <c r="I79" s="13" t="s">
        <v>99</v>
      </c>
      <c r="J79" s="30">
        <f ca="1">(IF(B74&gt;1,(H74/(B74+2)),H74/4))</f>
        <v>5.75</v>
      </c>
      <c r="S79"/>
    </row>
    <row r="80" spans="1:19" ht="15.75" customHeight="1" x14ac:dyDescent="0.25">
      <c r="A80" s="95" t="s">
        <v>135</v>
      </c>
      <c r="B80" s="95" t="s">
        <v>129</v>
      </c>
      <c r="C80" s="71">
        <v>23</v>
      </c>
      <c r="D80" s="65">
        <f ca="1">((100/H74)*C80)/100</f>
        <v>1</v>
      </c>
      <c r="E80" s="168"/>
      <c r="F80" s="168"/>
      <c r="G80" s="168"/>
      <c r="H80" s="168"/>
      <c r="I80" s="13" t="s">
        <v>100</v>
      </c>
      <c r="J80" s="30">
        <f ca="1">(IF(B74&gt;1,(H74/(B74+2)+J79),H74/4+J79))</f>
        <v>11.5</v>
      </c>
    </row>
    <row r="81" spans="1:10" ht="15.75" customHeight="1" x14ac:dyDescent="0.25">
      <c r="A81" s="95" t="s">
        <v>136</v>
      </c>
      <c r="B81" s="95" t="s">
        <v>129</v>
      </c>
      <c r="C81" s="71">
        <v>23</v>
      </c>
      <c r="D81" s="65">
        <f ca="1">((100/H74)*C81)/100</f>
        <v>1</v>
      </c>
      <c r="E81" s="168"/>
      <c r="F81" s="168"/>
      <c r="G81" s="168"/>
      <c r="H81" s="168"/>
      <c r="I81" s="13" t="s">
        <v>145</v>
      </c>
      <c r="J81" s="30">
        <f>(IF(B74&gt;1,(H74/(B74+2)+J80),0))</f>
        <v>0</v>
      </c>
    </row>
    <row r="82" spans="1:10" ht="15" customHeight="1" x14ac:dyDescent="0.25">
      <c r="A82" s="95" t="s">
        <v>134</v>
      </c>
      <c r="B82" s="95" t="s">
        <v>131</v>
      </c>
      <c r="C82" s="71">
        <v>23</v>
      </c>
      <c r="D82" s="65">
        <f ca="1">((100/(H74))*C82)/100</f>
        <v>1</v>
      </c>
      <c r="E82" s="168"/>
      <c r="F82" s="168"/>
      <c r="G82" s="168"/>
      <c r="H82" s="168"/>
      <c r="I82" s="13" t="s">
        <v>142</v>
      </c>
      <c r="J82" s="30">
        <f>(IF(B74&gt;2,(H74/(B74+2)+J81),0))</f>
        <v>0</v>
      </c>
    </row>
    <row r="83" spans="1:10" ht="15.75" customHeight="1" x14ac:dyDescent="0.25">
      <c r="A83" s="95" t="s">
        <v>130</v>
      </c>
      <c r="B83" s="95" t="s">
        <v>130</v>
      </c>
      <c r="C83" s="71">
        <v>2</v>
      </c>
      <c r="D83" s="65">
        <f ca="1">((100/H74)*C83)/100</f>
        <v>8.6956521739130432E-2</v>
      </c>
      <c r="E83" s="168"/>
      <c r="F83" s="168"/>
      <c r="G83" s="168"/>
      <c r="H83" s="168"/>
      <c r="I83" s="13" t="s">
        <v>143</v>
      </c>
      <c r="J83" s="31">
        <f>(IF(B74&gt;3,(H74/(B74+2)+J82),0))</f>
        <v>0</v>
      </c>
    </row>
    <row r="84" spans="1:10" ht="15.75" customHeight="1" x14ac:dyDescent="0.25">
      <c r="A84" s="95" t="s">
        <v>137</v>
      </c>
      <c r="B84" s="95"/>
      <c r="C84" s="71">
        <v>0</v>
      </c>
      <c r="D84" s="65">
        <f ca="1">((100/H74)*C84)/100</f>
        <v>0</v>
      </c>
      <c r="E84" s="168"/>
      <c r="F84" s="168"/>
      <c r="G84" s="168"/>
      <c r="H84" s="168"/>
      <c r="I84" s="13" t="s">
        <v>144</v>
      </c>
      <c r="J84" s="30">
        <f>(IF(B74&gt;4,(H74/(B74+2)+J83),0))</f>
        <v>0</v>
      </c>
    </row>
    <row r="85" spans="1:10" ht="15.75" customHeight="1" x14ac:dyDescent="0.25">
      <c r="A85" s="95" t="s">
        <v>132</v>
      </c>
      <c r="B85" s="95" t="s">
        <v>132</v>
      </c>
      <c r="C85" s="71">
        <v>0</v>
      </c>
      <c r="D85" s="65">
        <f ca="1">((100/(H74))*C85)/100</f>
        <v>0</v>
      </c>
      <c r="E85" s="168"/>
      <c r="F85" s="168"/>
      <c r="G85" s="168"/>
      <c r="H85" s="168"/>
      <c r="I85" s="13" t="s">
        <v>146</v>
      </c>
      <c r="J85" s="30">
        <f ca="1">(IF(B74=1,(H74/(B74+3)+J80),IF(B74=0,(H74/4+J80),IF(B74&gt;1,0))))</f>
        <v>17.25</v>
      </c>
    </row>
    <row r="86" spans="1:10" ht="16.5" thickBot="1" x14ac:dyDescent="0.3">
      <c r="A86" s="95" t="s">
        <v>133</v>
      </c>
      <c r="B86" s="95"/>
      <c r="C86" s="71">
        <v>0</v>
      </c>
      <c r="D86" s="65">
        <f ca="1">((100/(H74))*C86)/100</f>
        <v>0</v>
      </c>
      <c r="E86" s="168"/>
      <c r="F86" s="168"/>
      <c r="G86" s="168"/>
      <c r="H86" s="168"/>
      <c r="I86" s="15" t="s">
        <v>101</v>
      </c>
      <c r="J86" s="32">
        <f ca="1">(IF(B74&gt;1.5,(H74/(B74+2)+J80+MAX(0,J81-J80)+MAX(0,J82-J81)+MAX(0,J83-J82)+MAX(0,J84-J83)+MAX(0,J85-J84)),IF(B74=1,(H74/(B74+3)+J85),IF(B74=0,H74/4+J85))))</f>
        <v>23</v>
      </c>
    </row>
    <row r="87" spans="1:10" ht="15.75" hidden="1" customHeight="1" x14ac:dyDescent="0.25">
      <c r="A87" s="90" t="s">
        <v>139</v>
      </c>
      <c r="B87" s="91"/>
      <c r="C87" s="92" t="e">
        <f>#REF!</f>
        <v>#REF!</v>
      </c>
      <c r="D87" s="93"/>
      <c r="E87" s="93"/>
      <c r="F87" s="93"/>
      <c r="G87" s="93"/>
      <c r="H87" s="94"/>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25">
      <c r="A88" s="16" t="s">
        <v>141</v>
      </c>
      <c r="B88" s="47">
        <f>IF(AND(ISNUMBER(SEARCH("1B",C87))),1,IF(AND(ISNUMBER(SEARCH("2B",C87))),2,IF(AND(ISNUMBER(SEARCH("3B",C87))),3,IF(AND(ISNUMBER(SEARCH("4B",C87))),4,IF(ISNUMBER(SEARCH("5B",C87)),5,0)))))</f>
        <v>0</v>
      </c>
      <c r="C88" s="47" t="s">
        <v>69</v>
      </c>
      <c r="D88" s="47">
        <v>1</v>
      </c>
      <c r="E88" s="47" t="s">
        <v>68</v>
      </c>
      <c r="F88" s="14">
        <v>0</v>
      </c>
      <c r="G88" s="48" t="s">
        <v>77</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row>
    <row r="89" spans="1:10" hidden="1" x14ac:dyDescent="0.25">
      <c r="A89" s="150" t="s">
        <v>87</v>
      </c>
      <c r="B89" s="151"/>
      <c r="C89" s="162" t="e">
        <f ca="1">(IF($G$60="NA",I87,"All work Completed. OC Received."))</f>
        <v>#REF!</v>
      </c>
      <c r="D89" s="162"/>
      <c r="E89" s="162"/>
      <c r="F89" s="162"/>
      <c r="G89" s="162"/>
      <c r="H89" s="163"/>
      <c r="I89" s="51" t="e">
        <f ca="1">IF(I88&lt;&gt;""," Completed","")</f>
        <v>#REF!</v>
      </c>
      <c r="J89" s="52" t="e">
        <f ca="1">IF(J87&lt;&gt;"","Completed","")</f>
        <v>#REF!</v>
      </c>
    </row>
    <row r="90" spans="1:10" ht="15.75" hidden="1" customHeight="1" x14ac:dyDescent="0.25">
      <c r="A90" s="132" t="s">
        <v>47</v>
      </c>
      <c r="B90" s="95"/>
      <c r="C90" s="43" t="s">
        <v>138</v>
      </c>
      <c r="D90" s="43" t="s">
        <v>80</v>
      </c>
      <c r="E90" s="95" t="s">
        <v>82</v>
      </c>
      <c r="F90" s="95"/>
      <c r="G90" s="95" t="s">
        <v>81</v>
      </c>
      <c r="H90" s="143"/>
      <c r="I90" s="13" t="s">
        <v>140</v>
      </c>
      <c r="J90" s="28" t="e">
        <f ca="1">H88*25%</f>
        <v>#REF!</v>
      </c>
    </row>
    <row r="91" spans="1:10" hidden="1" x14ac:dyDescent="0.25">
      <c r="A91" s="132" t="s">
        <v>127</v>
      </c>
      <c r="B91" s="95"/>
      <c r="C91" s="61" t="e">
        <f ca="1">J92</f>
        <v>#REF!</v>
      </c>
      <c r="D91" s="19" t="e">
        <f ca="1">((100/H88)*C91)/100</f>
        <v>#REF!</v>
      </c>
      <c r="E91" s="133" t="e">
        <f ca="1">(((C92/H88*10)+(40/(D88+F88+H88)*C93)+(7.5/(H88)*C94)+(7.5/(H88)*C95)+(10/H88*C96)+(10/H88*C97)+(5/H88*C98)+(5/H88*C99)+(5/H88*C100))/100)</f>
        <v>#REF!</v>
      </c>
      <c r="F91" s="200"/>
      <c r="G91" s="133" t="e">
        <f ca="1">((((C91/H88)*20)+((C92/H88)*25)+(30/(H88+F88+D88)*C93)+(5/H88*C94)+(5/H88*C95)+(5/H88*C96)+(5/H88*C97)+(0/H88*C98)+(0/H88*C99)+(5/H88*C100))/100)</f>
        <v>#REF!</v>
      </c>
      <c r="H91" s="134"/>
      <c r="I91" s="13" t="s">
        <v>97</v>
      </c>
      <c r="J91" s="29" t="e">
        <f ca="1">H88*50%</f>
        <v>#REF!</v>
      </c>
    </row>
    <row r="92" spans="1:10" hidden="1" x14ac:dyDescent="0.25">
      <c r="A92" s="132" t="s">
        <v>48</v>
      </c>
      <c r="B92" s="95"/>
      <c r="C92" s="62">
        <v>19</v>
      </c>
      <c r="D92" s="19" t="e">
        <f ca="1">((100/H88)*C92)/100</f>
        <v>#REF!</v>
      </c>
      <c r="E92" s="135"/>
      <c r="F92" s="201"/>
      <c r="G92" s="135"/>
      <c r="H92" s="136"/>
      <c r="I92" s="13" t="s">
        <v>98</v>
      </c>
      <c r="J92" s="29" t="e">
        <f ca="1">H88</f>
        <v>#REF!</v>
      </c>
    </row>
    <row r="93" spans="1:10" ht="15.75" hidden="1" customHeight="1" x14ac:dyDescent="0.25">
      <c r="A93" s="132" t="s">
        <v>128</v>
      </c>
      <c r="B93" s="95"/>
      <c r="C93" s="43">
        <v>0</v>
      </c>
      <c r="D93" s="19" t="e">
        <f ca="1">((100/(D88+F88+H88))*C93)/100</f>
        <v>#REF!</v>
      </c>
      <c r="E93" s="135"/>
      <c r="F93" s="201"/>
      <c r="G93" s="135"/>
      <c r="H93" s="136"/>
      <c r="I93" s="13" t="s">
        <v>99</v>
      </c>
      <c r="J93" s="30" t="e">
        <f ca="1">(IF(B88&gt;1,(H88/(B88+2)),H88/4))</f>
        <v>#REF!</v>
      </c>
    </row>
    <row r="94" spans="1:10" ht="15.75" hidden="1" customHeight="1" x14ac:dyDescent="0.25">
      <c r="A94" s="132" t="s">
        <v>135</v>
      </c>
      <c r="B94" s="95" t="s">
        <v>129</v>
      </c>
      <c r="C94" s="43">
        <v>0</v>
      </c>
      <c r="D94" s="19" t="e">
        <f ca="1">((100/H88)*C94)/100</f>
        <v>#REF!</v>
      </c>
      <c r="E94" s="135"/>
      <c r="F94" s="201"/>
      <c r="G94" s="135"/>
      <c r="H94" s="136"/>
      <c r="I94" s="13" t="s">
        <v>100</v>
      </c>
      <c r="J94" s="30" t="e">
        <f ca="1">(IF(B88&gt;1,(H88/(B88+2)+J93),H88/4+J93))</f>
        <v>#REF!</v>
      </c>
    </row>
    <row r="95" spans="1:10" ht="15.75" hidden="1" customHeight="1" x14ac:dyDescent="0.25">
      <c r="A95" s="132" t="s">
        <v>136</v>
      </c>
      <c r="B95" s="95" t="s">
        <v>129</v>
      </c>
      <c r="C95" s="43">
        <v>0</v>
      </c>
      <c r="D95" s="19" t="e">
        <f ca="1">((100/H88)*C95)/100</f>
        <v>#REF!</v>
      </c>
      <c r="E95" s="135"/>
      <c r="F95" s="201"/>
      <c r="G95" s="135"/>
      <c r="H95" s="136"/>
      <c r="I95" s="13" t="s">
        <v>145</v>
      </c>
      <c r="J95" s="30">
        <f>(IF(B88&gt;1,(H88/(B88+2)+J94),0))</f>
        <v>0</v>
      </c>
    </row>
    <row r="96" spans="1:10" ht="15" hidden="1" customHeight="1" x14ac:dyDescent="0.25">
      <c r="A96" s="132" t="s">
        <v>134</v>
      </c>
      <c r="B96" s="95" t="s">
        <v>131</v>
      </c>
      <c r="C96" s="43">
        <v>0</v>
      </c>
      <c r="D96" s="19" t="e">
        <f ca="1">((100/(H88))*C96)/100</f>
        <v>#REF!</v>
      </c>
      <c r="E96" s="135"/>
      <c r="F96" s="201"/>
      <c r="G96" s="135"/>
      <c r="H96" s="136"/>
      <c r="I96" s="13" t="s">
        <v>142</v>
      </c>
      <c r="J96" s="30">
        <f>(IF(B88&gt;2,(H88/(B88+2)+J95),0))</f>
        <v>0</v>
      </c>
    </row>
    <row r="97" spans="1:22" ht="15.75" hidden="1" customHeight="1" x14ac:dyDescent="0.25">
      <c r="A97" s="132" t="s">
        <v>130</v>
      </c>
      <c r="B97" s="95" t="s">
        <v>130</v>
      </c>
      <c r="C97" s="43">
        <v>0</v>
      </c>
      <c r="D97" s="19" t="e">
        <f ca="1">((100/H88)*C97)/100</f>
        <v>#REF!</v>
      </c>
      <c r="E97" s="135"/>
      <c r="F97" s="201"/>
      <c r="G97" s="135"/>
      <c r="H97" s="136"/>
      <c r="I97" s="13" t="s">
        <v>143</v>
      </c>
      <c r="J97" s="31">
        <f>(IF(B88&gt;3,(H88/(B88+2)+J96),0))</f>
        <v>0</v>
      </c>
    </row>
    <row r="98" spans="1:22" ht="15.75" hidden="1" customHeight="1" x14ac:dyDescent="0.25">
      <c r="A98" s="132" t="s">
        <v>137</v>
      </c>
      <c r="B98" s="95"/>
      <c r="C98" s="43">
        <v>0</v>
      </c>
      <c r="D98" s="19" t="e">
        <f ca="1">((100/H88)*C98)/100</f>
        <v>#REF!</v>
      </c>
      <c r="E98" s="135"/>
      <c r="F98" s="201"/>
      <c r="G98" s="135"/>
      <c r="H98" s="136"/>
      <c r="I98" s="13" t="s">
        <v>144</v>
      </c>
      <c r="J98" s="30">
        <f>(IF(B88&gt;4,(H88/(B88+2)+J97),0))</f>
        <v>0</v>
      </c>
    </row>
    <row r="99" spans="1:22" ht="15.75" hidden="1" customHeight="1" x14ac:dyDescent="0.25">
      <c r="A99" s="132" t="s">
        <v>132</v>
      </c>
      <c r="B99" s="95" t="s">
        <v>132</v>
      </c>
      <c r="C99" s="43">
        <v>0</v>
      </c>
      <c r="D99" s="19" t="e">
        <f ca="1">((100/(H88))*C99)/100</f>
        <v>#REF!</v>
      </c>
      <c r="E99" s="135"/>
      <c r="F99" s="201"/>
      <c r="G99" s="135"/>
      <c r="H99" s="136"/>
      <c r="I99" s="13" t="s">
        <v>146</v>
      </c>
      <c r="J99" s="30" t="e">
        <f ca="1">(IF(B88=1,(H88/(B88+3)+J94),IF(B88=0,(H88/4+J94),IF(B88&gt;1,0))))</f>
        <v>#REF!</v>
      </c>
    </row>
    <row r="100" spans="1:22" ht="16.5" hidden="1" thickBot="1" x14ac:dyDescent="0.3">
      <c r="A100" s="195" t="s">
        <v>133</v>
      </c>
      <c r="B100" s="196"/>
      <c r="C100" s="44">
        <v>0</v>
      </c>
      <c r="D100" s="20" t="e">
        <f ca="1">((100/(H88))*C100)/100</f>
        <v>#REF!</v>
      </c>
      <c r="E100" s="137"/>
      <c r="F100" s="202"/>
      <c r="G100" s="137"/>
      <c r="H100" s="138"/>
      <c r="I100" s="15" t="s">
        <v>101</v>
      </c>
      <c r="J100" s="32" t="e">
        <f ca="1">(IF(B88&gt;1.5,(H88/(B88+2)+J94+MAX(0,J95-J94)+MAX(0,J96-J95)+MAX(0,J97-J96)+MAX(0,J98-J97)+MAX(0,J99-J98)),IF(B88=1,(H88/(B88+3)+J99),IF(B88=0,H88/4+J99))))</f>
        <v>#REF!</v>
      </c>
    </row>
    <row r="101" spans="1:22" x14ac:dyDescent="0.25">
      <c r="A101" s="157" t="s">
        <v>156</v>
      </c>
      <c r="B101" s="157"/>
      <c r="C101" s="157"/>
      <c r="D101" s="157"/>
      <c r="E101" s="157"/>
      <c r="F101" s="160" t="s">
        <v>160</v>
      </c>
      <c r="G101" s="160"/>
      <c r="H101" s="160"/>
      <c r="R101" t="s">
        <v>253</v>
      </c>
      <c r="S101" t="s">
        <v>172</v>
      </c>
      <c r="T101" t="s">
        <v>178</v>
      </c>
      <c r="U101" t="s">
        <v>193</v>
      </c>
      <c r="V101" t="s">
        <v>188</v>
      </c>
    </row>
    <row r="102" spans="1:22" x14ac:dyDescent="0.25">
      <c r="A102" s="78" t="s">
        <v>158</v>
      </c>
      <c r="B102" s="78"/>
      <c r="C102" s="78"/>
      <c r="D102" s="78"/>
      <c r="E102" s="78"/>
      <c r="F102" s="74">
        <v>7300</v>
      </c>
      <c r="G102" s="74"/>
      <c r="H102" s="74"/>
      <c r="I102" s="21" t="s">
        <v>357</v>
      </c>
      <c r="J102" s="25">
        <v>45497</v>
      </c>
      <c r="K102" s="21" t="s">
        <v>358</v>
      </c>
      <c r="L102" s="21" t="s">
        <v>359</v>
      </c>
      <c r="R102"/>
      <c r="S102">
        <v>800000</v>
      </c>
      <c r="T102">
        <v>150000</v>
      </c>
      <c r="U102">
        <v>100000</v>
      </c>
      <c r="V102">
        <v>100000</v>
      </c>
    </row>
    <row r="103" spans="1:22" hidden="1" x14ac:dyDescent="0.25">
      <c r="A103" s="78" t="s">
        <v>157</v>
      </c>
      <c r="B103" s="78"/>
      <c r="C103" s="78"/>
      <c r="D103" s="78"/>
      <c r="E103" s="78"/>
      <c r="F103" s="74"/>
      <c r="G103" s="74"/>
      <c r="H103" s="74"/>
      <c r="R103"/>
      <c r="S103">
        <v>900000</v>
      </c>
      <c r="T103">
        <v>200000</v>
      </c>
      <c r="U103">
        <v>150000</v>
      </c>
      <c r="V103">
        <v>150000</v>
      </c>
    </row>
    <row r="104" spans="1:22" hidden="1" x14ac:dyDescent="0.25">
      <c r="A104" s="78" t="s">
        <v>159</v>
      </c>
      <c r="B104" s="78"/>
      <c r="C104" s="78"/>
      <c r="D104" s="78"/>
      <c r="E104" s="78"/>
      <c r="F104" s="74"/>
      <c r="G104" s="74"/>
      <c r="H104" s="74"/>
      <c r="R104"/>
      <c r="S104">
        <v>1000000</v>
      </c>
      <c r="T104">
        <v>250000</v>
      </c>
      <c r="U104">
        <v>200000</v>
      </c>
      <c r="V104">
        <v>200000</v>
      </c>
    </row>
    <row r="105" spans="1:22" s="33" customFormat="1" hidden="1" x14ac:dyDescent="0.25">
      <c r="A105" s="78" t="s">
        <v>174</v>
      </c>
      <c r="B105" s="78"/>
      <c r="C105" s="78"/>
      <c r="D105" s="78"/>
      <c r="E105" s="78"/>
      <c r="F105" s="74"/>
      <c r="G105" s="74"/>
      <c r="H105" s="74"/>
      <c r="R105"/>
      <c r="S105">
        <v>1100000</v>
      </c>
      <c r="T105">
        <v>300000</v>
      </c>
      <c r="U105">
        <v>250000</v>
      </c>
      <c r="V105" s="23">
        <v>250000</v>
      </c>
    </row>
    <row r="106" spans="1:22" s="33" customFormat="1" x14ac:dyDescent="0.25">
      <c r="A106" s="78" t="s">
        <v>355</v>
      </c>
      <c r="B106" s="78"/>
      <c r="C106" s="78"/>
      <c r="D106" s="78"/>
      <c r="E106" s="78"/>
      <c r="F106" s="74">
        <v>350000</v>
      </c>
      <c r="G106" s="74"/>
      <c r="H106" s="74"/>
      <c r="R106"/>
      <c r="S106">
        <v>1200000</v>
      </c>
      <c r="T106">
        <v>350000</v>
      </c>
      <c r="U106">
        <v>300000</v>
      </c>
      <c r="V106">
        <v>300000</v>
      </c>
    </row>
    <row r="107" spans="1:22" s="33" customFormat="1" hidden="1" x14ac:dyDescent="0.25">
      <c r="A107" s="78" t="s">
        <v>92</v>
      </c>
      <c r="B107" s="78"/>
      <c r="C107" s="78"/>
      <c r="D107" s="78"/>
      <c r="E107" s="78"/>
      <c r="F107" s="74"/>
      <c r="G107" s="74"/>
      <c r="H107" s="74"/>
      <c r="R107"/>
      <c r="S107">
        <v>1300000</v>
      </c>
      <c r="T107">
        <v>400000</v>
      </c>
      <c r="U107">
        <v>350000</v>
      </c>
      <c r="V107" s="23">
        <v>400000</v>
      </c>
    </row>
    <row r="108" spans="1:22" s="33" customFormat="1" hidden="1" x14ac:dyDescent="0.25">
      <c r="A108" s="78" t="s">
        <v>93</v>
      </c>
      <c r="B108" s="78"/>
      <c r="C108" s="78"/>
      <c r="D108" s="78"/>
      <c r="E108" s="78"/>
      <c r="F108" s="74"/>
      <c r="G108" s="74"/>
      <c r="H108" s="74"/>
      <c r="R108"/>
      <c r="S108">
        <v>1400000</v>
      </c>
      <c r="T108">
        <v>500000</v>
      </c>
      <c r="U108">
        <v>400000</v>
      </c>
      <c r="V108"/>
    </row>
    <row r="109" spans="1:22" s="33" customFormat="1" hidden="1" x14ac:dyDescent="0.25">
      <c r="A109" s="78" t="s">
        <v>94</v>
      </c>
      <c r="B109" s="78"/>
      <c r="C109" s="78"/>
      <c r="D109" s="78"/>
      <c r="E109" s="78"/>
      <c r="F109" s="74"/>
      <c r="G109" s="74"/>
      <c r="H109" s="74"/>
      <c r="R109"/>
      <c r="S109">
        <v>1500000</v>
      </c>
      <c r="T109">
        <v>600000</v>
      </c>
      <c r="U109">
        <v>500000</v>
      </c>
      <c r="V109" s="23"/>
    </row>
    <row r="110" spans="1:22" s="33" customFormat="1" hidden="1" x14ac:dyDescent="0.25">
      <c r="A110" s="78" t="s">
        <v>95</v>
      </c>
      <c r="B110" s="78"/>
      <c r="C110" s="78"/>
      <c r="D110" s="78"/>
      <c r="E110" s="78"/>
      <c r="F110" s="74"/>
      <c r="G110" s="74"/>
      <c r="H110" s="74"/>
      <c r="R110"/>
      <c r="S110">
        <v>1600000</v>
      </c>
      <c r="T110">
        <v>700000</v>
      </c>
      <c r="U110">
        <v>600000</v>
      </c>
      <c r="V110"/>
    </row>
    <row r="111" spans="1:22" s="33" customFormat="1" hidden="1" x14ac:dyDescent="0.25">
      <c r="A111" s="78" t="s">
        <v>96</v>
      </c>
      <c r="B111" s="78"/>
      <c r="C111" s="78"/>
      <c r="D111" s="78"/>
      <c r="E111" s="78"/>
      <c r="F111" s="74"/>
      <c r="G111" s="74"/>
      <c r="H111" s="74"/>
      <c r="R111"/>
      <c r="S111">
        <v>1700000</v>
      </c>
      <c r="T111">
        <v>800000</v>
      </c>
      <c r="U111"/>
      <c r="V111" s="23"/>
    </row>
    <row r="112" spans="1:22" x14ac:dyDescent="0.25">
      <c r="A112" s="78" t="s">
        <v>49</v>
      </c>
      <c r="B112" s="78"/>
      <c r="C112" s="78"/>
      <c r="D112" s="78"/>
      <c r="E112" s="78"/>
      <c r="F112" s="74">
        <v>450000</v>
      </c>
      <c r="G112" s="74"/>
      <c r="H112" s="74"/>
      <c r="R112"/>
      <c r="S112">
        <v>1800000</v>
      </c>
      <c r="T112">
        <v>900000</v>
      </c>
      <c r="U112"/>
    </row>
    <row r="113" spans="1:22" s="34" customFormat="1" x14ac:dyDescent="0.25">
      <c r="A113" s="147" t="s">
        <v>50</v>
      </c>
      <c r="B113" s="147"/>
      <c r="C113" s="147"/>
      <c r="D113" s="147"/>
      <c r="E113" s="147"/>
      <c r="F113" s="74">
        <f>F102*0.8</f>
        <v>5840</v>
      </c>
      <c r="G113" s="74"/>
      <c r="H113" s="74"/>
      <c r="R113" s="21"/>
      <c r="S113" s="21"/>
      <c r="T113">
        <v>1000000</v>
      </c>
      <c r="U113"/>
      <c r="V113" s="21"/>
    </row>
    <row r="114" spans="1:22" s="35" customFormat="1" ht="15.75" hidden="1" customHeight="1" x14ac:dyDescent="0.25">
      <c r="A114" s="146" t="s">
        <v>72</v>
      </c>
      <c r="B114" s="146"/>
      <c r="C114" s="146"/>
      <c r="D114" s="146"/>
      <c r="E114" s="146"/>
      <c r="F114" s="146"/>
      <c r="G114" s="146"/>
      <c r="H114" s="146"/>
      <c r="R114"/>
      <c r="S114" s="21"/>
      <c r="T114"/>
      <c r="U114"/>
      <c r="V114" s="21"/>
    </row>
    <row r="115" spans="1:22" s="35" customFormat="1" ht="15.75" hidden="1" customHeight="1" x14ac:dyDescent="0.25">
      <c r="A115" s="77" t="s">
        <v>51</v>
      </c>
      <c r="B115" s="77"/>
      <c r="C115" s="86" t="s">
        <v>75</v>
      </c>
      <c r="D115" s="86"/>
      <c r="E115" s="84" t="s">
        <v>52</v>
      </c>
      <c r="F115" s="84"/>
      <c r="G115" s="77" t="s">
        <v>53</v>
      </c>
      <c r="H115" s="77"/>
      <c r="R115"/>
      <c r="S115" s="21"/>
      <c r="T115"/>
      <c r="U115" s="21"/>
      <c r="V115" s="21"/>
    </row>
    <row r="116" spans="1:22" s="35" customFormat="1" hidden="1" x14ac:dyDescent="0.25">
      <c r="A116" s="85"/>
      <c r="B116" s="85"/>
      <c r="C116" s="185"/>
      <c r="D116" s="185"/>
      <c r="E116" s="189"/>
      <c r="F116" s="189"/>
      <c r="G116" s="149"/>
      <c r="H116" s="149"/>
      <c r="R116"/>
      <c r="S116" s="21"/>
      <c r="T116"/>
      <c r="U116" s="21"/>
      <c r="V116" s="21"/>
    </row>
    <row r="117" spans="1:22" s="35" customFormat="1" hidden="1" x14ac:dyDescent="0.25">
      <c r="A117" s="85"/>
      <c r="B117" s="85"/>
      <c r="C117" s="185"/>
      <c r="D117" s="185"/>
      <c r="E117" s="189"/>
      <c r="F117" s="189"/>
      <c r="G117" s="149"/>
      <c r="H117" s="149"/>
      <c r="R117"/>
      <c r="S117" s="21"/>
      <c r="T117"/>
      <c r="U117" s="21"/>
      <c r="V117" s="21"/>
    </row>
    <row r="118" spans="1:22" s="35" customFormat="1" hidden="1" x14ac:dyDescent="0.25">
      <c r="A118" s="146" t="s">
        <v>149</v>
      </c>
      <c r="B118" s="146"/>
      <c r="C118" s="86"/>
      <c r="D118" s="86"/>
      <c r="E118" s="84"/>
      <c r="F118" s="84"/>
      <c r="G118" s="77"/>
      <c r="H118" s="77"/>
      <c r="R118"/>
      <c r="S118" s="21"/>
      <c r="T118"/>
      <c r="U118" s="21"/>
      <c r="V118" s="21"/>
    </row>
    <row r="119" spans="1:22" s="35" customFormat="1" x14ac:dyDescent="0.25">
      <c r="A119" s="146" t="s">
        <v>67</v>
      </c>
      <c r="B119" s="146"/>
      <c r="C119" s="146"/>
      <c r="D119" s="146"/>
      <c r="E119" s="146"/>
      <c r="F119" s="146"/>
      <c r="G119" s="146"/>
      <c r="H119" s="146"/>
      <c r="T119"/>
    </row>
    <row r="120" spans="1:22" s="35" customFormat="1" ht="15.75" customHeight="1" x14ac:dyDescent="0.25">
      <c r="A120" s="77" t="s">
        <v>51</v>
      </c>
      <c r="B120" s="77"/>
      <c r="C120" s="86" t="s">
        <v>75</v>
      </c>
      <c r="D120" s="86"/>
      <c r="E120" s="84" t="s">
        <v>52</v>
      </c>
      <c r="F120" s="84"/>
      <c r="G120" s="77" t="s">
        <v>53</v>
      </c>
      <c r="H120" s="77"/>
      <c r="I120" s="37">
        <f>23*6</f>
        <v>138</v>
      </c>
      <c r="T120"/>
    </row>
    <row r="121" spans="1:22" s="35" customFormat="1" x14ac:dyDescent="0.25">
      <c r="A121" s="85" t="s">
        <v>354</v>
      </c>
      <c r="B121" s="85"/>
      <c r="C121" s="185">
        <f>COUNT(F138:F143)*2+COUNT(F145:F150)+COUNT(F152:F157)*2+COUNT(F159:F164)+COUNT(F166:F171)+COUNT(F173:F178)*5+COUNT(F180:F183,F185)+COUNT(F187:F190,F192)+COUNT(F194:F199)+COUNT(F201:F206)+COUNT(F208:F211,F213)+COUNT(F215:F220)*2+COUNT(F222:F227)*2+COUNT(F229:F232,F234)+COUNT(F236:F241)</f>
        <v>134</v>
      </c>
      <c r="D121" s="185"/>
      <c r="E121" s="186">
        <f>SUM(F138:F143)*2+SUM(F145:F150)+SUM(F152:F157)*2+SUM(F159:F164)+SUM(F166:F171)+SUM(F173:F178)*5+SUM(F180:F183,F185)+SUM(F187:F190,F192)+SUM(F194:F199)+SUM(F201:F206)+SUM(F208:F211,F213)+SUM(F215:F220)*2+SUM(F222:F227)*2+SUM(F229:F232,F234)+SUM(F236:F241)</f>
        <v>62707.969349999992</v>
      </c>
      <c r="F121" s="186"/>
      <c r="G121" s="186">
        <f>SUM(H138:H143)*2+SUM(H145:H150)+SUM(H152:H157)*2+SUM(H159:H164)+SUM(H166:H171)+SUM(H173:H178)*5+SUM(H180:H183,H185)+SUM(H187:H190,H192)+SUM(H194:H199)+SUM(H201:H206)+SUM(H208:H211,H213)+SUM(H215:H220)*2+SUM(H222:H227)*2+SUM(H229:H232,H234)+SUM(H236:H241)</f>
        <v>99738.817254999973</v>
      </c>
      <c r="H121" s="186"/>
      <c r="T121"/>
    </row>
    <row r="122" spans="1:22" s="35" customFormat="1" hidden="1" x14ac:dyDescent="0.25">
      <c r="A122" s="197" t="s">
        <v>149</v>
      </c>
      <c r="B122" s="197"/>
      <c r="C122" s="116">
        <f t="shared" ref="C122:G122" si="0">SUM(C121)</f>
        <v>134</v>
      </c>
      <c r="D122" s="116"/>
      <c r="E122" s="198">
        <f t="shared" si="0"/>
        <v>62707.969349999992</v>
      </c>
      <c r="F122" s="198"/>
      <c r="G122" s="199">
        <f t="shared" si="0"/>
        <v>99738.817254999973</v>
      </c>
      <c r="H122" s="199"/>
      <c r="T122"/>
    </row>
    <row r="123" spans="1:22" s="35" customFormat="1" hidden="1" x14ac:dyDescent="0.25">
      <c r="A123" s="123" t="s">
        <v>166</v>
      </c>
      <c r="B123" s="124"/>
      <c r="C123" s="139">
        <f>C118+C122</f>
        <v>134</v>
      </c>
      <c r="D123" s="139"/>
      <c r="E123" s="140">
        <f>E118+E122</f>
        <v>62707.969349999992</v>
      </c>
      <c r="F123" s="140"/>
      <c r="G123" s="190">
        <f>G118+G122</f>
        <v>99738.817254999973</v>
      </c>
      <c r="H123" s="191"/>
      <c r="T123"/>
    </row>
    <row r="124" spans="1:22" s="34" customFormat="1" x14ac:dyDescent="0.25">
      <c r="A124" s="161" t="s">
        <v>54</v>
      </c>
      <c r="B124" s="161"/>
      <c r="C124" s="161"/>
      <c r="D124" s="161"/>
      <c r="E124" s="161"/>
      <c r="F124" s="161"/>
      <c r="G124" s="161"/>
      <c r="H124" s="161"/>
      <c r="T124" s="35"/>
    </row>
    <row r="125" spans="1:22" x14ac:dyDescent="0.25">
      <c r="A125" s="76" t="s">
        <v>352</v>
      </c>
      <c r="B125" s="76"/>
      <c r="C125" s="76"/>
      <c r="D125" s="76"/>
      <c r="E125" s="76"/>
      <c r="F125" s="76"/>
      <c r="G125" s="76"/>
      <c r="H125" s="76"/>
      <c r="T125" s="35"/>
    </row>
    <row r="126" spans="1:22" ht="47.25" hidden="1" customHeight="1" x14ac:dyDescent="0.25">
      <c r="A126" s="127" t="s">
        <v>118</v>
      </c>
      <c r="B126" s="127" t="s">
        <v>175</v>
      </c>
      <c r="C126" s="127" t="s">
        <v>55</v>
      </c>
      <c r="D126" s="127" t="s">
        <v>231</v>
      </c>
      <c r="E126" s="158" t="s">
        <v>155</v>
      </c>
      <c r="F126" s="127" t="s">
        <v>56</v>
      </c>
      <c r="G126" s="158" t="s">
        <v>57</v>
      </c>
      <c r="H126" s="55" t="s">
        <v>148</v>
      </c>
      <c r="T126" s="35"/>
    </row>
    <row r="127" spans="1:22" s="37" customFormat="1" hidden="1" x14ac:dyDescent="0.25">
      <c r="A127" s="128"/>
      <c r="B127" s="128"/>
      <c r="C127" s="128"/>
      <c r="D127" s="128"/>
      <c r="E127" s="159"/>
      <c r="F127" s="128"/>
      <c r="G127" s="159"/>
      <c r="H127" s="56">
        <v>0.45</v>
      </c>
      <c r="T127" s="35"/>
    </row>
    <row r="128" spans="1:22" s="37" customFormat="1" hidden="1" x14ac:dyDescent="0.25">
      <c r="A128" s="117" t="s">
        <v>116</v>
      </c>
      <c r="B128" s="118"/>
      <c r="C128" s="118"/>
      <c r="D128" s="118"/>
      <c r="E128" s="118"/>
      <c r="F128" s="118"/>
      <c r="G128" s="118"/>
      <c r="H128" s="119"/>
      <c r="J128" s="36"/>
      <c r="T128" s="35"/>
    </row>
    <row r="129" spans="1:20" s="37" customFormat="1" ht="15.75" hidden="1" customHeight="1" x14ac:dyDescent="0.25">
      <c r="A129" s="79">
        <v>1</v>
      </c>
      <c r="B129" s="80"/>
      <c r="C129" s="42"/>
      <c r="D129" s="42">
        <v>0</v>
      </c>
      <c r="E129" s="42">
        <v>0</v>
      </c>
      <c r="F129" s="42">
        <f>D129+(IF(E129&lt;201,E129,IF(E129&lt;301,E129/2,E129/3)))</f>
        <v>0</v>
      </c>
      <c r="G129" s="42">
        <v>0</v>
      </c>
      <c r="H129" s="42">
        <f>(F129+(IF(G129&lt;101,G129,IF(G129&lt;201,G129/2,IF(G129&lt;=301,G129/3,G129/4)))))*(($H$127)+1)</f>
        <v>0</v>
      </c>
      <c r="I129" s="36"/>
      <c r="L129" s="184"/>
      <c r="M129" s="184"/>
      <c r="N129" s="36"/>
      <c r="T129" s="35"/>
    </row>
    <row r="130" spans="1:20" s="37" customFormat="1" ht="15.75" hidden="1" customHeight="1" x14ac:dyDescent="0.25">
      <c r="A130" s="79">
        <f>A129+1</f>
        <v>2</v>
      </c>
      <c r="B130" s="80"/>
      <c r="C130" s="42"/>
      <c r="D130" s="42"/>
      <c r="E130" s="42">
        <v>0</v>
      </c>
      <c r="F130" s="42">
        <f t="shared" ref="F130:F132" si="1">D130+(IF(E130&lt;201,E130,IF(E130&lt;301,E130/2,E130/3)))</f>
        <v>0</v>
      </c>
      <c r="G130" s="42">
        <v>0</v>
      </c>
      <c r="H130" s="42">
        <f t="shared" ref="H130:H132" si="2">(F130+(IF(G130&lt;101,G130,IF(G130&lt;201,G130/2,IF(G130&lt;=301,G130/3,G130/4)))))*(($H$127)+1)</f>
        <v>0</v>
      </c>
      <c r="I130" s="36"/>
      <c r="L130" s="184"/>
      <c r="M130" s="184"/>
      <c r="N130" s="36"/>
      <c r="T130" s="34"/>
    </row>
    <row r="131" spans="1:20" s="37" customFormat="1" ht="15.75" hidden="1" customHeight="1" x14ac:dyDescent="0.25">
      <c r="A131" s="79">
        <f>A130+1</f>
        <v>3</v>
      </c>
      <c r="B131" s="80"/>
      <c r="C131" s="42"/>
      <c r="D131" s="42"/>
      <c r="E131" s="42">
        <v>0</v>
      </c>
      <c r="F131" s="42">
        <f t="shared" si="1"/>
        <v>0</v>
      </c>
      <c r="G131" s="42">
        <v>0</v>
      </c>
      <c r="H131" s="42">
        <f t="shared" si="2"/>
        <v>0</v>
      </c>
      <c r="I131" s="36"/>
      <c r="L131" s="184"/>
      <c r="M131" s="184"/>
      <c r="N131" s="36"/>
      <c r="T131" s="21"/>
    </row>
    <row r="132" spans="1:20" s="37" customFormat="1" ht="15.75" hidden="1" customHeight="1" x14ac:dyDescent="0.25">
      <c r="A132" s="79">
        <f>A131+1</f>
        <v>4</v>
      </c>
      <c r="B132" s="80"/>
      <c r="C132" s="42"/>
      <c r="D132" s="42"/>
      <c r="E132" s="42">
        <v>0</v>
      </c>
      <c r="F132" s="42">
        <f t="shared" si="1"/>
        <v>0</v>
      </c>
      <c r="G132" s="42">
        <v>0</v>
      </c>
      <c r="H132" s="42">
        <f t="shared" si="2"/>
        <v>0</v>
      </c>
      <c r="I132" s="36"/>
      <c r="L132" s="184"/>
      <c r="M132" s="184"/>
      <c r="N132" s="36"/>
      <c r="T132" s="21"/>
    </row>
    <row r="133" spans="1:20" s="37" customFormat="1" x14ac:dyDescent="0.25">
      <c r="A133" s="79"/>
      <c r="B133" s="131"/>
      <c r="C133" s="131"/>
      <c r="D133" s="131"/>
      <c r="E133" s="131"/>
      <c r="F133" s="131"/>
      <c r="G133" s="131"/>
      <c r="H133" s="80"/>
      <c r="I133" s="36"/>
      <c r="N133" s="36"/>
    </row>
    <row r="134" spans="1:20" ht="47.25" customHeight="1" x14ac:dyDescent="0.25">
      <c r="A134" s="125" t="s">
        <v>119</v>
      </c>
      <c r="B134" s="127" t="s">
        <v>176</v>
      </c>
      <c r="C134" s="127" t="s">
        <v>55</v>
      </c>
      <c r="D134" s="127" t="s">
        <v>231</v>
      </c>
      <c r="E134" s="127" t="s">
        <v>330</v>
      </c>
      <c r="F134" s="127" t="s">
        <v>56</v>
      </c>
      <c r="G134" s="158" t="s">
        <v>57</v>
      </c>
      <c r="H134" s="55" t="s">
        <v>148</v>
      </c>
      <c r="I134" s="36"/>
      <c r="T134" s="37"/>
    </row>
    <row r="135" spans="1:20" s="37" customFormat="1" x14ac:dyDescent="0.25">
      <c r="A135" s="126"/>
      <c r="B135" s="128"/>
      <c r="C135" s="128"/>
      <c r="D135" s="128"/>
      <c r="E135" s="128"/>
      <c r="F135" s="128"/>
      <c r="G135" s="159"/>
      <c r="H135" s="68">
        <v>0.5</v>
      </c>
      <c r="I135" s="36"/>
    </row>
    <row r="136" spans="1:20" s="37" customFormat="1" x14ac:dyDescent="0.25">
      <c r="A136" s="117" t="s">
        <v>325</v>
      </c>
      <c r="B136" s="118"/>
      <c r="C136" s="118"/>
      <c r="D136" s="118"/>
      <c r="E136" s="118"/>
      <c r="F136" s="118"/>
      <c r="G136" s="118"/>
      <c r="H136" s="119"/>
      <c r="I136" s="69">
        <v>10.763999999999999</v>
      </c>
      <c r="J136" s="36"/>
    </row>
    <row r="137" spans="1:20" s="37" customFormat="1" ht="15.75" customHeight="1" x14ac:dyDescent="0.25">
      <c r="A137" s="117" t="s">
        <v>326</v>
      </c>
      <c r="B137" s="118"/>
      <c r="C137" s="118"/>
      <c r="D137" s="118"/>
      <c r="E137" s="118"/>
      <c r="F137" s="118"/>
      <c r="G137" s="118"/>
      <c r="H137" s="119"/>
      <c r="I137" s="36"/>
      <c r="L137" s="184"/>
      <c r="M137" s="184"/>
      <c r="N137" s="36"/>
    </row>
    <row r="138" spans="1:20" s="37" customFormat="1" ht="15.75" customHeight="1" x14ac:dyDescent="0.25">
      <c r="A138" s="79">
        <v>1</v>
      </c>
      <c r="B138" s="80"/>
      <c r="C138" s="42" t="s">
        <v>328</v>
      </c>
      <c r="D138" s="69">
        <f>(29.91)*10.764</f>
        <v>321.95123999999998</v>
      </c>
      <c r="E138" s="69">
        <f>(2.9*1.2+2.3*0.75)*10.764</f>
        <v>56.026619999999994</v>
      </c>
      <c r="F138" s="42">
        <f t="shared" ref="F138:F143" si="3">D138+E138</f>
        <v>377.97785999999996</v>
      </c>
      <c r="G138" s="69">
        <f>(2.75*1.9)*10.764</f>
        <v>56.241899999999994</v>
      </c>
      <c r="H138" s="42">
        <f t="shared" ref="H138:H143" si="4">F138*(($H$135)+1)+(IF(G138&lt;101,G138,IF(G138&lt;201,G138/2,IF(G138&lt;=301,G138/3,G138/4))))</f>
        <v>623.20868999999993</v>
      </c>
      <c r="I138" s="66">
        <f>2.75*4+2.3*2.55+2.9*1.8+1.2*1.5+1.2*0.9+1.5*1.1+1.5*0.9</f>
        <v>27.964999999999996</v>
      </c>
      <c r="J138" s="36">
        <f>2.9*1.2</f>
        <v>3.48</v>
      </c>
      <c r="K138" s="66">
        <f>I138+J138</f>
        <v>31.444999999999997</v>
      </c>
      <c r="L138" s="184"/>
      <c r="M138" s="184"/>
      <c r="N138" s="36"/>
    </row>
    <row r="139" spans="1:20" s="37" customFormat="1" ht="15.75" customHeight="1" x14ac:dyDescent="0.25">
      <c r="A139" s="79">
        <f>A138+1</f>
        <v>2</v>
      </c>
      <c r="B139" s="80"/>
      <c r="C139" s="42" t="s">
        <v>328</v>
      </c>
      <c r="D139" s="69">
        <f>(29.55)*10.764</f>
        <v>318.07619999999997</v>
      </c>
      <c r="E139" s="69">
        <f>(2.75*1.2+2.15*0.75)*10.764</f>
        <v>52.878149999999991</v>
      </c>
      <c r="F139" s="42">
        <f t="shared" si="3"/>
        <v>370.95434999999998</v>
      </c>
      <c r="G139" s="69">
        <f>(2.75*1.75)*10.764</f>
        <v>51.801749999999998</v>
      </c>
      <c r="H139" s="42">
        <f t="shared" si="4"/>
        <v>608.23327499999994</v>
      </c>
      <c r="I139" s="66">
        <f>2.75*3.8+2.75*2.15+2.75*2.45+2.25*1.2+0.9*1.2+0.9*2.9</f>
        <v>29.489999999999995</v>
      </c>
      <c r="J139" s="36">
        <f>2.15*0.75</f>
        <v>1.6124999999999998</v>
      </c>
      <c r="K139" s="66">
        <f>I139+J139</f>
        <v>31.102499999999996</v>
      </c>
      <c r="L139" s="184">
        <f>485000/H139</f>
        <v>797.39142847783205</v>
      </c>
      <c r="M139" s="184"/>
      <c r="N139" s="36"/>
    </row>
    <row r="140" spans="1:20" s="37" customFormat="1" ht="15.75" customHeight="1" x14ac:dyDescent="0.25">
      <c r="A140" s="79">
        <f>A139+1</f>
        <v>3</v>
      </c>
      <c r="B140" s="80"/>
      <c r="C140" s="42" t="s">
        <v>329</v>
      </c>
      <c r="D140" s="69">
        <f>(47.17)*10.764</f>
        <v>507.73787999999996</v>
      </c>
      <c r="E140" s="69">
        <f>(3.35*1.1+2.15*1.1)*10.764</f>
        <v>65.122200000000007</v>
      </c>
      <c r="F140" s="42">
        <f t="shared" si="3"/>
        <v>572.86007999999993</v>
      </c>
      <c r="G140" s="69">
        <f>(3.35*1.75)*10.764</f>
        <v>63.103949999999998</v>
      </c>
      <c r="H140" s="42">
        <f t="shared" si="4"/>
        <v>922.39406999999983</v>
      </c>
      <c r="I140" s="36">
        <f>3.35*4.5+2.15*2.75+2.75*3.15+3.35*2.75+2.15*1.2+1.8*1.2</f>
        <v>43.602499999999992</v>
      </c>
      <c r="J140" s="37">
        <f>2.15*1.1+3.35*1.1</f>
        <v>6.0500000000000007</v>
      </c>
      <c r="K140" s="66">
        <f>I140+J140</f>
        <v>49.652499999999989</v>
      </c>
      <c r="L140" s="184"/>
      <c r="M140" s="184"/>
      <c r="N140" s="36"/>
      <c r="T140" s="21"/>
    </row>
    <row r="141" spans="1:20" s="37" customFormat="1" x14ac:dyDescent="0.25">
      <c r="A141" s="79">
        <f>A140+1</f>
        <v>4</v>
      </c>
      <c r="B141" s="80"/>
      <c r="C141" s="42" t="s">
        <v>328</v>
      </c>
      <c r="D141" s="69">
        <f>(30.65)*10.764</f>
        <v>329.91659999999996</v>
      </c>
      <c r="E141" s="69">
        <f>(2.75*1.1+2.15*1.1)*10.764</f>
        <v>58.017960000000002</v>
      </c>
      <c r="F141" s="42">
        <f t="shared" si="3"/>
        <v>387.93455999999998</v>
      </c>
      <c r="G141" s="69">
        <f>(2.75*1.9)*10.764</f>
        <v>56.241899999999994</v>
      </c>
      <c r="H141" s="42">
        <f t="shared" si="4"/>
        <v>638.14373999999998</v>
      </c>
      <c r="I141" s="66">
        <f>4.1*2.75+2.75*2.15+2.75*2.75+1.2*2.35+1.8*1.2</f>
        <v>29.73</v>
      </c>
      <c r="L141" s="184"/>
      <c r="M141" s="184"/>
    </row>
    <row r="142" spans="1:20" s="37" customFormat="1" x14ac:dyDescent="0.25">
      <c r="A142" s="79">
        <f>A141+1</f>
        <v>5</v>
      </c>
      <c r="B142" s="80"/>
      <c r="C142" s="42" t="s">
        <v>328</v>
      </c>
      <c r="D142" s="69">
        <f>(31.06)*10.764</f>
        <v>334.32983999999999</v>
      </c>
      <c r="E142" s="69">
        <f>((0.6*2.5+2.3*0.6)+2.15*1.1)*10.764</f>
        <v>56.457180000000001</v>
      </c>
      <c r="F142" s="42">
        <f t="shared" si="3"/>
        <v>390.78701999999998</v>
      </c>
      <c r="G142" s="69">
        <f>(2.75*1.9)*10.764</f>
        <v>56.241899999999994</v>
      </c>
      <c r="H142" s="42">
        <f t="shared" si="4"/>
        <v>642.42242999999996</v>
      </c>
      <c r="I142" s="66">
        <f>3.5*2.75+1.4*0.8+2.75*2.15+0.7*1.1+2.75*2.75+0.45*0.6+1.2*2.15+1.2*2.25</f>
        <v>30.539999999999996</v>
      </c>
      <c r="N142" s="36"/>
    </row>
    <row r="143" spans="1:20" s="37" customFormat="1" x14ac:dyDescent="0.25">
      <c r="A143" s="79">
        <f>A142+1</f>
        <v>6</v>
      </c>
      <c r="B143" s="80"/>
      <c r="C143" s="42" t="s">
        <v>329</v>
      </c>
      <c r="D143" s="69">
        <f>(43.24)*10.764</f>
        <v>465.43536</v>
      </c>
      <c r="E143" s="69">
        <f>((0.3*2.5+2.4*0.6)+2.75*0.75+2.4*1.1)*10.764</f>
        <v>74.19086999999999</v>
      </c>
      <c r="F143" s="42">
        <f t="shared" si="3"/>
        <v>539.62622999999996</v>
      </c>
      <c r="G143" s="69">
        <f>(2.75*1.9)*10.764</f>
        <v>56.241899999999994</v>
      </c>
      <c r="H143" s="42">
        <f t="shared" si="4"/>
        <v>865.68124499999999</v>
      </c>
      <c r="I143" s="66">
        <f>2.45*4.5+0.3*1.1+0.3*0.7+2.45*2.75+3.6*2.45+1.8*0.6+2.75*2.75+2.25*1.2+1.2*2.1+1.2*0.6+1.2*1.1</f>
        <v>43.025000000000006</v>
      </c>
      <c r="J143" s="37">
        <f>2.5*0.7+0.3*2.5</f>
        <v>2.5</v>
      </c>
      <c r="N143" s="36"/>
    </row>
    <row r="144" spans="1:20" s="37" customFormat="1" x14ac:dyDescent="0.25">
      <c r="A144" s="130" t="s">
        <v>117</v>
      </c>
      <c r="B144" s="130"/>
      <c r="C144" s="130"/>
      <c r="D144" s="130"/>
      <c r="E144" s="130"/>
      <c r="F144" s="130"/>
      <c r="G144" s="130"/>
      <c r="H144" s="130"/>
      <c r="I144" s="36"/>
      <c r="N144" s="36"/>
    </row>
    <row r="145" spans="1:14" s="37" customFormat="1" x14ac:dyDescent="0.25">
      <c r="A145" s="79">
        <v>1</v>
      </c>
      <c r="B145" s="80"/>
      <c r="C145" s="42" t="s">
        <v>328</v>
      </c>
      <c r="D145" s="69">
        <f>(29.91)*10.764</f>
        <v>321.95123999999998</v>
      </c>
      <c r="E145" s="69">
        <f>(2.9*1.2+2.3*0.75+0.75*2.75)*10.764</f>
        <v>78.227369999999993</v>
      </c>
      <c r="F145" s="42">
        <f t="shared" ref="F145:F150" si="5">D145+E145</f>
        <v>400.17860999999999</v>
      </c>
      <c r="G145" s="69">
        <v>0</v>
      </c>
      <c r="H145" s="42">
        <f t="shared" ref="H145:H150" si="6">F145*(($H$135)+1)+(IF(G145&lt;101,G145,IF(G145&lt;201,G145/2,IF(G145&lt;=301,G145/3,G145/4))))</f>
        <v>600.26791500000002</v>
      </c>
      <c r="I145" s="36"/>
      <c r="N145" s="36"/>
    </row>
    <row r="146" spans="1:14" s="37" customFormat="1" x14ac:dyDescent="0.25">
      <c r="A146" s="79">
        <f>A145+1</f>
        <v>2</v>
      </c>
      <c r="B146" s="80"/>
      <c r="C146" s="42" t="s">
        <v>328</v>
      </c>
      <c r="D146" s="69">
        <f>(29.55)*10.764</f>
        <v>318.07619999999997</v>
      </c>
      <c r="E146" s="69">
        <f>(2.75*1.2+2.15*0.75+0.75*2.75)*10.764</f>
        <v>75.07889999999999</v>
      </c>
      <c r="F146" s="42">
        <f t="shared" si="5"/>
        <v>393.15509999999995</v>
      </c>
      <c r="G146" s="69">
        <v>0</v>
      </c>
      <c r="H146" s="42">
        <f t="shared" si="6"/>
        <v>589.73264999999992</v>
      </c>
      <c r="I146" s="36"/>
      <c r="N146" s="36"/>
    </row>
    <row r="147" spans="1:14" s="37" customFormat="1" ht="15.75" customHeight="1" x14ac:dyDescent="0.25">
      <c r="A147" s="79">
        <f>A146+1</f>
        <v>3</v>
      </c>
      <c r="B147" s="80"/>
      <c r="C147" s="42" t="s">
        <v>329</v>
      </c>
      <c r="D147" s="69">
        <f>(47.17)*10.764</f>
        <v>507.73787999999996</v>
      </c>
      <c r="E147" s="69">
        <f>(3.35*1.1+2.15*1.1+3.35*0.75)*10.764</f>
        <v>92.166749999999993</v>
      </c>
      <c r="F147" s="42">
        <f t="shared" si="5"/>
        <v>599.90463</v>
      </c>
      <c r="G147" s="69">
        <f>(2.75*1.75)*10.764</f>
        <v>51.801749999999998</v>
      </c>
      <c r="H147" s="42">
        <f t="shared" si="6"/>
        <v>951.65869499999997</v>
      </c>
      <c r="I147" s="36"/>
    </row>
    <row r="148" spans="1:14" s="37" customFormat="1" ht="15.75" customHeight="1" x14ac:dyDescent="0.25">
      <c r="A148" s="79">
        <f>A147+1</f>
        <v>4</v>
      </c>
      <c r="B148" s="80"/>
      <c r="C148" s="42" t="s">
        <v>328</v>
      </c>
      <c r="D148" s="69">
        <f>(30.65)*10.764</f>
        <v>329.91659999999996</v>
      </c>
      <c r="E148" s="69">
        <f>(2.75*1.1+2.15*1.1+2.75*0.75)*10.764</f>
        <v>80.218710000000002</v>
      </c>
      <c r="F148" s="42">
        <f t="shared" si="5"/>
        <v>410.13530999999995</v>
      </c>
      <c r="G148" s="69">
        <v>0</v>
      </c>
      <c r="H148" s="42">
        <f t="shared" si="6"/>
        <v>615.20296499999995</v>
      </c>
      <c r="I148" s="36"/>
    </row>
    <row r="149" spans="1:14" s="37" customFormat="1" ht="15.75" customHeight="1" x14ac:dyDescent="0.25">
      <c r="A149" s="79">
        <f>A148+1</f>
        <v>5</v>
      </c>
      <c r="B149" s="80"/>
      <c r="C149" s="42" t="s">
        <v>328</v>
      </c>
      <c r="D149" s="69">
        <f>(31.06)*10.764</f>
        <v>334.32983999999999</v>
      </c>
      <c r="E149" s="69">
        <f>((0.6*2.5+2.3*0.6)+2.15*1.1+0.75*2.75)*10.764</f>
        <v>78.657929999999993</v>
      </c>
      <c r="F149" s="42">
        <f t="shared" si="5"/>
        <v>412.98776999999995</v>
      </c>
      <c r="G149" s="69">
        <f>(3.35*1.75)*10.764</f>
        <v>63.103949999999998</v>
      </c>
      <c r="H149" s="42">
        <f t="shared" si="6"/>
        <v>682.58560499999999</v>
      </c>
      <c r="I149" s="36"/>
    </row>
    <row r="150" spans="1:14" s="37" customFormat="1" ht="15.75" customHeight="1" x14ac:dyDescent="0.25">
      <c r="A150" s="79">
        <f>A149+1</f>
        <v>6</v>
      </c>
      <c r="B150" s="80"/>
      <c r="C150" s="42" t="s">
        <v>329</v>
      </c>
      <c r="D150" s="69">
        <f>(43.24)*10.764</f>
        <v>465.43536</v>
      </c>
      <c r="E150" s="69">
        <f>((0.3*2.5+2.4*0.6)+2.75*0.75+2.4*1.1+0.75*2.75)*10.764</f>
        <v>96.391619999999989</v>
      </c>
      <c r="F150" s="42">
        <f t="shared" si="5"/>
        <v>561.82698000000005</v>
      </c>
      <c r="G150" s="69">
        <f>(2*2.75)*10.764</f>
        <v>59.201999999999998</v>
      </c>
      <c r="H150" s="42">
        <f t="shared" si="6"/>
        <v>901.94247000000007</v>
      </c>
      <c r="I150" s="36"/>
    </row>
    <row r="151" spans="1:14" s="37" customFormat="1" ht="15.75" customHeight="1" x14ac:dyDescent="0.25">
      <c r="A151" s="130" t="s">
        <v>331</v>
      </c>
      <c r="B151" s="130"/>
      <c r="C151" s="130"/>
      <c r="D151" s="130"/>
      <c r="E151" s="130"/>
      <c r="F151" s="130"/>
      <c r="G151" s="130"/>
      <c r="H151" s="130"/>
      <c r="I151" s="36"/>
    </row>
    <row r="152" spans="1:14" s="37" customFormat="1" ht="15.75" customHeight="1" x14ac:dyDescent="0.25">
      <c r="A152" s="79">
        <v>1</v>
      </c>
      <c r="B152" s="80"/>
      <c r="C152" s="42" t="s">
        <v>328</v>
      </c>
      <c r="D152" s="69">
        <f>(29.91)*10.764</f>
        <v>321.95123999999998</v>
      </c>
      <c r="E152" s="69">
        <f>(2.9*1.2+0.75*(2.75+2.9+2.3))*10.764</f>
        <v>101.63907</v>
      </c>
      <c r="F152" s="42">
        <f t="shared" ref="F152:F157" si="7">D152+E152</f>
        <v>423.59030999999999</v>
      </c>
      <c r="G152" s="69">
        <v>0</v>
      </c>
      <c r="H152" s="42">
        <f t="shared" ref="H152:H157" si="8">F152*(($H$135)+1)+(IF(G152&lt;101,G152,IF(G152&lt;201,G152/2,IF(G152&lt;=301,G152/3,G152/4))))</f>
        <v>635.38546499999995</v>
      </c>
      <c r="I152" s="36"/>
    </row>
    <row r="153" spans="1:14" s="37" customFormat="1" x14ac:dyDescent="0.25">
      <c r="A153" s="79">
        <f>A152+1</f>
        <v>2</v>
      </c>
      <c r="B153" s="80"/>
      <c r="C153" s="42" t="s">
        <v>328</v>
      </c>
      <c r="D153" s="69">
        <f>(29.55)*10.764</f>
        <v>318.07619999999997</v>
      </c>
      <c r="E153" s="69">
        <f>(2.75*1.2+2.15*0.75+2.75*0.75)*10.764</f>
        <v>75.07889999999999</v>
      </c>
      <c r="F153" s="42">
        <f t="shared" si="7"/>
        <v>393.15509999999995</v>
      </c>
      <c r="G153" s="69">
        <v>0</v>
      </c>
      <c r="H153" s="42">
        <f t="shared" si="8"/>
        <v>589.73264999999992</v>
      </c>
      <c r="I153" s="36"/>
    </row>
    <row r="154" spans="1:14" s="37" customFormat="1" ht="15.75" customHeight="1" x14ac:dyDescent="0.25">
      <c r="A154" s="79">
        <f>A153+1</f>
        <v>3</v>
      </c>
      <c r="B154" s="80"/>
      <c r="C154" s="42" t="s">
        <v>329</v>
      </c>
      <c r="D154" s="69">
        <f>(47.17)*10.764</f>
        <v>507.73787999999996</v>
      </c>
      <c r="E154" s="69">
        <f>(3.35*1.1+2.15*1.1+0.75*3.35)*10.764</f>
        <v>92.166749999999993</v>
      </c>
      <c r="F154" s="42">
        <f t="shared" si="7"/>
        <v>599.90463</v>
      </c>
      <c r="G154" s="69">
        <f>(2.75*1.75)*10.764</f>
        <v>51.801749999999998</v>
      </c>
      <c r="H154" s="42">
        <f t="shared" si="8"/>
        <v>951.65869499999997</v>
      </c>
      <c r="I154" s="36"/>
    </row>
    <row r="155" spans="1:14" s="37" customFormat="1" ht="15.75" customHeight="1" x14ac:dyDescent="0.25">
      <c r="A155" s="79">
        <f>A154+1</f>
        <v>4</v>
      </c>
      <c r="B155" s="80"/>
      <c r="C155" s="42" t="s">
        <v>328</v>
      </c>
      <c r="D155" s="69">
        <f>(30.65)*10.764</f>
        <v>329.91659999999996</v>
      </c>
      <c r="E155" s="69">
        <f>(2.75*1.1+2.15*1.1+0.75*(2.75*2+2.15))*10.764</f>
        <v>119.77641000000001</v>
      </c>
      <c r="F155" s="42">
        <f t="shared" si="7"/>
        <v>449.69300999999996</v>
      </c>
      <c r="G155" s="69">
        <v>0</v>
      </c>
      <c r="H155" s="42">
        <f t="shared" si="8"/>
        <v>674.53951499999994</v>
      </c>
      <c r="I155" s="36"/>
    </row>
    <row r="156" spans="1:14" s="37" customFormat="1" ht="15.75" customHeight="1" x14ac:dyDescent="0.25">
      <c r="A156" s="79">
        <f>A155+1</f>
        <v>5</v>
      </c>
      <c r="B156" s="80"/>
      <c r="C156" s="42" t="s">
        <v>328</v>
      </c>
      <c r="D156" s="69">
        <f>(36.49-(2.15*1.1))*10.764</f>
        <v>367.32149999999996</v>
      </c>
      <c r="E156" s="69">
        <f>(2.15*1.1+0.75*(2.75+2.15))*10.764</f>
        <v>65.014560000000003</v>
      </c>
      <c r="F156" s="42">
        <f t="shared" si="7"/>
        <v>432.33605999999997</v>
      </c>
      <c r="G156" s="69">
        <f>(3.35*1.75)*10.764</f>
        <v>63.103949999999998</v>
      </c>
      <c r="H156" s="42">
        <f t="shared" si="8"/>
        <v>711.60803999999985</v>
      </c>
      <c r="I156" s="66">
        <f>4.1*2.75+3.85*2.15+1.4*1.2+2.75*3.35+1.2*2.15+1.2*2.25</f>
        <v>35.725000000000001</v>
      </c>
    </row>
    <row r="157" spans="1:14" s="37" customFormat="1" ht="15.75" customHeight="1" x14ac:dyDescent="0.25">
      <c r="A157" s="79">
        <f>A156+1</f>
        <v>6</v>
      </c>
      <c r="B157" s="80"/>
      <c r="C157" s="42" t="s">
        <v>329</v>
      </c>
      <c r="D157" s="69">
        <f>(43.24)*10.764</f>
        <v>465.43536</v>
      </c>
      <c r="E157" s="69">
        <f>((0.3*2.5+2.4*0.6)+2.75*0.75+2.4*1.1+2.45*0.75)*10.764</f>
        <v>93.969719999999995</v>
      </c>
      <c r="F157" s="42">
        <f t="shared" si="7"/>
        <v>559.40508</v>
      </c>
      <c r="G157" s="69">
        <f>(2*2.75)*10.764</f>
        <v>59.201999999999998</v>
      </c>
      <c r="H157" s="42">
        <f t="shared" si="8"/>
        <v>898.30962</v>
      </c>
      <c r="I157" s="36"/>
    </row>
    <row r="158" spans="1:14" s="37" customFormat="1" ht="15.75" customHeight="1" x14ac:dyDescent="0.25">
      <c r="A158" s="130" t="s">
        <v>332</v>
      </c>
      <c r="B158" s="130"/>
      <c r="C158" s="130"/>
      <c r="D158" s="130"/>
      <c r="E158" s="130"/>
      <c r="F158" s="130"/>
      <c r="G158" s="130"/>
      <c r="H158" s="130"/>
      <c r="I158" s="36"/>
    </row>
    <row r="159" spans="1:14" s="37" customFormat="1" x14ac:dyDescent="0.25">
      <c r="A159" s="75">
        <v>1</v>
      </c>
      <c r="B159" s="75"/>
      <c r="C159" s="42" t="s">
        <v>328</v>
      </c>
      <c r="D159" s="69">
        <f>(29.91)*10.764</f>
        <v>321.95123999999998</v>
      </c>
      <c r="E159" s="69">
        <f>(2.9*1.2+0.75*(2.9+2.3))*10.764</f>
        <v>79.43831999999999</v>
      </c>
      <c r="F159" s="42">
        <f t="shared" ref="F159:F164" si="9">D159+E159</f>
        <v>401.38955999999996</v>
      </c>
      <c r="G159" s="69">
        <f>(2.75*1.9)*10.764</f>
        <v>56.241899999999994</v>
      </c>
      <c r="H159" s="42">
        <f t="shared" ref="H159:H164" si="10">F159*(($H$135)+1)+(IF(G159&lt;101,G159,IF(G159&lt;201,G159/2,IF(G159&lt;=301,G159/3,G159/4))))</f>
        <v>658.32623999999987</v>
      </c>
      <c r="I159" s="36"/>
    </row>
    <row r="160" spans="1:14" s="37" customFormat="1" ht="15.75" customHeight="1" x14ac:dyDescent="0.25">
      <c r="A160" s="75">
        <f>A159+1</f>
        <v>2</v>
      </c>
      <c r="B160" s="75"/>
      <c r="C160" s="42" t="s">
        <v>328</v>
      </c>
      <c r="D160" s="69">
        <f>(29.55)*10.764</f>
        <v>318.07619999999997</v>
      </c>
      <c r="E160" s="69">
        <f>(2.75*1.2+2.15*0.75)*10.764</f>
        <v>52.878149999999991</v>
      </c>
      <c r="F160" s="42">
        <f t="shared" si="9"/>
        <v>370.95434999999998</v>
      </c>
      <c r="G160" s="69">
        <f>(2.75*1.9)*10.764</f>
        <v>56.241899999999994</v>
      </c>
      <c r="H160" s="42">
        <f t="shared" si="10"/>
        <v>612.67342499999995</v>
      </c>
      <c r="I160" s="36"/>
    </row>
    <row r="161" spans="1:20" s="37" customFormat="1" ht="15.75" customHeight="1" x14ac:dyDescent="0.25">
      <c r="A161" s="75">
        <f>A160+1</f>
        <v>3</v>
      </c>
      <c r="B161" s="75"/>
      <c r="C161" s="42" t="s">
        <v>329</v>
      </c>
      <c r="D161" s="69">
        <f>(47.17)*10.764</f>
        <v>507.73787999999996</v>
      </c>
      <c r="E161" s="69">
        <f>(3.35*1.1+2.15*1.1+0.75*2.75)*10.764</f>
        <v>87.322950000000006</v>
      </c>
      <c r="F161" s="42">
        <f t="shared" si="9"/>
        <v>595.06083000000001</v>
      </c>
      <c r="G161" s="69">
        <f>(3.35*1.75)*10.764</f>
        <v>63.103949999999998</v>
      </c>
      <c r="H161" s="42">
        <f t="shared" si="10"/>
        <v>955.69519500000001</v>
      </c>
      <c r="I161" s="36"/>
    </row>
    <row r="162" spans="1:20" s="37" customFormat="1" ht="15.75" customHeight="1" x14ac:dyDescent="0.25">
      <c r="A162" s="75">
        <f>A161+1</f>
        <v>4</v>
      </c>
      <c r="B162" s="75"/>
      <c r="C162" s="42" t="s">
        <v>328</v>
      </c>
      <c r="D162" s="69">
        <f>(30.65)*10.764</f>
        <v>329.91659999999996</v>
      </c>
      <c r="E162" s="69">
        <f>(2.75*1.1+2.15*1.1+0.75*(2.75+2.15))*10.764</f>
        <v>97.575660000000013</v>
      </c>
      <c r="F162" s="42">
        <f t="shared" si="9"/>
        <v>427.49225999999999</v>
      </c>
      <c r="G162" s="69">
        <f>(2.75*1.9)*10.764</f>
        <v>56.241899999999994</v>
      </c>
      <c r="H162" s="42">
        <f t="shared" si="10"/>
        <v>697.48028999999997</v>
      </c>
      <c r="I162" s="36"/>
    </row>
    <row r="163" spans="1:20" s="37" customFormat="1" ht="15.75" customHeight="1" x14ac:dyDescent="0.25">
      <c r="A163" s="79">
        <f>A162+1</f>
        <v>5</v>
      </c>
      <c r="B163" s="80"/>
      <c r="C163" s="42" t="s">
        <v>328</v>
      </c>
      <c r="D163" s="69">
        <f>(36.49-(2.15*1.1))*10.764</f>
        <v>367.32149999999996</v>
      </c>
      <c r="E163" s="69">
        <f>(2.15*1.1+0.75*(3.35+2.15))*10.764</f>
        <v>69.858360000000005</v>
      </c>
      <c r="F163" s="42">
        <f t="shared" si="9"/>
        <v>437.17985999999996</v>
      </c>
      <c r="G163" s="69">
        <f>(2.75*1.9)*10.764</f>
        <v>56.241899999999994</v>
      </c>
      <c r="H163" s="42">
        <f t="shared" si="10"/>
        <v>712.01168999999993</v>
      </c>
      <c r="I163" s="36"/>
    </row>
    <row r="164" spans="1:20" s="37" customFormat="1" ht="15.75" customHeight="1" x14ac:dyDescent="0.25">
      <c r="A164" s="79">
        <f>A163+1</f>
        <v>6</v>
      </c>
      <c r="B164" s="80"/>
      <c r="C164" s="42" t="s">
        <v>329</v>
      </c>
      <c r="D164" s="69">
        <f>(43.24)*10.764</f>
        <v>465.43536</v>
      </c>
      <c r="E164" s="69">
        <f>((0.3*2.5+2.4*0.6)+2.75*0.75+2.4*1.1)*10.764</f>
        <v>74.19086999999999</v>
      </c>
      <c r="F164" s="42">
        <f t="shared" si="9"/>
        <v>539.62622999999996</v>
      </c>
      <c r="G164" s="69">
        <f>(2.75*1.9)*10.764</f>
        <v>56.241899999999994</v>
      </c>
      <c r="H164" s="42">
        <f t="shared" si="10"/>
        <v>865.68124499999999</v>
      </c>
      <c r="I164" s="36"/>
    </row>
    <row r="165" spans="1:20" s="35" customFormat="1" x14ac:dyDescent="0.25">
      <c r="A165" s="117" t="s">
        <v>333</v>
      </c>
      <c r="B165" s="118"/>
      <c r="C165" s="118"/>
      <c r="D165" s="118"/>
      <c r="E165" s="118"/>
      <c r="F165" s="118"/>
      <c r="G165" s="118"/>
      <c r="H165" s="119"/>
      <c r="T165" s="37"/>
    </row>
    <row r="166" spans="1:20" s="35" customFormat="1" x14ac:dyDescent="0.25">
      <c r="A166" s="79">
        <v>1</v>
      </c>
      <c r="B166" s="80"/>
      <c r="C166" s="42" t="s">
        <v>328</v>
      </c>
      <c r="D166" s="69">
        <f>(29.91)*10.764</f>
        <v>321.95123999999998</v>
      </c>
      <c r="E166" s="69">
        <f>(2.9*1.2+0.75*(2.75+2.9+2.3))*10.764</f>
        <v>101.63907</v>
      </c>
      <c r="F166" s="42">
        <f t="shared" ref="F166:F171" si="11">D166+E166</f>
        <v>423.59030999999999</v>
      </c>
      <c r="G166" s="69">
        <v>0</v>
      </c>
      <c r="H166" s="42">
        <f t="shared" ref="H166:H171" si="12">F166*(($H$135)+1)+(IF(G166&lt;101,G166,IF(G166&lt;201,G166/2,IF(G166&lt;=301,G166/3,G166/4))))</f>
        <v>635.38546499999995</v>
      </c>
      <c r="T166" s="37"/>
    </row>
    <row r="167" spans="1:20" s="35" customFormat="1" x14ac:dyDescent="0.25">
      <c r="A167" s="79">
        <f>A166+1</f>
        <v>2</v>
      </c>
      <c r="B167" s="80"/>
      <c r="C167" s="42" t="s">
        <v>328</v>
      </c>
      <c r="D167" s="69">
        <f>(29.55)*10.764</f>
        <v>318.07619999999997</v>
      </c>
      <c r="E167" s="69">
        <f>(2.75*1.2+2.15*0.75+0.75*2.75)*10.764</f>
        <v>75.07889999999999</v>
      </c>
      <c r="F167" s="42">
        <f t="shared" si="11"/>
        <v>393.15509999999995</v>
      </c>
      <c r="G167" s="69">
        <v>0</v>
      </c>
      <c r="H167" s="42">
        <f t="shared" si="12"/>
        <v>589.73264999999992</v>
      </c>
      <c r="T167" s="37"/>
    </row>
    <row r="168" spans="1:20" s="35" customFormat="1" x14ac:dyDescent="0.25">
      <c r="A168" s="79">
        <f>A167+1</f>
        <v>3</v>
      </c>
      <c r="B168" s="80"/>
      <c r="C168" s="42" t="s">
        <v>334</v>
      </c>
      <c r="D168" s="69">
        <f>((57.89-2.75*1.1))*10.764</f>
        <v>590.56686000000002</v>
      </c>
      <c r="E168" s="69">
        <f>(3.35*1.1+2.15*1.1+2.75*1.1+2.75*0.75)*10.764</f>
        <v>119.88405</v>
      </c>
      <c r="F168" s="42">
        <f t="shared" si="11"/>
        <v>710.45091000000002</v>
      </c>
      <c r="G168" s="69">
        <f>(2.75*1.9)*10.764</f>
        <v>56.241899999999994</v>
      </c>
      <c r="H168" s="42">
        <f t="shared" si="12"/>
        <v>1121.918265</v>
      </c>
      <c r="I168" s="66">
        <f>3.35*4.5+2.15*2.75+2.75*3.15+3.35*2.75+3.85*2.75+2*1.4+2.15*1.2+1.8*1.2</f>
        <v>56.989999999999995</v>
      </c>
      <c r="T168" s="37"/>
    </row>
    <row r="169" spans="1:20" s="35" customFormat="1" x14ac:dyDescent="0.25">
      <c r="A169" s="79">
        <f>A168+1</f>
        <v>4</v>
      </c>
      <c r="B169" s="80"/>
      <c r="C169" s="42" t="s">
        <v>335</v>
      </c>
      <c r="D169" s="69">
        <f>(21.85)*10.764</f>
        <v>235.1934</v>
      </c>
      <c r="E169" s="69">
        <f>(2.15*1.1+0.75*(2.75+2.15))*10.764</f>
        <v>65.014560000000003</v>
      </c>
      <c r="F169" s="42">
        <f t="shared" si="11"/>
        <v>300.20796000000001</v>
      </c>
      <c r="G169" s="69">
        <v>0</v>
      </c>
      <c r="H169" s="42">
        <f t="shared" si="12"/>
        <v>450.31194000000005</v>
      </c>
      <c r="I169" s="35">
        <f>4.1*2.75+2.75*2.15+1.2*2.35</f>
        <v>20.0075</v>
      </c>
      <c r="T169" s="37"/>
    </row>
    <row r="170" spans="1:20" s="35" customFormat="1" x14ac:dyDescent="0.25">
      <c r="A170" s="79">
        <f>A169+1</f>
        <v>5</v>
      </c>
      <c r="B170" s="80"/>
      <c r="C170" s="42" t="s">
        <v>328</v>
      </c>
      <c r="D170" s="69">
        <f>(36.49-(2.15*1.1))*10.764</f>
        <v>367.32149999999996</v>
      </c>
      <c r="E170" s="69">
        <f>(2.15*1.1+0.75*(2.75+2.15))*10.764</f>
        <v>65.014560000000003</v>
      </c>
      <c r="F170" s="42">
        <f t="shared" si="11"/>
        <v>432.33605999999997</v>
      </c>
      <c r="G170" s="69">
        <f>(3.35*1.75)*10.764</f>
        <v>63.103949999999998</v>
      </c>
      <c r="H170" s="42">
        <f t="shared" si="12"/>
        <v>711.60803999999985</v>
      </c>
      <c r="T170" s="37"/>
    </row>
    <row r="171" spans="1:20" s="35" customFormat="1" x14ac:dyDescent="0.25">
      <c r="A171" s="79">
        <f>A170+1</f>
        <v>6</v>
      </c>
      <c r="B171" s="80"/>
      <c r="C171" s="42" t="s">
        <v>329</v>
      </c>
      <c r="D171" s="69">
        <f>(43.24)*10.764</f>
        <v>465.43536</v>
      </c>
      <c r="E171" s="69">
        <f>((0.3*2.5+2.4*0.6)+2.75*0.75+2.4*1.1)*10.764</f>
        <v>74.19086999999999</v>
      </c>
      <c r="F171" s="42">
        <f t="shared" si="11"/>
        <v>539.62622999999996</v>
      </c>
      <c r="G171" s="69">
        <f>(2*2.75)*10.764</f>
        <v>59.201999999999998</v>
      </c>
      <c r="H171" s="42">
        <f t="shared" si="12"/>
        <v>868.641345</v>
      </c>
    </row>
    <row r="172" spans="1:20" s="35" customFormat="1" x14ac:dyDescent="0.25">
      <c r="A172" s="117" t="s">
        <v>336</v>
      </c>
      <c r="B172" s="118"/>
      <c r="C172" s="118"/>
      <c r="D172" s="118"/>
      <c r="E172" s="118"/>
      <c r="F172" s="118"/>
      <c r="G172" s="118"/>
      <c r="H172" s="119"/>
    </row>
    <row r="173" spans="1:20" s="35" customFormat="1" x14ac:dyDescent="0.25">
      <c r="A173" s="79">
        <v>1</v>
      </c>
      <c r="B173" s="80"/>
      <c r="C173" s="42" t="s">
        <v>328</v>
      </c>
      <c r="D173" s="69">
        <f>(29.91)*10.764</f>
        <v>321.95123999999998</v>
      </c>
      <c r="E173" s="69">
        <f>(2.9*1.2+0.75*(2.9+2.3))*10.764</f>
        <v>79.43831999999999</v>
      </c>
      <c r="F173" s="42">
        <f t="shared" ref="F173:F178" si="13">D173+E173</f>
        <v>401.38955999999996</v>
      </c>
      <c r="G173" s="69">
        <f>(2.75*1.9)*10.764</f>
        <v>56.241899999999994</v>
      </c>
      <c r="H173" s="42">
        <f t="shared" ref="H173:H178" si="14">F173*(($H$135)+1)+(IF(G173&lt;101,G173,IF(G173&lt;201,G173/2,IF(G173&lt;=301,G173/3,G173/4))))</f>
        <v>658.32623999999987</v>
      </c>
    </row>
    <row r="174" spans="1:20" s="35" customFormat="1" x14ac:dyDescent="0.25">
      <c r="A174" s="79">
        <f>A173+1</f>
        <v>2</v>
      </c>
      <c r="B174" s="80"/>
      <c r="C174" s="42" t="s">
        <v>328</v>
      </c>
      <c r="D174" s="69">
        <f>(29.55)*10.764</f>
        <v>318.07619999999997</v>
      </c>
      <c r="E174" s="69">
        <f>(2.75*1.2+2.15*0.75)*10.764</f>
        <v>52.878149999999991</v>
      </c>
      <c r="F174" s="42">
        <f t="shared" si="13"/>
        <v>370.95434999999998</v>
      </c>
      <c r="G174" s="69">
        <f>(2.75*1.9)*10.764</f>
        <v>56.241899999999994</v>
      </c>
      <c r="H174" s="42">
        <f t="shared" si="14"/>
        <v>612.67342499999995</v>
      </c>
    </row>
    <row r="175" spans="1:20" s="35" customFormat="1" x14ac:dyDescent="0.25">
      <c r="A175" s="79">
        <f>A174+1</f>
        <v>3</v>
      </c>
      <c r="B175" s="80"/>
      <c r="C175" s="42" t="s">
        <v>329</v>
      </c>
      <c r="D175" s="69">
        <f>(47.17)*10.764</f>
        <v>507.73787999999996</v>
      </c>
      <c r="E175" s="69">
        <f>(3.35*1.1+2.15*1.1)*10.764</f>
        <v>65.122200000000007</v>
      </c>
      <c r="F175" s="42">
        <f t="shared" si="13"/>
        <v>572.86007999999993</v>
      </c>
      <c r="G175" s="69">
        <f>(3.35*1.75)*10.764</f>
        <v>63.103949999999998</v>
      </c>
      <c r="H175" s="42">
        <f t="shared" si="14"/>
        <v>922.39406999999983</v>
      </c>
    </row>
    <row r="176" spans="1:20" s="35" customFormat="1" x14ac:dyDescent="0.25">
      <c r="A176" s="79">
        <f>A175+1</f>
        <v>4</v>
      </c>
      <c r="B176" s="80"/>
      <c r="C176" s="42" t="s">
        <v>328</v>
      </c>
      <c r="D176" s="69">
        <f>(30.65)*10.764</f>
        <v>329.91659999999996</v>
      </c>
      <c r="E176" s="69">
        <f>(2.75*1.1+2.15*1.1+0.75*(2.75+2.15))*10.764</f>
        <v>97.575660000000013</v>
      </c>
      <c r="F176" s="42">
        <f t="shared" si="13"/>
        <v>427.49225999999999</v>
      </c>
      <c r="G176" s="69">
        <f>(2.75*1.9)*10.764</f>
        <v>56.241899999999994</v>
      </c>
      <c r="H176" s="42">
        <f t="shared" si="14"/>
        <v>697.48028999999997</v>
      </c>
    </row>
    <row r="177" spans="1:20" x14ac:dyDescent="0.25">
      <c r="A177" s="79">
        <f>A176+1</f>
        <v>5</v>
      </c>
      <c r="B177" s="80"/>
      <c r="C177" s="42" t="s">
        <v>328</v>
      </c>
      <c r="D177" s="69">
        <f>(36.49-(2.15*1.1))*10.764</f>
        <v>367.32149999999996</v>
      </c>
      <c r="E177" s="69">
        <f>(2.15*1.1+0.75*(3.35+2.15))*10.764</f>
        <v>69.858360000000005</v>
      </c>
      <c r="F177" s="42">
        <f t="shared" si="13"/>
        <v>437.17985999999996</v>
      </c>
      <c r="G177" s="69">
        <f>(2.75*1.9)*10.764</f>
        <v>56.241899999999994</v>
      </c>
      <c r="H177" s="42">
        <f t="shared" si="14"/>
        <v>712.01168999999993</v>
      </c>
      <c r="T177" s="35"/>
    </row>
    <row r="178" spans="1:20" x14ac:dyDescent="0.25">
      <c r="A178" s="79">
        <f>A177+1</f>
        <v>6</v>
      </c>
      <c r="B178" s="80"/>
      <c r="C178" s="42" t="s">
        <v>329</v>
      </c>
      <c r="D178" s="69">
        <f>(43.24)*10.764</f>
        <v>465.43536</v>
      </c>
      <c r="E178" s="69">
        <f>((0.3*2.5+2.4*0.6)+2.75*0.75+2.4*1.1)*10.764</f>
        <v>74.19086999999999</v>
      </c>
      <c r="F178" s="42">
        <f t="shared" si="13"/>
        <v>539.62622999999996</v>
      </c>
      <c r="G178" s="69">
        <f>(2.75*1.9)*10.764</f>
        <v>56.241899999999994</v>
      </c>
      <c r="H178" s="42">
        <f t="shared" si="14"/>
        <v>865.68124499999999</v>
      </c>
      <c r="T178" s="35"/>
    </row>
    <row r="179" spans="1:20" ht="15.75" customHeight="1" x14ac:dyDescent="0.25">
      <c r="A179" s="117" t="s">
        <v>337</v>
      </c>
      <c r="B179" s="118"/>
      <c r="C179" s="118"/>
      <c r="D179" s="118"/>
      <c r="E179" s="118"/>
      <c r="F179" s="118"/>
      <c r="G179" s="118"/>
      <c r="H179" s="119"/>
      <c r="T179" s="35"/>
    </row>
    <row r="180" spans="1:20" x14ac:dyDescent="0.25">
      <c r="A180" s="79">
        <v>1</v>
      </c>
      <c r="B180" s="80"/>
      <c r="C180" s="42" t="s">
        <v>328</v>
      </c>
      <c r="D180" s="69">
        <f>(29.91)*10.764</f>
        <v>321.95123999999998</v>
      </c>
      <c r="E180" s="69">
        <f>(2.9*1.2+0.75*(2.75+2.9+2.3))*10.764</f>
        <v>101.63907</v>
      </c>
      <c r="F180" s="42">
        <f t="shared" ref="F180:F185" si="15">D180+E180</f>
        <v>423.59030999999999</v>
      </c>
      <c r="G180" s="69">
        <v>0</v>
      </c>
      <c r="H180" s="42">
        <f t="shared" ref="H180:H185" si="16">F180*(($H$135)+1)+(IF(G180&lt;101,G180,IF(G180&lt;201,G180/2,IF(G180&lt;=301,G180/3,G180/4))))</f>
        <v>635.38546499999995</v>
      </c>
      <c r="T180" s="35"/>
    </row>
    <row r="181" spans="1:20" x14ac:dyDescent="0.25">
      <c r="A181" s="79">
        <f>A180+1</f>
        <v>2</v>
      </c>
      <c r="B181" s="80"/>
      <c r="C181" s="42" t="s">
        <v>328</v>
      </c>
      <c r="D181" s="69">
        <f>(29.55)*10.764</f>
        <v>318.07619999999997</v>
      </c>
      <c r="E181" s="69">
        <f>(2.75*1.2+2.15*0.75)*10.764</f>
        <v>52.878149999999991</v>
      </c>
      <c r="F181" s="42">
        <f t="shared" si="15"/>
        <v>370.95434999999998</v>
      </c>
      <c r="G181" s="69">
        <v>0</v>
      </c>
      <c r="H181" s="42">
        <f t="shared" si="16"/>
        <v>556.43152499999997</v>
      </c>
      <c r="T181" s="35"/>
    </row>
    <row r="182" spans="1:20" x14ac:dyDescent="0.25">
      <c r="A182" s="79">
        <f>A181+1</f>
        <v>3</v>
      </c>
      <c r="B182" s="80"/>
      <c r="C182" s="42" t="s">
        <v>329</v>
      </c>
      <c r="D182" s="69">
        <f>(47.17)*10.764</f>
        <v>507.73787999999996</v>
      </c>
      <c r="E182" s="69">
        <f>(3.35*1.1+2.15*1.1)*10.764</f>
        <v>65.122200000000007</v>
      </c>
      <c r="F182" s="42">
        <f t="shared" si="15"/>
        <v>572.86007999999993</v>
      </c>
      <c r="G182" s="69">
        <f>(2.75*1.75)*10.764</f>
        <v>51.801749999999998</v>
      </c>
      <c r="H182" s="42">
        <f t="shared" si="16"/>
        <v>911.09186999999986</v>
      </c>
      <c r="T182" s="35"/>
    </row>
    <row r="183" spans="1:20" x14ac:dyDescent="0.25">
      <c r="A183" s="79">
        <f>A182+1</f>
        <v>4</v>
      </c>
      <c r="B183" s="80"/>
      <c r="C183" s="42" t="s">
        <v>328</v>
      </c>
      <c r="D183" s="69">
        <f>(30.65)*10.764</f>
        <v>329.91659999999996</v>
      </c>
      <c r="E183" s="69">
        <f>(2.75*1.1+2.15*1.1+0.75*(2.75*2+2.15))*10.764</f>
        <v>119.77641000000001</v>
      </c>
      <c r="F183" s="42">
        <f t="shared" si="15"/>
        <v>449.69300999999996</v>
      </c>
      <c r="G183" s="69">
        <v>0</v>
      </c>
      <c r="H183" s="42">
        <f t="shared" si="16"/>
        <v>674.53951499999994</v>
      </c>
    </row>
    <row r="184" spans="1:20" x14ac:dyDescent="0.25">
      <c r="A184" s="79" t="s">
        <v>339</v>
      </c>
      <c r="B184" s="80"/>
      <c r="C184" s="79" t="s">
        <v>338</v>
      </c>
      <c r="D184" s="131"/>
      <c r="E184" s="131"/>
      <c r="F184" s="131"/>
      <c r="G184" s="131"/>
      <c r="H184" s="80"/>
    </row>
    <row r="185" spans="1:20" x14ac:dyDescent="0.25">
      <c r="A185" s="79">
        <v>5</v>
      </c>
      <c r="B185" s="80"/>
      <c r="C185" s="42" t="s">
        <v>329</v>
      </c>
      <c r="D185" s="69">
        <f>(43.24)*10.764</f>
        <v>465.43536</v>
      </c>
      <c r="E185" s="69">
        <f>((0.3*2.5+2.4*0.6)+2.75*0.75+2.4*1.1)*10.764</f>
        <v>74.19086999999999</v>
      </c>
      <c r="F185" s="42">
        <f t="shared" si="15"/>
        <v>539.62622999999996</v>
      </c>
      <c r="G185" s="69">
        <f>(2*2.75)*10.764</f>
        <v>59.201999999999998</v>
      </c>
      <c r="H185" s="42">
        <f t="shared" si="16"/>
        <v>868.641345</v>
      </c>
    </row>
    <row r="186" spans="1:20" x14ac:dyDescent="0.25">
      <c r="A186" s="117" t="s">
        <v>340</v>
      </c>
      <c r="B186" s="118"/>
      <c r="C186" s="118"/>
      <c r="D186" s="118"/>
      <c r="E186" s="118"/>
      <c r="F186" s="118"/>
      <c r="G186" s="118"/>
      <c r="H186" s="119"/>
    </row>
    <row r="187" spans="1:20" x14ac:dyDescent="0.25">
      <c r="A187" s="79">
        <v>1</v>
      </c>
      <c r="B187" s="80"/>
      <c r="C187" s="42" t="s">
        <v>328</v>
      </c>
      <c r="D187" s="69">
        <f>(29.91)*10.764</f>
        <v>321.95123999999998</v>
      </c>
      <c r="E187" s="69">
        <f>(2.9*1.2+0.75*(2.75+2.9+2.3))*10.764</f>
        <v>101.63907</v>
      </c>
      <c r="F187" s="42">
        <f t="shared" ref="F187:F190" si="17">D187+E187</f>
        <v>423.59030999999999</v>
      </c>
      <c r="G187" s="69">
        <v>0</v>
      </c>
      <c r="H187" s="42">
        <f t="shared" ref="H187:H190" si="18">F187*(($H$135)+1)+(IF(G187&lt;101,G187,IF(G187&lt;201,G187/2,IF(G187&lt;=301,G187/3,G187/4))))</f>
        <v>635.38546499999995</v>
      </c>
    </row>
    <row r="188" spans="1:20" x14ac:dyDescent="0.25">
      <c r="A188" s="79">
        <f>A187+1</f>
        <v>2</v>
      </c>
      <c r="B188" s="80"/>
      <c r="C188" s="42" t="s">
        <v>328</v>
      </c>
      <c r="D188" s="69">
        <f>(29.55)*10.764</f>
        <v>318.07619999999997</v>
      </c>
      <c r="E188" s="69">
        <f>(2.75*1.2+2.15*0.75)*10.764</f>
        <v>52.878149999999991</v>
      </c>
      <c r="F188" s="42">
        <f t="shared" si="17"/>
        <v>370.95434999999998</v>
      </c>
      <c r="G188" s="69">
        <v>0</v>
      </c>
      <c r="H188" s="42">
        <f t="shared" si="18"/>
        <v>556.43152499999997</v>
      </c>
    </row>
    <row r="189" spans="1:20" x14ac:dyDescent="0.25">
      <c r="A189" s="79">
        <f>A188+1</f>
        <v>3</v>
      </c>
      <c r="B189" s="80"/>
      <c r="C189" s="42" t="s">
        <v>329</v>
      </c>
      <c r="D189" s="69">
        <f>(47.17)*10.764</f>
        <v>507.73787999999996</v>
      </c>
      <c r="E189" s="69">
        <f>(3.35*1.1+2.15*1.1)*10.764</f>
        <v>65.122200000000007</v>
      </c>
      <c r="F189" s="42">
        <f t="shared" si="17"/>
        <v>572.86007999999993</v>
      </c>
      <c r="G189" s="69">
        <f>(2.75*1.75)*10.764</f>
        <v>51.801749999999998</v>
      </c>
      <c r="H189" s="42">
        <f t="shared" si="18"/>
        <v>911.09186999999986</v>
      </c>
    </row>
    <row r="190" spans="1:20" x14ac:dyDescent="0.25">
      <c r="A190" s="79">
        <f>A189+1</f>
        <v>4</v>
      </c>
      <c r="B190" s="80"/>
      <c r="C190" s="42" t="s">
        <v>328</v>
      </c>
      <c r="D190" s="69">
        <f>(30.65)*10.764</f>
        <v>329.91659999999996</v>
      </c>
      <c r="E190" s="69">
        <f>(2.75*1.1+2.15*1.1+0.75*(2.75*2+2.15))*10.764</f>
        <v>119.77641000000001</v>
      </c>
      <c r="F190" s="42">
        <f t="shared" si="17"/>
        <v>449.69300999999996</v>
      </c>
      <c r="G190" s="69">
        <v>0</v>
      </c>
      <c r="H190" s="42">
        <f t="shared" si="18"/>
        <v>674.53951499999994</v>
      </c>
    </row>
    <row r="191" spans="1:20" x14ac:dyDescent="0.25">
      <c r="A191" s="79" t="s">
        <v>339</v>
      </c>
      <c r="B191" s="80"/>
      <c r="C191" s="79" t="s">
        <v>338</v>
      </c>
      <c r="D191" s="131"/>
      <c r="E191" s="131"/>
      <c r="F191" s="131"/>
      <c r="G191" s="131"/>
      <c r="H191" s="80"/>
    </row>
    <row r="192" spans="1:20" ht="15" customHeight="1" x14ac:dyDescent="0.25">
      <c r="A192" s="79">
        <v>5</v>
      </c>
      <c r="B192" s="80"/>
      <c r="C192" s="42" t="s">
        <v>329</v>
      </c>
      <c r="D192" s="69">
        <f>(43.24)*10.764</f>
        <v>465.43536</v>
      </c>
      <c r="E192" s="69">
        <f>((0.3*2.5+2.4*0.6)+2.75*0.75+2.4*1.1)*10.764</f>
        <v>74.19086999999999</v>
      </c>
      <c r="F192" s="42">
        <f t="shared" ref="F192" si="19">D192+E192</f>
        <v>539.62622999999996</v>
      </c>
      <c r="G192" s="42">
        <f>2*2.75</f>
        <v>5.5</v>
      </c>
      <c r="H192" s="42">
        <f t="shared" ref="H192" si="20">F192*(($H$135)+1)+(IF(G192&lt;101,G192,IF(G192&lt;201,G192/2,IF(G192&lt;=301,G192/3,G192/4))))</f>
        <v>814.939345</v>
      </c>
    </row>
    <row r="193" spans="1:8" x14ac:dyDescent="0.25">
      <c r="A193" s="117" t="s">
        <v>341</v>
      </c>
      <c r="B193" s="118"/>
      <c r="C193" s="118"/>
      <c r="D193" s="118"/>
      <c r="E193" s="118"/>
      <c r="F193" s="118"/>
      <c r="G193" s="118"/>
      <c r="H193" s="119"/>
    </row>
    <row r="194" spans="1:8" x14ac:dyDescent="0.25">
      <c r="A194" s="79">
        <v>1</v>
      </c>
      <c r="B194" s="80"/>
      <c r="C194" s="42" t="s">
        <v>328</v>
      </c>
      <c r="D194" s="69">
        <f>(29.91)*10.764</f>
        <v>321.95123999999998</v>
      </c>
      <c r="E194" s="69">
        <f>(2.9*1.2+0.75*(2.75+2.9+2.3))*10.764</f>
        <v>101.63907</v>
      </c>
      <c r="F194" s="42">
        <f t="shared" ref="F194:F199" si="21">D194+E194</f>
        <v>423.59030999999999</v>
      </c>
      <c r="G194" s="69">
        <v>0</v>
      </c>
      <c r="H194" s="42">
        <f t="shared" ref="H194:H199" si="22">F194*(($H$135)+1)+(IF(G194&lt;101,G194,IF(G194&lt;201,G194/2,IF(G194&lt;=301,G194/3,G194/4))))</f>
        <v>635.38546499999995</v>
      </c>
    </row>
    <row r="195" spans="1:8" x14ac:dyDescent="0.25">
      <c r="A195" s="79">
        <f>A194+1</f>
        <v>2</v>
      </c>
      <c r="B195" s="80"/>
      <c r="C195" s="42" t="s">
        <v>328</v>
      </c>
      <c r="D195" s="69">
        <f>(29.55)*10.764</f>
        <v>318.07619999999997</v>
      </c>
      <c r="E195" s="69">
        <f>(2.75*1.2+2.15*0.75)*10.764</f>
        <v>52.878149999999991</v>
      </c>
      <c r="F195" s="42">
        <f t="shared" si="21"/>
        <v>370.95434999999998</v>
      </c>
      <c r="G195" s="69">
        <v>0</v>
      </c>
      <c r="H195" s="42">
        <f t="shared" si="22"/>
        <v>556.43152499999997</v>
      </c>
    </row>
    <row r="196" spans="1:8" x14ac:dyDescent="0.25">
      <c r="A196" s="79">
        <f>A195+1</f>
        <v>3</v>
      </c>
      <c r="B196" s="80"/>
      <c r="C196" s="42" t="s">
        <v>329</v>
      </c>
      <c r="D196" s="69">
        <f>(47.17)*10.764</f>
        <v>507.73787999999996</v>
      </c>
      <c r="E196" s="69">
        <f>(3.35*1.1+2.15*1.1)*10.764</f>
        <v>65.122200000000007</v>
      </c>
      <c r="F196" s="42">
        <f t="shared" si="21"/>
        <v>572.86007999999993</v>
      </c>
      <c r="G196" s="69">
        <f>(2.75*1.75)*10.764</f>
        <v>51.801749999999998</v>
      </c>
      <c r="H196" s="42">
        <f t="shared" si="22"/>
        <v>911.09186999999986</v>
      </c>
    </row>
    <row r="197" spans="1:8" x14ac:dyDescent="0.25">
      <c r="A197" s="79">
        <f>A196+1</f>
        <v>4</v>
      </c>
      <c r="B197" s="80"/>
      <c r="C197" s="42" t="s">
        <v>328</v>
      </c>
      <c r="D197" s="69">
        <f>(30.65)*10.764</f>
        <v>329.91659999999996</v>
      </c>
      <c r="E197" s="69">
        <f>(2.75*1.1+2.15*1.1+0.75*(2.75*2+2.15))*10.764</f>
        <v>119.77641000000001</v>
      </c>
      <c r="F197" s="42">
        <f t="shared" si="21"/>
        <v>449.69300999999996</v>
      </c>
      <c r="G197" s="69">
        <v>0</v>
      </c>
      <c r="H197" s="42">
        <f t="shared" si="22"/>
        <v>674.53951499999994</v>
      </c>
    </row>
    <row r="198" spans="1:8" x14ac:dyDescent="0.25">
      <c r="A198" s="79">
        <f>A197+1</f>
        <v>5</v>
      </c>
      <c r="B198" s="80"/>
      <c r="C198" s="42" t="s">
        <v>328</v>
      </c>
      <c r="D198" s="69">
        <f>(36.49-(2.15*1.1))*10.764</f>
        <v>367.32149999999996</v>
      </c>
      <c r="E198" s="69">
        <f>(2.15*1.1+0.75*(2.75+2.15))*10.764</f>
        <v>65.014560000000003</v>
      </c>
      <c r="F198" s="42">
        <f t="shared" si="21"/>
        <v>432.33605999999997</v>
      </c>
      <c r="G198" s="69">
        <f>(3.35*1.75)*10.764</f>
        <v>63.103949999999998</v>
      </c>
      <c r="H198" s="42">
        <f t="shared" si="22"/>
        <v>711.60803999999985</v>
      </c>
    </row>
    <row r="199" spans="1:8" x14ac:dyDescent="0.25">
      <c r="A199" s="79">
        <f>A198+1</f>
        <v>6</v>
      </c>
      <c r="B199" s="80"/>
      <c r="C199" s="42" t="s">
        <v>329</v>
      </c>
      <c r="D199" s="69">
        <f>(43.24)*10.764</f>
        <v>465.43536</v>
      </c>
      <c r="E199" s="69">
        <f>((0.3*2.5+2.4*0.6)+2.75*0.75+2.4*1.1)*10.764</f>
        <v>74.19086999999999</v>
      </c>
      <c r="F199" s="42">
        <f t="shared" si="21"/>
        <v>539.62622999999996</v>
      </c>
      <c r="G199" s="69">
        <f>(2*2.75)*10.764</f>
        <v>59.201999999999998</v>
      </c>
      <c r="H199" s="42">
        <f t="shared" si="22"/>
        <v>868.641345</v>
      </c>
    </row>
    <row r="200" spans="1:8" x14ac:dyDescent="0.25">
      <c r="A200" s="130" t="s">
        <v>342</v>
      </c>
      <c r="B200" s="130"/>
      <c r="C200" s="130"/>
      <c r="D200" s="130"/>
      <c r="E200" s="130"/>
      <c r="F200" s="130"/>
      <c r="G200" s="130"/>
      <c r="H200" s="130"/>
    </row>
    <row r="201" spans="1:8" x14ac:dyDescent="0.25">
      <c r="A201" s="75">
        <v>1</v>
      </c>
      <c r="B201" s="75"/>
      <c r="C201" s="42" t="s">
        <v>328</v>
      </c>
      <c r="D201" s="69">
        <f>(29.91)*10.764</f>
        <v>321.95123999999998</v>
      </c>
      <c r="E201" s="69">
        <f>(2.9*1.2+0.75*(2.75+2.9+2.3))*10.764</f>
        <v>101.63907</v>
      </c>
      <c r="F201" s="42">
        <f t="shared" ref="F201:F206" si="23">D201+E201</f>
        <v>423.59030999999999</v>
      </c>
      <c r="G201" s="69">
        <v>0</v>
      </c>
      <c r="H201" s="42">
        <f t="shared" ref="H201:H206" si="24">F201*(($H$135)+1)+(IF(G201&lt;101,G201,IF(G201&lt;201,G201/2,IF(G201&lt;=301,G201/3,G201/4))))</f>
        <v>635.38546499999995</v>
      </c>
    </row>
    <row r="202" spans="1:8" x14ac:dyDescent="0.25">
      <c r="A202" s="75">
        <f>A201+1</f>
        <v>2</v>
      </c>
      <c r="B202" s="75"/>
      <c r="C202" s="42" t="s">
        <v>328</v>
      </c>
      <c r="D202" s="69">
        <f>(29.55)*10.764</f>
        <v>318.07619999999997</v>
      </c>
      <c r="E202" s="69">
        <f>(2.75*1.2+2.15*0.75)*10.764</f>
        <v>52.878149999999991</v>
      </c>
      <c r="F202" s="42">
        <f t="shared" si="23"/>
        <v>370.95434999999998</v>
      </c>
      <c r="G202" s="69">
        <v>0</v>
      </c>
      <c r="H202" s="42">
        <f t="shared" si="24"/>
        <v>556.43152499999997</v>
      </c>
    </row>
    <row r="203" spans="1:8" x14ac:dyDescent="0.25">
      <c r="A203" s="75">
        <f>A202+1</f>
        <v>3</v>
      </c>
      <c r="B203" s="75"/>
      <c r="C203" s="42" t="s">
        <v>329</v>
      </c>
      <c r="D203" s="69">
        <f>(47.17)*10.764</f>
        <v>507.73787999999996</v>
      </c>
      <c r="E203" s="69">
        <f>(3.35*1.1+2.15*1.1+0.75*(3.35*2+2.15))*10.764</f>
        <v>136.56824999999998</v>
      </c>
      <c r="F203" s="42">
        <f t="shared" si="23"/>
        <v>644.30612999999994</v>
      </c>
      <c r="G203" s="69">
        <f>(2.75*1.75)*10.764</f>
        <v>51.801749999999998</v>
      </c>
      <c r="H203" s="42">
        <f t="shared" si="24"/>
        <v>1018.2609449999999</v>
      </c>
    </row>
    <row r="204" spans="1:8" x14ac:dyDescent="0.25">
      <c r="A204" s="75">
        <f>A203+1</f>
        <v>4</v>
      </c>
      <c r="B204" s="75"/>
      <c r="C204" s="42" t="s">
        <v>328</v>
      </c>
      <c r="D204" s="69">
        <f>(30.65)*10.764</f>
        <v>329.91659999999996</v>
      </c>
      <c r="E204" s="69">
        <f>(2.75*1.1+2.15*1.1+0.75*(2.75*2+2.15))*10.764</f>
        <v>119.77641000000001</v>
      </c>
      <c r="F204" s="42">
        <f t="shared" si="23"/>
        <v>449.69300999999996</v>
      </c>
      <c r="G204" s="69">
        <v>0</v>
      </c>
      <c r="H204" s="42">
        <f t="shared" si="24"/>
        <v>674.53951499999994</v>
      </c>
    </row>
    <row r="205" spans="1:8" x14ac:dyDescent="0.25">
      <c r="A205" s="75">
        <f>A204+1</f>
        <v>5</v>
      </c>
      <c r="B205" s="75"/>
      <c r="C205" s="42" t="s">
        <v>328</v>
      </c>
      <c r="D205" s="69">
        <f>(36.49-(2.15*1.1))*10.764</f>
        <v>367.32149999999996</v>
      </c>
      <c r="E205" s="69">
        <f>(2.15*1.1+0.75*(2.75+2.15))*10.764</f>
        <v>65.014560000000003</v>
      </c>
      <c r="F205" s="42">
        <f t="shared" si="23"/>
        <v>432.33605999999997</v>
      </c>
      <c r="G205" s="69">
        <f>(3.35*1.75)*10.764</f>
        <v>63.103949999999998</v>
      </c>
      <c r="H205" s="42">
        <f t="shared" si="24"/>
        <v>711.60803999999985</v>
      </c>
    </row>
    <row r="206" spans="1:8" x14ac:dyDescent="0.25">
      <c r="A206" s="79">
        <f>A205+1</f>
        <v>6</v>
      </c>
      <c r="B206" s="80"/>
      <c r="C206" s="42" t="s">
        <v>329</v>
      </c>
      <c r="D206" s="69">
        <f>(43.24)*10.764</f>
        <v>465.43536</v>
      </c>
      <c r="E206" s="69">
        <f>((0.3*2.5+2.4*0.6)+2.75*0.75+2.4*1.1)*10.764</f>
        <v>74.19086999999999</v>
      </c>
      <c r="F206" s="42">
        <f t="shared" si="23"/>
        <v>539.62622999999996</v>
      </c>
      <c r="G206" s="69">
        <f>(2*2.75)*10.764</f>
        <v>59.201999999999998</v>
      </c>
      <c r="H206" s="42">
        <f t="shared" si="24"/>
        <v>868.641345</v>
      </c>
    </row>
    <row r="207" spans="1:8" x14ac:dyDescent="0.25">
      <c r="A207" s="117" t="s">
        <v>343</v>
      </c>
      <c r="B207" s="118"/>
      <c r="C207" s="118"/>
      <c r="D207" s="118"/>
      <c r="E207" s="118"/>
      <c r="F207" s="118"/>
      <c r="G207" s="118"/>
      <c r="H207" s="119"/>
    </row>
    <row r="208" spans="1:8" x14ac:dyDescent="0.25">
      <c r="A208" s="79">
        <v>1</v>
      </c>
      <c r="B208" s="80"/>
      <c r="C208" s="42" t="s">
        <v>328</v>
      </c>
      <c r="D208" s="69">
        <f>(29.91)*10.764</f>
        <v>321.95123999999998</v>
      </c>
      <c r="E208" s="69">
        <f>(2.9*1.2+0.75*(2.9+2.3))*10.764</f>
        <v>79.43831999999999</v>
      </c>
      <c r="F208" s="42">
        <f t="shared" ref="F208:F213" si="25">D208+E208</f>
        <v>401.38955999999996</v>
      </c>
      <c r="G208" s="69">
        <f>(2.75*1.9)*10.764</f>
        <v>56.241899999999994</v>
      </c>
      <c r="H208" s="42">
        <f t="shared" ref="H208:H213" si="26">F208*(($H$135)+1)+(IF(G208&lt;101,G208,IF(G208&lt;201,G208/2,IF(G208&lt;=301,G208/3,G208/4))))</f>
        <v>658.32623999999987</v>
      </c>
    </row>
    <row r="209" spans="1:9" x14ac:dyDescent="0.25">
      <c r="A209" s="79">
        <f>A208+1</f>
        <v>2</v>
      </c>
      <c r="B209" s="80"/>
      <c r="C209" s="42" t="s">
        <v>328</v>
      </c>
      <c r="D209" s="69">
        <f>(29.55)*10.764</f>
        <v>318.07619999999997</v>
      </c>
      <c r="E209" s="69">
        <f>(2.75*1.2+0.75*(2.75+2.15))*10.764</f>
        <v>75.07889999999999</v>
      </c>
      <c r="F209" s="42">
        <f t="shared" si="25"/>
        <v>393.15509999999995</v>
      </c>
      <c r="G209" s="69">
        <f>(2.75*1.9)*10.764</f>
        <v>56.241899999999994</v>
      </c>
      <c r="H209" s="42">
        <f t="shared" si="26"/>
        <v>645.97454999999991</v>
      </c>
    </row>
    <row r="210" spans="1:9" x14ac:dyDescent="0.25">
      <c r="A210" s="79">
        <f>A209+1</f>
        <v>3</v>
      </c>
      <c r="B210" s="80"/>
      <c r="C210" s="42" t="s">
        <v>329</v>
      </c>
      <c r="D210" s="69">
        <f>(47.17)*10.764</f>
        <v>507.73787999999996</v>
      </c>
      <c r="E210" s="69">
        <f>(3.35*1.1+2.15*1.1+0.75*(2.75+3.35+2.15))*10.764</f>
        <v>131.72444999999999</v>
      </c>
      <c r="F210" s="42">
        <f t="shared" si="25"/>
        <v>639.46232999999995</v>
      </c>
      <c r="G210" s="69">
        <f>(3.35*1.75)*10.764</f>
        <v>63.103949999999998</v>
      </c>
      <c r="H210" s="42">
        <f t="shared" si="26"/>
        <v>1022.2974449999999</v>
      </c>
    </row>
    <row r="211" spans="1:9" x14ac:dyDescent="0.25">
      <c r="A211" s="79">
        <f>A210+1</f>
        <v>4</v>
      </c>
      <c r="B211" s="80"/>
      <c r="C211" s="42" t="s">
        <v>328</v>
      </c>
      <c r="D211" s="69">
        <f>(30.65)*10.764</f>
        <v>329.91659999999996</v>
      </c>
      <c r="E211" s="69">
        <f>(2.75*1.1+2.15*1.1+0.75*(2.75+2.15))*10.764</f>
        <v>97.575660000000013</v>
      </c>
      <c r="F211" s="42">
        <f t="shared" si="25"/>
        <v>427.49225999999999</v>
      </c>
      <c r="G211" s="69">
        <f>(2.75*1.75)*10.764</f>
        <v>51.801749999999998</v>
      </c>
      <c r="H211" s="42">
        <f t="shared" si="26"/>
        <v>693.04013999999995</v>
      </c>
    </row>
    <row r="212" spans="1:9" x14ac:dyDescent="0.25">
      <c r="A212" s="79">
        <f>A211+1</f>
        <v>5</v>
      </c>
      <c r="B212" s="80"/>
      <c r="C212" s="79" t="s">
        <v>338</v>
      </c>
      <c r="D212" s="131"/>
      <c r="E212" s="131"/>
      <c r="F212" s="131"/>
      <c r="G212" s="131"/>
      <c r="H212" s="80"/>
    </row>
    <row r="213" spans="1:9" x14ac:dyDescent="0.25">
      <c r="A213" s="79">
        <f>A212+1</f>
        <v>6</v>
      </c>
      <c r="B213" s="80"/>
      <c r="C213" s="42" t="s">
        <v>329</v>
      </c>
      <c r="D213" s="69">
        <f>(48.58-(2.4*1.1))*10.764</f>
        <v>494.49815999999993</v>
      </c>
      <c r="E213" s="69">
        <f>(2.4*1.1+0.75*(2.4+2.75+1.9))*10.764</f>
        <v>85.331609999999998</v>
      </c>
      <c r="F213" s="42">
        <f t="shared" si="25"/>
        <v>579.82976999999994</v>
      </c>
      <c r="G213" s="69">
        <f>(2.75*1.75)*10.764</f>
        <v>51.801749999999998</v>
      </c>
      <c r="H213" s="42">
        <f t="shared" si="26"/>
        <v>921.54640499999994</v>
      </c>
      <c r="I213" s="66">
        <f>2.75*4.5+2.45*3.85+3.6*3.05+2.75*2.75+2.25*1.2+1.2*2.1+1.2*0.6</f>
        <v>46.290000000000006</v>
      </c>
    </row>
    <row r="214" spans="1:9" x14ac:dyDescent="0.25">
      <c r="A214" s="117" t="s">
        <v>344</v>
      </c>
      <c r="B214" s="118"/>
      <c r="C214" s="118"/>
      <c r="D214" s="118"/>
      <c r="E214" s="118"/>
      <c r="F214" s="118"/>
      <c r="G214" s="118"/>
      <c r="H214" s="119"/>
    </row>
    <row r="215" spans="1:9" x14ac:dyDescent="0.25">
      <c r="A215" s="79">
        <v>1</v>
      </c>
      <c r="B215" s="80"/>
      <c r="C215" s="42" t="s">
        <v>328</v>
      </c>
      <c r="D215" s="69">
        <f>(29.91)*10.764</f>
        <v>321.95123999999998</v>
      </c>
      <c r="E215" s="69">
        <f>(2.9*1.2+0.75*(2.75+2.9+2.3))*10.764</f>
        <v>101.63907</v>
      </c>
      <c r="F215" s="42">
        <f t="shared" ref="F215:F220" si="27">D215+E215</f>
        <v>423.59030999999999</v>
      </c>
      <c r="G215" s="69">
        <v>0</v>
      </c>
      <c r="H215" s="42">
        <f t="shared" ref="H215:H220" si="28">F215*(($H$135)+1)+(IF(G215&lt;101,G215,IF(G215&lt;201,G215/2,IF(G215&lt;=301,G215/3,G215/4))))</f>
        <v>635.38546499999995</v>
      </c>
    </row>
    <row r="216" spans="1:9" x14ac:dyDescent="0.25">
      <c r="A216" s="79">
        <f>A215+1</f>
        <v>2</v>
      </c>
      <c r="B216" s="80"/>
      <c r="C216" s="42" t="s">
        <v>328</v>
      </c>
      <c r="D216" s="69">
        <f>(29.55)*10.764</f>
        <v>318.07619999999997</v>
      </c>
      <c r="E216" s="69">
        <f>(2.75*1.2+0.75*(2.75*2+2.15))*10.764</f>
        <v>97.279650000000004</v>
      </c>
      <c r="F216" s="42">
        <f t="shared" si="27"/>
        <v>415.35584999999998</v>
      </c>
      <c r="G216" s="69">
        <v>0</v>
      </c>
      <c r="H216" s="42">
        <f t="shared" si="28"/>
        <v>623.03377499999999</v>
      </c>
    </row>
    <row r="217" spans="1:9" x14ac:dyDescent="0.25">
      <c r="A217" s="79">
        <f>A216+1</f>
        <v>3</v>
      </c>
      <c r="B217" s="80"/>
      <c r="C217" s="42" t="s">
        <v>329</v>
      </c>
      <c r="D217" s="69">
        <f>(47.17)*10.764</f>
        <v>507.73787999999996</v>
      </c>
      <c r="E217" s="69">
        <f>(3.35*1.1+2.15*1.1+0.75*(3.35*2+2.15))*10.764</f>
        <v>136.56824999999998</v>
      </c>
      <c r="F217" s="42">
        <f t="shared" si="27"/>
        <v>644.30612999999994</v>
      </c>
      <c r="G217" s="69">
        <f>(2.75*1.75)*10.764</f>
        <v>51.801749999999998</v>
      </c>
      <c r="H217" s="42">
        <f t="shared" si="28"/>
        <v>1018.2609449999999</v>
      </c>
    </row>
    <row r="218" spans="1:9" x14ac:dyDescent="0.25">
      <c r="A218" s="79">
        <f>A217+1</f>
        <v>4</v>
      </c>
      <c r="B218" s="80"/>
      <c r="C218" s="42" t="s">
        <v>328</v>
      </c>
      <c r="D218" s="69">
        <f>(30.65)*10.764</f>
        <v>329.91659999999996</v>
      </c>
      <c r="E218" s="69">
        <f>(2.75*1.1+2.15*1.1+0.75*(2.75*2+2.15))*10.764</f>
        <v>119.77641000000001</v>
      </c>
      <c r="F218" s="42">
        <f t="shared" si="27"/>
        <v>449.69300999999996</v>
      </c>
      <c r="G218" s="69">
        <v>0</v>
      </c>
      <c r="H218" s="42">
        <f t="shared" si="28"/>
        <v>674.53951499999994</v>
      </c>
    </row>
    <row r="219" spans="1:9" x14ac:dyDescent="0.25">
      <c r="A219" s="79">
        <f>A218+1</f>
        <v>5</v>
      </c>
      <c r="B219" s="80"/>
      <c r="C219" s="42" t="s">
        <v>328</v>
      </c>
      <c r="D219" s="69">
        <f>(36.49-(2.15*1.1))*10.764</f>
        <v>367.32149999999996</v>
      </c>
      <c r="E219" s="69">
        <f>(2.15*1.1+0.75*(2.75+2.15))*10.764</f>
        <v>65.014560000000003</v>
      </c>
      <c r="F219" s="42">
        <f t="shared" si="27"/>
        <v>432.33605999999997</v>
      </c>
      <c r="G219" s="69">
        <f>(3.35*1.75)*10.764</f>
        <v>63.103949999999998</v>
      </c>
      <c r="H219" s="42">
        <f t="shared" si="28"/>
        <v>711.60803999999985</v>
      </c>
    </row>
    <row r="220" spans="1:9" x14ac:dyDescent="0.25">
      <c r="A220" s="79">
        <f>A219+1</f>
        <v>6</v>
      </c>
      <c r="B220" s="80"/>
      <c r="C220" s="42" t="s">
        <v>329</v>
      </c>
      <c r="D220" s="69">
        <f>(48.58-(2.4*1.1))*10.764</f>
        <v>494.49815999999993</v>
      </c>
      <c r="E220" s="69">
        <f>(2.4*1.1+0.75*(2.4+2.75*2))*10.764</f>
        <v>92.193660000000008</v>
      </c>
      <c r="F220" s="42">
        <f t="shared" si="27"/>
        <v>586.69181999999989</v>
      </c>
      <c r="G220" s="69">
        <f>(2*2.75)*10.764</f>
        <v>59.201999999999998</v>
      </c>
      <c r="H220" s="42">
        <f t="shared" si="28"/>
        <v>939.23972999999978</v>
      </c>
    </row>
    <row r="221" spans="1:9" x14ac:dyDescent="0.25">
      <c r="A221" s="117" t="s">
        <v>345</v>
      </c>
      <c r="B221" s="118"/>
      <c r="C221" s="118"/>
      <c r="D221" s="118"/>
      <c r="E221" s="118"/>
      <c r="F221" s="118"/>
      <c r="G221" s="118"/>
      <c r="H221" s="119"/>
    </row>
    <row r="222" spans="1:9" x14ac:dyDescent="0.25">
      <c r="A222" s="79">
        <v>1</v>
      </c>
      <c r="B222" s="80"/>
      <c r="C222" s="42" t="s">
        <v>328</v>
      </c>
      <c r="D222" s="69">
        <f>(29.91)*10.764</f>
        <v>321.95123999999998</v>
      </c>
      <c r="E222" s="69">
        <f>(2.9*1.2+0.75*(2.9+2.3))*10.764</f>
        <v>79.43831999999999</v>
      </c>
      <c r="F222" s="42">
        <f t="shared" ref="F222:F226" si="29">D222+E222</f>
        <v>401.38955999999996</v>
      </c>
      <c r="G222" s="69">
        <f>(2.75*1.75)*10.764</f>
        <v>51.801749999999998</v>
      </c>
      <c r="H222" s="42">
        <f t="shared" ref="H222:H226" si="30">F222*(($H$135)+1)+(IF(G222&lt;101,G222,IF(G222&lt;201,G222/2,IF(G222&lt;=301,G222/3,G222/4))))</f>
        <v>653.88608999999985</v>
      </c>
    </row>
    <row r="223" spans="1:9" x14ac:dyDescent="0.25">
      <c r="A223" s="79">
        <f>A222+1</f>
        <v>2</v>
      </c>
      <c r="B223" s="80"/>
      <c r="C223" s="42" t="s">
        <v>328</v>
      </c>
      <c r="D223" s="69">
        <f>(29.55)*10.764</f>
        <v>318.07619999999997</v>
      </c>
      <c r="E223" s="69">
        <f>(2.75*1.2+0.75*(2.75+2.15))*10.764</f>
        <v>75.07889999999999</v>
      </c>
      <c r="F223" s="42">
        <f t="shared" si="29"/>
        <v>393.15509999999995</v>
      </c>
      <c r="G223" s="69">
        <f>(2.75*1.75)*10.764</f>
        <v>51.801749999999998</v>
      </c>
      <c r="H223" s="42">
        <f t="shared" si="30"/>
        <v>641.53439999999989</v>
      </c>
    </row>
    <row r="224" spans="1:9" x14ac:dyDescent="0.25">
      <c r="A224" s="79">
        <f>A223+1</f>
        <v>3</v>
      </c>
      <c r="B224" s="80"/>
      <c r="C224" s="42" t="s">
        <v>329</v>
      </c>
      <c r="D224" s="69">
        <f>(47.17)*10.764</f>
        <v>507.73787999999996</v>
      </c>
      <c r="E224" s="69">
        <f>(3.35*1.1+2.15*1.1+0.75*(2.75+3.35+2.15))*10.764</f>
        <v>131.72444999999999</v>
      </c>
      <c r="F224" s="42">
        <f t="shared" si="29"/>
        <v>639.46232999999995</v>
      </c>
      <c r="G224" s="69">
        <f>(3.35*1.75)*10.764</f>
        <v>63.103949999999998</v>
      </c>
      <c r="H224" s="42">
        <f t="shared" si="30"/>
        <v>1022.2974449999999</v>
      </c>
    </row>
    <row r="225" spans="1:9" x14ac:dyDescent="0.25">
      <c r="A225" s="79">
        <f>A224+1</f>
        <v>4</v>
      </c>
      <c r="B225" s="80"/>
      <c r="C225" s="42" t="s">
        <v>328</v>
      </c>
      <c r="D225" s="69">
        <f>(30.65)*10.764</f>
        <v>329.91659999999996</v>
      </c>
      <c r="E225" s="69">
        <f>(2.75*1.1+2.15*1.1+0.75*(2.75+2.15))*10.764</f>
        <v>97.575660000000013</v>
      </c>
      <c r="F225" s="42">
        <f t="shared" si="29"/>
        <v>427.49225999999999</v>
      </c>
      <c r="G225" s="69">
        <f>(2.75*1.75)*10.764</f>
        <v>51.801749999999998</v>
      </c>
      <c r="H225" s="42">
        <f t="shared" si="30"/>
        <v>693.04013999999995</v>
      </c>
    </row>
    <row r="226" spans="1:9" x14ac:dyDescent="0.25">
      <c r="A226" s="79">
        <f>A225+1</f>
        <v>5</v>
      </c>
      <c r="B226" s="80"/>
      <c r="C226" s="42" t="s">
        <v>328</v>
      </c>
      <c r="D226" s="69">
        <f>(36.49-(2.15*1.1))*10.764</f>
        <v>367.32149999999996</v>
      </c>
      <c r="E226" s="69">
        <f>(2.15*1.1+0.75*(2.75+3.35))*10.764</f>
        <v>74.702159999999992</v>
      </c>
      <c r="F226" s="42">
        <f t="shared" si="29"/>
        <v>442.02365999999995</v>
      </c>
      <c r="G226" s="69">
        <f>(2.75*1.75)*10.764</f>
        <v>51.801749999999998</v>
      </c>
      <c r="H226" s="42">
        <f t="shared" si="30"/>
        <v>714.83723999999995</v>
      </c>
    </row>
    <row r="227" spans="1:9" x14ac:dyDescent="0.25">
      <c r="A227" s="79">
        <f>A226+1</f>
        <v>6</v>
      </c>
      <c r="B227" s="80"/>
      <c r="C227" s="42" t="s">
        <v>329</v>
      </c>
      <c r="D227" s="69">
        <f>(48.58-(2.4*1.1))*10.764</f>
        <v>494.49815999999993</v>
      </c>
      <c r="E227" s="69">
        <f>(2.4*1.1+0.75*(2.4+2.75+1.9))*10.764</f>
        <v>85.331609999999998</v>
      </c>
      <c r="F227" s="42">
        <f t="shared" ref="F227" si="31">D227+E227</f>
        <v>579.82976999999994</v>
      </c>
      <c r="G227" s="69">
        <f>(2.75*1.75)*10.764</f>
        <v>51.801749999999998</v>
      </c>
      <c r="H227" s="42">
        <f t="shared" ref="H227" si="32">F227*(($H$135)+1)+(IF(G227&lt;101,G227,IF(G227&lt;201,G227/2,IF(G227&lt;=301,G227/3,G227/4))))</f>
        <v>921.54640499999994</v>
      </c>
    </row>
    <row r="228" spans="1:9" x14ac:dyDescent="0.25">
      <c r="A228" s="203" t="s">
        <v>346</v>
      </c>
      <c r="B228" s="204"/>
      <c r="C228" s="204"/>
      <c r="D228" s="204"/>
      <c r="E228" s="204"/>
      <c r="F228" s="204"/>
      <c r="G228" s="204"/>
      <c r="H228" s="205"/>
    </row>
    <row r="229" spans="1:9" x14ac:dyDescent="0.25">
      <c r="A229" s="79">
        <v>1</v>
      </c>
      <c r="B229" s="80"/>
      <c r="C229" s="42" t="s">
        <v>328</v>
      </c>
      <c r="D229" s="69">
        <f>(29.91)*10.764</f>
        <v>321.95123999999998</v>
      </c>
      <c r="E229" s="69">
        <f>(2.9*1.2+0.75*(2.75+2.9+2.3))*10.764</f>
        <v>101.63907</v>
      </c>
      <c r="F229" s="42">
        <f t="shared" ref="F229:F234" si="33">D229+E229</f>
        <v>423.59030999999999</v>
      </c>
      <c r="G229" s="69">
        <v>0</v>
      </c>
      <c r="H229" s="42">
        <f t="shared" ref="H229:H234" si="34">F229*(($H$135)+1)+(IF(G229&lt;101,G229,IF(G229&lt;201,G229/2,IF(G229&lt;=301,G229/3,G229/4))))</f>
        <v>635.38546499999995</v>
      </c>
    </row>
    <row r="230" spans="1:9" x14ac:dyDescent="0.25">
      <c r="A230" s="79">
        <f>A229+1</f>
        <v>2</v>
      </c>
      <c r="B230" s="80"/>
      <c r="C230" s="42" t="s">
        <v>328</v>
      </c>
      <c r="D230" s="69">
        <f>(29.55)*10.764</f>
        <v>318.07619999999997</v>
      </c>
      <c r="E230" s="69">
        <f>(2.75*1.2+0.75*(2.75*2+2.15))*10.764</f>
        <v>97.279650000000004</v>
      </c>
      <c r="F230" s="42">
        <f t="shared" si="33"/>
        <v>415.35584999999998</v>
      </c>
      <c r="G230" s="69">
        <v>0</v>
      </c>
      <c r="H230" s="42">
        <f t="shared" si="34"/>
        <v>623.03377499999999</v>
      </c>
    </row>
    <row r="231" spans="1:9" x14ac:dyDescent="0.25">
      <c r="A231" s="79">
        <f>A230+1</f>
        <v>3</v>
      </c>
      <c r="B231" s="80"/>
      <c r="C231" s="42" t="s">
        <v>329</v>
      </c>
      <c r="D231" s="69">
        <f>(47.17)*10.764</f>
        <v>507.73787999999996</v>
      </c>
      <c r="E231" s="69">
        <f>(3.35*1.1+2.15*1.1+0.75*(3.35*2+2.15))*10.764</f>
        <v>136.56824999999998</v>
      </c>
      <c r="F231" s="42">
        <f t="shared" si="33"/>
        <v>644.30612999999994</v>
      </c>
      <c r="G231" s="69">
        <f>(2.75*1.75)*10.764</f>
        <v>51.801749999999998</v>
      </c>
      <c r="H231" s="42">
        <f t="shared" si="34"/>
        <v>1018.2609449999999</v>
      </c>
    </row>
    <row r="232" spans="1:9" x14ac:dyDescent="0.25">
      <c r="A232" s="79">
        <f>A231+1</f>
        <v>4</v>
      </c>
      <c r="B232" s="80"/>
      <c r="C232" s="42" t="s">
        <v>328</v>
      </c>
      <c r="D232" s="69">
        <f>(30.65)*10.764</f>
        <v>329.91659999999996</v>
      </c>
      <c r="E232" s="69">
        <f>(2.75*1.1+2.15*1.1+0.75*(2.75*2+2.15))*10.764</f>
        <v>119.77641000000001</v>
      </c>
      <c r="F232" s="42">
        <f t="shared" si="33"/>
        <v>449.69300999999996</v>
      </c>
      <c r="G232" s="69">
        <v>0</v>
      </c>
      <c r="H232" s="42">
        <f t="shared" si="34"/>
        <v>674.53951499999994</v>
      </c>
    </row>
    <row r="233" spans="1:9" x14ac:dyDescent="0.25">
      <c r="A233" s="79" t="s">
        <v>339</v>
      </c>
      <c r="B233" s="80"/>
      <c r="C233" s="79" t="s">
        <v>349</v>
      </c>
      <c r="D233" s="131"/>
      <c r="E233" s="131"/>
      <c r="F233" s="131"/>
      <c r="G233" s="131"/>
      <c r="H233" s="80"/>
    </row>
    <row r="234" spans="1:9" x14ac:dyDescent="0.25">
      <c r="A234" s="79">
        <v>5</v>
      </c>
      <c r="B234" s="80"/>
      <c r="C234" s="42" t="s">
        <v>328</v>
      </c>
      <c r="D234" s="69">
        <f>(37.29-(2.4*1.1))*10.764</f>
        <v>372.97259999999994</v>
      </c>
      <c r="E234" s="69">
        <f>(2.4*1.1+0.75*(2.4+2.75*2))*10.764</f>
        <v>92.193660000000008</v>
      </c>
      <c r="F234" s="42">
        <f t="shared" si="33"/>
        <v>465.16625999999997</v>
      </c>
      <c r="G234" s="69">
        <f>(3.6*3.05+1.9*0.9)*10.764</f>
        <v>136.59515999999999</v>
      </c>
      <c r="H234" s="42">
        <f t="shared" si="34"/>
        <v>766.04696999999999</v>
      </c>
      <c r="I234" s="67">
        <f>2.75*4.5+2.4*3.85+2.75*2.75+2.25*1.2+1.2*2.1+1.2*1.2+1.2*0.5</f>
        <v>36.4375</v>
      </c>
    </row>
    <row r="235" spans="1:9" x14ac:dyDescent="0.25">
      <c r="A235" s="117" t="s">
        <v>350</v>
      </c>
      <c r="B235" s="118"/>
      <c r="C235" s="118"/>
      <c r="D235" s="118"/>
      <c r="E235" s="118"/>
      <c r="F235" s="118"/>
      <c r="G235" s="118"/>
      <c r="H235" s="119"/>
      <c r="I235" s="22" t="s">
        <v>351</v>
      </c>
    </row>
    <row r="236" spans="1:9" x14ac:dyDescent="0.25">
      <c r="A236" s="79">
        <v>1</v>
      </c>
      <c r="B236" s="80"/>
      <c r="C236" s="42" t="s">
        <v>328</v>
      </c>
      <c r="D236" s="69">
        <f>(29.91)*10.764</f>
        <v>321.95123999999998</v>
      </c>
      <c r="E236" s="69">
        <f>(2.9*1.2+0.75*(2.9+2.3))*10.764</f>
        <v>79.43831999999999</v>
      </c>
      <c r="F236" s="42">
        <f t="shared" ref="F236:F241" si="35">D236+E236</f>
        <v>401.38955999999996</v>
      </c>
      <c r="G236" s="69">
        <f>(2.75*1.75)*10.764</f>
        <v>51.801749999999998</v>
      </c>
      <c r="H236" s="42">
        <f t="shared" ref="H236:H241" si="36">F236*(($H$135)+1)+(IF(G236&lt;101,G236,IF(G236&lt;201,G236/2,IF(G236&lt;=301,G236/3,G236/4))))</f>
        <v>653.88608999999985</v>
      </c>
    </row>
    <row r="237" spans="1:9" x14ac:dyDescent="0.25">
      <c r="A237" s="79">
        <f>A236+1</f>
        <v>2</v>
      </c>
      <c r="B237" s="80"/>
      <c r="C237" s="42" t="s">
        <v>328</v>
      </c>
      <c r="D237" s="69">
        <f>(29.55)*10.764</f>
        <v>318.07619999999997</v>
      </c>
      <c r="E237" s="69">
        <f>(2.75*1.2+0.75*(2.75+2.15))*10.764</f>
        <v>75.07889999999999</v>
      </c>
      <c r="F237" s="42">
        <f t="shared" si="35"/>
        <v>393.15509999999995</v>
      </c>
      <c r="G237" s="69">
        <f>(2.75*1.75)*10.764</f>
        <v>51.801749999999998</v>
      </c>
      <c r="H237" s="42">
        <f t="shared" si="36"/>
        <v>641.53439999999989</v>
      </c>
    </row>
    <row r="238" spans="1:9" x14ac:dyDescent="0.25">
      <c r="A238" s="79">
        <f>A237+1</f>
        <v>3</v>
      </c>
      <c r="B238" s="80"/>
      <c r="C238" s="42" t="s">
        <v>329</v>
      </c>
      <c r="D238" s="69">
        <f>(47.17)*10.764</f>
        <v>507.73787999999996</v>
      </c>
      <c r="E238" s="69">
        <f>(3.35*1.1+2.15*1.1+0.75*(2.75+3.35+2.15))*10.764</f>
        <v>131.72444999999999</v>
      </c>
      <c r="F238" s="42">
        <f t="shared" si="35"/>
        <v>639.46232999999995</v>
      </c>
      <c r="G238" s="69">
        <f>(3.35*1.75)*10.764</f>
        <v>63.103949999999998</v>
      </c>
      <c r="H238" s="42">
        <f t="shared" si="36"/>
        <v>1022.2974449999999</v>
      </c>
    </row>
    <row r="239" spans="1:9" x14ac:dyDescent="0.25">
      <c r="A239" s="79">
        <f>A238+1</f>
        <v>4</v>
      </c>
      <c r="B239" s="80"/>
      <c r="C239" s="42" t="s">
        <v>328</v>
      </c>
      <c r="D239" s="69">
        <f>(30.65)*10.764</f>
        <v>329.91659999999996</v>
      </c>
      <c r="E239" s="69">
        <f>(2.75*1.1+2.15*1.1+0.75*(2.75+2.15))*10.764</f>
        <v>97.575660000000013</v>
      </c>
      <c r="F239" s="42">
        <f t="shared" si="35"/>
        <v>427.49225999999999</v>
      </c>
      <c r="G239" s="69">
        <f>(2.75*1.75)*10.764</f>
        <v>51.801749999999998</v>
      </c>
      <c r="H239" s="42">
        <f t="shared" si="36"/>
        <v>693.04013999999995</v>
      </c>
    </row>
    <row r="240" spans="1:9" x14ac:dyDescent="0.25">
      <c r="A240" s="79">
        <f>A239+1</f>
        <v>5</v>
      </c>
      <c r="B240" s="80"/>
      <c r="C240" s="42" t="s">
        <v>328</v>
      </c>
      <c r="D240" s="69">
        <f>(36.49-(2.15*1.1))*10.764</f>
        <v>367.32149999999996</v>
      </c>
      <c r="E240" s="69">
        <f>(2.15*1.1+0.75*(2.15+3.35))*10.764</f>
        <v>69.858360000000005</v>
      </c>
      <c r="F240" s="42">
        <f t="shared" si="35"/>
        <v>437.17985999999996</v>
      </c>
      <c r="G240" s="69">
        <f>(2.75*1.75)*10.764</f>
        <v>51.801749999999998</v>
      </c>
      <c r="H240" s="42">
        <f t="shared" si="36"/>
        <v>707.57153999999991</v>
      </c>
    </row>
    <row r="241" spans="1:8" x14ac:dyDescent="0.25">
      <c r="A241" s="79">
        <f>A240+1</f>
        <v>6</v>
      </c>
      <c r="B241" s="80"/>
      <c r="C241" s="42" t="s">
        <v>328</v>
      </c>
      <c r="D241" s="69">
        <f>(37.29-(2.4*1.1))*10.764</f>
        <v>372.97259999999994</v>
      </c>
      <c r="E241" s="69">
        <f>(2.4*1.1+0.75*(2.4+2.75))*10.764</f>
        <v>69.992909999999995</v>
      </c>
      <c r="F241" s="42">
        <f t="shared" si="35"/>
        <v>442.96550999999994</v>
      </c>
      <c r="G241" s="69">
        <f>(2.75*1.75)*10.764</f>
        <v>51.801749999999998</v>
      </c>
      <c r="H241" s="42">
        <f t="shared" si="36"/>
        <v>716.25001499999985</v>
      </c>
    </row>
    <row r="242" spans="1:8" x14ac:dyDescent="0.25">
      <c r="A242" s="75"/>
      <c r="B242" s="75"/>
      <c r="C242" s="75"/>
      <c r="D242" s="75"/>
      <c r="E242" s="75"/>
      <c r="F242" s="75"/>
      <c r="G242" s="75"/>
      <c r="H242" s="75"/>
    </row>
    <row r="243" spans="1:8" x14ac:dyDescent="0.25">
      <c r="A243" s="142" t="s">
        <v>65</v>
      </c>
      <c r="B243" s="142"/>
      <c r="C243" s="142"/>
      <c r="D243" s="142"/>
      <c r="E243" s="142"/>
      <c r="F243" s="142"/>
      <c r="G243" s="142"/>
      <c r="H243" s="142"/>
    </row>
    <row r="244" spans="1:8" x14ac:dyDescent="0.25">
      <c r="A244" s="70" t="s">
        <v>152</v>
      </c>
      <c r="B244" s="141" t="s">
        <v>361</v>
      </c>
      <c r="C244" s="141"/>
      <c r="D244" s="141"/>
      <c r="E244" s="141"/>
      <c r="F244" s="141"/>
      <c r="G244" s="141"/>
      <c r="H244" s="141"/>
    </row>
    <row r="245" spans="1:8" x14ac:dyDescent="0.25">
      <c r="A245" s="70" t="s">
        <v>152</v>
      </c>
      <c r="B245" s="141" t="str">
        <f>(IF(H134="Saleable area Loading :","We have considered Saleable area of Flats as per our Calculation.","We considered Saleable area of Flat as per Builder area Sheet."))</f>
        <v>We have considered Saleable area of Flats as per our Calculation.</v>
      </c>
      <c r="C245" s="141"/>
      <c r="D245" s="141"/>
      <c r="E245" s="141"/>
      <c r="F245" s="141"/>
      <c r="G245" s="141"/>
      <c r="H245" s="141"/>
    </row>
    <row r="246" spans="1:8" hidden="1" x14ac:dyDescent="0.25">
      <c r="A246" s="70" t="s">
        <v>152</v>
      </c>
      <c r="B246" s="141" t="str">
        <f>(IF(H126="Saleable area Loading :","We have considered Saleable area of Commercial as per our Calculation.","We considered Saleable area of Commercial as per Builder area Sheet."))</f>
        <v>We have considered Saleable area of Commercial as per our Calculation.</v>
      </c>
      <c r="C246" s="141"/>
      <c r="D246" s="141"/>
      <c r="E246" s="141"/>
      <c r="F246" s="141"/>
      <c r="G246" s="141"/>
      <c r="H246" s="141"/>
    </row>
    <row r="247" spans="1:8" x14ac:dyDescent="0.25">
      <c r="A247" s="70" t="s">
        <v>152</v>
      </c>
      <c r="B247" s="129" t="s">
        <v>122</v>
      </c>
      <c r="C247" s="129"/>
      <c r="D247" s="129"/>
      <c r="E247" s="129"/>
      <c r="F247" s="129"/>
      <c r="G247" s="129"/>
      <c r="H247" s="129"/>
    </row>
    <row r="248" spans="1:8" x14ac:dyDescent="0.25">
      <c r="A248" s="70" t="s">
        <v>152</v>
      </c>
      <c r="B248" s="129" t="s">
        <v>347</v>
      </c>
      <c r="C248" s="129"/>
      <c r="D248" s="129"/>
      <c r="E248" s="129"/>
      <c r="F248" s="129"/>
      <c r="G248" s="129"/>
      <c r="H248" s="129"/>
    </row>
    <row r="249" spans="1:8" x14ac:dyDescent="0.25">
      <c r="A249" s="70" t="s">
        <v>152</v>
      </c>
      <c r="B249" s="129" t="s">
        <v>151</v>
      </c>
      <c r="C249" s="129"/>
      <c r="D249" s="129"/>
      <c r="E249" s="129"/>
      <c r="F249" s="129"/>
      <c r="G249" s="129"/>
      <c r="H249" s="129"/>
    </row>
    <row r="250" spans="1:8" x14ac:dyDescent="0.25">
      <c r="A250" s="70" t="s">
        <v>152</v>
      </c>
      <c r="B250" s="129" t="s">
        <v>123</v>
      </c>
      <c r="C250" s="129"/>
      <c r="D250" s="129"/>
      <c r="E250" s="129"/>
      <c r="F250" s="129"/>
      <c r="G250" s="129"/>
      <c r="H250" s="129"/>
    </row>
    <row r="251" spans="1:8" ht="36" hidden="1" customHeight="1" x14ac:dyDescent="0.25">
      <c r="A251" s="70" t="s">
        <v>152</v>
      </c>
      <c r="B251" s="129" t="s">
        <v>153</v>
      </c>
      <c r="C251" s="129"/>
      <c r="D251" s="129"/>
      <c r="E251" s="129"/>
      <c r="F251" s="129"/>
      <c r="G251" s="129"/>
      <c r="H251" s="129"/>
    </row>
    <row r="252" spans="1:8" x14ac:dyDescent="0.25">
      <c r="A252" s="70" t="s">
        <v>152</v>
      </c>
      <c r="B252" s="129" t="s">
        <v>124</v>
      </c>
      <c r="C252" s="129"/>
      <c r="D252" s="129"/>
      <c r="E252" s="129"/>
      <c r="F252" s="129"/>
      <c r="G252" s="129"/>
      <c r="H252" s="129"/>
    </row>
    <row r="253" spans="1:8" ht="32.25" customHeight="1" x14ac:dyDescent="0.25">
      <c r="A253" s="46" t="s">
        <v>152</v>
      </c>
      <c r="B253" s="206" t="s">
        <v>360</v>
      </c>
      <c r="C253" s="207"/>
      <c r="D253" s="207"/>
      <c r="E253" s="207"/>
      <c r="F253" s="207"/>
      <c r="G253" s="207"/>
      <c r="H253" s="208"/>
    </row>
    <row r="254" spans="1:8" hidden="1" x14ac:dyDescent="0.25">
      <c r="A254" s="46" t="s">
        <v>152</v>
      </c>
      <c r="B254" s="120" t="s">
        <v>177</v>
      </c>
      <c r="C254" s="121"/>
      <c r="D254" s="121"/>
      <c r="E254" s="121"/>
      <c r="F254" s="121"/>
      <c r="G254" s="121"/>
      <c r="H254" s="122"/>
    </row>
    <row r="255" spans="1:8" hidden="1" x14ac:dyDescent="0.25">
      <c r="A255" s="46" t="s">
        <v>152</v>
      </c>
      <c r="B255" s="120" t="s">
        <v>232</v>
      </c>
      <c r="C255" s="121"/>
      <c r="D255" s="121"/>
      <c r="E255" s="121"/>
      <c r="F255" s="121"/>
      <c r="G255" s="121"/>
      <c r="H255" s="122"/>
    </row>
    <row r="256" spans="1:8" x14ac:dyDescent="0.25">
      <c r="A256" s="102" t="s">
        <v>58</v>
      </c>
      <c r="B256" s="102"/>
      <c r="C256" s="102"/>
      <c r="D256" s="102"/>
      <c r="E256" s="102"/>
      <c r="F256" s="102"/>
      <c r="G256" s="102"/>
      <c r="H256" s="102"/>
    </row>
    <row r="257" spans="1:8" x14ac:dyDescent="0.25">
      <c r="A257" s="78" t="s">
        <v>59</v>
      </c>
      <c r="B257" s="78"/>
      <c r="C257" s="78"/>
      <c r="D257" s="78"/>
      <c r="E257" s="78"/>
      <c r="F257" s="78"/>
      <c r="G257" s="78"/>
      <c r="H257" s="78"/>
    </row>
    <row r="258" spans="1:8" x14ac:dyDescent="0.25">
      <c r="A258" s="148" t="s">
        <v>60</v>
      </c>
      <c r="B258" s="148"/>
      <c r="C258" s="148"/>
      <c r="D258" s="148"/>
      <c r="E258" s="148"/>
      <c r="F258" s="148"/>
      <c r="G258" s="148"/>
      <c r="H258" s="148"/>
    </row>
    <row r="259" spans="1:8" x14ac:dyDescent="0.25">
      <c r="A259" s="78" t="s">
        <v>61</v>
      </c>
      <c r="B259" s="78"/>
      <c r="C259" s="78"/>
      <c r="D259" s="78"/>
      <c r="E259" s="78"/>
      <c r="F259" s="78"/>
      <c r="G259" s="78"/>
      <c r="H259" s="78"/>
    </row>
    <row r="260" spans="1:8" x14ac:dyDescent="0.25">
      <c r="A260" s="78" t="s">
        <v>62</v>
      </c>
      <c r="B260" s="78"/>
      <c r="C260" s="78"/>
      <c r="D260" s="78"/>
      <c r="E260" s="78"/>
      <c r="F260" s="78"/>
      <c r="G260" s="78"/>
      <c r="H260" s="78"/>
    </row>
    <row r="261" spans="1:8" x14ac:dyDescent="0.25">
      <c r="A261" s="78" t="s">
        <v>125</v>
      </c>
      <c r="B261" s="78"/>
      <c r="C261" s="78"/>
      <c r="D261" s="78"/>
      <c r="E261" s="78"/>
      <c r="F261" s="78"/>
      <c r="G261" s="78"/>
      <c r="H261" s="78"/>
    </row>
    <row r="262" spans="1:8" x14ac:dyDescent="0.25">
      <c r="A262" s="87" t="s">
        <v>126</v>
      </c>
      <c r="B262" s="87"/>
      <c r="C262" s="87"/>
      <c r="D262" s="87"/>
      <c r="E262" s="87"/>
      <c r="F262" s="87"/>
      <c r="G262" s="87"/>
      <c r="H262" s="87"/>
    </row>
    <row r="263" spans="1:8" x14ac:dyDescent="0.25">
      <c r="A263" s="145" t="s">
        <v>74</v>
      </c>
      <c r="B263" s="145"/>
      <c r="C263" s="145" t="s">
        <v>363</v>
      </c>
      <c r="D263" s="145"/>
      <c r="E263" s="145" t="s">
        <v>103</v>
      </c>
      <c r="F263" s="145"/>
      <c r="G263" s="145" t="s">
        <v>362</v>
      </c>
      <c r="H263" s="145"/>
    </row>
    <row r="264" spans="1:8" x14ac:dyDescent="0.25">
      <c r="A264" s="144" t="s">
        <v>76</v>
      </c>
      <c r="B264" s="144"/>
      <c r="C264" s="144"/>
      <c r="D264" s="144"/>
      <c r="E264" s="144"/>
      <c r="F264" s="144"/>
      <c r="G264" s="144"/>
      <c r="H264" s="144"/>
    </row>
    <row r="265" spans="1:8" x14ac:dyDescent="0.25">
      <c r="A265" s="144"/>
      <c r="B265" s="144"/>
      <c r="C265" s="144"/>
      <c r="D265" s="144"/>
      <c r="E265" s="144"/>
      <c r="F265" s="144"/>
      <c r="G265" s="144"/>
      <c r="H265" s="144"/>
    </row>
    <row r="266" spans="1:8" x14ac:dyDescent="0.25">
      <c r="A266" s="144"/>
      <c r="B266" s="144"/>
      <c r="C266" s="144"/>
      <c r="D266" s="144"/>
      <c r="E266" s="144"/>
      <c r="F266" s="144"/>
      <c r="G266" s="144"/>
      <c r="H266" s="144"/>
    </row>
    <row r="267" spans="1:8" x14ac:dyDescent="0.25">
      <c r="A267" s="144"/>
      <c r="B267" s="144"/>
      <c r="C267" s="144"/>
      <c r="D267" s="144"/>
      <c r="E267" s="144"/>
      <c r="F267" s="144"/>
      <c r="G267" s="144"/>
      <c r="H267" s="144"/>
    </row>
    <row r="268" spans="1:8" x14ac:dyDescent="0.25">
      <c r="A268" s="38" t="s">
        <v>63</v>
      </c>
      <c r="B268" s="39"/>
      <c r="C268" s="39"/>
      <c r="D268" s="38" t="str">
        <f>E9</f>
        <v>Amar Elegance</v>
      </c>
      <c r="F268" s="39"/>
      <c r="G268" s="39"/>
      <c r="H268" s="39"/>
    </row>
    <row r="269" spans="1:8" x14ac:dyDescent="0.25">
      <c r="A269" s="39"/>
      <c r="B269" s="39"/>
      <c r="C269" s="39"/>
      <c r="D269" s="39"/>
      <c r="E269" s="39"/>
      <c r="F269" s="39"/>
      <c r="G269" s="39"/>
      <c r="H269" s="39"/>
    </row>
    <row r="270" spans="1:8" x14ac:dyDescent="0.25">
      <c r="A270" s="39"/>
      <c r="B270" s="39"/>
      <c r="C270" s="39"/>
      <c r="D270" s="39"/>
      <c r="E270" s="39"/>
      <c r="F270" s="39"/>
      <c r="G270" s="39"/>
      <c r="H270" s="39"/>
    </row>
    <row r="310" spans="1:1" x14ac:dyDescent="0.25">
      <c r="A310" s="41" t="s">
        <v>163</v>
      </c>
    </row>
    <row r="352" spans="1:1" x14ac:dyDescent="0.25">
      <c r="A352" s="41" t="s">
        <v>64</v>
      </c>
    </row>
  </sheetData>
  <mergeCells count="419">
    <mergeCell ref="B253:H253"/>
    <mergeCell ref="I11:L11"/>
    <mergeCell ref="A213:B213"/>
    <mergeCell ref="A241:B241"/>
    <mergeCell ref="A231:B231"/>
    <mergeCell ref="A232:B232"/>
    <mergeCell ref="A233:B233"/>
    <mergeCell ref="A234:B234"/>
    <mergeCell ref="C233:H233"/>
    <mergeCell ref="A235:H235"/>
    <mergeCell ref="A236:B236"/>
    <mergeCell ref="A237:B237"/>
    <mergeCell ref="A238:B238"/>
    <mergeCell ref="A210:B210"/>
    <mergeCell ref="A211:B211"/>
    <mergeCell ref="A212:B212"/>
    <mergeCell ref="C212:H212"/>
    <mergeCell ref="A201:B201"/>
    <mergeCell ref="A202:B202"/>
    <mergeCell ref="A203:B203"/>
    <mergeCell ref="A204:B204"/>
    <mergeCell ref="A205:B205"/>
    <mergeCell ref="A206:B206"/>
    <mergeCell ref="A207:H207"/>
    <mergeCell ref="A208:B208"/>
    <mergeCell ref="A242:H242"/>
    <mergeCell ref="A214:H214"/>
    <mergeCell ref="A215:B215"/>
    <mergeCell ref="A216:B216"/>
    <mergeCell ref="A217:B217"/>
    <mergeCell ref="A218:B218"/>
    <mergeCell ref="A219:B219"/>
    <mergeCell ref="A220:B220"/>
    <mergeCell ref="A221:H221"/>
    <mergeCell ref="A222:B222"/>
    <mergeCell ref="A223:B223"/>
    <mergeCell ref="A224:B224"/>
    <mergeCell ref="A225:B225"/>
    <mergeCell ref="A226:B226"/>
    <mergeCell ref="A227:B227"/>
    <mergeCell ref="A228:H228"/>
    <mergeCell ref="A229:B229"/>
    <mergeCell ref="A230:B230"/>
    <mergeCell ref="A239:B239"/>
    <mergeCell ref="A240:B240"/>
    <mergeCell ref="A209:B209"/>
    <mergeCell ref="A192:B192"/>
    <mergeCell ref="A193:H193"/>
    <mergeCell ref="A194:B194"/>
    <mergeCell ref="A195:B195"/>
    <mergeCell ref="A196:B196"/>
    <mergeCell ref="A197:B197"/>
    <mergeCell ref="A198:B198"/>
    <mergeCell ref="A199:B199"/>
    <mergeCell ref="A200:H200"/>
    <mergeCell ref="A183:B183"/>
    <mergeCell ref="C184:H184"/>
    <mergeCell ref="A186:H186"/>
    <mergeCell ref="A187:B187"/>
    <mergeCell ref="A188:B188"/>
    <mergeCell ref="A189:B189"/>
    <mergeCell ref="A190:B190"/>
    <mergeCell ref="A191:B191"/>
    <mergeCell ref="C191:H191"/>
    <mergeCell ref="A170:B170"/>
    <mergeCell ref="A171:B171"/>
    <mergeCell ref="A179:H179"/>
    <mergeCell ref="A172:H172"/>
    <mergeCell ref="A173:B173"/>
    <mergeCell ref="A174:B174"/>
    <mergeCell ref="A175:B175"/>
    <mergeCell ref="A176:B176"/>
    <mergeCell ref="A177:B177"/>
    <mergeCell ref="A178:B178"/>
    <mergeCell ref="A156:B156"/>
    <mergeCell ref="A157:B157"/>
    <mergeCell ref="A158:H158"/>
    <mergeCell ref="A163:B163"/>
    <mergeCell ref="A165:H165"/>
    <mergeCell ref="A166:B166"/>
    <mergeCell ref="A167:B167"/>
    <mergeCell ref="A168:B168"/>
    <mergeCell ref="A169:B169"/>
    <mergeCell ref="A106:E106"/>
    <mergeCell ref="A100:B100"/>
    <mergeCell ref="A122:B122"/>
    <mergeCell ref="E122:F122"/>
    <mergeCell ref="A111:E111"/>
    <mergeCell ref="G122:H122"/>
    <mergeCell ref="C117:D117"/>
    <mergeCell ref="E117:F117"/>
    <mergeCell ref="G117:H117"/>
    <mergeCell ref="A118:B118"/>
    <mergeCell ref="C118:D118"/>
    <mergeCell ref="E118:F118"/>
    <mergeCell ref="G118:H118"/>
    <mergeCell ref="F107:H107"/>
    <mergeCell ref="A109:E109"/>
    <mergeCell ref="F104:H104"/>
    <mergeCell ref="A108:E108"/>
    <mergeCell ref="E91:F100"/>
    <mergeCell ref="A98:B98"/>
    <mergeCell ref="A99:B99"/>
    <mergeCell ref="A95:B95"/>
    <mergeCell ref="A96:B96"/>
    <mergeCell ref="A97:B97"/>
    <mergeCell ref="F102:H102"/>
    <mergeCell ref="L141:M141"/>
    <mergeCell ref="A149:B149"/>
    <mergeCell ref="A146:B146"/>
    <mergeCell ref="A147:B147"/>
    <mergeCell ref="A164:B164"/>
    <mergeCell ref="A40:B40"/>
    <mergeCell ref="C40:H40"/>
    <mergeCell ref="F126:F127"/>
    <mergeCell ref="C116:D116"/>
    <mergeCell ref="E116:F116"/>
    <mergeCell ref="B126:B127"/>
    <mergeCell ref="A126:A127"/>
    <mergeCell ref="C134:C135"/>
    <mergeCell ref="G134:G135"/>
    <mergeCell ref="L140:M140"/>
    <mergeCell ref="L137:M137"/>
    <mergeCell ref="A139:B139"/>
    <mergeCell ref="G123:H123"/>
    <mergeCell ref="L138:M138"/>
    <mergeCell ref="A140:B140"/>
    <mergeCell ref="L139:M139"/>
    <mergeCell ref="C55:H55"/>
    <mergeCell ref="A141:B141"/>
    <mergeCell ref="A76:B76"/>
    <mergeCell ref="C39:H39"/>
    <mergeCell ref="A46:D46"/>
    <mergeCell ref="L132:M132"/>
    <mergeCell ref="L131:M131"/>
    <mergeCell ref="L130:M130"/>
    <mergeCell ref="L129:M129"/>
    <mergeCell ref="A84:B84"/>
    <mergeCell ref="C121:D121"/>
    <mergeCell ref="E121:F121"/>
    <mergeCell ref="G121:H121"/>
    <mergeCell ref="A102:E102"/>
    <mergeCell ref="A128:H128"/>
    <mergeCell ref="E126:E127"/>
    <mergeCell ref="A91:B91"/>
    <mergeCell ref="A47:D47"/>
    <mergeCell ref="A48:H48"/>
    <mergeCell ref="D64:H64"/>
    <mergeCell ref="A64:C64"/>
    <mergeCell ref="A83:B83"/>
    <mergeCell ref="C89:H89"/>
    <mergeCell ref="A45:D45"/>
    <mergeCell ref="A49:B49"/>
    <mergeCell ref="A94:B94"/>
    <mergeCell ref="F103:H103"/>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C49:H49"/>
    <mergeCell ref="F37:H37"/>
    <mergeCell ref="C52:E52"/>
    <mergeCell ref="A65:C65"/>
    <mergeCell ref="D65:H65"/>
    <mergeCell ref="C51:E51"/>
    <mergeCell ref="A39:B39"/>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79:B79"/>
    <mergeCell ref="A260:H260"/>
    <mergeCell ref="A256:H256"/>
    <mergeCell ref="G120:H120"/>
    <mergeCell ref="A162:B162"/>
    <mergeCell ref="C126:C127"/>
    <mergeCell ref="B134:B135"/>
    <mergeCell ref="A257:H257"/>
    <mergeCell ref="A75:B75"/>
    <mergeCell ref="A73:B73"/>
    <mergeCell ref="C73:H73"/>
    <mergeCell ref="A81:B81"/>
    <mergeCell ref="A89:B89"/>
    <mergeCell ref="A103:E103"/>
    <mergeCell ref="D126:D127"/>
    <mergeCell ref="A105:E105"/>
    <mergeCell ref="A104:E104"/>
    <mergeCell ref="A101:E101"/>
    <mergeCell ref="F105:H105"/>
    <mergeCell ref="G126:G127"/>
    <mergeCell ref="F101:H101"/>
    <mergeCell ref="F106:H106"/>
    <mergeCell ref="E120:F120"/>
    <mergeCell ref="A124:H124"/>
    <mergeCell ref="B255:H255"/>
    <mergeCell ref="A264:H267"/>
    <mergeCell ref="A263:B263"/>
    <mergeCell ref="E263:F263"/>
    <mergeCell ref="C263:D263"/>
    <mergeCell ref="G263:H263"/>
    <mergeCell ref="A114:H114"/>
    <mergeCell ref="A112:E112"/>
    <mergeCell ref="F112:H112"/>
    <mergeCell ref="A113:E113"/>
    <mergeCell ref="F113:H113"/>
    <mergeCell ref="A144:H144"/>
    <mergeCell ref="A121:B121"/>
    <mergeCell ref="A160:B160"/>
    <mergeCell ref="A116:B116"/>
    <mergeCell ref="A259:H259"/>
    <mergeCell ref="A119:H119"/>
    <mergeCell ref="A262:H262"/>
    <mergeCell ref="A261:H261"/>
    <mergeCell ref="A258:H258"/>
    <mergeCell ref="A145:B145"/>
    <mergeCell ref="A120:B120"/>
    <mergeCell ref="D134:D135"/>
    <mergeCell ref="E134:E135"/>
    <mergeCell ref="G116:H116"/>
    <mergeCell ref="A90:B90"/>
    <mergeCell ref="G91:H100"/>
    <mergeCell ref="A92:B92"/>
    <mergeCell ref="A93:B93"/>
    <mergeCell ref="C123:D123"/>
    <mergeCell ref="E123:F123"/>
    <mergeCell ref="B250:H250"/>
    <mergeCell ref="B246:H246"/>
    <mergeCell ref="A184:B184"/>
    <mergeCell ref="A185:B185"/>
    <mergeCell ref="B244:H244"/>
    <mergeCell ref="B245:H245"/>
    <mergeCell ref="B247:H247"/>
    <mergeCell ref="B248:H248"/>
    <mergeCell ref="A243:H243"/>
    <mergeCell ref="A181:B181"/>
    <mergeCell ref="A182:B182"/>
    <mergeCell ref="B249:H249"/>
    <mergeCell ref="A153:B153"/>
    <mergeCell ref="A154:B154"/>
    <mergeCell ref="E90:F90"/>
    <mergeCell ref="G90:H90"/>
    <mergeCell ref="A107:E107"/>
    <mergeCell ref="F108:H108"/>
    <mergeCell ref="C115:D115"/>
    <mergeCell ref="C122:D122"/>
    <mergeCell ref="A136:H136"/>
    <mergeCell ref="A161:B161"/>
    <mergeCell ref="A129:B129"/>
    <mergeCell ref="B254:H254"/>
    <mergeCell ref="A123:B123"/>
    <mergeCell ref="A137:H137"/>
    <mergeCell ref="A142:B142"/>
    <mergeCell ref="A143:B143"/>
    <mergeCell ref="A134:A135"/>
    <mergeCell ref="F134:F135"/>
    <mergeCell ref="B251:H251"/>
    <mergeCell ref="A180:B180"/>
    <mergeCell ref="A148:B148"/>
    <mergeCell ref="A150:B150"/>
    <mergeCell ref="A151:H151"/>
    <mergeCell ref="A152:B152"/>
    <mergeCell ref="A138:B138"/>
    <mergeCell ref="A132:B132"/>
    <mergeCell ref="A131:B131"/>
    <mergeCell ref="A133:H133"/>
    <mergeCell ref="A155:B155"/>
    <mergeCell ref="B252:H252"/>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11:H111"/>
    <mergeCell ref="F109:H109"/>
    <mergeCell ref="A159:B159"/>
    <mergeCell ref="A125:H125"/>
    <mergeCell ref="G115:H115"/>
    <mergeCell ref="A110:E110"/>
    <mergeCell ref="A130:B130"/>
    <mergeCell ref="A60:B60"/>
    <mergeCell ref="C60:E60"/>
    <mergeCell ref="D62:H62"/>
    <mergeCell ref="F110:H110"/>
    <mergeCell ref="E115:F115"/>
    <mergeCell ref="A115:B115"/>
    <mergeCell ref="A117:B117"/>
    <mergeCell ref="C120:D120"/>
    <mergeCell ref="D70:H70"/>
    <mergeCell ref="A71:C71"/>
    <mergeCell ref="E43:H43"/>
    <mergeCell ref="A43:D43"/>
    <mergeCell ref="A87:B87"/>
    <mergeCell ref="C87:H87"/>
    <mergeCell ref="A82:B82"/>
    <mergeCell ref="A50:B50"/>
  </mergeCells>
  <dataValidations count="14">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6:E127" xr:uid="{00000000-0002-0000-0000-000003000000}">
      <formula1>"Attached Loft area,Attached Otla area,Attached Mezzanine area"</formula1>
    </dataValidation>
    <dataValidation type="list" allowBlank="1" showInputMessage="1" showErrorMessage="1" sqref="F101:H101" xr:uid="{00000000-0002-0000-0000-000005000000}">
      <formula1>"On Saleable Area,On Builtup Area,On Carpet Area,On Plot Area"</formula1>
    </dataValidation>
    <dataValidation type="list" allowBlank="1" showInputMessage="1" showErrorMessage="1" sqref="B126:B127" xr:uid="{00000000-0002-0000-0000-000006000000}">
      <formula1>"Shop No. (Sale Plan),Sale / Rehab,Sale / Mhada"</formula1>
    </dataValidation>
    <dataValidation type="list" allowBlank="1" showInputMessage="1" showErrorMessage="1" sqref="B134:B135"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34:E135" xr:uid="{00000000-0002-0000-0000-00000A000000}">
      <formula1>"Fungible area,C.B + Balcony Area,Chajja Area,Cornice Area,AP Area,WS Area"</formula1>
    </dataValidation>
    <dataValidation type="list" allowBlank="1" showInputMessage="1" showErrorMessage="1" sqref="H127 H135"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xr:uid="{00000000-0002-0000-0000-00000E000000}">
      <formula1>0</formula1>
      <formula2>H74</formula2>
    </dataValidation>
  </dataValidations>
  <hyperlinks>
    <hyperlink ref="C40" r:id="rId1" xr:uid="{00000000-0004-0000-0000-000000000000}"/>
    <hyperlink ref="I69"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2" max="16383" man="1"/>
    <brk id="267" max="7" man="1"/>
    <brk id="309" max="7" man="1"/>
    <brk id="351"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31" zoomScale="85" zoomScaleNormal="85" workbookViewId="0">
      <selection activeCell="B15" sqref="B15"/>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09" t="s">
        <v>104</v>
      </c>
      <c r="C3" s="209"/>
      <c r="D3" s="209"/>
      <c r="E3" s="209"/>
      <c r="F3" s="209"/>
      <c r="G3" s="209"/>
      <c r="H3" s="209"/>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178</v>
      </c>
      <c r="E4" s="54" t="s">
        <v>188</v>
      </c>
      <c r="F4" s="54" t="s">
        <v>172</v>
      </c>
      <c r="G4" s="54" t="s">
        <v>193</v>
      </c>
      <c r="H4" s="54" t="s">
        <v>211</v>
      </c>
      <c r="J4" t="s">
        <v>193</v>
      </c>
      <c r="K4" t="s">
        <v>209</v>
      </c>
    </row>
    <row r="5" spans="2:11" x14ac:dyDescent="0.25">
      <c r="B5" s="53"/>
      <c r="C5" s="53"/>
      <c r="D5" s="54" t="s">
        <v>179</v>
      </c>
      <c r="E5" s="54" t="s">
        <v>186</v>
      </c>
      <c r="F5" s="54" t="s">
        <v>208</v>
      </c>
      <c r="G5" s="54" t="s">
        <v>194</v>
      </c>
      <c r="H5" s="54" t="s">
        <v>212</v>
      </c>
    </row>
    <row r="6" spans="2:11" x14ac:dyDescent="0.25">
      <c r="B6" s="53"/>
      <c r="C6" s="53"/>
      <c r="D6" s="54" t="s">
        <v>180</v>
      </c>
      <c r="E6" s="54" t="s">
        <v>187</v>
      </c>
      <c r="F6" s="54" t="s">
        <v>209</v>
      </c>
      <c r="G6" s="54" t="s">
        <v>195</v>
      </c>
      <c r="H6" s="54" t="s">
        <v>225</v>
      </c>
    </row>
    <row r="7" spans="2:11" x14ac:dyDescent="0.25">
      <c r="B7" s="53"/>
      <c r="C7" s="53"/>
      <c r="D7" s="54" t="s">
        <v>181</v>
      </c>
      <c r="E7" s="54" t="s">
        <v>189</v>
      </c>
      <c r="F7" s="54" t="s">
        <v>210</v>
      </c>
      <c r="G7" s="54" t="s">
        <v>196</v>
      </c>
      <c r="H7" s="54" t="s">
        <v>213</v>
      </c>
    </row>
    <row r="8" spans="2:11" x14ac:dyDescent="0.25">
      <c r="B8" s="53"/>
      <c r="C8" s="53"/>
      <c r="D8" s="54" t="s">
        <v>182</v>
      </c>
      <c r="E8" s="54" t="s">
        <v>190</v>
      </c>
      <c r="F8" s="54"/>
      <c r="G8" s="54" t="s">
        <v>197</v>
      </c>
      <c r="H8" s="54" t="s">
        <v>214</v>
      </c>
    </row>
    <row r="9" spans="2:11" x14ac:dyDescent="0.25">
      <c r="B9" s="53"/>
      <c r="C9" s="53"/>
      <c r="D9" s="54" t="s">
        <v>183</v>
      </c>
      <c r="E9" s="54" t="s">
        <v>188</v>
      </c>
      <c r="F9" s="54"/>
      <c r="G9" s="54" t="s">
        <v>198</v>
      </c>
      <c r="H9" s="54" t="s">
        <v>215</v>
      </c>
    </row>
    <row r="10" spans="2:11" x14ac:dyDescent="0.25">
      <c r="B10" s="53"/>
      <c r="C10" s="53"/>
      <c r="D10" s="54" t="s">
        <v>184</v>
      </c>
      <c r="E10" s="54" t="s">
        <v>191</v>
      </c>
      <c r="F10" s="54"/>
      <c r="G10" s="54" t="s">
        <v>199</v>
      </c>
      <c r="H10" s="54" t="s">
        <v>216</v>
      </c>
    </row>
    <row r="11" spans="2:11" x14ac:dyDescent="0.25">
      <c r="B11" s="53"/>
      <c r="C11" s="53"/>
      <c r="D11" s="54" t="s">
        <v>185</v>
      </c>
      <c r="E11" s="54" t="s">
        <v>192</v>
      </c>
      <c r="F11" s="54"/>
      <c r="G11" s="54" t="s">
        <v>200</v>
      </c>
      <c r="H11" s="54" t="s">
        <v>217</v>
      </c>
    </row>
    <row r="12" spans="2:11" x14ac:dyDescent="0.25">
      <c r="B12" s="53"/>
      <c r="C12" s="53"/>
      <c r="D12" s="54"/>
      <c r="E12" s="54"/>
      <c r="F12" s="54"/>
      <c r="G12" s="54" t="s">
        <v>201</v>
      </c>
      <c r="H12" s="54" t="s">
        <v>218</v>
      </c>
    </row>
    <row r="13" spans="2:11" x14ac:dyDescent="0.25">
      <c r="B13" s="53"/>
      <c r="C13" s="53"/>
      <c r="D13" s="54"/>
      <c r="E13" s="54"/>
      <c r="F13" s="54"/>
      <c r="G13" s="54" t="s">
        <v>202</v>
      </c>
      <c r="H13" s="54" t="s">
        <v>219</v>
      </c>
    </row>
    <row r="14" spans="2:11" x14ac:dyDescent="0.25">
      <c r="B14" s="53"/>
      <c r="C14" s="53"/>
      <c r="D14" s="54"/>
      <c r="E14" s="54"/>
      <c r="F14" s="54"/>
      <c r="G14" s="54" t="s">
        <v>203</v>
      </c>
      <c r="H14" s="54" t="s">
        <v>220</v>
      </c>
    </row>
    <row r="15" spans="2:11" x14ac:dyDescent="0.25">
      <c r="B15" s="53"/>
      <c r="C15" s="53"/>
      <c r="D15" s="54"/>
      <c r="E15" s="54"/>
      <c r="F15" s="54"/>
      <c r="G15" s="54" t="s">
        <v>204</v>
      </c>
      <c r="H15" s="54" t="s">
        <v>221</v>
      </c>
    </row>
    <row r="16" spans="2:11" x14ac:dyDescent="0.25">
      <c r="B16" s="53"/>
      <c r="C16" s="53"/>
      <c r="D16" s="54"/>
      <c r="E16" s="54"/>
      <c r="F16" s="54"/>
      <c r="G16" s="54" t="s">
        <v>205</v>
      </c>
      <c r="H16" s="54" t="s">
        <v>222</v>
      </c>
    </row>
    <row r="17" spans="2:8" x14ac:dyDescent="0.25">
      <c r="B17" s="53"/>
      <c r="C17" s="53"/>
      <c r="D17" s="54"/>
      <c r="E17" s="54"/>
      <c r="F17" s="54"/>
      <c r="G17" s="54" t="s">
        <v>206</v>
      </c>
      <c r="H17" s="54" t="s">
        <v>223</v>
      </c>
    </row>
    <row r="18" spans="2:8" x14ac:dyDescent="0.25">
      <c r="B18" s="53"/>
      <c r="C18" s="53"/>
      <c r="D18" s="54"/>
      <c r="E18" s="54"/>
      <c r="F18" s="54"/>
      <c r="G18" s="54" t="s">
        <v>207</v>
      </c>
      <c r="H18" s="54"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7" t="s">
        <v>236</v>
      </c>
      <c r="D34" s="54" t="s">
        <v>234</v>
      </c>
      <c r="E34" s="54" t="s">
        <v>239</v>
      </c>
      <c r="F34" s="54" t="s">
        <v>237</v>
      </c>
      <c r="G34" s="54" t="s">
        <v>238</v>
      </c>
      <c r="H34" s="54" t="s">
        <v>240</v>
      </c>
      <c r="J34" t="s">
        <v>193</v>
      </c>
      <c r="K34" t="s">
        <v>209</v>
      </c>
    </row>
    <row r="35" spans="3:11" x14ac:dyDescent="0.25">
      <c r="C35" s="53" t="s">
        <v>235</v>
      </c>
      <c r="D35" s="54" t="s">
        <v>170</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8">
        <v>1</v>
      </c>
      <c r="C2" s="60" t="s">
        <v>284</v>
      </c>
    </row>
    <row r="3" spans="2:3" x14ac:dyDescent="0.25">
      <c r="B3" s="58">
        <v>2</v>
      </c>
      <c r="C3" s="59" t="s">
        <v>285</v>
      </c>
    </row>
    <row r="4" spans="2:3" x14ac:dyDescent="0.25">
      <c r="B4" s="58">
        <v>3</v>
      </c>
      <c r="C4" s="58" t="s">
        <v>286</v>
      </c>
    </row>
    <row r="5" spans="2:3" ht="30" x14ac:dyDescent="0.25">
      <c r="B5" s="58">
        <v>4</v>
      </c>
      <c r="C5" s="59" t="s">
        <v>287</v>
      </c>
    </row>
    <row r="6" spans="2:3" x14ac:dyDescent="0.25">
      <c r="B6" s="58">
        <v>5</v>
      </c>
      <c r="C6" s="58" t="s">
        <v>288</v>
      </c>
    </row>
    <row r="7" spans="2:3" ht="30" x14ac:dyDescent="0.25">
      <c r="B7" s="58">
        <v>6</v>
      </c>
      <c r="C7" s="59" t="s">
        <v>289</v>
      </c>
    </row>
    <row r="8" spans="2:3" ht="90" x14ac:dyDescent="0.25">
      <c r="B8" s="58">
        <v>7</v>
      </c>
      <c r="C8" s="59" t="s">
        <v>290</v>
      </c>
    </row>
    <row r="9" spans="2:3" x14ac:dyDescent="0.25">
      <c r="B9" s="58">
        <v>8</v>
      </c>
      <c r="C9" s="58" t="s">
        <v>291</v>
      </c>
    </row>
    <row r="10" spans="2:3" x14ac:dyDescent="0.25">
      <c r="B10" s="58">
        <v>9</v>
      </c>
      <c r="C10" s="58" t="s">
        <v>292</v>
      </c>
    </row>
    <row r="11" spans="2:3" x14ac:dyDescent="0.25">
      <c r="B11" s="58">
        <v>10</v>
      </c>
      <c r="C11" s="58" t="s">
        <v>293</v>
      </c>
    </row>
    <row r="12" spans="2:3" x14ac:dyDescent="0.25">
      <c r="B12" s="58">
        <v>11</v>
      </c>
      <c r="C12" s="58" t="s">
        <v>294</v>
      </c>
    </row>
    <row r="13" spans="2:3" x14ac:dyDescent="0.25">
      <c r="B13" s="58">
        <v>12</v>
      </c>
      <c r="C13" s="58" t="s">
        <v>295</v>
      </c>
    </row>
    <row r="14" spans="2:3" x14ac:dyDescent="0.25">
      <c r="B14" s="58">
        <v>13</v>
      </c>
      <c r="C14" s="58" t="s">
        <v>296</v>
      </c>
    </row>
    <row r="15" spans="2:3" x14ac:dyDescent="0.25">
      <c r="B15" s="58">
        <v>14</v>
      </c>
      <c r="C15" s="58"/>
    </row>
    <row r="16" spans="2:3" x14ac:dyDescent="0.25">
      <c r="B16" s="58">
        <v>15</v>
      </c>
      <c r="C16" s="5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2025-07-09T13:31:50Z</cp:lastPrinted>
  <dcterms:created xsi:type="dcterms:W3CDTF">2019-07-16T09:29:46Z</dcterms:created>
  <dcterms:modified xsi:type="dcterms:W3CDTF">2025-07-09T13:38:43Z</dcterms:modified>
</cp:coreProperties>
</file>