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July 25\Dump\"/>
    </mc:Choice>
  </mc:AlternateContent>
  <xr:revisionPtr revIDLastSave="0" documentId="13_ncr:1_{81B2833B-1F2C-4CFB-A05A-4C50180C15AE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8" i="1" l="1"/>
  <c r="I116" i="1" l="1"/>
  <c r="D117" i="1"/>
  <c r="D116" i="1"/>
  <c r="E123" i="1"/>
  <c r="E120" i="1"/>
  <c r="D126" i="1"/>
  <c r="F126" i="1" s="1"/>
  <c r="D125" i="1"/>
  <c r="F125" i="1" s="1"/>
  <c r="D124" i="1"/>
  <c r="D123" i="1"/>
  <c r="D122" i="1"/>
  <c r="D121" i="1"/>
  <c r="D120" i="1"/>
  <c r="D119" i="1"/>
  <c r="D135" i="1"/>
  <c r="F135" i="1" s="1"/>
  <c r="O135" i="1" s="1"/>
  <c r="D134" i="1"/>
  <c r="F134" i="1" s="1"/>
  <c r="O134" i="1" s="1"/>
  <c r="D133" i="1"/>
  <c r="F133" i="1" s="1"/>
  <c r="O133" i="1" s="1"/>
  <c r="D132" i="1"/>
  <c r="D131" i="1"/>
  <c r="D130" i="1"/>
  <c r="D129" i="1"/>
  <c r="D128" i="1"/>
  <c r="D143" i="1"/>
  <c r="F143" i="1" s="1"/>
  <c r="D142" i="1"/>
  <c r="F142" i="1" s="1"/>
  <c r="D141" i="1"/>
  <c r="F141" i="1" s="1"/>
  <c r="D140" i="1"/>
  <c r="F140" i="1" s="1"/>
  <c r="D139" i="1"/>
  <c r="F139" i="1" s="1"/>
  <c r="D138" i="1"/>
  <c r="F138" i="1" s="1"/>
  <c r="D137" i="1"/>
  <c r="F137" i="1" s="1"/>
  <c r="A138" i="1"/>
  <c r="A139" i="1" s="1"/>
  <c r="A140" i="1" s="1"/>
  <c r="A141" i="1" s="1"/>
  <c r="A142" i="1" s="1"/>
  <c r="A143" i="1" s="1"/>
  <c r="G137" i="1"/>
  <c r="A129" i="1"/>
  <c r="A130" i="1" s="1"/>
  <c r="A131" i="1" s="1"/>
  <c r="A132" i="1" s="1"/>
  <c r="A133" i="1" s="1"/>
  <c r="A134" i="1" s="1"/>
  <c r="A135" i="1" s="1"/>
  <c r="D110" i="1"/>
  <c r="D109" i="1"/>
  <c r="D108" i="1"/>
  <c r="I119" i="1"/>
  <c r="F124" i="1"/>
  <c r="E95" i="1" l="1"/>
  <c r="E98" i="1"/>
  <c r="E99" i="1" s="1"/>
  <c r="C98" i="1"/>
  <c r="C95" i="1"/>
  <c r="D59" i="1"/>
  <c r="B146" i="1"/>
  <c r="C65" i="1"/>
  <c r="B66" i="1" s="1"/>
  <c r="E24" i="1"/>
  <c r="C99" i="1" l="1"/>
  <c r="E26" i="1"/>
  <c r="C14" i="1"/>
  <c r="E42" i="1" l="1"/>
  <c r="E43" i="1" s="1"/>
  <c r="F116" i="1" l="1"/>
  <c r="F117" i="1"/>
  <c r="A117" i="1"/>
  <c r="J116" i="1" l="1"/>
  <c r="K116" i="1"/>
  <c r="F92" i="1"/>
  <c r="F109" i="1" l="1"/>
  <c r="F110" i="1"/>
  <c r="F108" i="1"/>
  <c r="G95" i="1" l="1"/>
  <c r="F132" i="1"/>
  <c r="O132" i="1" s="1"/>
  <c r="F131" i="1"/>
  <c r="O131" i="1" s="1"/>
  <c r="F130" i="1"/>
  <c r="O130" i="1" s="1"/>
  <c r="F129" i="1"/>
  <c r="F128" i="1"/>
  <c r="F123" i="1"/>
  <c r="F122" i="1"/>
  <c r="F120" i="1"/>
  <c r="F119" i="1"/>
  <c r="F121" i="1"/>
  <c r="L116" i="1" s="1"/>
  <c r="J118" i="1" l="1"/>
  <c r="G98" i="1"/>
  <c r="G99" i="1" s="1"/>
  <c r="L118" i="1"/>
  <c r="O128" i="1"/>
  <c r="O129" i="1"/>
  <c r="J117" i="1"/>
  <c r="L117" i="1"/>
  <c r="K117" i="1"/>
  <c r="K118" i="1" s="1"/>
  <c r="B147" i="1"/>
  <c r="L119" i="1" l="1"/>
  <c r="J119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7" i="1"/>
  <c r="G128" i="1"/>
  <c r="G119" i="1"/>
  <c r="A120" i="1"/>
  <c r="A121" i="1" s="1"/>
  <c r="A122" i="1" s="1"/>
  <c r="A123" i="1" s="1"/>
  <c r="A124" i="1" s="1"/>
  <c r="A125" i="1" s="1"/>
  <c r="A126" i="1" s="1"/>
  <c r="A109" i="1"/>
  <c r="A110" i="1" s="1"/>
  <c r="G108" i="1"/>
  <c r="E7" i="1"/>
  <c r="E3" i="1"/>
  <c r="H66" i="1"/>
  <c r="D78" i="1" l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3" i="1" l="1"/>
  <c r="J74" i="1" s="1"/>
  <c r="J75" i="1" s="1"/>
  <c r="J76" i="1" s="1"/>
  <c r="D71" i="1"/>
  <c r="J67" i="1"/>
  <c r="D69" i="1"/>
  <c r="J78" i="1" l="1"/>
  <c r="C70" i="1" l="1"/>
  <c r="G69" i="1" s="1"/>
  <c r="D63" i="1" s="1"/>
  <c r="D64" i="1" s="1"/>
  <c r="J66" i="1" l="1"/>
  <c r="D70" i="1"/>
  <c r="I66" i="1" s="1"/>
  <c r="I67" i="1" s="1"/>
  <c r="E69" i="1"/>
  <c r="F64" i="1"/>
  <c r="I65" i="1" l="1"/>
  <c r="C67" i="1" s="1"/>
</calcChain>
</file>

<file path=xl/sharedStrings.xml><?xml version="1.0" encoding="utf-8"?>
<sst xmlns="http://schemas.openxmlformats.org/spreadsheetml/2006/main" count="303" uniqueCount="235">
  <si>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</si>
  <si>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</si>
  <si>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</si>
  <si>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</si>
  <si>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</si>
  <si>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</si>
  <si>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</si>
  <si>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</si>
  <si>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</si>
  <si>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</si>
  <si>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</si>
  <si>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</si>
  <si>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</si>
  <si>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</si>
  <si>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</si>
  <si>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</si>
  <si>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</si>
  <si>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</si>
  <si>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</si>
  <si>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</si>
  <si>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</si>
  <si>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</si>
  <si>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</si>
  <si>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</si>
  <si>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</si>
  <si>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</si>
  <si>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</si>
  <si>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</si>
  <si>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</si>
  <si>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</si>
  <si>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</si>
  <si>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</si>
  <si>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</si>
  <si>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</si>
  <si>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</si>
  <si>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</si>
  <si>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</si>
  <si>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</si>
  <si>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</si>
  <si>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</si>
  <si>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</si>
  <si>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</si>
  <si>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</si>
  <si>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</si>
  <si>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</si>
  <si>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</si>
  <si>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</si>
  <si>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</si>
  <si>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</si>
  <si>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</si>
  <si>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</si>
  <si>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</si>
  <si>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</si>
  <si>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</si>
  <si>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</si>
  <si>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</si>
  <si>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</si>
  <si>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</si>
  <si>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</si>
  <si>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</si>
  <si>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</si>
  <si>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</si>
  <si>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</si>
  <si>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</si>
  <si>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</si>
  <si>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</si>
  <si>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</si>
  <si>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</si>
  <si>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</si>
  <si>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</si>
  <si>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</si>
  <si>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</si>
  <si>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</si>
  <si>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</si>
  <si>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</si>
  <si>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</si>
  <si>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</si>
  <si>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</si>
  <si>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</si>
  <si>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</si>
  <si>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</si>
  <si>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</si>
  <si>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</si>
  <si>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</si>
  <si>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</si>
  <si>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</si>
  <si>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</si>
  <si>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</si>
  <si>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</si>
  <si>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</si>
  <si>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</si>
  <si>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</si>
  <si>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</si>
  <si>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</si>
  <si>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</si>
  <si>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</si>
  <si>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</si>
  <si>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</si>
  <si>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</si>
  <si>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</si>
  <si>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</si>
  <si>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</si>
  <si>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</si>
  <si>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</si>
  <si>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</si>
  <si>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</si>
  <si>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</si>
  <si>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</si>
  <si>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</si>
  <si>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</si>
  <si>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</si>
  <si>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</si>
  <si>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</si>
  <si>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</si>
  <si>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</si>
  <si>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</si>
  <si>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</si>
  <si>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</si>
  <si>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</si>
  <si>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</si>
  <si>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</si>
  <si>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</si>
  <si>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</si>
  <si>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</si>
  <si>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</si>
  <si>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</si>
  <si>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</si>
  <si>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</si>
  <si>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</si>
  <si>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</si>
  <si>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</si>
  <si>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</si>
  <si>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</si>
  <si>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</si>
  <si>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</si>
  <si>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</si>
  <si>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</si>
  <si>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</si>
  <si>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</si>
  <si>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</si>
  <si>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</si>
  <si>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</si>
  <si>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</si>
  <si>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</si>
  <si>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</si>
  <si>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</si>
  <si>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</si>
  <si>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</si>
  <si>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</si>
  <si>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</si>
  <si>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</si>
  <si>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</si>
  <si>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</si>
  <si>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</si>
  <si>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</si>
  <si>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</si>
  <si>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</si>
  <si>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</si>
  <si>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</si>
  <si>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</si>
  <si>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</si>
  <si>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</si>
  <si>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</si>
  <si>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</si>
  <si>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</si>
  <si>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</si>
  <si>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</si>
  <si>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</si>
  <si>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</si>
  <si>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</si>
  <si>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</si>
  <si>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</si>
  <si>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</si>
  <si>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</si>
  <si>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</si>
  <si>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Kaneri Heights</t>
  </si>
  <si>
    <t>Shekhar Bhoir And Others</t>
  </si>
  <si>
    <t>9860020444/9158933444</t>
  </si>
  <si>
    <t>P99000031728</t>
  </si>
  <si>
    <t>Palghar</t>
  </si>
  <si>
    <t>Vasai</t>
  </si>
  <si>
    <t>Juchandra</t>
  </si>
  <si>
    <t>Building No.14</t>
  </si>
  <si>
    <t>Survey No</t>
  </si>
  <si>
    <t>2.1 KM from Naigaon Railway Station</t>
  </si>
  <si>
    <t>Naigaon</t>
  </si>
  <si>
    <t>317, H.No.5/1, 5/2, 6A, 6B, 6C, 6D</t>
  </si>
  <si>
    <t>https://goo.gl/maps/onAsZ1338xZBxd8i8</t>
  </si>
  <si>
    <t>Naigaon East Vasai Link Road</t>
  </si>
  <si>
    <t>Sai Enclave</t>
  </si>
  <si>
    <t>Open Plot</t>
  </si>
  <si>
    <t>Navkar City - Phase 2</t>
  </si>
  <si>
    <t>19.358209, 72.857051</t>
  </si>
  <si>
    <t>Approved Plans, CC</t>
  </si>
  <si>
    <t>Tirupati Udyog Nagar</t>
  </si>
  <si>
    <t>Vasai Virar City Municipal Corporation (VVCMC)</t>
  </si>
  <si>
    <t>VVCMC/TP/CC/VP/0429.. etc/ 154/2021-22</t>
  </si>
  <si>
    <t>VVCMC/TP/AMEND/VP/0429.. etc/ 332/2021-22</t>
  </si>
  <si>
    <t>VVCMC/TP/RDP/VP-0429.. etc/ 332/2021-22</t>
  </si>
  <si>
    <t>Building No.14 = G + 1st to 23rd Floor</t>
  </si>
  <si>
    <t>As per RERA - 30/09/2026</t>
  </si>
  <si>
    <t>Navnath Bhatkar</t>
  </si>
  <si>
    <t>Ground + 1st Floor For Commercial</t>
  </si>
  <si>
    <t>1st Floor For Part Commercial &amp; Part Residential</t>
  </si>
  <si>
    <t>1st Floor For Part Residential</t>
  </si>
  <si>
    <t>1BHK</t>
  </si>
  <si>
    <t>2nd Floor For Residential</t>
  </si>
  <si>
    <t>2BHK</t>
  </si>
  <si>
    <t>8th, 12th, 16th &amp; 20th Floor (Part Refuge Area)</t>
  </si>
  <si>
    <t>1RK</t>
  </si>
  <si>
    <t>We considered Gross carpet area = Net carpet + Enclose balcony + Open Balcony.</t>
  </si>
  <si>
    <t>flat 7th and 8th terraces, it is too small.</t>
  </si>
  <si>
    <t xml:space="preserve">Ground Floor For Entrance Lobby, Meter Room, Society Office &amp; Commercial </t>
  </si>
  <si>
    <t>Gymnasium, Kids Play Areas, Power Backup, Fire Fighting Systems, Indoor Games etc</t>
  </si>
  <si>
    <t>Commercial Space Duplex With 1st Floor</t>
  </si>
  <si>
    <t>Commercial Space  Duplex With 1st Floor</t>
  </si>
  <si>
    <t xml:space="preserve">Commercial Space </t>
  </si>
  <si>
    <t>Flats</t>
  </si>
  <si>
    <t>Commercial Area Details : Building No.14</t>
  </si>
  <si>
    <t>Residential Area Details : Building No.14</t>
  </si>
  <si>
    <t>Residential + Commercial</t>
  </si>
  <si>
    <t>Please provide 13th &amp; 18th floor plans.</t>
  </si>
  <si>
    <t>Construction work is in process at the time of Visit.</t>
  </si>
  <si>
    <t>3rd to 7th, 9th , 10th, 11th, 14th, 15th, 16th, 17th, 19th, 21st, 22nd &amp; 23rd</t>
  </si>
  <si>
    <t>Flats - 158, Commercial Space - 03</t>
  </si>
  <si>
    <t>Housing</t>
  </si>
  <si>
    <t>online</t>
  </si>
  <si>
    <t xml:space="preserve">https://dwello.in/view/kaneri-heights-by-kaneri-realty-at-naigaon_eeab5e1a-a08f-4c67-b68e-dfa576f33a3e </t>
  </si>
  <si>
    <t xml:space="preserve">https://housing.com/in/buy/projects/page/267309-kaneri-heights-by-shekhar-bhoir-in-naigaon-east </t>
  </si>
  <si>
    <t>Cost sheet</t>
  </si>
  <si>
    <t>Recommended rate of the Commercial Space Per Sq. Ft. (Gr + 1st Floor)</t>
  </si>
  <si>
    <t>Miss. Sangeeta 9860020444</t>
  </si>
  <si>
    <t>Mr Singh 9860020444</t>
  </si>
  <si>
    <t>Mr. Sachin 9860020444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</si>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</sst>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0" borderId="25" xfId="0" applyFont="1" applyBorder="1"/>
    <xf numFmtId="0" fontId="25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Border="1"/>
    <xf numFmtId="1" fontId="7" fillId="0" borderId="1" xfId="1" applyNumberFormat="1" applyFont="1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1" fontId="26" fillId="0" borderId="0" xfId="10" applyNumberFormat="1" applyAlignment="1">
      <alignment horizontal="center" vertical="center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24" fillId="2" borderId="12" xfId="0" applyFont="1" applyFill="1" applyBorder="1"/>
    <xf numFmtId="0" fontId="25" fillId="0" borderId="8" xfId="0" applyFont="1" applyBorder="1"/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1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10" fillId="0" borderId="27" xfId="0" applyNumberFormat="1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20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18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199161</xdr:colOff>
      <xdr:row>13</xdr:row>
      <xdr:rowOff>34635</xdr:rowOff>
    </xdr:from>
    <xdr:to>
      <xdr:col>11</xdr:col>
      <xdr:colOff>455456</xdr:colOff>
      <xdr:row>19</xdr:row>
      <xdr:rowOff>29636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7352330" y="2596966"/>
          <a:ext cx="1614251" cy="2880000"/>
        </a:xfrm>
        <a:prstGeom prst="rect">
          <a:avLst/>
        </a:prstGeom>
      </xdr:spPr>
    </xdr:pic>
    <xdr:clientData/>
  </xdr:twoCellAnchor>
  <xdr:twoCellAnchor>
    <xdr:from>
      <xdr:col>9</xdr:col>
      <xdr:colOff>18866</xdr:colOff>
      <xdr:row>15</xdr:row>
      <xdr:rowOff>42063</xdr:rowOff>
    </xdr:from>
    <xdr:to>
      <xdr:col>9</xdr:col>
      <xdr:colOff>554804</xdr:colOff>
      <xdr:row>18</xdr:row>
      <xdr:rowOff>68155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0865137">
          <a:off x="7699480" y="4059881"/>
          <a:ext cx="535938" cy="623569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8</xdr:col>
      <xdr:colOff>168521</xdr:colOff>
      <xdr:row>126</xdr:row>
      <xdr:rowOff>89922</xdr:rowOff>
    </xdr:from>
    <xdr:to>
      <xdr:col>13</xdr:col>
      <xdr:colOff>126724</xdr:colOff>
      <xdr:row>130</xdr:row>
      <xdr:rowOff>13284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04136" y="30423384"/>
          <a:ext cx="4083261" cy="714671"/>
        </a:xfrm>
        <a:prstGeom prst="rect">
          <a:avLst/>
        </a:prstGeom>
      </xdr:spPr>
    </xdr:pic>
    <xdr:clientData/>
  </xdr:twoCellAnchor>
  <xdr:twoCellAnchor editAs="oneCell">
    <xdr:from>
      <xdr:col>8</xdr:col>
      <xdr:colOff>110829</xdr:colOff>
      <xdr:row>136</xdr:row>
      <xdr:rowOff>137420</xdr:rowOff>
    </xdr:from>
    <xdr:to>
      <xdr:col>11</xdr:col>
      <xdr:colOff>649038</xdr:colOff>
      <xdr:row>145</xdr:row>
      <xdr:rowOff>185777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46444" y="32449151"/>
          <a:ext cx="3168575" cy="1828800"/>
        </a:xfrm>
        <a:prstGeom prst="rect">
          <a:avLst/>
        </a:prstGeom>
      </xdr:spPr>
    </xdr:pic>
    <xdr:clientData/>
  </xdr:twoCellAnchor>
  <xdr:twoCellAnchor editAs="oneCell">
    <xdr:from>
      <xdr:col>8</xdr:col>
      <xdr:colOff>190022</xdr:colOff>
      <xdr:row>130</xdr:row>
      <xdr:rowOff>183202</xdr:rowOff>
    </xdr:from>
    <xdr:to>
      <xdr:col>11</xdr:col>
      <xdr:colOff>374319</xdr:colOff>
      <xdr:row>136</xdr:row>
      <xdr:rowOff>68249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10317" y="31130793"/>
          <a:ext cx="2808002" cy="1080000"/>
        </a:xfrm>
        <a:prstGeom prst="rect">
          <a:avLst/>
        </a:prstGeom>
      </xdr:spPr>
    </xdr:pic>
    <xdr:clientData/>
  </xdr:twoCellAnchor>
  <xdr:twoCellAnchor>
    <xdr:from>
      <xdr:col>0</xdr:col>
      <xdr:colOff>614795</xdr:colOff>
      <xdr:row>210</xdr:row>
      <xdr:rowOff>8659</xdr:rowOff>
    </xdr:from>
    <xdr:to>
      <xdr:col>7</xdr:col>
      <xdr:colOff>206779</xdr:colOff>
      <xdr:row>247</xdr:row>
      <xdr:rowOff>756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614795" y="46014409"/>
          <a:ext cx="5249834" cy="7393022"/>
          <a:chOff x="614795" y="46395409"/>
          <a:chExt cx="5707034" cy="7393022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pSpPr/>
        </xdr:nvGrpSpPr>
        <xdr:grpSpPr>
          <a:xfrm>
            <a:off x="614795" y="46395409"/>
            <a:ext cx="5707034" cy="3615586"/>
            <a:chOff x="614795" y="46395409"/>
            <a:chExt cx="5707034" cy="3615586"/>
          </a:xfrm>
        </xdr:grpSpPr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614795" y="46395409"/>
              <a:ext cx="5707034" cy="3615586"/>
            </a:xfrm>
            <a:prstGeom prst="rect">
              <a:avLst/>
            </a:prstGeom>
            <a:ln w="12700">
              <a:solidFill>
                <a:schemeClr val="tx1"/>
              </a:solidFill>
            </a:ln>
          </xdr:spPr>
        </xdr:pic>
        <xdr:sp macro="" textlink="">
          <xdr:nvSpPr>
            <xdr:cNvPr id="22" name="Rectangle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>
            <a:xfrm rot="241216">
              <a:off x="2508168" y="48619863"/>
              <a:ext cx="542059" cy="736809"/>
            </a:xfrm>
            <a:prstGeom prst="rect">
              <a:avLst/>
            </a:prstGeom>
            <a:noFill/>
            <a:ln w="1905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 txBox="1"/>
          </xdr:nvSpPr>
          <xdr:spPr>
            <a:xfrm rot="318214">
              <a:off x="2265219" y="48387001"/>
              <a:ext cx="1145809" cy="21686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IN" sz="1100" b="1"/>
                <a:t>Building</a:t>
              </a:r>
              <a:r>
                <a:rPr lang="en-IN" sz="1100" b="1" baseline="0"/>
                <a:t> No.14</a:t>
              </a:r>
              <a:endParaRPr lang="en-IN" sz="1100" b="1"/>
            </a:p>
          </xdr:txBody>
        </xdr:sp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1862025" y="50171977"/>
            <a:ext cx="3212574" cy="3616454"/>
            <a:chOff x="1862025" y="50171977"/>
            <a:chExt cx="3212574" cy="3616454"/>
          </a:xfrm>
        </xdr:grpSpPr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1862025" y="50171977"/>
              <a:ext cx="3212574" cy="3616454"/>
            </a:xfrm>
            <a:prstGeom prst="rect">
              <a:avLst/>
            </a:prstGeom>
            <a:ln w="12700">
              <a:solidFill>
                <a:schemeClr val="tx1"/>
              </a:solidFill>
            </a:ln>
          </xdr:spPr>
        </xdr:pic>
        <xdr:sp macro="" textlink="">
          <xdr:nvSpPr>
            <xdr:cNvPr id="34" name="Rectangle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>
            <a:xfrm>
              <a:off x="2798617" y="53056848"/>
              <a:ext cx="147205" cy="243320"/>
            </a:xfrm>
            <a:prstGeom prst="rect">
              <a:avLst/>
            </a:prstGeom>
            <a:noFill/>
            <a:ln w="1905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 txBox="1"/>
          </xdr:nvSpPr>
          <xdr:spPr>
            <a:xfrm rot="318214">
              <a:off x="2251684" y="52816464"/>
              <a:ext cx="1145809" cy="21686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IN" sz="1100" b="1"/>
                <a:t>Building</a:t>
              </a:r>
              <a:r>
                <a:rPr lang="en-IN" sz="1100" b="1" baseline="0"/>
                <a:t> No.14</a:t>
              </a:r>
              <a:endParaRPr lang="en-IN" sz="1100" b="1"/>
            </a:p>
          </xdr:txBody>
        </xdr:sp>
      </xdr:grpSp>
    </xdr:grpSp>
    <xdr:clientData/>
  </xdr:twoCellAnchor>
  <xdr:twoCellAnchor>
    <xdr:from>
      <xdr:col>8</xdr:col>
      <xdr:colOff>1056410</xdr:colOff>
      <xdr:row>13</xdr:row>
      <xdr:rowOff>588818</xdr:rowOff>
    </xdr:from>
    <xdr:to>
      <xdr:col>9</xdr:col>
      <xdr:colOff>666750</xdr:colOff>
      <xdr:row>15</xdr:row>
      <xdr:rowOff>8659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576705" y="3576204"/>
          <a:ext cx="770659" cy="242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Survey No</a:t>
          </a:r>
        </a:p>
      </xdr:txBody>
    </xdr:sp>
    <xdr:clientData/>
  </xdr:twoCellAnchor>
  <xdr:twoCellAnchor>
    <xdr:from>
      <xdr:col>1</xdr:col>
      <xdr:colOff>242455</xdr:colOff>
      <xdr:row>252</xdr:row>
      <xdr:rowOff>8659</xdr:rowOff>
    </xdr:from>
    <xdr:to>
      <xdr:col>6</xdr:col>
      <xdr:colOff>603513</xdr:colOff>
      <xdr:row>282</xdr:row>
      <xdr:rowOff>18174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004455" y="54415459"/>
          <a:ext cx="4485383" cy="6010265"/>
          <a:chOff x="1061605" y="55196509"/>
          <a:chExt cx="4818758" cy="601026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84421" y="58313784"/>
            <a:ext cx="4795942" cy="2892990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61605" y="55196509"/>
            <a:ext cx="4818758" cy="2892124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3222914" y="59544238"/>
            <a:ext cx="251114" cy="322119"/>
          </a:xfrm>
          <a:prstGeom prst="rect">
            <a:avLst/>
          </a:pr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8</xdr:col>
      <xdr:colOff>215984</xdr:colOff>
      <xdr:row>109</xdr:row>
      <xdr:rowOff>490905</xdr:rowOff>
    </xdr:from>
    <xdr:to>
      <xdr:col>15</xdr:col>
      <xdr:colOff>710839</xdr:colOff>
      <xdr:row>113</xdr:row>
      <xdr:rowOff>176393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34397" y="24700970"/>
          <a:ext cx="6102181" cy="1491097"/>
        </a:xfrm>
        <a:prstGeom prst="rect">
          <a:avLst/>
        </a:prstGeom>
      </xdr:spPr>
    </xdr:pic>
    <xdr:clientData/>
  </xdr:twoCellAnchor>
  <xdr:twoCellAnchor>
    <xdr:from>
      <xdr:col>8</xdr:col>
      <xdr:colOff>587375</xdr:colOff>
      <xdr:row>166</xdr:row>
      <xdr:rowOff>149225</xdr:rowOff>
    </xdr:from>
    <xdr:to>
      <xdr:col>16</xdr:col>
      <xdr:colOff>269744</xdr:colOff>
      <xdr:row>206</xdr:row>
      <xdr:rowOff>180975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7073900" y="37363400"/>
          <a:ext cx="6073644" cy="8023225"/>
          <a:chOff x="158750" y="37014150"/>
          <a:chExt cx="6359394" cy="7899400"/>
        </a:xfrm>
      </xdr:grpSpPr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70002" y="43191092"/>
            <a:ext cx="1510425" cy="172245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2676" y="370141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8308" y="370141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750" y="41074621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07719" y="41074621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9738" y="41074621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00371" y="41074621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742950</xdr:colOff>
      <xdr:row>168</xdr:row>
      <xdr:rowOff>28575</xdr:rowOff>
    </xdr:from>
    <xdr:to>
      <xdr:col>7</xdr:col>
      <xdr:colOff>275794</xdr:colOff>
      <xdr:row>206</xdr:row>
      <xdr:rowOff>121950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8A5DE143-5263-4E09-9FA0-D1278DD9E819}"/>
            </a:ext>
          </a:extLst>
        </xdr:cNvPr>
        <xdr:cNvGrpSpPr/>
      </xdr:nvGrpSpPr>
      <xdr:grpSpPr>
        <a:xfrm>
          <a:off x="742950" y="37642800"/>
          <a:ext cx="5190694" cy="7684800"/>
          <a:chOff x="732940" y="361950"/>
          <a:chExt cx="5190694" cy="7684800"/>
        </a:xfrm>
      </xdr:grpSpPr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F3E690DC-8943-4E31-A886-8723F5C4CD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4623" y="361950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56F282EA-193E-470A-86DC-66D5ACA163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361950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427AF62B-641F-4737-8B42-9A4F8DA97C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32940" y="3754350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0192E02E-B38D-447E-BD4E-151EC44190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17236" y="3754350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34770C65-13DA-4ADB-8777-51EA51D3FF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05322" y="3754350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F8E64EFF-7A9E-4D2A-B6AD-D9BF9EB429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28639" y="606675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2D80D4DA-786B-4434-B24A-3BC5475135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93821" y="606675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ousing.com/in/buy/projects/page/267309-kaneri-heights-by-shekhar-bhoir-in-naigaon-east" TargetMode="External"/><Relationship Id="rId2" Type="http://schemas.openxmlformats.org/officeDocument/2006/relationships/hyperlink" Target="https://dwello.in/view/kaneri-heights-by-kaneri-realty-at-naigaon_eeab5e1a-a08f-4c67-b68e-dfa576f33a3e" TargetMode="External"/><Relationship Id="rId1" Type="http://schemas.openxmlformats.org/officeDocument/2006/relationships/hyperlink" Target="https://goo.gl/maps/onAsZ1338xZBxd8i8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296"/>
  <sheetViews>
    <sheetView tabSelected="1" view="pageBreakPreview" topLeftCell="A67" zoomScaleNormal="100" zoomScaleSheetLayoutView="100" workbookViewId="0">
      <selection activeCell="J3" sqref="J3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5703125" style="38" customWidth="1"/>
    <col min="4" max="4" width="14.140625" style="38" customWidth="1"/>
    <col min="5" max="7" width="11.5703125" style="38" customWidth="1"/>
    <col min="8" max="8" width="12.42578125" style="38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5703125" style="19" customWidth="1"/>
    <col min="17" max="247" width="9.140625" style="19"/>
    <col min="248" max="248" width="8.5703125" style="19" customWidth="1"/>
    <col min="249" max="249" width="9.85546875" style="19" customWidth="1"/>
    <col min="250" max="250" width="14.42578125" style="19" customWidth="1"/>
    <col min="251" max="251" width="7.425781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5703125" style="19" customWidth="1"/>
    <col min="505" max="505" width="9.85546875" style="19" customWidth="1"/>
    <col min="506" max="506" width="14.42578125" style="19" customWidth="1"/>
    <col min="507" max="507" width="7.425781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5703125" style="19" customWidth="1"/>
    <col min="761" max="761" width="9.85546875" style="19" customWidth="1"/>
    <col min="762" max="762" width="14.42578125" style="19" customWidth="1"/>
    <col min="763" max="763" width="7.425781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5703125" style="19" customWidth="1"/>
    <col min="1017" max="1017" width="9.85546875" style="19" customWidth="1"/>
    <col min="1018" max="1018" width="14.42578125" style="19" customWidth="1"/>
    <col min="1019" max="1019" width="7.425781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5703125" style="19" customWidth="1"/>
    <col min="1273" max="1273" width="9.85546875" style="19" customWidth="1"/>
    <col min="1274" max="1274" width="14.42578125" style="19" customWidth="1"/>
    <col min="1275" max="1275" width="7.425781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5703125" style="19" customWidth="1"/>
    <col min="1529" max="1529" width="9.85546875" style="19" customWidth="1"/>
    <col min="1530" max="1530" width="14.42578125" style="19" customWidth="1"/>
    <col min="1531" max="1531" width="7.425781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5703125" style="19" customWidth="1"/>
    <col min="1785" max="1785" width="9.85546875" style="19" customWidth="1"/>
    <col min="1786" max="1786" width="14.42578125" style="19" customWidth="1"/>
    <col min="1787" max="1787" width="7.425781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5703125" style="19" customWidth="1"/>
    <col min="2041" max="2041" width="9.85546875" style="19" customWidth="1"/>
    <col min="2042" max="2042" width="14.42578125" style="19" customWidth="1"/>
    <col min="2043" max="2043" width="7.425781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5703125" style="19" customWidth="1"/>
    <col min="2297" max="2297" width="9.85546875" style="19" customWidth="1"/>
    <col min="2298" max="2298" width="14.42578125" style="19" customWidth="1"/>
    <col min="2299" max="2299" width="7.425781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5703125" style="19" customWidth="1"/>
    <col min="2553" max="2553" width="9.85546875" style="19" customWidth="1"/>
    <col min="2554" max="2554" width="14.42578125" style="19" customWidth="1"/>
    <col min="2555" max="2555" width="7.425781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5703125" style="19" customWidth="1"/>
    <col min="2809" max="2809" width="9.85546875" style="19" customWidth="1"/>
    <col min="2810" max="2810" width="14.42578125" style="19" customWidth="1"/>
    <col min="2811" max="2811" width="7.425781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5703125" style="19" customWidth="1"/>
    <col min="3065" max="3065" width="9.85546875" style="19" customWidth="1"/>
    <col min="3066" max="3066" width="14.42578125" style="19" customWidth="1"/>
    <col min="3067" max="3067" width="7.425781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5703125" style="19" customWidth="1"/>
    <col min="3321" max="3321" width="9.85546875" style="19" customWidth="1"/>
    <col min="3322" max="3322" width="14.42578125" style="19" customWidth="1"/>
    <col min="3323" max="3323" width="7.425781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5703125" style="19" customWidth="1"/>
    <col min="3577" max="3577" width="9.85546875" style="19" customWidth="1"/>
    <col min="3578" max="3578" width="14.42578125" style="19" customWidth="1"/>
    <col min="3579" max="3579" width="7.425781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5703125" style="19" customWidth="1"/>
    <col min="3833" max="3833" width="9.85546875" style="19" customWidth="1"/>
    <col min="3834" max="3834" width="14.42578125" style="19" customWidth="1"/>
    <col min="3835" max="3835" width="7.425781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5703125" style="19" customWidth="1"/>
    <col min="4089" max="4089" width="9.85546875" style="19" customWidth="1"/>
    <col min="4090" max="4090" width="14.42578125" style="19" customWidth="1"/>
    <col min="4091" max="4091" width="7.425781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5703125" style="19" customWidth="1"/>
    <col min="4345" max="4345" width="9.85546875" style="19" customWidth="1"/>
    <col min="4346" max="4346" width="14.42578125" style="19" customWidth="1"/>
    <col min="4347" max="4347" width="7.425781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5703125" style="19" customWidth="1"/>
    <col min="4601" max="4601" width="9.85546875" style="19" customWidth="1"/>
    <col min="4602" max="4602" width="14.42578125" style="19" customWidth="1"/>
    <col min="4603" max="4603" width="7.425781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5703125" style="19" customWidth="1"/>
    <col min="4857" max="4857" width="9.85546875" style="19" customWidth="1"/>
    <col min="4858" max="4858" width="14.42578125" style="19" customWidth="1"/>
    <col min="4859" max="4859" width="7.425781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5703125" style="19" customWidth="1"/>
    <col min="5113" max="5113" width="9.85546875" style="19" customWidth="1"/>
    <col min="5114" max="5114" width="14.42578125" style="19" customWidth="1"/>
    <col min="5115" max="5115" width="7.425781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5703125" style="19" customWidth="1"/>
    <col min="5369" max="5369" width="9.85546875" style="19" customWidth="1"/>
    <col min="5370" max="5370" width="14.42578125" style="19" customWidth="1"/>
    <col min="5371" max="5371" width="7.425781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5703125" style="19" customWidth="1"/>
    <col min="5625" max="5625" width="9.85546875" style="19" customWidth="1"/>
    <col min="5626" max="5626" width="14.42578125" style="19" customWidth="1"/>
    <col min="5627" max="5627" width="7.425781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5703125" style="19" customWidth="1"/>
    <col min="5881" max="5881" width="9.85546875" style="19" customWidth="1"/>
    <col min="5882" max="5882" width="14.42578125" style="19" customWidth="1"/>
    <col min="5883" max="5883" width="7.425781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5703125" style="19" customWidth="1"/>
    <col min="6137" max="6137" width="9.85546875" style="19" customWidth="1"/>
    <col min="6138" max="6138" width="14.42578125" style="19" customWidth="1"/>
    <col min="6139" max="6139" width="7.425781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5703125" style="19" customWidth="1"/>
    <col min="6393" max="6393" width="9.85546875" style="19" customWidth="1"/>
    <col min="6394" max="6394" width="14.42578125" style="19" customWidth="1"/>
    <col min="6395" max="6395" width="7.425781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5703125" style="19" customWidth="1"/>
    <col min="6649" max="6649" width="9.85546875" style="19" customWidth="1"/>
    <col min="6650" max="6650" width="14.42578125" style="19" customWidth="1"/>
    <col min="6651" max="6651" width="7.425781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5703125" style="19" customWidth="1"/>
    <col min="6905" max="6905" width="9.85546875" style="19" customWidth="1"/>
    <col min="6906" max="6906" width="14.42578125" style="19" customWidth="1"/>
    <col min="6907" max="6907" width="7.425781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5703125" style="19" customWidth="1"/>
    <col min="7161" max="7161" width="9.85546875" style="19" customWidth="1"/>
    <col min="7162" max="7162" width="14.42578125" style="19" customWidth="1"/>
    <col min="7163" max="7163" width="7.425781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5703125" style="19" customWidth="1"/>
    <col min="7417" max="7417" width="9.85546875" style="19" customWidth="1"/>
    <col min="7418" max="7418" width="14.42578125" style="19" customWidth="1"/>
    <col min="7419" max="7419" width="7.425781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5703125" style="19" customWidth="1"/>
    <col min="7673" max="7673" width="9.85546875" style="19" customWidth="1"/>
    <col min="7674" max="7674" width="14.42578125" style="19" customWidth="1"/>
    <col min="7675" max="7675" width="7.425781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5703125" style="19" customWidth="1"/>
    <col min="7929" max="7929" width="9.85546875" style="19" customWidth="1"/>
    <col min="7930" max="7930" width="14.42578125" style="19" customWidth="1"/>
    <col min="7931" max="7931" width="7.425781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5703125" style="19" customWidth="1"/>
    <col min="8185" max="8185" width="9.85546875" style="19" customWidth="1"/>
    <col min="8186" max="8186" width="14.42578125" style="19" customWidth="1"/>
    <col min="8187" max="8187" width="7.425781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5703125" style="19" customWidth="1"/>
    <col min="8441" max="8441" width="9.85546875" style="19" customWidth="1"/>
    <col min="8442" max="8442" width="14.42578125" style="19" customWidth="1"/>
    <col min="8443" max="8443" width="7.425781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5703125" style="19" customWidth="1"/>
    <col min="8697" max="8697" width="9.85546875" style="19" customWidth="1"/>
    <col min="8698" max="8698" width="14.42578125" style="19" customWidth="1"/>
    <col min="8699" max="8699" width="7.425781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5703125" style="19" customWidth="1"/>
    <col min="8953" max="8953" width="9.85546875" style="19" customWidth="1"/>
    <col min="8954" max="8954" width="14.42578125" style="19" customWidth="1"/>
    <col min="8955" max="8955" width="7.425781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5703125" style="19" customWidth="1"/>
    <col min="9209" max="9209" width="9.85546875" style="19" customWidth="1"/>
    <col min="9210" max="9210" width="14.42578125" style="19" customWidth="1"/>
    <col min="9211" max="9211" width="7.425781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5703125" style="19" customWidth="1"/>
    <col min="9465" max="9465" width="9.85546875" style="19" customWidth="1"/>
    <col min="9466" max="9466" width="14.42578125" style="19" customWidth="1"/>
    <col min="9467" max="9467" width="7.425781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5703125" style="19" customWidth="1"/>
    <col min="9721" max="9721" width="9.85546875" style="19" customWidth="1"/>
    <col min="9722" max="9722" width="14.42578125" style="19" customWidth="1"/>
    <col min="9723" max="9723" width="7.425781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5703125" style="19" customWidth="1"/>
    <col min="9977" max="9977" width="9.85546875" style="19" customWidth="1"/>
    <col min="9978" max="9978" width="14.42578125" style="19" customWidth="1"/>
    <col min="9979" max="9979" width="7.425781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5703125" style="19" customWidth="1"/>
    <col min="10233" max="10233" width="9.85546875" style="19" customWidth="1"/>
    <col min="10234" max="10234" width="14.42578125" style="19" customWidth="1"/>
    <col min="10235" max="10235" width="7.425781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5703125" style="19" customWidth="1"/>
    <col min="10489" max="10489" width="9.85546875" style="19" customWidth="1"/>
    <col min="10490" max="10490" width="14.42578125" style="19" customWidth="1"/>
    <col min="10491" max="10491" width="7.425781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5703125" style="19" customWidth="1"/>
    <col min="10745" max="10745" width="9.85546875" style="19" customWidth="1"/>
    <col min="10746" max="10746" width="14.42578125" style="19" customWidth="1"/>
    <col min="10747" max="10747" width="7.425781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5703125" style="19" customWidth="1"/>
    <col min="11001" max="11001" width="9.85546875" style="19" customWidth="1"/>
    <col min="11002" max="11002" width="14.42578125" style="19" customWidth="1"/>
    <col min="11003" max="11003" width="7.425781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5703125" style="19" customWidth="1"/>
    <col min="11257" max="11257" width="9.85546875" style="19" customWidth="1"/>
    <col min="11258" max="11258" width="14.42578125" style="19" customWidth="1"/>
    <col min="11259" max="11259" width="7.425781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5703125" style="19" customWidth="1"/>
    <col min="11513" max="11513" width="9.85546875" style="19" customWidth="1"/>
    <col min="11514" max="11514" width="14.42578125" style="19" customWidth="1"/>
    <col min="11515" max="11515" width="7.425781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5703125" style="19" customWidth="1"/>
    <col min="11769" max="11769" width="9.85546875" style="19" customWidth="1"/>
    <col min="11770" max="11770" width="14.42578125" style="19" customWidth="1"/>
    <col min="11771" max="11771" width="7.425781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5703125" style="19" customWidth="1"/>
    <col min="12025" max="12025" width="9.85546875" style="19" customWidth="1"/>
    <col min="12026" max="12026" width="14.42578125" style="19" customWidth="1"/>
    <col min="12027" max="12027" width="7.425781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5703125" style="19" customWidth="1"/>
    <col min="12281" max="12281" width="9.85546875" style="19" customWidth="1"/>
    <col min="12282" max="12282" width="14.42578125" style="19" customWidth="1"/>
    <col min="12283" max="12283" width="7.425781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5703125" style="19" customWidth="1"/>
    <col min="12537" max="12537" width="9.85546875" style="19" customWidth="1"/>
    <col min="12538" max="12538" width="14.42578125" style="19" customWidth="1"/>
    <col min="12539" max="12539" width="7.425781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5703125" style="19" customWidth="1"/>
    <col min="12793" max="12793" width="9.85546875" style="19" customWidth="1"/>
    <col min="12794" max="12794" width="14.42578125" style="19" customWidth="1"/>
    <col min="12795" max="12795" width="7.425781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5703125" style="19" customWidth="1"/>
    <col min="13049" max="13049" width="9.85546875" style="19" customWidth="1"/>
    <col min="13050" max="13050" width="14.42578125" style="19" customWidth="1"/>
    <col min="13051" max="13051" width="7.425781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5703125" style="19" customWidth="1"/>
    <col min="13305" max="13305" width="9.85546875" style="19" customWidth="1"/>
    <col min="13306" max="13306" width="14.42578125" style="19" customWidth="1"/>
    <col min="13307" max="13307" width="7.425781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5703125" style="19" customWidth="1"/>
    <col min="13561" max="13561" width="9.85546875" style="19" customWidth="1"/>
    <col min="13562" max="13562" width="14.42578125" style="19" customWidth="1"/>
    <col min="13563" max="13563" width="7.425781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5703125" style="19" customWidth="1"/>
    <col min="13817" max="13817" width="9.85546875" style="19" customWidth="1"/>
    <col min="13818" max="13818" width="14.42578125" style="19" customWidth="1"/>
    <col min="13819" max="13819" width="7.425781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5703125" style="19" customWidth="1"/>
    <col min="14073" max="14073" width="9.85546875" style="19" customWidth="1"/>
    <col min="14074" max="14074" width="14.42578125" style="19" customWidth="1"/>
    <col min="14075" max="14075" width="7.425781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5703125" style="19" customWidth="1"/>
    <col min="14329" max="14329" width="9.85546875" style="19" customWidth="1"/>
    <col min="14330" max="14330" width="14.42578125" style="19" customWidth="1"/>
    <col min="14331" max="14331" width="7.425781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5703125" style="19" customWidth="1"/>
    <col min="14585" max="14585" width="9.85546875" style="19" customWidth="1"/>
    <col min="14586" max="14586" width="14.42578125" style="19" customWidth="1"/>
    <col min="14587" max="14587" width="7.425781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5703125" style="19" customWidth="1"/>
    <col min="14841" max="14841" width="9.85546875" style="19" customWidth="1"/>
    <col min="14842" max="14842" width="14.42578125" style="19" customWidth="1"/>
    <col min="14843" max="14843" width="7.425781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5703125" style="19" customWidth="1"/>
    <col min="15097" max="15097" width="9.85546875" style="19" customWidth="1"/>
    <col min="15098" max="15098" width="14.42578125" style="19" customWidth="1"/>
    <col min="15099" max="15099" width="7.425781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5703125" style="19" customWidth="1"/>
    <col min="15353" max="15353" width="9.85546875" style="19" customWidth="1"/>
    <col min="15354" max="15354" width="14.42578125" style="19" customWidth="1"/>
    <col min="15355" max="15355" width="7.425781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5703125" style="19" customWidth="1"/>
    <col min="15609" max="15609" width="9.85546875" style="19" customWidth="1"/>
    <col min="15610" max="15610" width="14.42578125" style="19" customWidth="1"/>
    <col min="15611" max="15611" width="7.425781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5703125" style="19" customWidth="1"/>
    <col min="15865" max="15865" width="9.85546875" style="19" customWidth="1"/>
    <col min="15866" max="15866" width="14.42578125" style="19" customWidth="1"/>
    <col min="15867" max="15867" width="7.425781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5703125" style="19" customWidth="1"/>
    <col min="16121" max="16121" width="9.85546875" style="19" customWidth="1"/>
    <col min="16122" max="16122" width="14.42578125" style="19" customWidth="1"/>
    <col min="16123" max="16123" width="7.425781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12" ht="46.5" customHeight="1" x14ac:dyDescent="0.25">
      <c r="A1" s="133" t="s">
        <v>169</v>
      </c>
      <c r="B1" s="133"/>
      <c r="C1" s="133"/>
      <c r="D1" s="133"/>
      <c r="E1" s="133"/>
      <c r="F1" s="133"/>
      <c r="G1" s="133"/>
      <c r="H1" s="133"/>
    </row>
    <row r="2" spans="1:12" ht="16.5" customHeight="1" x14ac:dyDescent="0.25">
      <c r="A2" s="106" t="s">
        <v>0</v>
      </c>
      <c r="B2" s="106"/>
      <c r="C2" s="106"/>
      <c r="D2" s="106"/>
      <c r="E2" s="106"/>
      <c r="F2" s="106"/>
      <c r="G2" s="106"/>
      <c r="H2" s="106"/>
    </row>
    <row r="3" spans="1:12" x14ac:dyDescent="0.25">
      <c r="A3" s="68" t="s">
        <v>1</v>
      </c>
      <c r="B3" s="68"/>
      <c r="C3" s="68"/>
      <c r="D3" s="68"/>
      <c r="E3" s="68" t="str">
        <f ca="1">TEXT(TODAY(),"DD/MM/YYYY")</f>
        <v>11/07/2025</v>
      </c>
      <c r="F3" s="68"/>
      <c r="G3" s="68"/>
      <c r="H3" s="68"/>
    </row>
    <row r="4" spans="1:12" x14ac:dyDescent="0.25">
      <c r="A4" s="68" t="s">
        <v>2</v>
      </c>
      <c r="B4" s="68"/>
      <c r="C4" s="68"/>
      <c r="D4" s="68"/>
      <c r="E4" s="68" t="s">
        <v>174</v>
      </c>
      <c r="F4" s="68"/>
      <c r="G4" s="68"/>
      <c r="H4" s="68"/>
    </row>
    <row r="5" spans="1:12" x14ac:dyDescent="0.25">
      <c r="A5" s="68" t="s">
        <v>3</v>
      </c>
      <c r="B5" s="68"/>
      <c r="C5" s="68"/>
      <c r="D5" s="68"/>
      <c r="E5" s="135">
        <v>45848</v>
      </c>
      <c r="F5" s="68"/>
      <c r="G5" s="68"/>
      <c r="H5" s="68"/>
    </row>
    <row r="6" spans="1:12" ht="16.5" customHeight="1" x14ac:dyDescent="0.25">
      <c r="A6" s="68" t="s">
        <v>4</v>
      </c>
      <c r="B6" s="68"/>
      <c r="C6" s="68"/>
      <c r="D6" s="68"/>
      <c r="E6" s="68" t="s">
        <v>176</v>
      </c>
      <c r="F6" s="68"/>
      <c r="G6" s="68"/>
      <c r="H6" s="68"/>
    </row>
    <row r="7" spans="1:12" ht="15" customHeight="1" x14ac:dyDescent="0.25">
      <c r="A7" s="68" t="s">
        <v>5</v>
      </c>
      <c r="B7" s="68"/>
      <c r="C7" s="68"/>
      <c r="D7" s="68"/>
      <c r="E7" s="68" t="str">
        <f>E6</f>
        <v>Shekhar Bhoir And Others</v>
      </c>
      <c r="F7" s="68"/>
      <c r="G7" s="68"/>
      <c r="H7" s="68"/>
    </row>
    <row r="8" spans="1:12" x14ac:dyDescent="0.25">
      <c r="A8" s="68" t="s">
        <v>6</v>
      </c>
      <c r="B8" s="68"/>
      <c r="C8" s="68"/>
      <c r="D8" s="68"/>
      <c r="E8" s="134" t="s">
        <v>175</v>
      </c>
      <c r="F8" s="134"/>
      <c r="G8" s="134"/>
      <c r="H8" s="134"/>
    </row>
    <row r="9" spans="1:12" x14ac:dyDescent="0.25">
      <c r="A9" s="68" t="s">
        <v>172</v>
      </c>
      <c r="B9" s="68"/>
      <c r="C9" s="68"/>
      <c r="D9" s="68"/>
      <c r="E9" s="68" t="s">
        <v>177</v>
      </c>
      <c r="F9" s="68"/>
      <c r="G9" s="68"/>
      <c r="H9" s="68"/>
      <c r="I9" s="52"/>
      <c r="J9" s="52"/>
      <c r="K9" s="52"/>
      <c r="L9" s="52"/>
    </row>
    <row r="10" spans="1:12" x14ac:dyDescent="0.25">
      <c r="A10" s="68" t="s">
        <v>173</v>
      </c>
      <c r="B10" s="68"/>
      <c r="C10" s="68"/>
      <c r="D10" s="68"/>
      <c r="E10" s="68" t="s">
        <v>233</v>
      </c>
      <c r="F10" s="68"/>
      <c r="G10" s="68"/>
      <c r="H10" s="68"/>
      <c r="I10" s="67" t="s">
        <v>231</v>
      </c>
      <c r="J10" s="68"/>
      <c r="K10" s="68"/>
      <c r="L10" s="69"/>
    </row>
    <row r="11" spans="1:12" x14ac:dyDescent="0.25">
      <c r="A11" s="68" t="s">
        <v>7</v>
      </c>
      <c r="B11" s="68"/>
      <c r="C11" s="68"/>
      <c r="D11" s="68"/>
      <c r="E11" s="91" t="s">
        <v>182</v>
      </c>
      <c r="F11" s="68"/>
      <c r="G11" s="68"/>
      <c r="H11" s="68"/>
      <c r="I11" s="68" t="s">
        <v>232</v>
      </c>
      <c r="J11" s="68"/>
      <c r="K11" s="68"/>
      <c r="L11" s="68"/>
    </row>
    <row r="12" spans="1:12" x14ac:dyDescent="0.25">
      <c r="A12" s="82" t="s">
        <v>8</v>
      </c>
      <c r="B12" s="82"/>
      <c r="C12" s="82"/>
      <c r="D12" s="82"/>
      <c r="E12" s="91" t="s">
        <v>193</v>
      </c>
      <c r="F12" s="91"/>
      <c r="G12" s="91"/>
      <c r="H12" s="91"/>
      <c r="I12" s="52"/>
      <c r="J12" s="52"/>
      <c r="K12" s="52"/>
      <c r="L12" s="52"/>
    </row>
    <row r="13" spans="1:12" ht="15.75" customHeight="1" x14ac:dyDescent="0.25">
      <c r="A13" s="82" t="s">
        <v>9</v>
      </c>
      <c r="B13" s="82"/>
      <c r="C13" s="82"/>
      <c r="D13" s="82"/>
      <c r="E13" s="68" t="s">
        <v>178</v>
      </c>
      <c r="F13" s="68"/>
      <c r="G13" s="68"/>
      <c r="H13" s="68"/>
      <c r="I13" s="52"/>
      <c r="J13" s="52"/>
      <c r="K13" s="52"/>
      <c r="L13" s="52"/>
    </row>
    <row r="14" spans="1:12" ht="48.75" customHeight="1" x14ac:dyDescent="0.25">
      <c r="A14" s="90" t="s">
        <v>10</v>
      </c>
      <c r="B14" s="90"/>
      <c r="C14" s="9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Kaneri Heights, Survey No.317, H.No.5/1, 5/2, 6A, 6B, 6C, 6D, near Sai Enclave, Naigaon East Vasai Link Road, Tirupati Udyog Nagar, Juchandra, Naigaon, Vasai, Palghar - 401208.</v>
      </c>
      <c r="D14" s="90"/>
      <c r="E14" s="90"/>
      <c r="F14" s="90"/>
      <c r="G14" s="90"/>
      <c r="H14" s="90"/>
    </row>
    <row r="15" spans="1:12" x14ac:dyDescent="0.25">
      <c r="A15" s="91" t="s">
        <v>183</v>
      </c>
      <c r="B15" s="91"/>
      <c r="C15" s="91" t="s">
        <v>186</v>
      </c>
      <c r="D15" s="91"/>
      <c r="E15" s="91"/>
      <c r="F15" s="91"/>
      <c r="G15" s="91"/>
      <c r="H15" s="91"/>
    </row>
    <row r="16" spans="1:12" ht="15.75" customHeight="1" x14ac:dyDescent="0.25">
      <c r="A16" s="91" t="s">
        <v>167</v>
      </c>
      <c r="B16" s="91"/>
      <c r="C16" s="91" t="s">
        <v>194</v>
      </c>
      <c r="D16" s="91"/>
      <c r="E16" s="91"/>
      <c r="F16" s="91"/>
      <c r="G16" s="91"/>
      <c r="H16" s="91"/>
    </row>
    <row r="17" spans="1:8" ht="15.75" customHeight="1" x14ac:dyDescent="0.25">
      <c r="A17" s="90" t="s">
        <v>11</v>
      </c>
      <c r="B17" s="90"/>
      <c r="C17" s="68" t="s">
        <v>188</v>
      </c>
      <c r="D17" s="68"/>
      <c r="E17" s="90" t="s">
        <v>74</v>
      </c>
      <c r="F17" s="90"/>
      <c r="G17" s="91" t="s">
        <v>181</v>
      </c>
      <c r="H17" s="91"/>
    </row>
    <row r="18" spans="1:8" x14ac:dyDescent="0.25">
      <c r="A18" s="82" t="s">
        <v>13</v>
      </c>
      <c r="B18" s="82"/>
      <c r="C18" s="91" t="s">
        <v>185</v>
      </c>
      <c r="D18" s="91"/>
      <c r="E18" s="90" t="s">
        <v>12</v>
      </c>
      <c r="F18" s="90"/>
      <c r="G18" s="136" t="s">
        <v>179</v>
      </c>
      <c r="H18" s="136"/>
    </row>
    <row r="19" spans="1:8" x14ac:dyDescent="0.25">
      <c r="A19" s="82" t="s">
        <v>75</v>
      </c>
      <c r="B19" s="82"/>
      <c r="C19" s="91" t="s">
        <v>180</v>
      </c>
      <c r="D19" s="91"/>
      <c r="E19" s="90" t="s">
        <v>14</v>
      </c>
      <c r="F19" s="90"/>
      <c r="G19" s="91">
        <v>401208</v>
      </c>
      <c r="H19" s="91"/>
    </row>
    <row r="20" spans="1:8" ht="32.25" customHeight="1" x14ac:dyDescent="0.25">
      <c r="A20" s="82" t="s">
        <v>126</v>
      </c>
      <c r="B20" s="82"/>
      <c r="C20" s="91" t="s">
        <v>189</v>
      </c>
      <c r="D20" s="91"/>
      <c r="E20" s="90" t="s">
        <v>15</v>
      </c>
      <c r="F20" s="90"/>
      <c r="G20" s="91" t="s">
        <v>184</v>
      </c>
      <c r="H20" s="91"/>
    </row>
    <row r="21" spans="1:8" ht="15" customHeight="1" x14ac:dyDescent="0.25">
      <c r="A21" s="90" t="s">
        <v>77</v>
      </c>
      <c r="B21" s="90"/>
      <c r="C21" s="90"/>
      <c r="D21" s="90"/>
      <c r="E21" s="68" t="s">
        <v>16</v>
      </c>
      <c r="F21" s="68"/>
      <c r="G21" s="68"/>
      <c r="H21" s="68"/>
    </row>
    <row r="22" spans="1:8" ht="18.75" customHeight="1" x14ac:dyDescent="0.25">
      <c r="A22" s="90"/>
      <c r="B22" s="90"/>
      <c r="C22" s="90"/>
      <c r="D22" s="90"/>
      <c r="E22" s="68"/>
      <c r="F22" s="68"/>
      <c r="G22" s="68"/>
      <c r="H22" s="68"/>
    </row>
    <row r="23" spans="1:8" ht="15" customHeight="1" x14ac:dyDescent="0.25">
      <c r="A23" s="90" t="s">
        <v>17</v>
      </c>
      <c r="B23" s="90"/>
      <c r="C23" s="90"/>
      <c r="D23" s="90"/>
      <c r="E23" s="91" t="s">
        <v>18</v>
      </c>
      <c r="F23" s="91"/>
      <c r="G23" s="91"/>
      <c r="H23" s="91"/>
    </row>
    <row r="24" spans="1:8" ht="15" customHeight="1" x14ac:dyDescent="0.25">
      <c r="A24" s="82" t="s">
        <v>19</v>
      </c>
      <c r="B24" s="82"/>
      <c r="C24" s="82"/>
      <c r="D24" s="82"/>
      <c r="E24" s="137" t="str">
        <f>IF(AND(G18="Mumbai"),"Upper Class","Middle Class")</f>
        <v>Middle Class</v>
      </c>
      <c r="F24" s="137"/>
      <c r="G24" s="137"/>
      <c r="H24" s="137"/>
    </row>
    <row r="25" spans="1:8" x14ac:dyDescent="0.25">
      <c r="A25" s="82" t="s">
        <v>20</v>
      </c>
      <c r="B25" s="82"/>
      <c r="C25" s="82"/>
      <c r="D25" s="82"/>
      <c r="E25" s="91" t="s">
        <v>21</v>
      </c>
      <c r="F25" s="91"/>
      <c r="G25" s="91"/>
      <c r="H25" s="91"/>
    </row>
    <row r="26" spans="1:8" ht="15.75" customHeight="1" x14ac:dyDescent="0.25">
      <c r="A26" s="82" t="s">
        <v>22</v>
      </c>
      <c r="B26" s="82"/>
      <c r="C26" s="82"/>
      <c r="D26" s="82"/>
      <c r="E26" s="137" t="str">
        <f>IF(AND(G18="Mumbai"),"Developed","Developing")</f>
        <v>Developing</v>
      </c>
      <c r="F26" s="137"/>
      <c r="G26" s="137"/>
      <c r="H26" s="137"/>
    </row>
    <row r="27" spans="1:8" x14ac:dyDescent="0.25">
      <c r="A27" s="82" t="s">
        <v>23</v>
      </c>
      <c r="B27" s="82"/>
      <c r="C27" s="82"/>
      <c r="D27" s="82"/>
      <c r="E27" s="91" t="s">
        <v>24</v>
      </c>
      <c r="F27" s="91"/>
      <c r="G27" s="91"/>
      <c r="H27" s="91"/>
    </row>
    <row r="28" spans="1:8" ht="15.75" customHeight="1" x14ac:dyDescent="0.25">
      <c r="A28" s="82" t="s">
        <v>82</v>
      </c>
      <c r="B28" s="82"/>
      <c r="C28" s="82"/>
      <c r="D28" s="82"/>
      <c r="E28" s="91" t="s">
        <v>83</v>
      </c>
      <c r="F28" s="91"/>
      <c r="G28" s="91"/>
      <c r="H28" s="91"/>
    </row>
    <row r="29" spans="1:8" x14ac:dyDescent="0.25">
      <c r="A29" s="82" t="s">
        <v>33</v>
      </c>
      <c r="B29" s="82"/>
      <c r="C29" s="82"/>
      <c r="D29" s="82"/>
      <c r="E29" s="137" t="s">
        <v>220</v>
      </c>
      <c r="F29" s="137"/>
      <c r="G29" s="137"/>
      <c r="H29" s="137"/>
    </row>
    <row r="30" spans="1:8" ht="15.75" customHeight="1" x14ac:dyDescent="0.25">
      <c r="A30" s="82" t="s">
        <v>94</v>
      </c>
      <c r="B30" s="82"/>
      <c r="C30" s="82"/>
      <c r="D30" s="82"/>
      <c r="E30" s="91" t="s">
        <v>34</v>
      </c>
      <c r="F30" s="91"/>
      <c r="G30" s="91"/>
      <c r="H30" s="91"/>
    </row>
    <row r="31" spans="1:8" s="20" customFormat="1" x14ac:dyDescent="0.25">
      <c r="A31" s="141" t="s">
        <v>95</v>
      </c>
      <c r="B31" s="141"/>
      <c r="C31" s="140" t="s">
        <v>29</v>
      </c>
      <c r="D31" s="140"/>
      <c r="E31" s="140"/>
      <c r="F31" s="140" t="s">
        <v>31</v>
      </c>
      <c r="G31" s="140"/>
      <c r="H31" s="140"/>
    </row>
    <row r="32" spans="1:8" s="20" customFormat="1" x14ac:dyDescent="0.25">
      <c r="A32" s="138" t="s">
        <v>25</v>
      </c>
      <c r="B32" s="138" t="s">
        <v>30</v>
      </c>
      <c r="C32" s="139" t="s">
        <v>30</v>
      </c>
      <c r="D32" s="139"/>
      <c r="E32" s="139"/>
      <c r="F32" s="139" t="s">
        <v>188</v>
      </c>
      <c r="G32" s="139"/>
      <c r="H32" s="139"/>
    </row>
    <row r="33" spans="1:8" x14ac:dyDescent="0.25">
      <c r="A33" s="138" t="s">
        <v>26</v>
      </c>
      <c r="B33" s="138" t="s">
        <v>30</v>
      </c>
      <c r="C33" s="139" t="s">
        <v>30</v>
      </c>
      <c r="D33" s="139"/>
      <c r="E33" s="139"/>
      <c r="F33" s="139" t="s">
        <v>190</v>
      </c>
      <c r="G33" s="139"/>
      <c r="H33" s="139"/>
    </row>
    <row r="34" spans="1:8" s="20" customFormat="1" x14ac:dyDescent="0.25">
      <c r="A34" s="138" t="s">
        <v>28</v>
      </c>
      <c r="B34" s="138" t="s">
        <v>30</v>
      </c>
      <c r="C34" s="139" t="s">
        <v>30</v>
      </c>
      <c r="D34" s="139"/>
      <c r="E34" s="139"/>
      <c r="F34" s="139" t="s">
        <v>191</v>
      </c>
      <c r="G34" s="139"/>
      <c r="H34" s="139"/>
    </row>
    <row r="35" spans="1:8" x14ac:dyDescent="0.25">
      <c r="A35" s="138" t="s">
        <v>27</v>
      </c>
      <c r="B35" s="138" t="s">
        <v>30</v>
      </c>
      <c r="C35" s="139" t="s">
        <v>30</v>
      </c>
      <c r="D35" s="139"/>
      <c r="E35" s="139"/>
      <c r="F35" s="139" t="s">
        <v>189</v>
      </c>
      <c r="G35" s="139"/>
      <c r="H35" s="139"/>
    </row>
    <row r="36" spans="1:8" x14ac:dyDescent="0.25">
      <c r="A36" s="82" t="s">
        <v>32</v>
      </c>
      <c r="B36" s="82"/>
      <c r="C36" s="82"/>
      <c r="D36" s="82"/>
      <c r="E36" s="82"/>
      <c r="F36" s="82"/>
      <c r="G36" s="82"/>
      <c r="H36" s="82"/>
    </row>
    <row r="37" spans="1:8" ht="15.75" customHeight="1" x14ac:dyDescent="0.25">
      <c r="A37" s="82" t="s">
        <v>170</v>
      </c>
      <c r="B37" s="82"/>
      <c r="C37" s="122" t="s">
        <v>192</v>
      </c>
      <c r="D37" s="122"/>
      <c r="E37" s="122"/>
      <c r="F37" s="122"/>
      <c r="G37" s="122"/>
      <c r="H37" s="122"/>
    </row>
    <row r="38" spans="1:8" x14ac:dyDescent="0.25">
      <c r="A38" s="82" t="s">
        <v>166</v>
      </c>
      <c r="B38" s="82"/>
      <c r="C38" s="175" t="s">
        <v>187</v>
      </c>
      <c r="D38" s="91"/>
      <c r="E38" s="91"/>
      <c r="F38" s="91"/>
      <c r="G38" s="91"/>
      <c r="H38" s="91"/>
    </row>
    <row r="39" spans="1:8" x14ac:dyDescent="0.25">
      <c r="A39" s="122" t="s">
        <v>35</v>
      </c>
      <c r="B39" s="122"/>
      <c r="C39" s="122"/>
      <c r="D39" s="122"/>
      <c r="E39" s="122"/>
      <c r="F39" s="122"/>
      <c r="G39" s="122"/>
      <c r="H39" s="122"/>
    </row>
    <row r="40" spans="1:8" x14ac:dyDescent="0.25">
      <c r="A40" s="82" t="s">
        <v>36</v>
      </c>
      <c r="B40" s="82"/>
      <c r="C40" s="82"/>
      <c r="D40" s="82"/>
      <c r="E40" s="142">
        <v>67127.53</v>
      </c>
      <c r="F40" s="142"/>
      <c r="G40" s="142"/>
      <c r="H40" s="142"/>
    </row>
    <row r="41" spans="1:8" x14ac:dyDescent="0.25">
      <c r="A41" s="82" t="s">
        <v>37</v>
      </c>
      <c r="B41" s="82"/>
      <c r="C41" s="82"/>
      <c r="D41" s="82"/>
      <c r="E41" s="81">
        <v>1.1000000000000001</v>
      </c>
      <c r="F41" s="81"/>
      <c r="G41" s="81"/>
      <c r="H41" s="81"/>
    </row>
    <row r="42" spans="1:8" x14ac:dyDescent="0.25">
      <c r="A42" s="82" t="s">
        <v>38</v>
      </c>
      <c r="B42" s="82"/>
      <c r="C42" s="82"/>
      <c r="D42" s="82"/>
      <c r="E42" s="81">
        <f>E44/E40-E41</f>
        <v>2.1002217719019223E-2</v>
      </c>
      <c r="F42" s="81"/>
      <c r="G42" s="81"/>
      <c r="H42" s="81"/>
    </row>
    <row r="43" spans="1:8" x14ac:dyDescent="0.25">
      <c r="A43" s="82" t="s">
        <v>39</v>
      </c>
      <c r="B43" s="82"/>
      <c r="C43" s="82"/>
      <c r="D43" s="82"/>
      <c r="E43" s="81">
        <f>E41+E42</f>
        <v>1.1210022177190193</v>
      </c>
      <c r="F43" s="81"/>
      <c r="G43" s="81"/>
      <c r="H43" s="81"/>
    </row>
    <row r="44" spans="1:8" x14ac:dyDescent="0.25">
      <c r="A44" s="82" t="s">
        <v>93</v>
      </c>
      <c r="B44" s="82"/>
      <c r="C44" s="82"/>
      <c r="D44" s="82"/>
      <c r="E44" s="156">
        <v>75250.11</v>
      </c>
      <c r="F44" s="156"/>
      <c r="G44" s="156"/>
      <c r="H44" s="156"/>
    </row>
    <row r="45" spans="1:8" x14ac:dyDescent="0.25">
      <c r="A45" s="68" t="s">
        <v>40</v>
      </c>
      <c r="B45" s="68"/>
      <c r="C45" s="68"/>
      <c r="D45" s="68"/>
      <c r="E45" s="68" t="s">
        <v>125</v>
      </c>
      <c r="F45" s="68"/>
      <c r="G45" s="68"/>
      <c r="H45" s="68"/>
    </row>
    <row r="46" spans="1:8" x14ac:dyDescent="0.25">
      <c r="A46" s="122" t="s">
        <v>41</v>
      </c>
      <c r="B46" s="122"/>
      <c r="C46" s="122"/>
      <c r="D46" s="122"/>
      <c r="E46" s="122"/>
      <c r="F46" s="122"/>
      <c r="G46" s="122"/>
      <c r="H46" s="122"/>
    </row>
    <row r="47" spans="1:8" ht="33.75" customHeight="1" x14ac:dyDescent="0.25">
      <c r="A47" s="74" t="s">
        <v>154</v>
      </c>
      <c r="B47" s="76"/>
      <c r="C47" s="176" t="s">
        <v>195</v>
      </c>
      <c r="D47" s="177"/>
      <c r="E47" s="177"/>
      <c r="F47" s="177"/>
      <c r="G47" s="177"/>
      <c r="H47" s="178"/>
    </row>
    <row r="48" spans="1:8" ht="33" customHeight="1" x14ac:dyDescent="0.25">
      <c r="A48" s="74" t="s">
        <v>42</v>
      </c>
      <c r="B48" s="76"/>
      <c r="C48" s="74" t="s">
        <v>197</v>
      </c>
      <c r="D48" s="75"/>
      <c r="E48" s="76"/>
      <c r="F48" s="16" t="s">
        <v>43</v>
      </c>
      <c r="G48" s="89">
        <v>44397</v>
      </c>
      <c r="H48" s="76"/>
    </row>
    <row r="49" spans="1:14" ht="33.75" customHeight="1" x14ac:dyDescent="0.25">
      <c r="A49" s="74" t="s">
        <v>44</v>
      </c>
      <c r="B49" s="76"/>
      <c r="C49" s="74" t="s">
        <v>196</v>
      </c>
      <c r="D49" s="75"/>
      <c r="E49" s="76"/>
      <c r="F49" s="16" t="s">
        <v>43</v>
      </c>
      <c r="G49" s="89">
        <v>44397</v>
      </c>
      <c r="H49" s="76"/>
    </row>
    <row r="50" spans="1:14" s="21" customFormat="1" ht="34.5" customHeight="1" x14ac:dyDescent="0.25">
      <c r="A50" s="148" t="s">
        <v>158</v>
      </c>
      <c r="B50" s="149"/>
      <c r="C50" s="74" t="s">
        <v>198</v>
      </c>
      <c r="D50" s="75"/>
      <c r="E50" s="76"/>
      <c r="F50" s="16" t="s">
        <v>43</v>
      </c>
      <c r="G50" s="89">
        <v>44397</v>
      </c>
      <c r="H50" s="76"/>
    </row>
    <row r="51" spans="1:14" s="21" customFormat="1" x14ac:dyDescent="0.25">
      <c r="A51" s="150"/>
      <c r="B51" s="151"/>
      <c r="C51" s="74" t="s">
        <v>199</v>
      </c>
      <c r="D51" s="75"/>
      <c r="E51" s="75"/>
      <c r="F51" s="75"/>
      <c r="G51" s="75"/>
      <c r="H51" s="76"/>
    </row>
    <row r="52" spans="1:14" x14ac:dyDescent="0.25">
      <c r="A52" s="153" t="s">
        <v>45</v>
      </c>
      <c r="B52" s="154"/>
      <c r="C52" s="153" t="s">
        <v>107</v>
      </c>
      <c r="D52" s="155"/>
      <c r="E52" s="154"/>
      <c r="F52" s="44" t="s">
        <v>43</v>
      </c>
      <c r="G52" s="72" t="s">
        <v>30</v>
      </c>
      <c r="H52" s="73"/>
    </row>
    <row r="53" spans="1:14" x14ac:dyDescent="0.25">
      <c r="A53" s="132" t="s">
        <v>47</v>
      </c>
      <c r="B53" s="132"/>
      <c r="C53" s="132"/>
      <c r="D53" s="132"/>
      <c r="E53" s="132"/>
      <c r="F53" s="132"/>
      <c r="G53" s="132"/>
      <c r="H53" s="132"/>
    </row>
    <row r="54" spans="1:14" x14ac:dyDescent="0.25">
      <c r="A54" s="90" t="s">
        <v>92</v>
      </c>
      <c r="B54" s="90"/>
      <c r="C54" s="90"/>
      <c r="D54" s="82">
        <v>12020.29</v>
      </c>
      <c r="E54" s="82"/>
      <c r="F54" s="82"/>
      <c r="G54" s="82"/>
      <c r="H54" s="82"/>
    </row>
    <row r="55" spans="1:14" x14ac:dyDescent="0.25">
      <c r="A55" s="91" t="s">
        <v>48</v>
      </c>
      <c r="B55" s="68"/>
      <c r="C55" s="68"/>
      <c r="D55" s="68" t="s">
        <v>224</v>
      </c>
      <c r="E55" s="68"/>
      <c r="F55" s="68"/>
      <c r="G55" s="68"/>
      <c r="H55" s="68"/>
      <c r="I55" s="22"/>
    </row>
    <row r="56" spans="1:14" x14ac:dyDescent="0.25">
      <c r="A56" s="145" t="s">
        <v>49</v>
      </c>
      <c r="B56" s="146"/>
      <c r="C56" s="147"/>
      <c r="D56" s="143" t="s">
        <v>199</v>
      </c>
      <c r="E56" s="144"/>
      <c r="F56" s="144"/>
      <c r="G56" s="144"/>
      <c r="H56" s="144"/>
    </row>
    <row r="57" spans="1:14" ht="15.75" customHeight="1" x14ac:dyDescent="0.25">
      <c r="A57" s="145" t="s">
        <v>90</v>
      </c>
      <c r="B57" s="146"/>
      <c r="C57" s="146"/>
      <c r="D57" s="69" t="s">
        <v>199</v>
      </c>
      <c r="E57" s="152"/>
      <c r="F57" s="152"/>
      <c r="G57" s="152"/>
      <c r="H57" s="67"/>
    </row>
    <row r="58" spans="1:14" ht="15.75" customHeight="1" x14ac:dyDescent="0.25">
      <c r="A58" s="82" t="s">
        <v>46</v>
      </c>
      <c r="B58" s="82"/>
      <c r="C58" s="82"/>
      <c r="D58" s="167" t="s">
        <v>200</v>
      </c>
      <c r="E58" s="167"/>
      <c r="F58" s="167"/>
      <c r="G58" s="167"/>
      <c r="H58" s="167"/>
      <c r="J58" s="23"/>
      <c r="K58" s="22"/>
      <c r="N58" s="22"/>
    </row>
    <row r="59" spans="1:14" ht="15.75" customHeight="1" x14ac:dyDescent="0.25">
      <c r="A59" s="82" t="s">
        <v>88</v>
      </c>
      <c r="B59" s="82"/>
      <c r="C59" s="82"/>
      <c r="D59" s="117" t="str">
        <f>(IF(G52="NA","60 Years After Completion",IF(G52&lt;&gt;"NA",""&amp;60-ROUNDDOWN((E3-G52)/360,0)&amp;" Years"," ")))</f>
        <v>60 Years After Completion</v>
      </c>
      <c r="E59" s="117"/>
      <c r="F59" s="117"/>
      <c r="G59" s="117"/>
      <c r="H59" s="117"/>
      <c r="N59" s="22"/>
    </row>
    <row r="60" spans="1:14" ht="15.75" customHeight="1" x14ac:dyDescent="0.25">
      <c r="A60" s="82" t="s">
        <v>89</v>
      </c>
      <c r="B60" s="82"/>
      <c r="C60" s="82"/>
      <c r="D60" s="90" t="s">
        <v>24</v>
      </c>
      <c r="E60" s="90"/>
      <c r="F60" s="90"/>
      <c r="G60" s="90"/>
      <c r="H60" s="90"/>
      <c r="J60" s="24"/>
      <c r="K60" s="24"/>
    </row>
    <row r="61" spans="1:14" ht="33.75" customHeight="1" x14ac:dyDescent="0.25">
      <c r="A61" s="82" t="s">
        <v>76</v>
      </c>
      <c r="B61" s="82"/>
      <c r="C61" s="82"/>
      <c r="D61" s="91" t="s">
        <v>213</v>
      </c>
      <c r="E61" s="90"/>
      <c r="F61" s="90"/>
      <c r="G61" s="90"/>
      <c r="H61" s="90"/>
    </row>
    <row r="62" spans="1:14" x14ac:dyDescent="0.25">
      <c r="A62" s="90" t="s">
        <v>152</v>
      </c>
      <c r="B62" s="90"/>
      <c r="C62" s="90"/>
      <c r="D62" s="90" t="s">
        <v>30</v>
      </c>
      <c r="E62" s="90"/>
      <c r="F62" s="90"/>
      <c r="G62" s="90"/>
      <c r="H62" s="90"/>
      <c r="I62" s="25"/>
      <c r="J62" s="25"/>
      <c r="K62" s="25"/>
      <c r="L62" s="25"/>
      <c r="M62" s="25"/>
      <c r="N62" s="25"/>
    </row>
    <row r="63" spans="1:14" ht="15.75" customHeight="1" x14ac:dyDescent="0.25">
      <c r="A63" s="82" t="s">
        <v>87</v>
      </c>
      <c r="B63" s="82"/>
      <c r="C63" s="82"/>
      <c r="D63" s="91" t="str">
        <f ca="1">(IF(G69&gt;95%,"Nothing",IF(G69&gt;0%,"Cement, Aggregate, Steel, etc",IF(G69=0%,"Work not yet Started"))))</f>
        <v>Cement, Aggregate, Steel, etc</v>
      </c>
      <c r="E63" s="91"/>
      <c r="F63" s="91"/>
      <c r="G63" s="91"/>
      <c r="H63" s="91"/>
      <c r="J63" s="24"/>
    </row>
    <row r="64" spans="1:14" ht="33.75" customHeight="1" thickBot="1" x14ac:dyDescent="0.3">
      <c r="A64" s="90" t="s">
        <v>120</v>
      </c>
      <c r="B64" s="90"/>
      <c r="C64" s="90"/>
      <c r="D64" s="91" t="str">
        <f ca="1">(IF(D63="Nothing","Yes",IF(D63="Cement, Aggregate, Steel, etc","Under Construction",IF(D63="Work not yet Started","Work not yet Started"))))</f>
        <v>Under Construction</v>
      </c>
      <c r="E64" s="91"/>
      <c r="F64" s="91" t="str">
        <f ca="1">(IF(D63="Nothing","Yes",IF(D63="Cement, Aggregate, Steel, etc","Under Construction",IF(D63="Work not yet Started","Work not yet Started"))))</f>
        <v>Under Construction</v>
      </c>
      <c r="G64" s="91"/>
      <c r="H64" s="91"/>
    </row>
    <row r="65" spans="1:10" ht="15.75" customHeight="1" x14ac:dyDescent="0.25">
      <c r="A65" s="157" t="s">
        <v>144</v>
      </c>
      <c r="B65" s="157"/>
      <c r="C65" s="157" t="str">
        <f>D57</f>
        <v>Building No.14 = G + 1st to 23rd Floor</v>
      </c>
      <c r="D65" s="157"/>
      <c r="E65" s="157"/>
      <c r="F65" s="157"/>
      <c r="G65" s="157"/>
      <c r="H65" s="157"/>
      <c r="I65" s="65" t="str">
        <f ca="1">IF(D78=100%,"All work Completed. Possession granted to the Building.",IF(D77=100%,"All work Completed, Waiting for OC",I66&amp;""&amp;I67&amp;""&amp;J66&amp;""&amp;J65&amp;" "&amp;J67))</f>
        <v>Excavation, Plinth, RCC Slab Completed, Brickwork upto 21 Floor, Internal Plaster upto 11 Floor, External Plaster upto 8 Floor Completed</v>
      </c>
      <c r="J65" s="47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Brickwork upto 21 Floor, Internal Plaster upto 11 Floor, External Plaster upto 8 Floor</v>
      </c>
    </row>
    <row r="66" spans="1:10" x14ac:dyDescent="0.25">
      <c r="A66" s="63" t="s">
        <v>146</v>
      </c>
      <c r="B66" s="63">
        <f>IF(AND(ISNUMBER(SEARCH("1B",C65))),1,IF(AND(ISNUMBER(SEARCH("2B",C65))),2,IF(AND(ISNUMBER(SEARCH("3B",C65))),3,IF(AND(ISNUMBER(SEARCH("4B",C65))),4,IF(ISNUMBER(SEARCH("5B",C65)),5,0)))))</f>
        <v>0</v>
      </c>
      <c r="C66" s="63" t="s">
        <v>73</v>
      </c>
      <c r="D66" s="63">
        <v>1</v>
      </c>
      <c r="E66" s="63" t="s">
        <v>72</v>
      </c>
      <c r="F66" s="63">
        <v>0</v>
      </c>
      <c r="G66" s="46" t="s">
        <v>81</v>
      </c>
      <c r="H66" s="63">
        <f ca="1">--TRIM(RIGHT(SUBSTITUTE(LEFT(C65,_xlfn.AGGREGATE(16,6,FIND({0,1,2,3,4,5,6,7,8,9},C65,ROW(INDIRECT("1:"&amp;LEN(C65)))),1))," ",REPT(" ",LEN(C65))),LEN(C65)))</f>
        <v>23</v>
      </c>
      <c r="I66" s="66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</v>
      </c>
      <c r="J66" s="48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4.5" customHeight="1" x14ac:dyDescent="0.25">
      <c r="A67" s="134" t="s">
        <v>91</v>
      </c>
      <c r="B67" s="134"/>
      <c r="C67" s="158" t="str">
        <f ca="1">I65</f>
        <v>Excavation, Plinth, RCC Slab Completed, Brickwork upto 21 Floor, Internal Plaster upto 11 Floor, External Plaster upto 8 Floor Completed</v>
      </c>
      <c r="D67" s="158"/>
      <c r="E67" s="158"/>
      <c r="F67" s="158"/>
      <c r="G67" s="158"/>
      <c r="H67" s="158"/>
      <c r="I67" s="66" t="str">
        <f ca="1">IF(I66&lt;&gt;""," Completed","")</f>
        <v xml:space="preserve"> Completed</v>
      </c>
      <c r="J67" s="48" t="str">
        <f ca="1">IF(J65&lt;&gt;"","Completed","")</f>
        <v>Completed</v>
      </c>
    </row>
    <row r="68" spans="1:10" ht="15.75" customHeight="1" x14ac:dyDescent="0.25">
      <c r="A68" s="85" t="s">
        <v>50</v>
      </c>
      <c r="B68" s="85"/>
      <c r="C68" s="61" t="s">
        <v>143</v>
      </c>
      <c r="D68" s="61" t="s">
        <v>84</v>
      </c>
      <c r="E68" s="85" t="s">
        <v>86</v>
      </c>
      <c r="F68" s="85"/>
      <c r="G68" s="85" t="s">
        <v>85</v>
      </c>
      <c r="H68" s="85"/>
      <c r="I68" s="14" t="s">
        <v>145</v>
      </c>
      <c r="J68" s="26">
        <f ca="1">H66*25%</f>
        <v>5.75</v>
      </c>
    </row>
    <row r="69" spans="1:10" x14ac:dyDescent="0.25">
      <c r="A69" s="84" t="s">
        <v>132</v>
      </c>
      <c r="B69" s="85"/>
      <c r="C69" s="42">
        <f ca="1">J70</f>
        <v>23</v>
      </c>
      <c r="D69" s="17">
        <f ca="1">((100/H66)*C69)/100</f>
        <v>1</v>
      </c>
      <c r="E69" s="109">
        <f ca="1">(((C70/H66*10)+(40/(D66+F66+H66)*C71)+(7.5/(H66)*C72)+(7.5/(H66)*C73)+(10/H66*C74)+(10/H66*C75)+(5/H66*C76)+(5/H66*C77)+(5/H66*C78))/100)</f>
        <v>0.63913043478260878</v>
      </c>
      <c r="F69" s="168"/>
      <c r="G69" s="109">
        <f ca="1">((((C69/H66)*20)+((C70/H66)*25)+(30/(H66+F66+D66)*C71)+(5/H66*C72)+(5/H66*C73)+(5/H66*C74)+(5/H66*C75)+(0/H66*C76)+(0/H66*C77)+(5/H66*C78))/100)</f>
        <v>0.83695652173913049</v>
      </c>
      <c r="H69" s="110"/>
      <c r="I69" s="14" t="s">
        <v>102</v>
      </c>
      <c r="J69" s="27">
        <f ca="1">H66*50%</f>
        <v>11.5</v>
      </c>
    </row>
    <row r="70" spans="1:10" x14ac:dyDescent="0.25">
      <c r="A70" s="84" t="s">
        <v>51</v>
      </c>
      <c r="B70" s="85"/>
      <c r="C70" s="49">
        <f ca="1">J78</f>
        <v>23</v>
      </c>
      <c r="D70" s="17">
        <f ca="1">((100/H66)*C70)/100</f>
        <v>1</v>
      </c>
      <c r="E70" s="111"/>
      <c r="F70" s="169"/>
      <c r="G70" s="111"/>
      <c r="H70" s="112"/>
      <c r="I70" s="14" t="s">
        <v>103</v>
      </c>
      <c r="J70" s="27">
        <f ca="1">H66</f>
        <v>23</v>
      </c>
    </row>
    <row r="71" spans="1:10" ht="15.75" customHeight="1" x14ac:dyDescent="0.25">
      <c r="A71" s="84" t="s">
        <v>133</v>
      </c>
      <c r="B71" s="85"/>
      <c r="C71" s="42">
        <v>24</v>
      </c>
      <c r="D71" s="17">
        <f ca="1">((100/(D66+F66+H66))*C71)/100</f>
        <v>1</v>
      </c>
      <c r="E71" s="111"/>
      <c r="F71" s="169"/>
      <c r="G71" s="111"/>
      <c r="H71" s="112"/>
      <c r="I71" s="14" t="s">
        <v>104</v>
      </c>
      <c r="J71" s="28">
        <f ca="1">(IF(B66&gt;1,(H66/(B66+2)),H66/4))</f>
        <v>5.75</v>
      </c>
    </row>
    <row r="72" spans="1:10" ht="15.75" customHeight="1" x14ac:dyDescent="0.25">
      <c r="A72" s="84" t="s">
        <v>140</v>
      </c>
      <c r="B72" s="85" t="s">
        <v>134</v>
      </c>
      <c r="C72" s="42">
        <v>21</v>
      </c>
      <c r="D72" s="17">
        <f ca="1">((100/H66)*C72)/100</f>
        <v>0.91304347826086951</v>
      </c>
      <c r="E72" s="111"/>
      <c r="F72" s="169"/>
      <c r="G72" s="111"/>
      <c r="H72" s="112"/>
      <c r="I72" s="14" t="s">
        <v>105</v>
      </c>
      <c r="J72" s="28">
        <f ca="1">(IF(B66&gt;1,(H66/(B66+2)+J71),H66/4+J71))</f>
        <v>11.5</v>
      </c>
    </row>
    <row r="73" spans="1:10" ht="15.75" customHeight="1" x14ac:dyDescent="0.25">
      <c r="A73" s="84" t="s">
        <v>141</v>
      </c>
      <c r="B73" s="85" t="s">
        <v>134</v>
      </c>
      <c r="C73" s="42">
        <v>11</v>
      </c>
      <c r="D73" s="17">
        <f ca="1">((100/H66)*C73)/100</f>
        <v>0.47826086956521735</v>
      </c>
      <c r="E73" s="111"/>
      <c r="F73" s="169"/>
      <c r="G73" s="111"/>
      <c r="H73" s="112"/>
      <c r="I73" s="14" t="s">
        <v>150</v>
      </c>
      <c r="J73" s="28">
        <f>(IF(B66&gt;1,(H66/(B66+2)+J72),0))</f>
        <v>0</v>
      </c>
    </row>
    <row r="74" spans="1:10" ht="15" customHeight="1" x14ac:dyDescent="0.25">
      <c r="A74" s="84" t="s">
        <v>139</v>
      </c>
      <c r="B74" s="85" t="s">
        <v>136</v>
      </c>
      <c r="C74" s="42">
        <v>8</v>
      </c>
      <c r="D74" s="17">
        <f ca="1">((100/(H66))*C74)/100</f>
        <v>0.34782608695652173</v>
      </c>
      <c r="E74" s="111"/>
      <c r="F74" s="169"/>
      <c r="G74" s="111"/>
      <c r="H74" s="112"/>
      <c r="I74" s="14" t="s">
        <v>147</v>
      </c>
      <c r="J74" s="28">
        <f>(IF(B66&gt;2,(H66/(B66+2)+J73),0))</f>
        <v>0</v>
      </c>
    </row>
    <row r="75" spans="1:10" ht="15.75" customHeight="1" x14ac:dyDescent="0.25">
      <c r="A75" s="84" t="s">
        <v>135</v>
      </c>
      <c r="B75" s="85" t="s">
        <v>135</v>
      </c>
      <c r="C75" s="42">
        <v>0</v>
      </c>
      <c r="D75" s="17">
        <f ca="1">((100/H66)*C75)/100</f>
        <v>0</v>
      </c>
      <c r="E75" s="111"/>
      <c r="F75" s="169"/>
      <c r="G75" s="111"/>
      <c r="H75" s="112"/>
      <c r="I75" s="14" t="s">
        <v>148</v>
      </c>
      <c r="J75" s="29">
        <f>(IF(B66&gt;3,(H66/(B66+2)+J74),0))</f>
        <v>0</v>
      </c>
    </row>
    <row r="76" spans="1:10" ht="15.75" customHeight="1" x14ac:dyDescent="0.25">
      <c r="A76" s="84" t="s">
        <v>142</v>
      </c>
      <c r="B76" s="85"/>
      <c r="C76" s="42">
        <v>0</v>
      </c>
      <c r="D76" s="17">
        <f ca="1">((100/H66)*C76)/100</f>
        <v>0</v>
      </c>
      <c r="E76" s="111"/>
      <c r="F76" s="169"/>
      <c r="G76" s="111"/>
      <c r="H76" s="112"/>
      <c r="I76" s="14" t="s">
        <v>149</v>
      </c>
      <c r="J76" s="28">
        <f>(IF(B66&gt;4,(H66/(B66+2)+J75),0))</f>
        <v>0</v>
      </c>
    </row>
    <row r="77" spans="1:10" ht="15.75" customHeight="1" x14ac:dyDescent="0.25">
      <c r="A77" s="84" t="s">
        <v>137</v>
      </c>
      <c r="B77" s="85" t="s">
        <v>137</v>
      </c>
      <c r="C77" s="42">
        <v>0</v>
      </c>
      <c r="D77" s="17">
        <f ca="1">((100/(H66))*C77)/100</f>
        <v>0</v>
      </c>
      <c r="E77" s="111"/>
      <c r="F77" s="169"/>
      <c r="G77" s="111"/>
      <c r="H77" s="112"/>
      <c r="I77" s="14" t="s">
        <v>151</v>
      </c>
      <c r="J77" s="28">
        <f ca="1">(IF(B66=1,(H66/(B66+3)+J72),IF(B66=0,(H66/4+J72),IF(B66&gt;1,0))))</f>
        <v>17.25</v>
      </c>
    </row>
    <row r="78" spans="1:10" ht="16.5" thickBot="1" x14ac:dyDescent="0.3">
      <c r="A78" s="115" t="s">
        <v>138</v>
      </c>
      <c r="B78" s="116"/>
      <c r="C78" s="43">
        <v>0</v>
      </c>
      <c r="D78" s="18">
        <f ca="1">((100/(H66))*C78)/100</f>
        <v>0</v>
      </c>
      <c r="E78" s="113"/>
      <c r="F78" s="170"/>
      <c r="G78" s="113"/>
      <c r="H78" s="114"/>
      <c r="I78" s="15" t="s">
        <v>106</v>
      </c>
      <c r="J78" s="30">
        <f ca="1">(IF(B66&gt;1.5,(H66/(B66+2)+J72+MAX(0,J73-J72)+MAX(0,J74-J73)+MAX(0,J75-J74)+MAX(0,J76-J75)+MAX(0,J77-J76)),IF(B66=1,(H66/(B66+3)+J77),IF(B66=0,H66/4+J77))))</f>
        <v>23</v>
      </c>
    </row>
    <row r="79" spans="1:10" x14ac:dyDescent="0.25">
      <c r="A79" s="183" t="s">
        <v>160</v>
      </c>
      <c r="B79" s="183"/>
      <c r="C79" s="183"/>
      <c r="D79" s="183"/>
      <c r="E79" s="183"/>
      <c r="F79" s="102" t="s">
        <v>164</v>
      </c>
      <c r="G79" s="102"/>
      <c r="H79" s="102"/>
    </row>
    <row r="80" spans="1:10" x14ac:dyDescent="0.25">
      <c r="A80" s="82" t="s">
        <v>163</v>
      </c>
      <c r="B80" s="82"/>
      <c r="C80" s="82"/>
      <c r="D80" s="82"/>
      <c r="E80" s="82"/>
      <c r="F80" s="86">
        <v>6000</v>
      </c>
      <c r="G80" s="86"/>
      <c r="H80" s="86"/>
    </row>
    <row r="81" spans="1:8" hidden="1" x14ac:dyDescent="0.25">
      <c r="A81" s="82" t="s">
        <v>162</v>
      </c>
      <c r="B81" s="82"/>
      <c r="C81" s="82"/>
      <c r="D81" s="82"/>
      <c r="E81" s="82"/>
      <c r="F81" s="121"/>
      <c r="G81" s="121"/>
      <c r="H81" s="121"/>
    </row>
    <row r="82" spans="1:8" ht="34.5" customHeight="1" x14ac:dyDescent="0.25">
      <c r="A82" s="90" t="s">
        <v>230</v>
      </c>
      <c r="B82" s="90"/>
      <c r="C82" s="90"/>
      <c r="D82" s="90"/>
      <c r="E82" s="90"/>
      <c r="F82" s="121">
        <v>10000</v>
      </c>
      <c r="G82" s="121"/>
      <c r="H82" s="121"/>
    </row>
    <row r="83" spans="1:8" s="31" customFormat="1" hidden="1" x14ac:dyDescent="0.25">
      <c r="A83" s="82" t="s">
        <v>161</v>
      </c>
      <c r="B83" s="82"/>
      <c r="C83" s="82"/>
      <c r="D83" s="82"/>
      <c r="E83" s="82"/>
      <c r="F83" s="121"/>
      <c r="G83" s="121"/>
      <c r="H83" s="121"/>
    </row>
    <row r="84" spans="1:8" s="31" customFormat="1" hidden="1" x14ac:dyDescent="0.25">
      <c r="A84" s="82" t="s">
        <v>96</v>
      </c>
      <c r="B84" s="82"/>
      <c r="C84" s="82"/>
      <c r="D84" s="82"/>
      <c r="E84" s="82"/>
      <c r="F84" s="121"/>
      <c r="G84" s="121"/>
      <c r="H84" s="121"/>
    </row>
    <row r="85" spans="1:8" s="31" customFormat="1" hidden="1" x14ac:dyDescent="0.25">
      <c r="A85" s="82" t="s">
        <v>97</v>
      </c>
      <c r="B85" s="82"/>
      <c r="C85" s="82"/>
      <c r="D85" s="82"/>
      <c r="E85" s="82"/>
      <c r="F85" s="121"/>
      <c r="G85" s="121"/>
      <c r="H85" s="121"/>
    </row>
    <row r="86" spans="1:8" s="31" customFormat="1" hidden="1" x14ac:dyDescent="0.25">
      <c r="A86" s="82" t="s">
        <v>165</v>
      </c>
      <c r="B86" s="82"/>
      <c r="C86" s="82"/>
      <c r="D86" s="82"/>
      <c r="E86" s="82"/>
      <c r="F86" s="121"/>
      <c r="G86" s="121"/>
      <c r="H86" s="121"/>
    </row>
    <row r="87" spans="1:8" s="31" customFormat="1" hidden="1" x14ac:dyDescent="0.25">
      <c r="A87" s="82" t="s">
        <v>98</v>
      </c>
      <c r="B87" s="82"/>
      <c r="C87" s="82"/>
      <c r="D87" s="82"/>
      <c r="E87" s="82"/>
      <c r="F87" s="121"/>
      <c r="G87" s="121"/>
      <c r="H87" s="121"/>
    </row>
    <row r="88" spans="1:8" s="31" customFormat="1" hidden="1" x14ac:dyDescent="0.25">
      <c r="A88" s="82" t="s">
        <v>99</v>
      </c>
      <c r="B88" s="82"/>
      <c r="C88" s="82"/>
      <c r="D88" s="82"/>
      <c r="E88" s="82"/>
      <c r="F88" s="121"/>
      <c r="G88" s="121"/>
      <c r="H88" s="121"/>
    </row>
    <row r="89" spans="1:8" s="31" customFormat="1" hidden="1" x14ac:dyDescent="0.25">
      <c r="A89" s="82" t="s">
        <v>100</v>
      </c>
      <c r="B89" s="82"/>
      <c r="C89" s="82"/>
      <c r="D89" s="82"/>
      <c r="E89" s="82"/>
      <c r="F89" s="121"/>
      <c r="G89" s="121"/>
      <c r="H89" s="121"/>
    </row>
    <row r="90" spans="1:8" s="31" customFormat="1" hidden="1" x14ac:dyDescent="0.25">
      <c r="A90" s="82" t="s">
        <v>101</v>
      </c>
      <c r="B90" s="82"/>
      <c r="C90" s="82"/>
      <c r="D90" s="82"/>
      <c r="E90" s="82"/>
      <c r="F90" s="121"/>
      <c r="G90" s="121"/>
      <c r="H90" s="121"/>
    </row>
    <row r="91" spans="1:8" x14ac:dyDescent="0.25">
      <c r="A91" s="82" t="s">
        <v>52</v>
      </c>
      <c r="B91" s="82"/>
      <c r="C91" s="82"/>
      <c r="D91" s="82"/>
      <c r="E91" s="82"/>
      <c r="F91" s="121">
        <v>300000</v>
      </c>
      <c r="G91" s="121"/>
      <c r="H91" s="121"/>
    </row>
    <row r="92" spans="1:8" s="32" customFormat="1" x14ac:dyDescent="0.25">
      <c r="A92" s="122" t="s">
        <v>53</v>
      </c>
      <c r="B92" s="122"/>
      <c r="C92" s="122"/>
      <c r="D92" s="122"/>
      <c r="E92" s="122"/>
      <c r="F92" s="121">
        <f>F80*0.8</f>
        <v>4800</v>
      </c>
      <c r="G92" s="121"/>
      <c r="H92" s="121"/>
    </row>
    <row r="93" spans="1:8" s="33" customFormat="1" ht="15.75" customHeight="1" x14ac:dyDescent="0.25">
      <c r="A93" s="120" t="s">
        <v>218</v>
      </c>
      <c r="B93" s="120"/>
      <c r="C93" s="120"/>
      <c r="D93" s="120"/>
      <c r="E93" s="120"/>
      <c r="F93" s="120"/>
      <c r="G93" s="120"/>
      <c r="H93" s="120"/>
    </row>
    <row r="94" spans="1:8" s="33" customFormat="1" ht="15.75" customHeight="1" x14ac:dyDescent="0.25">
      <c r="A94" s="83" t="s">
        <v>54</v>
      </c>
      <c r="B94" s="83"/>
      <c r="C94" s="174" t="s">
        <v>79</v>
      </c>
      <c r="D94" s="174"/>
      <c r="E94" s="95" t="s">
        <v>55</v>
      </c>
      <c r="F94" s="95"/>
      <c r="G94" s="83" t="s">
        <v>56</v>
      </c>
      <c r="H94" s="83"/>
    </row>
    <row r="95" spans="1:8" s="33" customFormat="1" x14ac:dyDescent="0.25">
      <c r="A95" s="124" t="s">
        <v>216</v>
      </c>
      <c r="B95" s="124"/>
      <c r="C95" s="160">
        <f>COUNT(D108:D110)</f>
        <v>3</v>
      </c>
      <c r="D95" s="184"/>
      <c r="E95" s="87">
        <f t="shared" ref="E95" si="0">SUM(D108:D110)</f>
        <v>5572.6304400000008</v>
      </c>
      <c r="F95" s="88"/>
      <c r="G95" s="87">
        <f>SUM(F108:F110)</f>
        <v>8916.2087040000006</v>
      </c>
      <c r="H95" s="88"/>
    </row>
    <row r="96" spans="1:8" s="33" customFormat="1" x14ac:dyDescent="0.25">
      <c r="A96" s="120" t="s">
        <v>219</v>
      </c>
      <c r="B96" s="120"/>
      <c r="C96" s="120"/>
      <c r="D96" s="120"/>
      <c r="E96" s="120"/>
      <c r="F96" s="120"/>
      <c r="G96" s="120"/>
      <c r="H96" s="120"/>
    </row>
    <row r="97" spans="1:14" s="33" customFormat="1" ht="15.75" customHeight="1" x14ac:dyDescent="0.25">
      <c r="A97" s="83" t="s">
        <v>54</v>
      </c>
      <c r="B97" s="83"/>
      <c r="C97" s="174" t="s">
        <v>79</v>
      </c>
      <c r="D97" s="174"/>
      <c r="E97" s="95" t="s">
        <v>55</v>
      </c>
      <c r="F97" s="95"/>
      <c r="G97" s="83" t="s">
        <v>56</v>
      </c>
      <c r="H97" s="83"/>
    </row>
    <row r="98" spans="1:14" s="33" customFormat="1" ht="15.75" customHeight="1" thickBot="1" x14ac:dyDescent="0.3">
      <c r="A98" s="124" t="s">
        <v>217</v>
      </c>
      <c r="B98" s="124" t="s">
        <v>217</v>
      </c>
      <c r="C98" s="160">
        <f>COUNT(D116:D117)+COUNT(D119:D126)+COUNT(D128:D135)*15+COUNT(D137:D143)*4</f>
        <v>158</v>
      </c>
      <c r="D98" s="160"/>
      <c r="E98" s="87">
        <f>SUM(D116:D117)+SUM(D119:D126)+SUM(D128:D135)*15+SUM(D137:D143)*4</f>
        <v>79067.607839999997</v>
      </c>
      <c r="F98" s="87"/>
      <c r="G98" s="87">
        <f>SUM(F116:F117)+SUM(F119:F126)+SUM(F128:F135)*12+SUM(F137:F143)*4</f>
        <v>100602.20078999999</v>
      </c>
      <c r="H98" s="87"/>
    </row>
    <row r="99" spans="1:14" s="33" customFormat="1" ht="16.5" thickBot="1" x14ac:dyDescent="0.3">
      <c r="A99" s="77" t="s">
        <v>171</v>
      </c>
      <c r="B99" s="78"/>
      <c r="C99" s="79">
        <f>C95+C98</f>
        <v>161</v>
      </c>
      <c r="D99" s="80"/>
      <c r="E99" s="79">
        <f t="shared" ref="E99" si="1">E95+E98</f>
        <v>84640.23827999999</v>
      </c>
      <c r="F99" s="80"/>
      <c r="G99" s="79">
        <f t="shared" ref="G99" si="2">G95+G98</f>
        <v>109518.40949399999</v>
      </c>
      <c r="H99" s="80"/>
    </row>
    <row r="100" spans="1:14" s="32" customFormat="1" x14ac:dyDescent="0.25">
      <c r="A100" s="102" t="s">
        <v>57</v>
      </c>
      <c r="B100" s="102"/>
      <c r="C100" s="102"/>
      <c r="D100" s="102"/>
      <c r="E100" s="102"/>
      <c r="F100" s="102"/>
      <c r="G100" s="102"/>
      <c r="H100" s="102"/>
    </row>
    <row r="101" spans="1:14" x14ac:dyDescent="0.25">
      <c r="A101" s="106" t="s">
        <v>58</v>
      </c>
      <c r="B101" s="106"/>
      <c r="C101" s="106"/>
      <c r="D101" s="106"/>
      <c r="E101" s="106"/>
      <c r="F101" s="106"/>
      <c r="G101" s="106"/>
      <c r="H101" s="106"/>
    </row>
    <row r="102" spans="1:14" ht="47.25" customHeight="1" x14ac:dyDescent="0.25">
      <c r="A102" s="107" t="s">
        <v>122</v>
      </c>
      <c r="B102" s="107" t="s">
        <v>121</v>
      </c>
      <c r="C102" s="107" t="s">
        <v>59</v>
      </c>
      <c r="D102" s="107" t="s">
        <v>60</v>
      </c>
      <c r="E102" s="161" t="s">
        <v>159</v>
      </c>
      <c r="F102" s="41" t="s">
        <v>153</v>
      </c>
      <c r="G102" s="163" t="s">
        <v>62</v>
      </c>
      <c r="H102" s="164"/>
    </row>
    <row r="103" spans="1:14" s="35" customFormat="1" x14ac:dyDescent="0.25">
      <c r="A103" s="108"/>
      <c r="B103" s="108"/>
      <c r="C103" s="108"/>
      <c r="D103" s="108"/>
      <c r="E103" s="162"/>
      <c r="F103" s="13">
        <v>0.6</v>
      </c>
      <c r="G103" s="165"/>
      <c r="H103" s="166"/>
    </row>
    <row r="104" spans="1:14" s="55" customFormat="1" x14ac:dyDescent="0.25">
      <c r="A104" s="92" t="s">
        <v>182</v>
      </c>
      <c r="B104" s="93"/>
      <c r="C104" s="93"/>
      <c r="D104" s="93"/>
      <c r="E104" s="93"/>
      <c r="F104" s="93"/>
      <c r="G104" s="93"/>
      <c r="H104" s="94"/>
      <c r="J104" s="34"/>
    </row>
    <row r="105" spans="1:14" s="51" customFormat="1" x14ac:dyDescent="0.25">
      <c r="A105" s="92" t="s">
        <v>212</v>
      </c>
      <c r="B105" s="93"/>
      <c r="C105" s="93"/>
      <c r="D105" s="93"/>
      <c r="E105" s="93"/>
      <c r="F105" s="93"/>
      <c r="G105" s="93"/>
      <c r="H105" s="94"/>
      <c r="J105" s="34"/>
    </row>
    <row r="106" spans="1:14" s="51" customFormat="1" x14ac:dyDescent="0.25">
      <c r="A106" s="92" t="s">
        <v>203</v>
      </c>
      <c r="B106" s="93"/>
      <c r="C106" s="93"/>
      <c r="D106" s="93"/>
      <c r="E106" s="93"/>
      <c r="F106" s="93"/>
      <c r="G106" s="93"/>
      <c r="H106" s="94"/>
      <c r="J106" s="34"/>
    </row>
    <row r="107" spans="1:14" s="35" customFormat="1" x14ac:dyDescent="0.25">
      <c r="A107" s="123" t="s">
        <v>202</v>
      </c>
      <c r="B107" s="123"/>
      <c r="C107" s="123"/>
      <c r="D107" s="123"/>
      <c r="E107" s="123"/>
      <c r="F107" s="123"/>
      <c r="G107" s="123"/>
      <c r="H107" s="123"/>
      <c r="J107" s="34"/>
    </row>
    <row r="108" spans="1:14" s="35" customFormat="1" ht="65.25" customHeight="1" x14ac:dyDescent="0.25">
      <c r="A108" s="172">
        <v>1</v>
      </c>
      <c r="B108" s="172"/>
      <c r="C108" s="64" t="s">
        <v>214</v>
      </c>
      <c r="D108" s="53">
        <f>(7.5*7.5+2.05*2.3+2.35*3.85+3.3*4.5+6.4*12.15+2.05*2.3+7.5*1.1+6.5*0.6+2.9*1.2+3.3*0.3+2.35*3.85)*(10.764)</f>
        <v>2077.5058200000003</v>
      </c>
      <c r="E108" s="64">
        <v>0</v>
      </c>
      <c r="F108" s="64">
        <f>(D108+E108)*(($F$103)+1)</f>
        <v>3324.0093120000006</v>
      </c>
      <c r="G108" s="172" t="str">
        <f>A107</f>
        <v>Ground + 1st Floor For Commercial</v>
      </c>
      <c r="H108" s="172"/>
      <c r="I108" s="54"/>
      <c r="J108" s="35">
        <f>23-2</f>
        <v>21</v>
      </c>
      <c r="L108" s="159"/>
      <c r="M108" s="159"/>
      <c r="N108" s="34"/>
    </row>
    <row r="109" spans="1:14" s="35" customFormat="1" ht="66" customHeight="1" x14ac:dyDescent="0.25">
      <c r="A109" s="172">
        <f t="shared" ref="A109:A110" si="3">A108+1</f>
        <v>2</v>
      </c>
      <c r="B109" s="172"/>
      <c r="C109" s="64" t="s">
        <v>214</v>
      </c>
      <c r="D109" s="53">
        <f>(12.15*4.1+1.3*1.05+1.3*1.05+4.5*0.8+1.3*1.05+1.3*1.05+4.5*3.1+12.15*4.1+1.3*1.05+1.3*1.05+4.5*0.8+1.3*1.05+1.3*1.05)*(10.764)</f>
        <v>1417.6188000000002</v>
      </c>
      <c r="E109" s="64">
        <v>0</v>
      </c>
      <c r="F109" s="64">
        <f t="shared" ref="F109:F110" si="4">(D109+E109)*(($F$103)+1)</f>
        <v>2268.1900800000003</v>
      </c>
      <c r="G109" s="172"/>
      <c r="H109" s="172"/>
      <c r="I109" s="34"/>
      <c r="L109" s="159"/>
      <c r="M109" s="159"/>
      <c r="N109" s="34"/>
    </row>
    <row r="110" spans="1:14" s="35" customFormat="1" ht="63.75" customHeight="1" x14ac:dyDescent="0.25">
      <c r="A110" s="172">
        <f t="shared" si="3"/>
        <v>3</v>
      </c>
      <c r="B110" s="172"/>
      <c r="C110" s="64" t="s">
        <v>215</v>
      </c>
      <c r="D110" s="53">
        <f>(7.5*7.5+2.05*2.3+3.3*4.5+2.35*3.85+6.4*12.15+7.5*1.1+2.05*2.3+6.5*0.6+2.9*1.2+3.3*0.3+2.35*3.85)*(10.764)</f>
        <v>2077.5058200000003</v>
      </c>
      <c r="E110" s="64">
        <v>0</v>
      </c>
      <c r="F110" s="64">
        <f t="shared" si="4"/>
        <v>3324.0093120000006</v>
      </c>
      <c r="G110" s="172"/>
      <c r="H110" s="172"/>
      <c r="I110" s="34"/>
      <c r="L110" s="159"/>
      <c r="M110" s="159"/>
      <c r="N110" s="34"/>
    </row>
    <row r="111" spans="1:14" s="35" customFormat="1" x14ac:dyDescent="0.25">
      <c r="A111" s="104"/>
      <c r="B111" s="173"/>
      <c r="C111" s="173"/>
      <c r="D111" s="173"/>
      <c r="E111" s="173"/>
      <c r="F111" s="173"/>
      <c r="G111" s="173"/>
      <c r="H111" s="105"/>
      <c r="I111" s="34"/>
      <c r="N111" s="34"/>
    </row>
    <row r="112" spans="1:14" ht="47.25" customHeight="1" x14ac:dyDescent="0.25">
      <c r="A112" s="163" t="s">
        <v>123</v>
      </c>
      <c r="B112" s="163" t="s">
        <v>124</v>
      </c>
      <c r="C112" s="107" t="s">
        <v>59</v>
      </c>
      <c r="D112" s="107" t="s">
        <v>60</v>
      </c>
      <c r="E112" s="161" t="s">
        <v>61</v>
      </c>
      <c r="F112" s="41" t="s">
        <v>153</v>
      </c>
      <c r="G112" s="163" t="s">
        <v>62</v>
      </c>
      <c r="H112" s="164"/>
      <c r="I112" s="34"/>
    </row>
    <row r="113" spans="1:15" s="35" customFormat="1" x14ac:dyDescent="0.25">
      <c r="A113" s="165"/>
      <c r="B113" s="165"/>
      <c r="C113" s="108"/>
      <c r="D113" s="108"/>
      <c r="E113" s="162"/>
      <c r="F113" s="13">
        <v>0.5</v>
      </c>
      <c r="G113" s="165"/>
      <c r="H113" s="166"/>
      <c r="I113" s="34"/>
    </row>
    <row r="114" spans="1:15" s="55" customFormat="1" x14ac:dyDescent="0.25">
      <c r="A114" s="92" t="s">
        <v>182</v>
      </c>
      <c r="B114" s="93"/>
      <c r="C114" s="93"/>
      <c r="D114" s="93"/>
      <c r="E114" s="93"/>
      <c r="F114" s="93"/>
      <c r="G114" s="93"/>
      <c r="H114" s="94"/>
      <c r="J114" s="34"/>
    </row>
    <row r="115" spans="1:15" s="55" customFormat="1" ht="15.75" customHeight="1" x14ac:dyDescent="0.25">
      <c r="A115" s="92" t="s">
        <v>204</v>
      </c>
      <c r="B115" s="93"/>
      <c r="C115" s="93"/>
      <c r="D115" s="93"/>
      <c r="E115" s="93"/>
      <c r="F115" s="93"/>
      <c r="G115" s="93"/>
      <c r="H115" s="94"/>
      <c r="J115" s="57" t="s">
        <v>225</v>
      </c>
      <c r="K115" s="56" t="s">
        <v>226</v>
      </c>
      <c r="L115" s="71" t="s">
        <v>229</v>
      </c>
      <c r="M115" s="71"/>
    </row>
    <row r="116" spans="1:15" s="35" customFormat="1" ht="15.75" customHeight="1" x14ac:dyDescent="0.25">
      <c r="A116" s="104">
        <v>3</v>
      </c>
      <c r="B116" s="105"/>
      <c r="C116" s="40" t="s">
        <v>205</v>
      </c>
      <c r="D116" s="53">
        <f>(28.27+1.6*2.75+1.2*(2.45+2.75))*(10.764)</f>
        <v>418.82724000000002</v>
      </c>
      <c r="E116" s="40">
        <v>0</v>
      </c>
      <c r="F116" s="40">
        <f>D116*(($F$113)+1)+(IF(E116&lt;101,E116,IF(E116&lt;201,E116/2,IF(E116&lt;=301,E116/3,E116/4))))</f>
        <v>628.24086</v>
      </c>
      <c r="G116" s="127"/>
      <c r="H116" s="128"/>
      <c r="I116" s="34">
        <f>2.75*3.3+2.45*1.7+2.75*2.45+1.45*0.6+1.8*1.2+1.8*1.2+1*2.6</f>
        <v>27.767500000000002</v>
      </c>
      <c r="J116" s="34">
        <f>3700000/F116</f>
        <v>5889.4609306373359</v>
      </c>
      <c r="K116" s="34">
        <f>4000000/F116</f>
        <v>6366.9847898782009</v>
      </c>
      <c r="L116" s="171">
        <f>3899999/F121</f>
        <v>6207.8085783850483</v>
      </c>
      <c r="M116" s="171"/>
      <c r="N116" s="34">
        <v>3900000</v>
      </c>
    </row>
    <row r="117" spans="1:15" s="35" customFormat="1" ht="15.75" customHeight="1" x14ac:dyDescent="0.25">
      <c r="A117" s="104">
        <f t="shared" ref="A117" si="5">A116+1</f>
        <v>4</v>
      </c>
      <c r="B117" s="105"/>
      <c r="C117" s="50" t="s">
        <v>205</v>
      </c>
      <c r="D117" s="53">
        <f>(28.27+1.6*2.75+1.2*(2.45+2.75))*(10.764)</f>
        <v>418.82724000000002</v>
      </c>
      <c r="E117" s="40">
        <v>0</v>
      </c>
      <c r="F117" s="40">
        <f>D117*(($F$113)+1)+(IF(E117&lt;101,E117,IF(E117&lt;201,E117/2,IF(E117&lt;=301,E117/3,E117/4))))</f>
        <v>628.24086</v>
      </c>
      <c r="G117" s="127"/>
      <c r="H117" s="128"/>
      <c r="I117" s="34"/>
      <c r="J117" s="34">
        <f>5100000/F129</f>
        <v>5824.5935307404579</v>
      </c>
      <c r="K117" s="34">
        <f>5600000/F129</f>
        <v>6395.6321121856008</v>
      </c>
      <c r="L117" s="171">
        <f>5299999/F129</f>
        <v>6053.0078212413528</v>
      </c>
      <c r="M117" s="171"/>
      <c r="N117" s="34">
        <v>5300000</v>
      </c>
    </row>
    <row r="118" spans="1:15" s="35" customFormat="1" x14ac:dyDescent="0.25">
      <c r="A118" s="123" t="s">
        <v>206</v>
      </c>
      <c r="B118" s="123"/>
      <c r="C118" s="123"/>
      <c r="D118" s="123"/>
      <c r="E118" s="123"/>
      <c r="F118" s="123"/>
      <c r="G118" s="123"/>
      <c r="H118" s="123"/>
      <c r="I118" s="34"/>
      <c r="J118" s="34">
        <f>5201000/F119</f>
        <v>5880.5737113039586</v>
      </c>
      <c r="K118" s="57">
        <f>AVERAGE(K116:K117)</f>
        <v>6381.3084510319004</v>
      </c>
      <c r="L118" s="171">
        <f>5349999/F128</f>
        <v>6049.041237243312</v>
      </c>
      <c r="M118" s="171"/>
    </row>
    <row r="119" spans="1:15" s="35" customFormat="1" ht="15.75" customHeight="1" x14ac:dyDescent="0.25">
      <c r="A119" s="172">
        <v>1</v>
      </c>
      <c r="B119" s="172"/>
      <c r="C119" s="40" t="s">
        <v>207</v>
      </c>
      <c r="D119" s="53">
        <f>(41.05+1.65*2.9+1.2*2.4+1*2.9+1.15*2.75)*(10.764)</f>
        <v>589.62500999999997</v>
      </c>
      <c r="E119" s="40">
        <v>0</v>
      </c>
      <c r="F119" s="40">
        <f t="shared" ref="F119:F120" si="6">D119*(($F$113)+1)+(IF(E119&lt;101,E119,IF(E119&lt;201,E119/2,IF(E119&lt;=301,E119/3,E119/4))))</f>
        <v>884.43751499999996</v>
      </c>
      <c r="G119" s="125" t="str">
        <f>A118</f>
        <v>2nd Floor For Residential</v>
      </c>
      <c r="H119" s="126"/>
      <c r="I119" s="34">
        <f>2.9*3.4+1*1.7+2.4*3.35+2.9*2.4+1.2*2.2+2.2*1.2+2.3*2.75+1*2</f>
        <v>40.164999999999999</v>
      </c>
      <c r="J119" s="57">
        <f>AVERAGE(J116:J118)</f>
        <v>5864.8760575605838</v>
      </c>
      <c r="L119" s="70">
        <f>AVERAGE(L116:M118)</f>
        <v>6103.2858789565717</v>
      </c>
      <c r="M119" s="71"/>
      <c r="N119" s="34"/>
    </row>
    <row r="120" spans="1:15" s="35" customFormat="1" ht="15.75" customHeight="1" x14ac:dyDescent="0.25">
      <c r="A120" s="172">
        <f t="shared" ref="A120:A126" si="7">A119+1</f>
        <v>2</v>
      </c>
      <c r="B120" s="172"/>
      <c r="C120" s="50" t="s">
        <v>207</v>
      </c>
      <c r="D120" s="53">
        <f>(40.33+1.5*2.9+1.2*2.4+1.1*2.9+1.2*2.9)*(10.764)</f>
        <v>583.73171999999988</v>
      </c>
      <c r="E120" s="53">
        <f>(1.6*2.9)*(10.764)</f>
        <v>49.944959999999995</v>
      </c>
      <c r="F120" s="40">
        <f t="shared" si="6"/>
        <v>925.54253999999992</v>
      </c>
      <c r="G120" s="127"/>
      <c r="H120" s="128"/>
      <c r="I120" s="34"/>
      <c r="N120" s="34"/>
    </row>
    <row r="121" spans="1:15" s="35" customFormat="1" ht="15.75" customHeight="1" x14ac:dyDescent="0.25">
      <c r="A121" s="172">
        <f t="shared" si="7"/>
        <v>3</v>
      </c>
      <c r="B121" s="172"/>
      <c r="C121" s="50" t="s">
        <v>205</v>
      </c>
      <c r="D121" s="53">
        <f>(28.27+1.6*2.75+1.2*(2.45+2.75))*(10.764)</f>
        <v>418.82724000000002</v>
      </c>
      <c r="E121" s="40">
        <v>0</v>
      </c>
      <c r="F121" s="40">
        <f>D121*(($F$113)+1)+(IF(E121&lt;101,E121,IF(E121&lt;201,E121/2,IF(E121&lt;=301,E121/3,E121/4))))</f>
        <v>628.24086</v>
      </c>
      <c r="G121" s="127"/>
      <c r="H121" s="128"/>
      <c r="I121" s="58" t="s">
        <v>227</v>
      </c>
      <c r="N121" s="34"/>
    </row>
    <row r="122" spans="1:15" s="35" customFormat="1" ht="15.75" customHeight="1" x14ac:dyDescent="0.25">
      <c r="A122" s="172">
        <f t="shared" si="7"/>
        <v>4</v>
      </c>
      <c r="B122" s="172"/>
      <c r="C122" s="50" t="s">
        <v>205</v>
      </c>
      <c r="D122" s="53">
        <f>(28.27+1.6*2.75+1.2*(2.45+2.75))*(10.764)</f>
        <v>418.82724000000002</v>
      </c>
      <c r="E122" s="40">
        <v>0</v>
      </c>
      <c r="F122" s="40">
        <f>D122*(($F$113)+1)+(IF(E122&lt;101,E122,IF(E122&lt;201,E122/2,IF(E122&lt;=301,E122/3,E122/4))))</f>
        <v>628.24086</v>
      </c>
      <c r="G122" s="127"/>
      <c r="H122" s="128"/>
      <c r="I122" s="58" t="s">
        <v>228</v>
      </c>
      <c r="N122" s="34"/>
    </row>
    <row r="123" spans="1:15" s="35" customFormat="1" ht="15.75" customHeight="1" x14ac:dyDescent="0.25">
      <c r="A123" s="172">
        <f t="shared" si="7"/>
        <v>5</v>
      </c>
      <c r="B123" s="172"/>
      <c r="C123" s="50" t="s">
        <v>207</v>
      </c>
      <c r="D123" s="53">
        <f>(40.33+1.5*2.9+1.2*2.4+1.1*2.9+1.2*2.9)*(10.764)</f>
        <v>583.73171999999988</v>
      </c>
      <c r="E123" s="53">
        <f>(1.6*2.9)*(10.764)</f>
        <v>49.944959999999995</v>
      </c>
      <c r="F123" s="40">
        <f>D123*(($F$113)+1)+(IF(E123&lt;101,E123,IF(E123&lt;201,E123/2,IF(E123&lt;=301,E123/3,E123/4))))</f>
        <v>925.54253999999992</v>
      </c>
      <c r="G123" s="127"/>
      <c r="H123" s="128"/>
      <c r="I123" s="34"/>
      <c r="N123" s="34"/>
    </row>
    <row r="124" spans="1:15" s="51" customFormat="1" ht="15.75" customHeight="1" x14ac:dyDescent="0.25">
      <c r="A124" s="172">
        <f t="shared" si="7"/>
        <v>6</v>
      </c>
      <c r="B124" s="172"/>
      <c r="C124" s="50" t="s">
        <v>207</v>
      </c>
      <c r="D124" s="53">
        <f>(41.05+1.65*2.9+1.2*2.4+1*2.9+1.15*2.75)*(10.764)</f>
        <v>589.62500999999997</v>
      </c>
      <c r="E124" s="50">
        <v>0</v>
      </c>
      <c r="F124" s="50">
        <f t="shared" ref="F124" si="8">D124*(($F$113)+1)+(IF(E124&lt;101,E124,IF(E124&lt;201,E124/2,IF(E124&lt;=301,E124/3,E124/4))))</f>
        <v>884.43751499999996</v>
      </c>
      <c r="G124" s="127"/>
      <c r="H124" s="128"/>
      <c r="I124" s="34"/>
      <c r="N124" s="34"/>
    </row>
    <row r="125" spans="1:15" s="51" customFormat="1" ht="15.75" customHeight="1" x14ac:dyDescent="0.25">
      <c r="A125" s="172">
        <f t="shared" si="7"/>
        <v>7</v>
      </c>
      <c r="B125" s="172"/>
      <c r="C125" s="50" t="s">
        <v>205</v>
      </c>
      <c r="D125" s="53">
        <f>(28.27+1.6*2.75+1.2*(2.45+2.75))*(10.764)</f>
        <v>418.82724000000002</v>
      </c>
      <c r="E125" s="50">
        <v>0</v>
      </c>
      <c r="F125" s="50">
        <f>D125*(($F$113)+1)+(IF(E125&lt;101,E125,IF(E125&lt;201,E125/2,IF(E125&lt;=301,E125/3,E125/4))))</f>
        <v>628.24086</v>
      </c>
      <c r="G125" s="127"/>
      <c r="H125" s="128"/>
      <c r="I125" s="34"/>
      <c r="J125" s="56" t="s">
        <v>211</v>
      </c>
      <c r="N125" s="34"/>
    </row>
    <row r="126" spans="1:15" s="51" customFormat="1" ht="15.75" customHeight="1" x14ac:dyDescent="0.25">
      <c r="A126" s="172">
        <f t="shared" si="7"/>
        <v>8</v>
      </c>
      <c r="B126" s="172"/>
      <c r="C126" s="50" t="s">
        <v>205</v>
      </c>
      <c r="D126" s="53">
        <f>(28.27+1.6*2.75+1.2*(2.45+2.75))*(10.764)</f>
        <v>418.82724000000002</v>
      </c>
      <c r="E126" s="50">
        <v>0</v>
      </c>
      <c r="F126" s="50">
        <f>D126*(($F$113)+1)+(IF(E126&lt;101,E126,IF(E126&lt;201,E126/2,IF(E126&lt;=301,E126/3,E126/4))))</f>
        <v>628.24086</v>
      </c>
      <c r="G126" s="129"/>
      <c r="H126" s="130"/>
      <c r="I126" s="34"/>
      <c r="N126" s="34"/>
    </row>
    <row r="127" spans="1:15" s="35" customFormat="1" ht="15.75" customHeight="1" x14ac:dyDescent="0.25">
      <c r="A127" s="180" t="s">
        <v>223</v>
      </c>
      <c r="B127" s="181"/>
      <c r="C127" s="181"/>
      <c r="D127" s="181"/>
      <c r="E127" s="181"/>
      <c r="F127" s="181"/>
      <c r="G127" s="181"/>
      <c r="H127" s="182"/>
      <c r="I127" s="34"/>
    </row>
    <row r="128" spans="1:15" s="35" customFormat="1" ht="15.75" customHeight="1" x14ac:dyDescent="0.25">
      <c r="A128" s="104">
        <v>1</v>
      </c>
      <c r="B128" s="105"/>
      <c r="C128" s="50" t="s">
        <v>207</v>
      </c>
      <c r="D128" s="53">
        <f>(41.05+1.65*2.9+1.2*2.4+1*2.9+1.15*2.75)*(10.764)</f>
        <v>589.62500999999997</v>
      </c>
      <c r="E128" s="40">
        <v>0</v>
      </c>
      <c r="F128" s="40">
        <f t="shared" ref="F128:F135" si="9">D128*(($F$113)+1)+(IF(E128&lt;101,E128,IF(E128&lt;201,E128/2,IF(E128&lt;=301,E128/3,E128/4))))</f>
        <v>884.43751499999996</v>
      </c>
      <c r="G128" s="125" t="str">
        <f>A127</f>
        <v>3rd to 7th, 9th , 10th, 11th, 14th, 15th, 16th, 17th, 19th, 21st, 22nd &amp; 23rd</v>
      </c>
      <c r="H128" s="126"/>
      <c r="I128" s="34"/>
      <c r="O128" s="35">
        <f>6000*F128</f>
        <v>5306625.09</v>
      </c>
    </row>
    <row r="129" spans="1:15" s="35" customFormat="1" ht="15.75" customHeight="1" x14ac:dyDescent="0.25">
      <c r="A129" s="104">
        <f>A128+1</f>
        <v>2</v>
      </c>
      <c r="B129" s="105"/>
      <c r="C129" s="50" t="s">
        <v>207</v>
      </c>
      <c r="D129" s="53">
        <f>(40.33+1.5*2.9+1.2*2.4+1.1*2.9+1.2*2.9)*(10.764)</f>
        <v>583.73171999999988</v>
      </c>
      <c r="E129" s="40">
        <v>0</v>
      </c>
      <c r="F129" s="40">
        <f t="shared" si="9"/>
        <v>875.59757999999988</v>
      </c>
      <c r="G129" s="127"/>
      <c r="H129" s="128"/>
      <c r="I129" s="34"/>
      <c r="O129" s="55">
        <f t="shared" ref="O129:O135" si="10">6000*F129</f>
        <v>5253585.4799999995</v>
      </c>
    </row>
    <row r="130" spans="1:15" s="35" customFormat="1" ht="15.75" customHeight="1" x14ac:dyDescent="0.25">
      <c r="A130" s="104">
        <f t="shared" ref="A130:A132" si="11">A129+1</f>
        <v>3</v>
      </c>
      <c r="B130" s="105"/>
      <c r="C130" s="50" t="s">
        <v>205</v>
      </c>
      <c r="D130" s="53">
        <f>(28.27+1.6*2.75+1.2*(2.45+2.75))*(10.764)</f>
        <v>418.82724000000002</v>
      </c>
      <c r="E130" s="40">
        <v>0</v>
      </c>
      <c r="F130" s="40">
        <f t="shared" si="9"/>
        <v>628.24086</v>
      </c>
      <c r="G130" s="127"/>
      <c r="H130" s="128"/>
      <c r="I130" s="34"/>
      <c r="O130" s="55">
        <f t="shared" si="10"/>
        <v>3769445.16</v>
      </c>
    </row>
    <row r="131" spans="1:15" s="35" customFormat="1" ht="15.75" customHeight="1" x14ac:dyDescent="0.25">
      <c r="A131" s="104">
        <f t="shared" si="11"/>
        <v>4</v>
      </c>
      <c r="B131" s="105"/>
      <c r="C131" s="50" t="s">
        <v>205</v>
      </c>
      <c r="D131" s="53">
        <f>(28.27+1.6*2.75+1.2*(2.45+2.75))*(10.764)</f>
        <v>418.82724000000002</v>
      </c>
      <c r="E131" s="40">
        <v>0</v>
      </c>
      <c r="F131" s="40">
        <f t="shared" si="9"/>
        <v>628.24086</v>
      </c>
      <c r="G131" s="127"/>
      <c r="H131" s="128"/>
      <c r="I131" s="34"/>
      <c r="O131" s="55">
        <f t="shared" si="10"/>
        <v>3769445.16</v>
      </c>
    </row>
    <row r="132" spans="1:15" s="35" customFormat="1" ht="15.75" customHeight="1" x14ac:dyDescent="0.25">
      <c r="A132" s="104">
        <f t="shared" si="11"/>
        <v>5</v>
      </c>
      <c r="B132" s="105"/>
      <c r="C132" s="50" t="s">
        <v>207</v>
      </c>
      <c r="D132" s="53">
        <f>(40.33+1.5*2.9+1.2*2.4+1.1*2.9+1.2*2.9)*(10.764)</f>
        <v>583.73171999999988</v>
      </c>
      <c r="E132" s="40">
        <v>0</v>
      </c>
      <c r="F132" s="40">
        <f t="shared" si="9"/>
        <v>875.59757999999988</v>
      </c>
      <c r="G132" s="127"/>
      <c r="H132" s="128"/>
      <c r="I132" s="34"/>
      <c r="O132" s="55">
        <f t="shared" si="10"/>
        <v>5253585.4799999995</v>
      </c>
    </row>
    <row r="133" spans="1:15" s="51" customFormat="1" ht="15.75" customHeight="1" x14ac:dyDescent="0.25">
      <c r="A133" s="104">
        <f>A132+1</f>
        <v>6</v>
      </c>
      <c r="B133" s="105"/>
      <c r="C133" s="50" t="s">
        <v>207</v>
      </c>
      <c r="D133" s="53">
        <f>(41.05+1.65*2.9+1.2*2.4+1*2.9+1.15*2.75)*(10.764)</f>
        <v>589.62500999999997</v>
      </c>
      <c r="E133" s="50">
        <v>0</v>
      </c>
      <c r="F133" s="50">
        <f t="shared" si="9"/>
        <v>884.43751499999996</v>
      </c>
      <c r="G133" s="127"/>
      <c r="H133" s="128"/>
      <c r="I133" s="34"/>
      <c r="O133" s="55">
        <f t="shared" si="10"/>
        <v>5306625.09</v>
      </c>
    </row>
    <row r="134" spans="1:15" s="51" customFormat="1" ht="15.75" customHeight="1" x14ac:dyDescent="0.25">
      <c r="A134" s="104">
        <f t="shared" ref="A134:A135" si="12">A133+1</f>
        <v>7</v>
      </c>
      <c r="B134" s="105"/>
      <c r="C134" s="50" t="s">
        <v>205</v>
      </c>
      <c r="D134" s="53">
        <f>(28.27+1.6*2.75+1.2*(2.45+2.75))*(10.764)</f>
        <v>418.82724000000002</v>
      </c>
      <c r="E134" s="50">
        <v>0</v>
      </c>
      <c r="F134" s="50">
        <f t="shared" si="9"/>
        <v>628.24086</v>
      </c>
      <c r="G134" s="127"/>
      <c r="H134" s="128"/>
      <c r="I134" s="34"/>
      <c r="O134" s="55">
        <f t="shared" si="10"/>
        <v>3769445.16</v>
      </c>
    </row>
    <row r="135" spans="1:15" s="51" customFormat="1" ht="15.75" customHeight="1" x14ac:dyDescent="0.25">
      <c r="A135" s="104">
        <f t="shared" si="12"/>
        <v>8</v>
      </c>
      <c r="B135" s="105"/>
      <c r="C135" s="50" t="s">
        <v>205</v>
      </c>
      <c r="D135" s="53">
        <f>(28.27+1.6*2.75+1.2*(2.45+2.75))*(10.764)</f>
        <v>418.82724000000002</v>
      </c>
      <c r="E135" s="50">
        <v>0</v>
      </c>
      <c r="F135" s="50">
        <f t="shared" si="9"/>
        <v>628.24086</v>
      </c>
      <c r="G135" s="127"/>
      <c r="H135" s="128"/>
      <c r="I135" s="34"/>
      <c r="O135" s="55">
        <f t="shared" si="10"/>
        <v>3769445.16</v>
      </c>
    </row>
    <row r="136" spans="1:15" s="51" customFormat="1" ht="15.75" customHeight="1" x14ac:dyDescent="0.25">
      <c r="A136" s="123" t="s">
        <v>208</v>
      </c>
      <c r="B136" s="123"/>
      <c r="C136" s="123"/>
      <c r="D136" s="123"/>
      <c r="E136" s="123"/>
      <c r="F136" s="123"/>
      <c r="G136" s="123"/>
      <c r="H136" s="123"/>
      <c r="I136" s="34"/>
      <c r="O136" s="55"/>
    </row>
    <row r="137" spans="1:15" s="51" customFormat="1" ht="15.75" customHeight="1" x14ac:dyDescent="0.25">
      <c r="A137" s="172">
        <v>1</v>
      </c>
      <c r="B137" s="172"/>
      <c r="C137" s="64" t="s">
        <v>207</v>
      </c>
      <c r="D137" s="53">
        <f>(41.05+1.65*2.9+1.2*2.4+1*2.9+1.15*2.75)*(10.764)</f>
        <v>589.62500999999997</v>
      </c>
      <c r="E137" s="64">
        <v>0</v>
      </c>
      <c r="F137" s="64">
        <f t="shared" ref="F137:F143" si="13">D137*(($F$113)+1)+(IF(E137&lt;101,E137,IF(E137&lt;201,E137/2,IF(E137&lt;=301,E137/3,E137/4))))</f>
        <v>884.43751499999996</v>
      </c>
      <c r="G137" s="172" t="str">
        <f>A136</f>
        <v>8th, 12th, 16th &amp; 20th Floor (Part Refuge Area)</v>
      </c>
      <c r="H137" s="172"/>
      <c r="I137" s="34"/>
    </row>
    <row r="138" spans="1:15" s="51" customFormat="1" ht="15.75" customHeight="1" x14ac:dyDescent="0.25">
      <c r="A138" s="172">
        <f>A137+1</f>
        <v>2</v>
      </c>
      <c r="B138" s="172"/>
      <c r="C138" s="64" t="s">
        <v>207</v>
      </c>
      <c r="D138" s="53">
        <f>(40.33+1.5*2.9+1.2*2.4+1.1*2.9+1.2*2.9)*(10.764)</f>
        <v>583.73171999999988</v>
      </c>
      <c r="E138" s="64">
        <v>0</v>
      </c>
      <c r="F138" s="64">
        <f t="shared" si="13"/>
        <v>875.59757999999988</v>
      </c>
      <c r="G138" s="172"/>
      <c r="H138" s="172"/>
      <c r="I138" s="54"/>
    </row>
    <row r="139" spans="1:15" s="51" customFormat="1" ht="15.75" customHeight="1" x14ac:dyDescent="0.25">
      <c r="A139" s="172">
        <f t="shared" ref="A139:A141" si="14">A138+1</f>
        <v>3</v>
      </c>
      <c r="B139" s="172"/>
      <c r="C139" s="64" t="s">
        <v>205</v>
      </c>
      <c r="D139" s="53">
        <f>(28.27+1.6*2.75+1.2*(2.45+2.75))*(10.764)</f>
        <v>418.82724000000002</v>
      </c>
      <c r="E139" s="64">
        <v>0</v>
      </c>
      <c r="F139" s="64">
        <f t="shared" si="13"/>
        <v>628.24086</v>
      </c>
      <c r="G139" s="172"/>
      <c r="H139" s="172"/>
      <c r="I139" s="54"/>
    </row>
    <row r="140" spans="1:15" s="51" customFormat="1" ht="15.75" customHeight="1" x14ac:dyDescent="0.25">
      <c r="A140" s="172">
        <f t="shared" si="14"/>
        <v>4</v>
      </c>
      <c r="B140" s="172"/>
      <c r="C140" s="64" t="s">
        <v>205</v>
      </c>
      <c r="D140" s="53">
        <f>(28.27+1.6*2.75+1.2*(2.45+2.75))*(10.764)</f>
        <v>418.82724000000002</v>
      </c>
      <c r="E140" s="64">
        <v>0</v>
      </c>
      <c r="F140" s="64">
        <f t="shared" si="13"/>
        <v>628.24086</v>
      </c>
      <c r="G140" s="172"/>
      <c r="H140" s="172"/>
      <c r="I140" s="54"/>
    </row>
    <row r="141" spans="1:15" s="51" customFormat="1" ht="15.75" customHeight="1" x14ac:dyDescent="0.25">
      <c r="A141" s="172">
        <f t="shared" si="14"/>
        <v>5</v>
      </c>
      <c r="B141" s="172"/>
      <c r="C141" s="64" t="s">
        <v>207</v>
      </c>
      <c r="D141" s="53">
        <f>(40.33+1.5*2.9+1.2*2.4+1.1*2.9+1.2*2.9)*(10.764)</f>
        <v>583.73171999999988</v>
      </c>
      <c r="E141" s="64">
        <v>0</v>
      </c>
      <c r="F141" s="64">
        <f t="shared" si="13"/>
        <v>875.59757999999988</v>
      </c>
      <c r="G141" s="172"/>
      <c r="H141" s="172"/>
      <c r="I141" s="54"/>
    </row>
    <row r="142" spans="1:15" s="51" customFormat="1" ht="15.75" customHeight="1" x14ac:dyDescent="0.25">
      <c r="A142" s="172">
        <f>A141+1</f>
        <v>6</v>
      </c>
      <c r="B142" s="172"/>
      <c r="C142" s="64" t="s">
        <v>207</v>
      </c>
      <c r="D142" s="53">
        <f>(41.05+1.65*2.9+1.2*2.4+1*2.9+1.15*2.75)*(10.764)</f>
        <v>589.62500999999997</v>
      </c>
      <c r="E142" s="64">
        <v>0</v>
      </c>
      <c r="F142" s="64">
        <f t="shared" si="13"/>
        <v>884.43751499999996</v>
      </c>
      <c r="G142" s="172"/>
      <c r="H142" s="172"/>
      <c r="I142" s="54"/>
    </row>
    <row r="143" spans="1:15" s="51" customFormat="1" ht="15.75" customHeight="1" x14ac:dyDescent="0.25">
      <c r="A143" s="172">
        <f t="shared" ref="A143" si="15">A142+1</f>
        <v>7</v>
      </c>
      <c r="B143" s="172"/>
      <c r="C143" s="64" t="s">
        <v>209</v>
      </c>
      <c r="D143" s="53">
        <f>(19.14+1.6*2.75+1.2*2.45)*(10.764)</f>
        <v>285.03071999999997</v>
      </c>
      <c r="E143" s="64">
        <v>0</v>
      </c>
      <c r="F143" s="64">
        <f t="shared" si="13"/>
        <v>427.54607999999996</v>
      </c>
      <c r="G143" s="172"/>
      <c r="H143" s="172"/>
      <c r="I143" s="34"/>
    </row>
    <row r="144" spans="1:15" s="33" customFormat="1" x14ac:dyDescent="0.25">
      <c r="A144" s="179" t="s">
        <v>70</v>
      </c>
      <c r="B144" s="179"/>
      <c r="C144" s="179"/>
      <c r="D144" s="179"/>
      <c r="E144" s="179"/>
      <c r="F144" s="179"/>
      <c r="G144" s="179"/>
      <c r="H144" s="179"/>
    </row>
    <row r="145" spans="1:8" s="33" customFormat="1" x14ac:dyDescent="0.25">
      <c r="A145" s="62" t="s">
        <v>156</v>
      </c>
      <c r="B145" s="103" t="s">
        <v>222</v>
      </c>
      <c r="C145" s="103"/>
      <c r="D145" s="103"/>
      <c r="E145" s="103"/>
      <c r="F145" s="103"/>
      <c r="G145" s="103"/>
      <c r="H145" s="103"/>
    </row>
    <row r="146" spans="1:8" s="33" customFormat="1" x14ac:dyDescent="0.25">
      <c r="A146" s="62" t="s">
        <v>156</v>
      </c>
      <c r="B146" s="103" t="str">
        <f>(IF(F112="Saleable area Loading :","We have considered Saleable area of Flats as per our Calculation.","We considered Saleable area of Flat as per Builder area Sheet."))</f>
        <v>We have considered Saleable area of Flats as per our Calculation.</v>
      </c>
      <c r="C146" s="103"/>
      <c r="D146" s="103"/>
      <c r="E146" s="103"/>
      <c r="F146" s="103"/>
      <c r="G146" s="103"/>
      <c r="H146" s="103"/>
    </row>
    <row r="147" spans="1:8" s="33" customFormat="1" x14ac:dyDescent="0.25">
      <c r="A147" s="45" t="s">
        <v>156</v>
      </c>
      <c r="B147" s="99" t="str">
        <f>(IF(F102="Saleable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47" s="100"/>
      <c r="D147" s="100"/>
      <c r="E147" s="100"/>
      <c r="F147" s="100"/>
      <c r="G147" s="100"/>
      <c r="H147" s="101"/>
    </row>
    <row r="148" spans="1:8" s="33" customFormat="1" x14ac:dyDescent="0.25">
      <c r="A148" s="45" t="s">
        <v>156</v>
      </c>
      <c r="B148" s="96" t="s">
        <v>127</v>
      </c>
      <c r="C148" s="97"/>
      <c r="D148" s="97"/>
      <c r="E148" s="97"/>
      <c r="F148" s="97"/>
      <c r="G148" s="97"/>
      <c r="H148" s="98"/>
    </row>
    <row r="149" spans="1:8" s="33" customFormat="1" x14ac:dyDescent="0.25">
      <c r="A149" s="45" t="s">
        <v>156</v>
      </c>
      <c r="B149" s="96" t="s">
        <v>210</v>
      </c>
      <c r="C149" s="97"/>
      <c r="D149" s="97"/>
      <c r="E149" s="97"/>
      <c r="F149" s="97"/>
      <c r="G149" s="97"/>
      <c r="H149" s="98"/>
    </row>
    <row r="150" spans="1:8" s="33" customFormat="1" x14ac:dyDescent="0.25">
      <c r="A150" s="45" t="s">
        <v>156</v>
      </c>
      <c r="B150" s="96" t="s">
        <v>155</v>
      </c>
      <c r="C150" s="97"/>
      <c r="D150" s="97"/>
      <c r="E150" s="97"/>
      <c r="F150" s="97"/>
      <c r="G150" s="97"/>
      <c r="H150" s="98"/>
    </row>
    <row r="151" spans="1:8" s="33" customFormat="1" x14ac:dyDescent="0.25">
      <c r="A151" s="45" t="s">
        <v>156</v>
      </c>
      <c r="B151" s="96" t="s">
        <v>128</v>
      </c>
      <c r="C151" s="97"/>
      <c r="D151" s="97"/>
      <c r="E151" s="97"/>
      <c r="F151" s="97"/>
      <c r="G151" s="97"/>
      <c r="H151" s="98"/>
    </row>
    <row r="152" spans="1:8" s="33" customFormat="1" ht="34.5" customHeight="1" x14ac:dyDescent="0.25">
      <c r="A152" s="45" t="s">
        <v>156</v>
      </c>
      <c r="B152" s="96" t="s">
        <v>157</v>
      </c>
      <c r="C152" s="97"/>
      <c r="D152" s="97"/>
      <c r="E152" s="97"/>
      <c r="F152" s="97"/>
      <c r="G152" s="97"/>
      <c r="H152" s="98"/>
    </row>
    <row r="153" spans="1:8" s="33" customFormat="1" x14ac:dyDescent="0.25">
      <c r="A153" s="45" t="s">
        <v>156</v>
      </c>
      <c r="B153" s="96" t="s">
        <v>129</v>
      </c>
      <c r="C153" s="97"/>
      <c r="D153" s="97"/>
      <c r="E153" s="97"/>
      <c r="F153" s="97"/>
      <c r="G153" s="97"/>
      <c r="H153" s="98"/>
    </row>
    <row r="154" spans="1:8" s="60" customFormat="1" x14ac:dyDescent="0.25">
      <c r="A154" s="59" t="s">
        <v>156</v>
      </c>
      <c r="B154" s="99" t="s">
        <v>221</v>
      </c>
      <c r="C154" s="100"/>
      <c r="D154" s="100"/>
      <c r="E154" s="100"/>
      <c r="F154" s="100"/>
      <c r="G154" s="100"/>
      <c r="H154" s="101"/>
    </row>
    <row r="155" spans="1:8" x14ac:dyDescent="0.25">
      <c r="A155" s="132" t="s">
        <v>63</v>
      </c>
      <c r="B155" s="132"/>
      <c r="C155" s="132"/>
      <c r="D155" s="132"/>
      <c r="E155" s="132"/>
      <c r="F155" s="132"/>
      <c r="G155" s="132"/>
      <c r="H155" s="132"/>
    </row>
    <row r="156" spans="1:8" x14ac:dyDescent="0.25">
      <c r="A156" s="82" t="s">
        <v>64</v>
      </c>
      <c r="B156" s="82"/>
      <c r="C156" s="82"/>
      <c r="D156" s="82"/>
      <c r="E156" s="82"/>
      <c r="F156" s="82"/>
      <c r="G156" s="82"/>
      <c r="H156" s="82"/>
    </row>
    <row r="157" spans="1:8" ht="15.75" customHeight="1" x14ac:dyDescent="0.25">
      <c r="A157" s="131" t="s">
        <v>65</v>
      </c>
      <c r="B157" s="131"/>
      <c r="C157" s="131"/>
      <c r="D157" s="131"/>
      <c r="E157" s="131"/>
      <c r="F157" s="131"/>
      <c r="G157" s="131"/>
      <c r="H157" s="131"/>
    </row>
    <row r="158" spans="1:8" x14ac:dyDescent="0.25">
      <c r="A158" s="82" t="s">
        <v>66</v>
      </c>
      <c r="B158" s="82"/>
      <c r="C158" s="82"/>
      <c r="D158" s="82"/>
      <c r="E158" s="82"/>
      <c r="F158" s="82"/>
      <c r="G158" s="82"/>
      <c r="H158" s="82"/>
    </row>
    <row r="159" spans="1:8" x14ac:dyDescent="0.25">
      <c r="A159" s="82" t="s">
        <v>67</v>
      </c>
      <c r="B159" s="82"/>
      <c r="C159" s="82"/>
      <c r="D159" s="82"/>
      <c r="E159" s="82"/>
      <c r="F159" s="82"/>
      <c r="G159" s="82"/>
      <c r="H159" s="82"/>
    </row>
    <row r="160" spans="1:8" x14ac:dyDescent="0.25">
      <c r="A160" s="82" t="s">
        <v>130</v>
      </c>
      <c r="B160" s="82"/>
      <c r="C160" s="82"/>
      <c r="D160" s="82"/>
      <c r="E160" s="82"/>
      <c r="F160" s="82"/>
      <c r="G160" s="82"/>
      <c r="H160" s="82"/>
    </row>
    <row r="161" spans="1:8" x14ac:dyDescent="0.25">
      <c r="A161" s="90" t="s">
        <v>131</v>
      </c>
      <c r="B161" s="90"/>
      <c r="C161" s="90"/>
      <c r="D161" s="90"/>
      <c r="E161" s="90"/>
      <c r="F161" s="90"/>
      <c r="G161" s="90"/>
      <c r="H161" s="90"/>
    </row>
    <row r="162" spans="1:8" x14ac:dyDescent="0.25">
      <c r="A162" s="119" t="s">
        <v>78</v>
      </c>
      <c r="B162" s="119"/>
      <c r="C162" s="119" t="s">
        <v>201</v>
      </c>
      <c r="D162" s="119"/>
      <c r="E162" s="119" t="s">
        <v>108</v>
      </c>
      <c r="F162" s="119"/>
      <c r="G162" s="119" t="s">
        <v>234</v>
      </c>
      <c r="H162" s="119"/>
    </row>
    <row r="163" spans="1:8" x14ac:dyDescent="0.25">
      <c r="A163" s="118" t="s">
        <v>80</v>
      </c>
      <c r="B163" s="118"/>
      <c r="C163" s="118"/>
      <c r="D163" s="118"/>
      <c r="E163" s="118"/>
      <c r="F163" s="118"/>
      <c r="G163" s="118"/>
      <c r="H163" s="118"/>
    </row>
    <row r="164" spans="1:8" x14ac:dyDescent="0.25">
      <c r="A164" s="118"/>
      <c r="B164" s="118"/>
      <c r="C164" s="118"/>
      <c r="D164" s="118"/>
      <c r="E164" s="118"/>
      <c r="F164" s="118"/>
      <c r="G164" s="118"/>
      <c r="H164" s="118"/>
    </row>
    <row r="165" spans="1:8" x14ac:dyDescent="0.25">
      <c r="A165" s="118"/>
      <c r="B165" s="118"/>
      <c r="C165" s="118"/>
      <c r="D165" s="118"/>
      <c r="E165" s="118"/>
      <c r="F165" s="118"/>
      <c r="G165" s="118"/>
      <c r="H165" s="118"/>
    </row>
    <row r="166" spans="1:8" x14ac:dyDescent="0.25">
      <c r="A166" s="118"/>
      <c r="B166" s="118"/>
      <c r="C166" s="118"/>
      <c r="D166" s="118"/>
      <c r="E166" s="118"/>
      <c r="F166" s="118"/>
      <c r="G166" s="118"/>
      <c r="H166" s="118"/>
    </row>
    <row r="167" spans="1:8" x14ac:dyDescent="0.25">
      <c r="A167" s="36" t="s">
        <v>68</v>
      </c>
      <c r="B167" s="37"/>
      <c r="C167" s="37"/>
      <c r="D167" s="36" t="str">
        <f>E8</f>
        <v>Kaneri Heights</v>
      </c>
      <c r="F167" s="37"/>
      <c r="G167" s="37"/>
      <c r="H167" s="37"/>
    </row>
    <row r="168" spans="1:8" x14ac:dyDescent="0.25">
      <c r="A168" s="37"/>
      <c r="B168" s="37"/>
      <c r="C168" s="37"/>
      <c r="D168" s="37"/>
      <c r="E168" s="37"/>
      <c r="F168" s="37"/>
      <c r="G168" s="37"/>
      <c r="H168" s="37"/>
    </row>
    <row r="169" spans="1:8" x14ac:dyDescent="0.25">
      <c r="A169" s="37"/>
      <c r="B169" s="37"/>
      <c r="C169" s="37"/>
      <c r="D169" s="37"/>
      <c r="E169" s="37"/>
      <c r="F169" s="37"/>
      <c r="G169" s="37"/>
      <c r="H169" s="37"/>
    </row>
    <row r="170" spans="1:8" ht="15" customHeight="1" x14ac:dyDescent="0.25"/>
    <row r="209" spans="1:1" x14ac:dyDescent="0.25">
      <c r="A209" s="39" t="s">
        <v>168</v>
      </c>
    </row>
    <row r="251" spans="1:1" x14ac:dyDescent="0.25">
      <c r="A251" s="39" t="s">
        <v>69</v>
      </c>
    </row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</sheetData>
  <mergeCells count="295">
    <mergeCell ref="B154:H154"/>
    <mergeCell ref="A136:H136"/>
    <mergeCell ref="A137:B137"/>
    <mergeCell ref="G137:H143"/>
    <mergeCell ref="A138:B138"/>
    <mergeCell ref="A139:B139"/>
    <mergeCell ref="A140:B140"/>
    <mergeCell ref="A141:B141"/>
    <mergeCell ref="A142:B142"/>
    <mergeCell ref="A143:B143"/>
    <mergeCell ref="A135:B135"/>
    <mergeCell ref="A82:E82"/>
    <mergeCell ref="A79:E79"/>
    <mergeCell ref="F83:H83"/>
    <mergeCell ref="A84:E84"/>
    <mergeCell ref="E99:F99"/>
    <mergeCell ref="G94:H94"/>
    <mergeCell ref="A89:E89"/>
    <mergeCell ref="C95:D95"/>
    <mergeCell ref="E95:F95"/>
    <mergeCell ref="F89:H89"/>
    <mergeCell ref="E94:F94"/>
    <mergeCell ref="A94:B94"/>
    <mergeCell ref="G112:H113"/>
    <mergeCell ref="G128:H135"/>
    <mergeCell ref="A131:B131"/>
    <mergeCell ref="A128:B128"/>
    <mergeCell ref="A119:B119"/>
    <mergeCell ref="D112:D113"/>
    <mergeCell ref="E112:E113"/>
    <mergeCell ref="A38:B38"/>
    <mergeCell ref="C38:H38"/>
    <mergeCell ref="B152:H152"/>
    <mergeCell ref="A47:B47"/>
    <mergeCell ref="C47:H47"/>
    <mergeCell ref="B150:H150"/>
    <mergeCell ref="F81:H81"/>
    <mergeCell ref="A81:E81"/>
    <mergeCell ref="D102:D103"/>
    <mergeCell ref="A83:E83"/>
    <mergeCell ref="A108:B108"/>
    <mergeCell ref="A109:B109"/>
    <mergeCell ref="A105:H105"/>
    <mergeCell ref="A106:H106"/>
    <mergeCell ref="G108:H110"/>
    <mergeCell ref="B149:H149"/>
    <mergeCell ref="A144:H144"/>
    <mergeCell ref="C102:C103"/>
    <mergeCell ref="B112:B113"/>
    <mergeCell ref="A127:H127"/>
    <mergeCell ref="A117:B117"/>
    <mergeCell ref="A122:B122"/>
    <mergeCell ref="A110:B110"/>
    <mergeCell ref="A116:B116"/>
    <mergeCell ref="L116:M116"/>
    <mergeCell ref="B148:H148"/>
    <mergeCell ref="G116:H117"/>
    <mergeCell ref="A124:B124"/>
    <mergeCell ref="A125:B125"/>
    <mergeCell ref="A126:B126"/>
    <mergeCell ref="A132:B132"/>
    <mergeCell ref="F79:H79"/>
    <mergeCell ref="F84:H84"/>
    <mergeCell ref="L118:M118"/>
    <mergeCell ref="A111:H111"/>
    <mergeCell ref="A112:A113"/>
    <mergeCell ref="A123:B123"/>
    <mergeCell ref="A120:B120"/>
    <mergeCell ref="A121:B121"/>
    <mergeCell ref="A90:E90"/>
    <mergeCell ref="G99:H99"/>
    <mergeCell ref="L117:M117"/>
    <mergeCell ref="C97:D97"/>
    <mergeCell ref="G97:H97"/>
    <mergeCell ref="F87:H87"/>
    <mergeCell ref="C94:D94"/>
    <mergeCell ref="F90:H90"/>
    <mergeCell ref="F88:H88"/>
    <mergeCell ref="A37:B37"/>
    <mergeCell ref="C37:H37"/>
    <mergeCell ref="A44:D44"/>
    <mergeCell ref="L110:M110"/>
    <mergeCell ref="L109:M109"/>
    <mergeCell ref="L108:M108"/>
    <mergeCell ref="A76:B76"/>
    <mergeCell ref="C98:D98"/>
    <mergeCell ref="E98:F98"/>
    <mergeCell ref="G98:H98"/>
    <mergeCell ref="F86:H86"/>
    <mergeCell ref="A80:E80"/>
    <mergeCell ref="A107:H107"/>
    <mergeCell ref="E102:E103"/>
    <mergeCell ref="G102:H103"/>
    <mergeCell ref="A85:E85"/>
    <mergeCell ref="F85:H85"/>
    <mergeCell ref="A86:E86"/>
    <mergeCell ref="A88:E88"/>
    <mergeCell ref="F82:H82"/>
    <mergeCell ref="A87:E87"/>
    <mergeCell ref="A59:C59"/>
    <mergeCell ref="D58:H58"/>
    <mergeCell ref="E69:F78"/>
    <mergeCell ref="A42:D42"/>
    <mergeCell ref="E42:H42"/>
    <mergeCell ref="E43:H43"/>
    <mergeCell ref="E44:H44"/>
    <mergeCell ref="E45:H45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D61:H61"/>
    <mergeCell ref="A63:C63"/>
    <mergeCell ref="D63:H63"/>
    <mergeCell ref="A69:B69"/>
    <mergeCell ref="A53:H53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A43:D43"/>
    <mergeCell ref="F35:H35"/>
    <mergeCell ref="A45:D45"/>
    <mergeCell ref="A46:H46"/>
    <mergeCell ref="D56:H56"/>
    <mergeCell ref="A56:C56"/>
    <mergeCell ref="G49:H49"/>
    <mergeCell ref="A50:B51"/>
    <mergeCell ref="C50:E50"/>
    <mergeCell ref="A57:C57"/>
    <mergeCell ref="D57:H57"/>
    <mergeCell ref="C49:E49"/>
    <mergeCell ref="A52:B52"/>
    <mergeCell ref="C52:E52"/>
    <mergeCell ref="A49:B49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A13:D13"/>
    <mergeCell ref="A10:D10"/>
    <mergeCell ref="A163:H166"/>
    <mergeCell ref="A162:B162"/>
    <mergeCell ref="E162:F162"/>
    <mergeCell ref="C162:D162"/>
    <mergeCell ref="G162:H162"/>
    <mergeCell ref="A93:H93"/>
    <mergeCell ref="A91:E91"/>
    <mergeCell ref="F91:H91"/>
    <mergeCell ref="A92:E92"/>
    <mergeCell ref="F92:H92"/>
    <mergeCell ref="A118:H118"/>
    <mergeCell ref="A98:B98"/>
    <mergeCell ref="A130:B130"/>
    <mergeCell ref="A95:B95"/>
    <mergeCell ref="A158:H158"/>
    <mergeCell ref="A96:H96"/>
    <mergeCell ref="G119:H126"/>
    <mergeCell ref="A161:H161"/>
    <mergeCell ref="A160:H160"/>
    <mergeCell ref="A157:H157"/>
    <mergeCell ref="A159:H159"/>
    <mergeCell ref="A155:H155"/>
    <mergeCell ref="A133:B133"/>
    <mergeCell ref="A134:B134"/>
    <mergeCell ref="E12:H12"/>
    <mergeCell ref="A54:C54"/>
    <mergeCell ref="A55:C55"/>
    <mergeCell ref="D55:H55"/>
    <mergeCell ref="A104:H104"/>
    <mergeCell ref="A114:H114"/>
    <mergeCell ref="A156:H156"/>
    <mergeCell ref="E97:F97"/>
    <mergeCell ref="B153:H153"/>
    <mergeCell ref="B151:H151"/>
    <mergeCell ref="B147:H147"/>
    <mergeCell ref="A100:H100"/>
    <mergeCell ref="B145:H145"/>
    <mergeCell ref="B146:H146"/>
    <mergeCell ref="A129:B129"/>
    <mergeCell ref="A101:H101"/>
    <mergeCell ref="B102:B103"/>
    <mergeCell ref="A102:A103"/>
    <mergeCell ref="C112:C113"/>
    <mergeCell ref="G68:H68"/>
    <mergeCell ref="G69:H78"/>
    <mergeCell ref="A77:B77"/>
    <mergeCell ref="A78:B78"/>
    <mergeCell ref="D59:H59"/>
    <mergeCell ref="I10:L10"/>
    <mergeCell ref="L119:M119"/>
    <mergeCell ref="L115:M115"/>
    <mergeCell ref="G52:H52"/>
    <mergeCell ref="I11:L11"/>
    <mergeCell ref="C51:H51"/>
    <mergeCell ref="A99:B99"/>
    <mergeCell ref="C99:D99"/>
    <mergeCell ref="E41:H41"/>
    <mergeCell ref="A41:D41"/>
    <mergeCell ref="A97:B97"/>
    <mergeCell ref="A74:B74"/>
    <mergeCell ref="F80:H80"/>
    <mergeCell ref="G95:H95"/>
    <mergeCell ref="A48:B48"/>
    <mergeCell ref="C48:E48"/>
    <mergeCell ref="G48:H48"/>
    <mergeCell ref="G50:H50"/>
    <mergeCell ref="D54:H54"/>
    <mergeCell ref="A64:C64"/>
    <mergeCell ref="D64:H64"/>
    <mergeCell ref="A62:C62"/>
    <mergeCell ref="D62:H62"/>
    <mergeCell ref="A115:H115"/>
  </mergeCells>
  <hyperlinks>
    <hyperlink ref="C38" r:id="rId1" xr:uid="{00000000-0004-0000-0000-000000000000}"/>
    <hyperlink ref="I121" r:id="rId2" xr:uid="{00000000-0004-0000-0000-000001000000}"/>
    <hyperlink ref="I122" r:id="rId3" xr:uid="{00000000-0004-0000-0000-000002000000}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4"/>
  <headerFooter>
    <oddHeader>&amp;C&amp;G</oddHeader>
    <oddFooter>&amp;L&amp;"Times New Roman,Bold"&amp;12Ref No: &amp;F&amp;C&amp;G&amp;R&amp;"Times New Roman,Bold"&amp;12&amp;P</oddFooter>
  </headerFooter>
  <rowBreaks count="4" manualBreakCount="4">
    <brk id="64" max="7" man="1"/>
    <brk id="166" max="16383" man="1"/>
    <brk id="208" max="16383" man="1"/>
    <brk id="250" max="16383" man="1"/>
  </rowBreaks>
  <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8" sqref="C28"/>
    </sheetView>
  </sheetViews>
  <sheetFormatPr defaultColWidth="8.5703125" defaultRowHeight="15" x14ac:dyDescent="0.25"/>
  <cols>
    <col min="1" max="1" width="8.570312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570312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85" t="s">
        <v>109</v>
      </c>
      <c r="C3" s="185"/>
      <c r="D3" s="185"/>
      <c r="E3" s="185"/>
      <c r="F3" s="185"/>
      <c r="G3" s="185"/>
      <c r="H3" s="185"/>
    </row>
    <row r="4" spans="1:9" x14ac:dyDescent="0.25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2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2025-07-11T11:55:17Z</cp:lastPrinted>
  <dcterms:created xsi:type="dcterms:W3CDTF">2019-07-16T09:29:46Z</dcterms:created>
  <dcterms:modified xsi:type="dcterms:W3CDTF">2025-07-11T11:57:04Z</dcterms:modified>
</cp:coreProperties>
</file>