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July 25\Dump\"/>
    </mc:Choice>
  </mc:AlternateContent>
  <xr:revisionPtr revIDLastSave="0" documentId="13_ncr:1_{47BE4506-8F70-4E00-B5C3-9B5064DAED58}" xr6:coauthVersionLast="47" xr6:coauthVersionMax="47" xr10:uidLastSave="{00000000-0000-0000-0000-000000000000}"/>
  <bookViews>
    <workbookView xWindow="-120" yWindow="-120" windowWidth="20730" windowHeight="11160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6" i="1" l="1"/>
  <c r="G116" i="1"/>
  <c r="C116" i="1"/>
  <c r="G115" i="1"/>
  <c r="E115" i="1"/>
  <c r="C115" i="1"/>
  <c r="J90" i="1"/>
  <c r="J89" i="1"/>
  <c r="J88" i="1"/>
  <c r="J87" i="1"/>
  <c r="E165" i="1" l="1"/>
  <c r="E164" i="1" l="1"/>
  <c r="E148" i="1"/>
  <c r="E147" i="1"/>
  <c r="D182" i="1" l="1"/>
  <c r="F182" i="1" s="1"/>
  <c r="D181" i="1"/>
  <c r="D180" i="1"/>
  <c r="F180" i="1" s="1"/>
  <c r="D179" i="1"/>
  <c r="F179" i="1" s="1"/>
  <c r="D177" i="1"/>
  <c r="F177" i="1" s="1"/>
  <c r="F181" i="1"/>
  <c r="D175" i="1"/>
  <c r="F175" i="1" s="1"/>
  <c r="D174" i="1"/>
  <c r="F174" i="1" s="1"/>
  <c r="D173" i="1"/>
  <c r="F173" i="1" s="1"/>
  <c r="D172" i="1"/>
  <c r="F172" i="1" s="1"/>
  <c r="D171" i="1"/>
  <c r="F171" i="1" s="1"/>
  <c r="D170" i="1"/>
  <c r="D167" i="1"/>
  <c r="F167" i="1" s="1"/>
  <c r="D166" i="1"/>
  <c r="F166" i="1" s="1"/>
  <c r="J166" i="1" s="1"/>
  <c r="D165" i="1"/>
  <c r="F165" i="1" s="1"/>
  <c r="D164" i="1"/>
  <c r="G177" i="1"/>
  <c r="I170" i="1"/>
  <c r="G170" i="1"/>
  <c r="F170" i="1"/>
  <c r="G163" i="1"/>
  <c r="A163" i="1"/>
  <c r="A164" i="1" s="1"/>
  <c r="A165" i="1" s="1"/>
  <c r="A166" i="1" s="1"/>
  <c r="A167" i="1" s="1"/>
  <c r="A168" i="1" s="1"/>
  <c r="D159" i="1"/>
  <c r="D157" i="1"/>
  <c r="D156" i="1"/>
  <c r="D154" i="1"/>
  <c r="D153" i="1"/>
  <c r="D152" i="1"/>
  <c r="D151" i="1"/>
  <c r="D148" i="1"/>
  <c r="D147" i="1"/>
  <c r="D137" i="1"/>
  <c r="F137" i="1" s="1"/>
  <c r="D136" i="1"/>
  <c r="F136" i="1" s="1"/>
  <c r="D134" i="1"/>
  <c r="F134" i="1" s="1"/>
  <c r="D133" i="1"/>
  <c r="F133" i="1" s="1"/>
  <c r="D127" i="1"/>
  <c r="D126" i="1"/>
  <c r="D125" i="1"/>
  <c r="D135" i="1"/>
  <c r="F135" i="1" s="1"/>
  <c r="D132" i="1"/>
  <c r="F132" i="1" s="1"/>
  <c r="D131" i="1"/>
  <c r="F131" i="1" s="1"/>
  <c r="D130" i="1"/>
  <c r="F130" i="1" s="1"/>
  <c r="D129" i="1"/>
  <c r="F129" i="1" s="1"/>
  <c r="D128" i="1"/>
  <c r="I43" i="1"/>
  <c r="A177" i="1"/>
  <c r="A170" i="1"/>
  <c r="C109" i="1" l="1"/>
  <c r="C110" i="1" s="1"/>
  <c r="E109" i="1"/>
  <c r="E110" i="1" s="1"/>
  <c r="F164" i="1"/>
  <c r="G114" i="1" s="1"/>
  <c r="C114" i="1"/>
  <c r="E114" i="1"/>
  <c r="C113" i="1"/>
  <c r="E113" i="1"/>
  <c r="E42" i="1"/>
  <c r="E43" i="1" s="1"/>
  <c r="A178" i="1"/>
  <c r="A171" i="1"/>
  <c r="K110" i="1" l="1"/>
  <c r="C14" i="1"/>
  <c r="A179" i="1"/>
  <c r="A172" i="1"/>
  <c r="E29" i="1" l="1"/>
  <c r="A180" i="1"/>
  <c r="A173" i="1"/>
  <c r="F106" i="1" l="1"/>
  <c r="A181" i="1"/>
  <c r="A174" i="1"/>
  <c r="F126" i="1" l="1"/>
  <c r="F127" i="1"/>
  <c r="F128" i="1"/>
  <c r="F125" i="1"/>
  <c r="A182" i="1"/>
  <c r="A175" i="1"/>
  <c r="G109" i="1" l="1"/>
  <c r="G110" i="1" s="1"/>
  <c r="B185" i="1"/>
  <c r="A156" i="1"/>
  <c r="A151" i="1"/>
  <c r="F159" i="1" l="1"/>
  <c r="F157" i="1"/>
  <c r="F156" i="1"/>
  <c r="F154" i="1"/>
  <c r="I154" i="1" s="1"/>
  <c r="F153" i="1"/>
  <c r="I153" i="1" s="1"/>
  <c r="F152" i="1"/>
  <c r="I152" i="1" s="1"/>
  <c r="F151" i="1"/>
  <c r="F147" i="1"/>
  <c r="F148" i="1"/>
  <c r="A152" i="1"/>
  <c r="A157" i="1"/>
  <c r="I151" i="1" l="1"/>
  <c r="J151" i="1"/>
  <c r="G113" i="1"/>
  <c r="J110" i="1" s="1"/>
  <c r="B186" i="1"/>
  <c r="A153" i="1"/>
  <c r="A158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05" i="1"/>
  <c r="G156" i="1"/>
  <c r="G151" i="1"/>
  <c r="G146" i="1"/>
  <c r="A146" i="1"/>
  <c r="A147" i="1" s="1"/>
  <c r="A148" i="1" s="1"/>
  <c r="A149" i="1" s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G125" i="1"/>
  <c r="J76" i="1"/>
  <c r="J75" i="1"/>
  <c r="J74" i="1"/>
  <c r="J73" i="1"/>
  <c r="G49" i="1"/>
  <c r="G50" i="1" s="1"/>
  <c r="C49" i="1"/>
  <c r="C50" i="1" s="1"/>
  <c r="E26" i="1"/>
  <c r="E24" i="1"/>
  <c r="E7" i="1"/>
  <c r="E3" i="1"/>
  <c r="A154" i="1"/>
  <c r="H66" i="1"/>
  <c r="A159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J72" i="1" s="1"/>
  <c r="J77" i="1" s="1"/>
  <c r="J78" i="1" s="1"/>
  <c r="C70" i="1" s="1"/>
  <c r="D71" i="1" l="1"/>
  <c r="J67" i="1"/>
  <c r="E69" i="1"/>
  <c r="D70" i="1"/>
  <c r="G69" i="1"/>
  <c r="D63" i="1" s="1"/>
  <c r="D64" i="1" s="1"/>
  <c r="D69" i="1"/>
  <c r="H80" i="1"/>
  <c r="J84" i="1" l="1"/>
  <c r="C83" i="1" s="1"/>
  <c r="D83" i="1" s="1"/>
  <c r="J82" i="1"/>
  <c r="D85" i="1"/>
  <c r="D92" i="1"/>
  <c r="D90" i="1"/>
  <c r="D88" i="1"/>
  <c r="D86" i="1"/>
  <c r="J85" i="1"/>
  <c r="J86" i="1" s="1"/>
  <c r="J91" i="1" s="1"/>
  <c r="J92" i="1" s="1"/>
  <c r="C84" i="1" s="1"/>
  <c r="D91" i="1"/>
  <c r="D87" i="1"/>
  <c r="D89" i="1"/>
  <c r="J83" i="1"/>
  <c r="J79" i="1"/>
  <c r="J81" i="1" s="1"/>
  <c r="I66" i="1"/>
  <c r="J66" i="1"/>
  <c r="F64" i="1"/>
  <c r="E83" i="1" l="1"/>
  <c r="D84" i="1"/>
  <c r="I80" i="1" s="1"/>
  <c r="I81" i="1" s="1"/>
  <c r="G83" i="1"/>
  <c r="J80" i="1"/>
  <c r="I67" i="1"/>
  <c r="I65" i="1" s="1"/>
  <c r="C67" i="1" s="1"/>
  <c r="I79" i="1" l="1"/>
  <c r="C81" i="1" s="1"/>
</calcChain>
</file>

<file path=xl/sharedStrings.xml><?xml version="1.0" encoding="utf-8"?>
<sst xmlns="http://schemas.openxmlformats.org/spreadsheetml/2006/main" count="366" uniqueCount="242">
  <si>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</si>
  <si>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</si>
  <si>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</si>
  <si>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</si>
  <si>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</si>
  <si>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</si>
  <si>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</si>
  <si>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</si>
  <si>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</si>
  <si>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</si>
  <si>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</si>
  <si>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</si>
  <si>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</si>
  <si>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</si>
  <si>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</si>
  <si>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</si>
  <si>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</si>
  <si>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</si>
  <si>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</si>
  <si>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</si>
  <si>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</si>
  <si>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</si>
  <si>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</si>
  <si>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</si>
  <si>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</si>
  <si>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</si>
  <si>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</si>
  <si>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</si>
  <si>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</si>
  <si>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</si>
  <si>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</si>
  <si>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</si>
  <si>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</si>
  <si>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</si>
  <si>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</si>
  <si>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</si>
  <si>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</si>
  <si>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</si>
  <si>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</si>
  <si>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</si>
  <si>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</si>
  <si>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</si>
  <si>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</si>
  <si>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</si>
  <si>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</si>
  <si>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</si>
  <si>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</si>
  <si>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</si>
  <si>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</si>
  <si>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</si>
  <si>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</si>
  <si>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</si>
  <si>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</si>
  <si>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</si>
  <si>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</si>
  <si>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</si>
  <si>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</si>
  <si>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</si>
  <si>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</si>
  <si>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</si>
  <si>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</si>
  <si>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</si>
  <si>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</si>
  <si>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</si>
  <si>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</si>
  <si>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</si>
  <si>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</si>
  <si>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</si>
  <si>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</si>
  <si>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</si>
  <si>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</si>
  <si>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</si>
  <si>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</si>
  <si>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</si>
  <si>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</si>
  <si>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</si>
  <si>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</si>
  <si>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</si>
  <si>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</si>
  <si>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</si>
  <si>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</si>
  <si>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</si>
  <si>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</si>
  <si>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</si>
  <si>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</si>
  <si>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</si>
  <si>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</si>
  <si>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</si>
  <si>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</si>
  <si>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</si>
  <si>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</si>
  <si>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</si>
  <si>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</si>
  <si>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</si>
  <si>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</si>
  <si>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</si>
  <si>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</si>
  <si>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</si>
  <si>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</si>
  <si>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</si>
  <si>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</si>
  <si>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</si>
  <si>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</si>
  <si>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</si>
  <si>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</si>
  <si>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</si>
  <si>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</si>
  <si>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</si>
  <si>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</si>
  <si>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</si>
  <si>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</si>
  <si>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</si>
  <si>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</si>
  <si>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</si>
  <si>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</si>
  <si>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</si>
  <si>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</si>
  <si>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</si>
  <si>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</si>
  <si>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</si>
  <si>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</si>
  <si>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</si>
  <si>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</si>
  <si>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</si>
  <si>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</si>
  <si>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</si>
  <si>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</si>
  <si>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</si>
  <si>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</si>
  <si>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</si>
  <si>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</si>
  <si>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considered Gross carpet area = Net carpet + Enclose balcony + D.B Area + F.B Area.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</si>
  <si>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</si>
  <si>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</si>
  <si>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</si>
  <si>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</si>
  <si>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</si>
  <si>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</si>
  <si>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</si>
  <si>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</si>
  <si>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</si>
  <si>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</si>
  <si>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</si>
  <si>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</si>
  <si>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</si>
  <si>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</si>
  <si>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</si>
  <si>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</si>
  <si>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</si>
  <si>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</si>
  <si>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</si>
  <si>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</si>
  <si>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</si>
  <si>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</si>
  <si>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</si>
  <si>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</si>
  <si>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</si>
  <si>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</si>
  <si>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</si>
  <si>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</si>
  <si>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</si>
  <si>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</si>
  <si>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</si>
  <si>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</si>
  <si>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</si>
  <si>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</si>
  <si>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</si>
  <si>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</si>
  <si>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</si>
  <si>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</si>
  <si>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</si>
  <si>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</si>
  <si>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</si>
  <si>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</si>
  <si>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</si>
  <si>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</si>
  <si>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</si>
  <si>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>Axis Goregaon</t>
  </si>
  <si>
    <t>N.S.Realty</t>
  </si>
  <si>
    <t>Narayan Heights</t>
  </si>
  <si>
    <t>P99000032307</t>
  </si>
  <si>
    <t>Palghar</t>
  </si>
  <si>
    <t>Nilemore</t>
  </si>
  <si>
    <t>Vasai</t>
  </si>
  <si>
    <t>211, H.No. 6, 7, 203</t>
  </si>
  <si>
    <t>Survey No</t>
  </si>
  <si>
    <t>https://goo.gl/maps/ZW3Ec9GeipFhkwcX8</t>
  </si>
  <si>
    <t>Morya Nagar</t>
  </si>
  <si>
    <t>Yashwant Gaurav Road</t>
  </si>
  <si>
    <t>2.8KM from Nalla Sopara Railway Station</t>
  </si>
  <si>
    <t>Nalla Sopara</t>
  </si>
  <si>
    <t>Vasai Virar City Municipal Corporation (VVCMC )</t>
  </si>
  <si>
    <t>VVCMC/TP/RDP/VP - 0111/203/2022 - 23</t>
  </si>
  <si>
    <t>As per RERA - 30/04/2026</t>
  </si>
  <si>
    <t>B Wing = G + 1st to 14th Floor
C Wing = G + 1st to 14th Floor</t>
  </si>
  <si>
    <t xml:space="preserve">Community area, Outdoor gym, Game zone, Kids play area, Yoga &amp; Meditation zone, Sitout area, Power back up for lifts &amp; common area, Fire fighting system 
</t>
  </si>
  <si>
    <t>B Wing</t>
  </si>
  <si>
    <t>C Wing</t>
  </si>
  <si>
    <t>Ground Floor For Commercial &amp; Parking</t>
  </si>
  <si>
    <t>B Wing + C Wing</t>
  </si>
  <si>
    <t>Shop</t>
  </si>
  <si>
    <t>1st Floor For Residential &amp; Parking</t>
  </si>
  <si>
    <t>Parking</t>
  </si>
  <si>
    <t>1BHK</t>
  </si>
  <si>
    <t>2nd to 7th, 9th to 12th, &amp; 14th Floor For Residential</t>
  </si>
  <si>
    <t>8th &amp; 13th Floor</t>
  </si>
  <si>
    <t>2BHK</t>
  </si>
  <si>
    <t>8th &amp; 13th Floor ( Part Refuse Area )</t>
  </si>
  <si>
    <t>Approved Plans, CC, Sale Plans</t>
  </si>
  <si>
    <t>Building No.1</t>
  </si>
  <si>
    <t>Sector V - Phase II</t>
  </si>
  <si>
    <t>Sector V, Phase II, Building No.1, B &amp; C Wing</t>
  </si>
  <si>
    <t>Refuge Area</t>
  </si>
  <si>
    <t>MIS</t>
  </si>
  <si>
    <t>4k to 6k</t>
  </si>
  <si>
    <t>Online</t>
  </si>
  <si>
    <t>Costsheet</t>
  </si>
  <si>
    <t>Site</t>
  </si>
  <si>
    <t>7k</t>
  </si>
  <si>
    <t>Flats - 132, Shops -13</t>
  </si>
  <si>
    <t>G + 1st to 14th Floor</t>
  </si>
  <si>
    <t xml:space="preserve">19.433990, </t>
  </si>
  <si>
    <t>Shalibhadra Amora</t>
  </si>
  <si>
    <t>Om Sai Heights 2</t>
  </si>
  <si>
    <t>Internal Road</t>
  </si>
  <si>
    <t>02 Wings</t>
  </si>
  <si>
    <t>B &amp; C Wing = G + 1st to 14th Floor</t>
  </si>
  <si>
    <t xml:space="preserve">other charges </t>
  </si>
  <si>
    <t>nikhil</t>
  </si>
  <si>
    <t>cost sheet</t>
  </si>
  <si>
    <t>6000 to 7000</t>
  </si>
  <si>
    <t>Sanjay &amp; Nikhil</t>
  </si>
  <si>
    <t>index 2</t>
  </si>
  <si>
    <t>C Wing = G + 1st to 14th Floor</t>
  </si>
  <si>
    <t>Office No. 1031, Wing J, Akshar Business Park, Plot No. 03 Sector 25, Near APMC Market,
Vashi, Navi Mumbai, Maharashtra 400703 TEL: 022-46090378/79/80                                                                                             E mail : vsjcapf@gmail.com. Web site : www.vsjadon.com</t>
  </si>
  <si>
    <t>Navnath Bhatkar</t>
  </si>
  <si>
    <t>Ms. Pooja 9860028481</t>
  </si>
  <si>
    <t>B Wing = G + 1st to 14th Floor</t>
  </si>
  <si>
    <t>Ms. Vaishnavi : 9860028481</t>
  </si>
  <si>
    <t>Construction &amp; Lift installation work is in process at the time of Visit. (labour found)</t>
  </si>
  <si>
    <t>Gaurav Panchal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</si>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</sst>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01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2" fontId="7" fillId="0" borderId="0" xfId="1" applyNumberFormat="1" applyFont="1"/>
    <xf numFmtId="2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7" fillId="2" borderId="0" xfId="1" applyFont="1" applyFill="1"/>
    <xf numFmtId="14" fontId="7" fillId="2" borderId="0" xfId="1" applyNumberFormat="1" applyFont="1" applyFill="1"/>
    <xf numFmtId="0" fontId="16" fillId="3" borderId="0" xfId="1" applyFont="1" applyFill="1"/>
    <xf numFmtId="14" fontId="16" fillId="3" borderId="0" xfId="1" applyNumberFormat="1" applyFont="1" applyFill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4" fillId="2" borderId="14" xfId="0" applyFont="1" applyFill="1" applyBorder="1"/>
    <xf numFmtId="0" fontId="25" fillId="0" borderId="8" xfId="0" applyFont="1" applyBorder="1"/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165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left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vertical="top" wrapText="1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12" fillId="0" borderId="7" xfId="1" applyFont="1" applyBorder="1" applyAlignment="1" applyProtection="1">
      <alignment horizontal="left" vertical="top"/>
      <protection locked="0"/>
    </xf>
    <xf numFmtId="0" fontId="12" fillId="0" borderId="20" xfId="1" applyFont="1" applyBorder="1" applyAlignment="1" applyProtection="1">
      <alignment horizontal="left" vertical="top"/>
      <protection locked="0"/>
    </xf>
    <xf numFmtId="0" fontId="12" fillId="0" borderId="8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0" fontId="9" fillId="0" borderId="1" xfId="5" applyFont="1" applyBorder="1" applyAlignment="1">
      <alignment horizontal="left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/>
      <protection locked="0"/>
    </xf>
    <xf numFmtId="1" fontId="10" fillId="0" borderId="17" xfId="0" applyNumberFormat="1" applyFont="1" applyBorder="1" applyAlignment="1" applyProtection="1">
      <alignment horizontal="center" vertical="center"/>
      <protection locked="0"/>
    </xf>
    <xf numFmtId="1" fontId="10" fillId="0" borderId="16" xfId="0" applyNumberFormat="1" applyFont="1" applyBorder="1" applyAlignment="1" applyProtection="1">
      <alignment horizontal="center" vertical="top" wrapText="1"/>
      <protection locked="0"/>
    </xf>
    <xf numFmtId="1" fontId="10" fillId="0" borderId="17" xfId="0" applyNumberFormat="1" applyFont="1" applyBorder="1" applyAlignment="1" applyProtection="1">
      <alignment horizontal="center" vertical="top" wrapText="1"/>
      <protection locked="0"/>
    </xf>
    <xf numFmtId="1" fontId="8" fillId="0" borderId="31" xfId="0" applyNumberFormat="1" applyFont="1" applyBorder="1" applyAlignment="1" applyProtection="1">
      <alignment horizontal="center" vertical="center" wrapText="1"/>
      <protection locked="0"/>
    </xf>
    <xf numFmtId="1" fontId="8" fillId="0" borderId="32" xfId="0" applyNumberFormat="1" applyFont="1" applyBorder="1" applyAlignment="1" applyProtection="1">
      <alignment horizontal="center" vertical="center" wrapText="1"/>
      <protection locked="0"/>
    </xf>
    <xf numFmtId="1" fontId="10" fillId="0" borderId="32" xfId="0" applyNumberFormat="1" applyFont="1" applyBorder="1" applyAlignment="1" applyProtection="1">
      <alignment horizontal="center" vertical="center"/>
      <protection locked="0"/>
    </xf>
    <xf numFmtId="0" fontId="10" fillId="0" borderId="32" xfId="0" applyFont="1" applyBorder="1" applyAlignment="1" applyProtection="1">
      <alignment horizontal="center" vertical="center"/>
      <protection locked="0"/>
    </xf>
    <xf numFmtId="0" fontId="10" fillId="0" borderId="33" xfId="0" applyFont="1" applyBorder="1" applyAlignment="1" applyProtection="1">
      <alignment horizontal="center" vertical="center"/>
      <protection locked="0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3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742950</xdr:colOff>
      <xdr:row>292</xdr:row>
      <xdr:rowOff>0</xdr:rowOff>
    </xdr:from>
    <xdr:to>
      <xdr:col>7</xdr:col>
      <xdr:colOff>54766</xdr:colOff>
      <xdr:row>310</xdr:row>
      <xdr:rowOff>416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42950" y="62064900"/>
          <a:ext cx="5426866" cy="3600000"/>
        </a:xfrm>
        <a:prstGeom prst="rect">
          <a:avLst/>
        </a:prstGeom>
        <a:ln w="12700"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150495</xdr:colOff>
      <xdr:row>247</xdr:row>
      <xdr:rowOff>99060</xdr:rowOff>
    </xdr:from>
    <xdr:to>
      <xdr:col>5</xdr:col>
      <xdr:colOff>483870</xdr:colOff>
      <xdr:row>265</xdr:row>
      <xdr:rowOff>98611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58315" y="47602140"/>
          <a:ext cx="2969895" cy="3565711"/>
        </a:xfrm>
        <a:prstGeom prst="rect">
          <a:avLst/>
        </a:prstGeom>
        <a:ln w="19050"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276225</xdr:colOff>
      <xdr:row>311</xdr:row>
      <xdr:rowOff>0</xdr:rowOff>
    </xdr:from>
    <xdr:to>
      <xdr:col>7</xdr:col>
      <xdr:colOff>583211</xdr:colOff>
      <xdr:row>329</xdr:row>
      <xdr:rowOff>416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76225" y="63941325"/>
          <a:ext cx="6422036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oneCellAnchor>
    <xdr:from>
      <xdr:col>8</xdr:col>
      <xdr:colOff>810008</xdr:colOff>
      <xdr:row>212</xdr:row>
      <xdr:rowOff>140278</xdr:rowOff>
    </xdr:from>
    <xdr:ext cx="357214" cy="468013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7515608" y="41212078"/>
          <a:ext cx="357214" cy="46801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400" b="1"/>
            <a:t>B</a:t>
          </a:r>
        </a:p>
      </xdr:txBody>
    </xdr:sp>
    <xdr:clientData/>
  </xdr:oneCellAnchor>
  <xdr:oneCellAnchor>
    <xdr:from>
      <xdr:col>10</xdr:col>
      <xdr:colOff>0</xdr:colOff>
      <xdr:row>214</xdr:row>
      <xdr:rowOff>0</xdr:rowOff>
    </xdr:from>
    <xdr:ext cx="357214" cy="468013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8442614" y="44221977"/>
          <a:ext cx="357214" cy="468013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400" b="1"/>
            <a:t>B</a:t>
          </a:r>
        </a:p>
      </xdr:txBody>
    </xdr:sp>
    <xdr:clientData/>
  </xdr:oneCellAnchor>
  <xdr:oneCellAnchor>
    <xdr:from>
      <xdr:col>8</xdr:col>
      <xdr:colOff>898332</xdr:colOff>
      <xdr:row>204</xdr:row>
      <xdr:rowOff>166254</xdr:rowOff>
    </xdr:from>
    <xdr:ext cx="357214" cy="46801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7603932" y="39637854"/>
          <a:ext cx="357214" cy="46801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400" b="1">
              <a:solidFill>
                <a:srgbClr val="FF0000"/>
              </a:solidFill>
            </a:rPr>
            <a:t>C</a:t>
          </a:r>
        </a:p>
      </xdr:txBody>
    </xdr:sp>
    <xdr:clientData/>
  </xdr:oneCellAnchor>
  <xdr:oneCellAnchor>
    <xdr:from>
      <xdr:col>10</xdr:col>
      <xdr:colOff>642505</xdr:colOff>
      <xdr:row>229</xdr:row>
      <xdr:rowOff>22516</xdr:rowOff>
    </xdr:from>
    <xdr:ext cx="357214" cy="46801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9329305" y="44509461"/>
          <a:ext cx="357214" cy="46801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400" b="1">
              <a:solidFill>
                <a:srgbClr val="FF0000"/>
              </a:solidFill>
            </a:rPr>
            <a:t>B</a:t>
          </a:r>
        </a:p>
      </xdr:txBody>
    </xdr:sp>
    <xdr:clientData/>
  </xdr:oneCellAnchor>
  <xdr:oneCellAnchor>
    <xdr:from>
      <xdr:col>9</xdr:col>
      <xdr:colOff>17319</xdr:colOff>
      <xdr:row>228</xdr:row>
      <xdr:rowOff>176647</xdr:rowOff>
    </xdr:from>
    <xdr:ext cx="357214" cy="46801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7921337" y="44462702"/>
          <a:ext cx="357214" cy="468013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IN" sz="2400" b="1">
              <a:solidFill>
                <a:srgbClr val="FF0000"/>
              </a:solidFill>
            </a:rPr>
            <a:t>C</a:t>
          </a:r>
        </a:p>
      </xdr:txBody>
    </xdr:sp>
    <xdr:clientData/>
  </xdr:oneCellAnchor>
  <xdr:twoCellAnchor>
    <xdr:from>
      <xdr:col>8</xdr:col>
      <xdr:colOff>720725</xdr:colOff>
      <xdr:row>205</xdr:row>
      <xdr:rowOff>98425</xdr:rowOff>
    </xdr:from>
    <xdr:to>
      <xdr:col>16</xdr:col>
      <xdr:colOff>480671</xdr:colOff>
      <xdr:row>244</xdr:row>
      <xdr:rowOff>116041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7207250" y="42903775"/>
          <a:ext cx="6151221" cy="7809066"/>
          <a:chOff x="177800" y="42081450"/>
          <a:chExt cx="6436971" cy="7688416"/>
        </a:xfrm>
      </xdr:grpSpPr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052941" y="4775386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2" name="Picture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7796" y="420814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327" y="420814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64908" y="42081450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7800" y="4775386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77795" y="44917658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59443" y="44917658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90326" y="44917658"/>
            <a:ext cx="2049863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7894" y="4775386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02847" y="47753866"/>
            <a:ext cx="1510425" cy="2016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581025</xdr:colOff>
      <xdr:row>205</xdr:row>
      <xdr:rowOff>133350</xdr:rowOff>
    </xdr:from>
    <xdr:to>
      <xdr:col>7</xdr:col>
      <xdr:colOff>59087</xdr:colOff>
      <xdr:row>244</xdr:row>
      <xdr:rowOff>90936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258F40A4-154E-45ED-BEEF-A04B817A68BA}"/>
            </a:ext>
          </a:extLst>
        </xdr:cNvPr>
        <xdr:cNvGrpSpPr/>
      </xdr:nvGrpSpPr>
      <xdr:grpSpPr>
        <a:xfrm>
          <a:off x="581025" y="42938700"/>
          <a:ext cx="5135912" cy="7749036"/>
          <a:chOff x="929815" y="394447"/>
          <a:chExt cx="5135912" cy="7749036"/>
        </a:xfrm>
      </xdr:grpSpPr>
      <xdr:grpSp>
        <xdr:nvGrpSpPr>
          <xdr:cNvPr id="36" name="Group 35">
            <a:extLst>
              <a:ext uri="{FF2B5EF4-FFF2-40B4-BE49-F238E27FC236}">
                <a16:creationId xmlns:a16="http://schemas.microsoft.com/office/drawing/2014/main" id="{092FC191-3443-4295-BAFB-8A7636E1978A}"/>
              </a:ext>
            </a:extLst>
          </xdr:cNvPr>
          <xdr:cNvGrpSpPr/>
        </xdr:nvGrpSpPr>
        <xdr:grpSpPr>
          <a:xfrm>
            <a:off x="929815" y="394447"/>
            <a:ext cx="5135912" cy="7749036"/>
            <a:chOff x="929815" y="394447"/>
            <a:chExt cx="5135912" cy="7749036"/>
          </a:xfrm>
        </xdr:grpSpPr>
        <xdr:pic>
          <xdr:nvPicPr>
            <xdr:cNvPr id="40" name="Picture 39">
              <a:extLst>
                <a:ext uri="{FF2B5EF4-FFF2-40B4-BE49-F238E27FC236}">
                  <a16:creationId xmlns:a16="http://schemas.microsoft.com/office/drawing/2014/main" id="{69AE7273-8937-413A-8285-1FEA7A835473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4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29815" y="394447"/>
              <a:ext cx="2499185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1" name="Picture 40">
              <a:extLst>
                <a:ext uri="{FF2B5EF4-FFF2-40B4-BE49-F238E27FC236}">
                  <a16:creationId xmlns:a16="http://schemas.microsoft.com/office/drawing/2014/main" id="{484B1672-C9F1-45F1-B0FE-54BFABA93F0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5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589455" y="394447"/>
              <a:ext cx="2427469" cy="324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2" name="Picture 41">
              <a:extLst>
                <a:ext uri="{FF2B5EF4-FFF2-40B4-BE49-F238E27FC236}">
                  <a16:creationId xmlns:a16="http://schemas.microsoft.com/office/drawing/2014/main" id="{9B905DFD-45E1-4FB0-A27A-E5FFACB368E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6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688615" y="3818965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3" name="Picture 42">
              <a:extLst>
                <a:ext uri="{FF2B5EF4-FFF2-40B4-BE49-F238E27FC236}">
                  <a16:creationId xmlns:a16="http://schemas.microsoft.com/office/drawing/2014/main" id="{4D34957F-377B-4BAD-A468-CFD304ABFEF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7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929815" y="3818965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5" name="Picture 44">
              <a:extLst>
                <a:ext uri="{FF2B5EF4-FFF2-40B4-BE49-F238E27FC236}">
                  <a16:creationId xmlns:a16="http://schemas.microsoft.com/office/drawing/2014/main" id="{BEEEDCED-1C1E-4C14-99CC-CBC774C3ABD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8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447415" y="3818965"/>
              <a:ext cx="1618312" cy="216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6" name="Picture 45">
              <a:extLst>
                <a:ext uri="{FF2B5EF4-FFF2-40B4-BE49-F238E27FC236}">
                  <a16:creationId xmlns:a16="http://schemas.microsoft.com/office/drawing/2014/main" id="{A3846716-6D3C-4988-80F1-F34F066A3AC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9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758989" y="6163483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7" name="Picture 46">
              <a:extLst>
                <a:ext uri="{FF2B5EF4-FFF2-40B4-BE49-F238E27FC236}">
                  <a16:creationId xmlns:a16="http://schemas.microsoft.com/office/drawing/2014/main" id="{BE60C8DD-7776-4140-96D8-76CC1FD7752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0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135048" y="6163483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48" name="Picture 47">
              <a:extLst>
                <a:ext uri="{FF2B5EF4-FFF2-40B4-BE49-F238E27FC236}">
                  <a16:creationId xmlns:a16="http://schemas.microsoft.com/office/drawing/2014/main" id="{2943B4E5-1F7C-455F-9B4E-D940ECAB00D9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1" cstate="screen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77301" y="6163483"/>
              <a:ext cx="1483453" cy="198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sp macro="" textlink="">
        <xdr:nvSpPr>
          <xdr:cNvPr id="37" name="TextBox 63">
            <a:extLst>
              <a:ext uri="{FF2B5EF4-FFF2-40B4-BE49-F238E27FC236}">
                <a16:creationId xmlns:a16="http://schemas.microsoft.com/office/drawing/2014/main" id="{29A5E39B-D922-4270-B324-D453F09023FB}"/>
              </a:ext>
            </a:extLst>
          </xdr:cNvPr>
          <xdr:cNvSpPr txBox="1"/>
        </xdr:nvSpPr>
        <xdr:spPr>
          <a:xfrm>
            <a:off x="1016587" y="404676"/>
            <a:ext cx="883575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B</a:t>
            </a:r>
            <a:endParaRPr lang="en-IN" b="1">
              <a:solidFill>
                <a:srgbClr val="FF0000"/>
              </a:solidFill>
            </a:endParaRPr>
          </a:p>
        </xdr:txBody>
      </xdr:sp>
      <xdr:sp macro="" textlink="">
        <xdr:nvSpPr>
          <xdr:cNvPr id="39" name="TextBox 64">
            <a:extLst>
              <a:ext uri="{FF2B5EF4-FFF2-40B4-BE49-F238E27FC236}">
                <a16:creationId xmlns:a16="http://schemas.microsoft.com/office/drawing/2014/main" id="{C13EDD28-7F6E-41C4-9940-9EEDDC22DE89}"/>
              </a:ext>
            </a:extLst>
          </xdr:cNvPr>
          <xdr:cNvSpPr txBox="1"/>
        </xdr:nvSpPr>
        <xdr:spPr>
          <a:xfrm>
            <a:off x="3865139" y="394447"/>
            <a:ext cx="883575" cy="36933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b="1">
                <a:solidFill>
                  <a:srgbClr val="FF0000"/>
                </a:solidFill>
              </a:rPr>
              <a:t>Wing C</a:t>
            </a:r>
            <a:endParaRPr lang="en-IN" b="1">
              <a:solidFill>
                <a:srgbClr val="FF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ZW3Ec9GeipFhkwcX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91"/>
  <sheetViews>
    <sheetView tabSelected="1" view="pageBreakPreview" topLeftCell="A77" zoomScaleNormal="100" zoomScaleSheetLayoutView="100" workbookViewId="0">
      <selection activeCell="J118" sqref="J118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5703125" style="40" customWidth="1"/>
    <col min="4" max="4" width="14.140625" style="40" customWidth="1"/>
    <col min="5" max="7" width="11.5703125" style="40" customWidth="1"/>
    <col min="8" max="8" width="12.42578125" style="40" customWidth="1"/>
    <col min="9" max="9" width="17.42578125" style="21" customWidth="1"/>
    <col min="10" max="10" width="11.42578125" style="21" customWidth="1"/>
    <col min="11" max="11" width="10.57031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5703125" style="21" customWidth="1"/>
    <col min="17" max="247" width="9.140625" style="21"/>
    <col min="248" max="248" width="8.5703125" style="21" customWidth="1"/>
    <col min="249" max="249" width="9.85546875" style="21" customWidth="1"/>
    <col min="250" max="250" width="14.42578125" style="21" customWidth="1"/>
    <col min="251" max="251" width="7.425781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5703125" style="21" customWidth="1"/>
    <col min="505" max="505" width="9.85546875" style="21" customWidth="1"/>
    <col min="506" max="506" width="14.42578125" style="21" customWidth="1"/>
    <col min="507" max="507" width="7.425781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5703125" style="21" customWidth="1"/>
    <col min="761" max="761" width="9.85546875" style="21" customWidth="1"/>
    <col min="762" max="762" width="14.42578125" style="21" customWidth="1"/>
    <col min="763" max="763" width="7.425781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5703125" style="21" customWidth="1"/>
    <col min="1017" max="1017" width="9.85546875" style="21" customWidth="1"/>
    <col min="1018" max="1018" width="14.42578125" style="21" customWidth="1"/>
    <col min="1019" max="1019" width="7.425781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5703125" style="21" customWidth="1"/>
    <col min="1273" max="1273" width="9.85546875" style="21" customWidth="1"/>
    <col min="1274" max="1274" width="14.42578125" style="21" customWidth="1"/>
    <col min="1275" max="1275" width="7.425781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5703125" style="21" customWidth="1"/>
    <col min="1529" max="1529" width="9.85546875" style="21" customWidth="1"/>
    <col min="1530" max="1530" width="14.42578125" style="21" customWidth="1"/>
    <col min="1531" max="1531" width="7.425781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5703125" style="21" customWidth="1"/>
    <col min="1785" max="1785" width="9.85546875" style="21" customWidth="1"/>
    <col min="1786" max="1786" width="14.42578125" style="21" customWidth="1"/>
    <col min="1787" max="1787" width="7.425781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5703125" style="21" customWidth="1"/>
    <col min="2041" max="2041" width="9.85546875" style="21" customWidth="1"/>
    <col min="2042" max="2042" width="14.42578125" style="21" customWidth="1"/>
    <col min="2043" max="2043" width="7.425781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5703125" style="21" customWidth="1"/>
    <col min="2297" max="2297" width="9.85546875" style="21" customWidth="1"/>
    <col min="2298" max="2298" width="14.42578125" style="21" customWidth="1"/>
    <col min="2299" max="2299" width="7.425781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5703125" style="21" customWidth="1"/>
    <col min="2553" max="2553" width="9.85546875" style="21" customWidth="1"/>
    <col min="2554" max="2554" width="14.42578125" style="21" customWidth="1"/>
    <col min="2555" max="2555" width="7.425781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5703125" style="21" customWidth="1"/>
    <col min="2809" max="2809" width="9.85546875" style="21" customWidth="1"/>
    <col min="2810" max="2810" width="14.42578125" style="21" customWidth="1"/>
    <col min="2811" max="2811" width="7.425781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5703125" style="21" customWidth="1"/>
    <col min="3065" max="3065" width="9.85546875" style="21" customWidth="1"/>
    <col min="3066" max="3066" width="14.42578125" style="21" customWidth="1"/>
    <col min="3067" max="3067" width="7.425781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5703125" style="21" customWidth="1"/>
    <col min="3321" max="3321" width="9.85546875" style="21" customWidth="1"/>
    <col min="3322" max="3322" width="14.42578125" style="21" customWidth="1"/>
    <col min="3323" max="3323" width="7.425781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5703125" style="21" customWidth="1"/>
    <col min="3577" max="3577" width="9.85546875" style="21" customWidth="1"/>
    <col min="3578" max="3578" width="14.42578125" style="21" customWidth="1"/>
    <col min="3579" max="3579" width="7.425781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5703125" style="21" customWidth="1"/>
    <col min="3833" max="3833" width="9.85546875" style="21" customWidth="1"/>
    <col min="3834" max="3834" width="14.42578125" style="21" customWidth="1"/>
    <col min="3835" max="3835" width="7.425781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5703125" style="21" customWidth="1"/>
    <col min="4089" max="4089" width="9.85546875" style="21" customWidth="1"/>
    <col min="4090" max="4090" width="14.42578125" style="21" customWidth="1"/>
    <col min="4091" max="4091" width="7.425781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5703125" style="21" customWidth="1"/>
    <col min="4345" max="4345" width="9.85546875" style="21" customWidth="1"/>
    <col min="4346" max="4346" width="14.42578125" style="21" customWidth="1"/>
    <col min="4347" max="4347" width="7.425781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5703125" style="21" customWidth="1"/>
    <col min="4601" max="4601" width="9.85546875" style="21" customWidth="1"/>
    <col min="4602" max="4602" width="14.42578125" style="21" customWidth="1"/>
    <col min="4603" max="4603" width="7.425781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5703125" style="21" customWidth="1"/>
    <col min="4857" max="4857" width="9.85546875" style="21" customWidth="1"/>
    <col min="4858" max="4858" width="14.42578125" style="21" customWidth="1"/>
    <col min="4859" max="4859" width="7.425781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5703125" style="21" customWidth="1"/>
    <col min="5113" max="5113" width="9.85546875" style="21" customWidth="1"/>
    <col min="5114" max="5114" width="14.42578125" style="21" customWidth="1"/>
    <col min="5115" max="5115" width="7.425781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5703125" style="21" customWidth="1"/>
    <col min="5369" max="5369" width="9.85546875" style="21" customWidth="1"/>
    <col min="5370" max="5370" width="14.42578125" style="21" customWidth="1"/>
    <col min="5371" max="5371" width="7.425781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5703125" style="21" customWidth="1"/>
    <col min="5625" max="5625" width="9.85546875" style="21" customWidth="1"/>
    <col min="5626" max="5626" width="14.42578125" style="21" customWidth="1"/>
    <col min="5627" max="5627" width="7.425781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5703125" style="21" customWidth="1"/>
    <col min="5881" max="5881" width="9.85546875" style="21" customWidth="1"/>
    <col min="5882" max="5882" width="14.42578125" style="21" customWidth="1"/>
    <col min="5883" max="5883" width="7.425781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5703125" style="21" customWidth="1"/>
    <col min="6137" max="6137" width="9.85546875" style="21" customWidth="1"/>
    <col min="6138" max="6138" width="14.42578125" style="21" customWidth="1"/>
    <col min="6139" max="6139" width="7.425781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5703125" style="21" customWidth="1"/>
    <col min="6393" max="6393" width="9.85546875" style="21" customWidth="1"/>
    <col min="6394" max="6394" width="14.42578125" style="21" customWidth="1"/>
    <col min="6395" max="6395" width="7.425781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5703125" style="21" customWidth="1"/>
    <col min="6649" max="6649" width="9.85546875" style="21" customWidth="1"/>
    <col min="6650" max="6650" width="14.42578125" style="21" customWidth="1"/>
    <col min="6651" max="6651" width="7.425781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5703125" style="21" customWidth="1"/>
    <col min="6905" max="6905" width="9.85546875" style="21" customWidth="1"/>
    <col min="6906" max="6906" width="14.42578125" style="21" customWidth="1"/>
    <col min="6907" max="6907" width="7.425781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5703125" style="21" customWidth="1"/>
    <col min="7161" max="7161" width="9.85546875" style="21" customWidth="1"/>
    <col min="7162" max="7162" width="14.42578125" style="21" customWidth="1"/>
    <col min="7163" max="7163" width="7.425781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5703125" style="21" customWidth="1"/>
    <col min="7417" max="7417" width="9.85546875" style="21" customWidth="1"/>
    <col min="7418" max="7418" width="14.42578125" style="21" customWidth="1"/>
    <col min="7419" max="7419" width="7.425781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5703125" style="21" customWidth="1"/>
    <col min="7673" max="7673" width="9.85546875" style="21" customWidth="1"/>
    <col min="7674" max="7674" width="14.42578125" style="21" customWidth="1"/>
    <col min="7675" max="7675" width="7.425781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5703125" style="21" customWidth="1"/>
    <col min="7929" max="7929" width="9.85546875" style="21" customWidth="1"/>
    <col min="7930" max="7930" width="14.42578125" style="21" customWidth="1"/>
    <col min="7931" max="7931" width="7.425781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5703125" style="21" customWidth="1"/>
    <col min="8185" max="8185" width="9.85546875" style="21" customWidth="1"/>
    <col min="8186" max="8186" width="14.42578125" style="21" customWidth="1"/>
    <col min="8187" max="8187" width="7.425781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5703125" style="21" customWidth="1"/>
    <col min="8441" max="8441" width="9.85546875" style="21" customWidth="1"/>
    <col min="8442" max="8442" width="14.42578125" style="21" customWidth="1"/>
    <col min="8443" max="8443" width="7.425781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5703125" style="21" customWidth="1"/>
    <col min="8697" max="8697" width="9.85546875" style="21" customWidth="1"/>
    <col min="8698" max="8698" width="14.42578125" style="21" customWidth="1"/>
    <col min="8699" max="8699" width="7.425781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5703125" style="21" customWidth="1"/>
    <col min="8953" max="8953" width="9.85546875" style="21" customWidth="1"/>
    <col min="8954" max="8954" width="14.42578125" style="21" customWidth="1"/>
    <col min="8955" max="8955" width="7.425781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5703125" style="21" customWidth="1"/>
    <col min="9209" max="9209" width="9.85546875" style="21" customWidth="1"/>
    <col min="9210" max="9210" width="14.42578125" style="21" customWidth="1"/>
    <col min="9211" max="9211" width="7.425781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5703125" style="21" customWidth="1"/>
    <col min="9465" max="9465" width="9.85546875" style="21" customWidth="1"/>
    <col min="9466" max="9466" width="14.42578125" style="21" customWidth="1"/>
    <col min="9467" max="9467" width="7.425781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5703125" style="21" customWidth="1"/>
    <col min="9721" max="9721" width="9.85546875" style="21" customWidth="1"/>
    <col min="9722" max="9722" width="14.42578125" style="21" customWidth="1"/>
    <col min="9723" max="9723" width="7.425781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5703125" style="21" customWidth="1"/>
    <col min="9977" max="9977" width="9.85546875" style="21" customWidth="1"/>
    <col min="9978" max="9978" width="14.42578125" style="21" customWidth="1"/>
    <col min="9979" max="9979" width="7.425781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5703125" style="21" customWidth="1"/>
    <col min="10233" max="10233" width="9.85546875" style="21" customWidth="1"/>
    <col min="10234" max="10234" width="14.42578125" style="21" customWidth="1"/>
    <col min="10235" max="10235" width="7.425781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5703125" style="21" customWidth="1"/>
    <col min="10489" max="10489" width="9.85546875" style="21" customWidth="1"/>
    <col min="10490" max="10490" width="14.42578125" style="21" customWidth="1"/>
    <col min="10491" max="10491" width="7.425781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5703125" style="21" customWidth="1"/>
    <col min="10745" max="10745" width="9.85546875" style="21" customWidth="1"/>
    <col min="10746" max="10746" width="14.42578125" style="21" customWidth="1"/>
    <col min="10747" max="10747" width="7.425781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5703125" style="21" customWidth="1"/>
    <col min="11001" max="11001" width="9.85546875" style="21" customWidth="1"/>
    <col min="11002" max="11002" width="14.42578125" style="21" customWidth="1"/>
    <col min="11003" max="11003" width="7.425781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5703125" style="21" customWidth="1"/>
    <col min="11257" max="11257" width="9.85546875" style="21" customWidth="1"/>
    <col min="11258" max="11258" width="14.42578125" style="21" customWidth="1"/>
    <col min="11259" max="11259" width="7.425781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5703125" style="21" customWidth="1"/>
    <col min="11513" max="11513" width="9.85546875" style="21" customWidth="1"/>
    <col min="11514" max="11514" width="14.42578125" style="21" customWidth="1"/>
    <col min="11515" max="11515" width="7.425781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5703125" style="21" customWidth="1"/>
    <col min="11769" max="11769" width="9.85546875" style="21" customWidth="1"/>
    <col min="11770" max="11770" width="14.42578125" style="21" customWidth="1"/>
    <col min="11771" max="11771" width="7.425781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5703125" style="21" customWidth="1"/>
    <col min="12025" max="12025" width="9.85546875" style="21" customWidth="1"/>
    <col min="12026" max="12026" width="14.42578125" style="21" customWidth="1"/>
    <col min="12027" max="12027" width="7.425781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5703125" style="21" customWidth="1"/>
    <col min="12281" max="12281" width="9.85546875" style="21" customWidth="1"/>
    <col min="12282" max="12282" width="14.42578125" style="21" customWidth="1"/>
    <col min="12283" max="12283" width="7.425781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5703125" style="21" customWidth="1"/>
    <col min="12537" max="12537" width="9.85546875" style="21" customWidth="1"/>
    <col min="12538" max="12538" width="14.42578125" style="21" customWidth="1"/>
    <col min="12539" max="12539" width="7.425781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5703125" style="21" customWidth="1"/>
    <col min="12793" max="12793" width="9.85546875" style="21" customWidth="1"/>
    <col min="12794" max="12794" width="14.42578125" style="21" customWidth="1"/>
    <col min="12795" max="12795" width="7.425781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5703125" style="21" customWidth="1"/>
    <col min="13049" max="13049" width="9.85546875" style="21" customWidth="1"/>
    <col min="13050" max="13050" width="14.42578125" style="21" customWidth="1"/>
    <col min="13051" max="13051" width="7.425781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5703125" style="21" customWidth="1"/>
    <col min="13305" max="13305" width="9.85546875" style="21" customWidth="1"/>
    <col min="13306" max="13306" width="14.42578125" style="21" customWidth="1"/>
    <col min="13307" max="13307" width="7.425781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5703125" style="21" customWidth="1"/>
    <col min="13561" max="13561" width="9.85546875" style="21" customWidth="1"/>
    <col min="13562" max="13562" width="14.42578125" style="21" customWidth="1"/>
    <col min="13563" max="13563" width="7.425781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5703125" style="21" customWidth="1"/>
    <col min="13817" max="13817" width="9.85546875" style="21" customWidth="1"/>
    <col min="13818" max="13818" width="14.42578125" style="21" customWidth="1"/>
    <col min="13819" max="13819" width="7.425781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5703125" style="21" customWidth="1"/>
    <col min="14073" max="14073" width="9.85546875" style="21" customWidth="1"/>
    <col min="14074" max="14074" width="14.42578125" style="21" customWidth="1"/>
    <col min="14075" max="14075" width="7.425781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5703125" style="21" customWidth="1"/>
    <col min="14329" max="14329" width="9.85546875" style="21" customWidth="1"/>
    <col min="14330" max="14330" width="14.42578125" style="21" customWidth="1"/>
    <col min="14331" max="14331" width="7.425781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5703125" style="21" customWidth="1"/>
    <col min="14585" max="14585" width="9.85546875" style="21" customWidth="1"/>
    <col min="14586" max="14586" width="14.42578125" style="21" customWidth="1"/>
    <col min="14587" max="14587" width="7.425781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5703125" style="21" customWidth="1"/>
    <col min="14841" max="14841" width="9.85546875" style="21" customWidth="1"/>
    <col min="14842" max="14842" width="14.42578125" style="21" customWidth="1"/>
    <col min="14843" max="14843" width="7.425781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5703125" style="21" customWidth="1"/>
    <col min="15097" max="15097" width="9.85546875" style="21" customWidth="1"/>
    <col min="15098" max="15098" width="14.42578125" style="21" customWidth="1"/>
    <col min="15099" max="15099" width="7.425781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5703125" style="21" customWidth="1"/>
    <col min="15353" max="15353" width="9.85546875" style="21" customWidth="1"/>
    <col min="15354" max="15354" width="14.42578125" style="21" customWidth="1"/>
    <col min="15355" max="15355" width="7.425781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5703125" style="21" customWidth="1"/>
    <col min="15609" max="15609" width="9.85546875" style="21" customWidth="1"/>
    <col min="15610" max="15610" width="14.42578125" style="21" customWidth="1"/>
    <col min="15611" max="15611" width="7.425781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5703125" style="21" customWidth="1"/>
    <col min="15865" max="15865" width="9.85546875" style="21" customWidth="1"/>
    <col min="15866" max="15866" width="14.42578125" style="21" customWidth="1"/>
    <col min="15867" max="15867" width="7.425781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5703125" style="21" customWidth="1"/>
    <col min="16121" max="16121" width="9.85546875" style="21" customWidth="1"/>
    <col min="16122" max="16122" width="14.42578125" style="21" customWidth="1"/>
    <col min="16123" max="16123" width="7.425781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12" ht="46.5" customHeight="1" x14ac:dyDescent="0.25">
      <c r="A1" s="171" t="s">
        <v>234</v>
      </c>
      <c r="B1" s="171"/>
      <c r="C1" s="171"/>
      <c r="D1" s="171"/>
      <c r="E1" s="171"/>
      <c r="F1" s="171"/>
      <c r="G1" s="171"/>
      <c r="H1" s="171"/>
    </row>
    <row r="2" spans="1:12" ht="16.5" customHeight="1" x14ac:dyDescent="0.25">
      <c r="A2" s="100" t="s">
        <v>0</v>
      </c>
      <c r="B2" s="100"/>
      <c r="C2" s="100"/>
      <c r="D2" s="100"/>
      <c r="E2" s="100"/>
      <c r="F2" s="100"/>
      <c r="G2" s="100"/>
      <c r="H2" s="100"/>
    </row>
    <row r="3" spans="1:12" x14ac:dyDescent="0.25">
      <c r="A3" s="70" t="s">
        <v>1</v>
      </c>
      <c r="B3" s="70"/>
      <c r="C3" s="70"/>
      <c r="D3" s="70"/>
      <c r="E3" s="70" t="str">
        <f ca="1">TEXT(TODAY(),"DD/MM/YYYY")</f>
        <v>13/07/2025</v>
      </c>
      <c r="F3" s="70"/>
      <c r="G3" s="70"/>
      <c r="H3" s="70"/>
    </row>
    <row r="4" spans="1:12" ht="15" customHeight="1" x14ac:dyDescent="0.25">
      <c r="A4" s="70" t="s">
        <v>2</v>
      </c>
      <c r="B4" s="70"/>
      <c r="C4" s="70"/>
      <c r="D4" s="70"/>
      <c r="E4" s="70" t="s">
        <v>177</v>
      </c>
      <c r="F4" s="70"/>
      <c r="G4" s="70"/>
      <c r="H4" s="70"/>
    </row>
    <row r="5" spans="1:12" x14ac:dyDescent="0.25">
      <c r="A5" s="70" t="s">
        <v>3</v>
      </c>
      <c r="B5" s="70"/>
      <c r="C5" s="70"/>
      <c r="D5" s="70"/>
      <c r="E5" s="170">
        <v>45848</v>
      </c>
      <c r="F5" s="70"/>
      <c r="G5" s="70"/>
      <c r="H5" s="70"/>
    </row>
    <row r="6" spans="1:12" ht="16.5" customHeight="1" x14ac:dyDescent="0.25">
      <c r="A6" s="70" t="s">
        <v>4</v>
      </c>
      <c r="B6" s="70"/>
      <c r="C6" s="70"/>
      <c r="D6" s="70"/>
      <c r="E6" s="70" t="s">
        <v>178</v>
      </c>
      <c r="F6" s="70"/>
      <c r="G6" s="70"/>
      <c r="H6" s="70"/>
    </row>
    <row r="7" spans="1:12" ht="15" customHeight="1" x14ac:dyDescent="0.25">
      <c r="A7" s="70" t="s">
        <v>5</v>
      </c>
      <c r="B7" s="70"/>
      <c r="C7" s="70"/>
      <c r="D7" s="70"/>
      <c r="E7" s="70" t="str">
        <f>E6</f>
        <v>N.S.Realty</v>
      </c>
      <c r="F7" s="70"/>
      <c r="G7" s="70"/>
      <c r="H7" s="70"/>
    </row>
    <row r="8" spans="1:12" x14ac:dyDescent="0.25">
      <c r="A8" s="70" t="s">
        <v>6</v>
      </c>
      <c r="B8" s="70"/>
      <c r="C8" s="70"/>
      <c r="D8" s="70"/>
      <c r="E8" s="77" t="s">
        <v>179</v>
      </c>
      <c r="F8" s="77"/>
      <c r="G8" s="77"/>
      <c r="H8" s="77"/>
    </row>
    <row r="9" spans="1:12" x14ac:dyDescent="0.25">
      <c r="A9" s="70" t="s">
        <v>174</v>
      </c>
      <c r="B9" s="70"/>
      <c r="C9" s="70"/>
      <c r="D9" s="70"/>
      <c r="E9" s="70">
        <v>9860028481</v>
      </c>
      <c r="F9" s="70"/>
      <c r="G9" s="70"/>
      <c r="H9" s="70"/>
    </row>
    <row r="10" spans="1:12" x14ac:dyDescent="0.25">
      <c r="A10" s="70" t="s">
        <v>175</v>
      </c>
      <c r="B10" s="70"/>
      <c r="C10" s="70"/>
      <c r="D10" s="70"/>
      <c r="E10" s="70" t="s">
        <v>238</v>
      </c>
      <c r="F10" s="70"/>
      <c r="G10" s="70"/>
      <c r="H10" s="70"/>
      <c r="I10" s="70" t="s">
        <v>236</v>
      </c>
      <c r="J10" s="70"/>
      <c r="K10" s="70"/>
      <c r="L10" s="70"/>
    </row>
    <row r="11" spans="1:12" x14ac:dyDescent="0.25">
      <c r="A11" s="70" t="s">
        <v>7</v>
      </c>
      <c r="B11" s="70"/>
      <c r="C11" s="70"/>
      <c r="D11" s="70"/>
      <c r="E11" s="70" t="s">
        <v>211</v>
      </c>
      <c r="F11" s="70"/>
      <c r="G11" s="70"/>
      <c r="H11" s="70"/>
    </row>
    <row r="12" spans="1:12" x14ac:dyDescent="0.25">
      <c r="A12" s="105" t="s">
        <v>8</v>
      </c>
      <c r="B12" s="105"/>
      <c r="C12" s="105"/>
      <c r="D12" s="105"/>
      <c r="E12" s="102" t="s">
        <v>208</v>
      </c>
      <c r="F12" s="102"/>
      <c r="G12" s="102"/>
      <c r="H12" s="102"/>
    </row>
    <row r="13" spans="1:12" x14ac:dyDescent="0.25">
      <c r="A13" s="105" t="s">
        <v>9</v>
      </c>
      <c r="B13" s="105"/>
      <c r="C13" s="105"/>
      <c r="D13" s="105"/>
      <c r="E13" s="102" t="s">
        <v>180</v>
      </c>
      <c r="F13" s="70"/>
      <c r="G13" s="70"/>
      <c r="H13" s="70"/>
    </row>
    <row r="14" spans="1:12" ht="31.5" customHeight="1" x14ac:dyDescent="0.25">
      <c r="A14" s="147" t="s">
        <v>10</v>
      </c>
      <c r="B14" s="147"/>
      <c r="C14" s="147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Narayan Heights, Survey No.211, H.No. 6, 7, 203, near Shalibhadra Amora, Yashwant Gaurav Road, Morya Nagar, Nilemore, Nalla Sopara, Vasai, Palghar - 401303.</v>
      </c>
      <c r="D14" s="147"/>
      <c r="E14" s="147"/>
      <c r="F14" s="147"/>
      <c r="G14" s="147"/>
      <c r="H14" s="147"/>
    </row>
    <row r="15" spans="1:12" x14ac:dyDescent="0.25">
      <c r="A15" s="102" t="s">
        <v>185</v>
      </c>
      <c r="B15" s="102"/>
      <c r="C15" s="102" t="s">
        <v>184</v>
      </c>
      <c r="D15" s="102"/>
      <c r="E15" s="102"/>
      <c r="F15" s="102"/>
      <c r="G15" s="102"/>
      <c r="H15" s="102"/>
    </row>
    <row r="16" spans="1:12" ht="15.75" customHeight="1" x14ac:dyDescent="0.25">
      <c r="A16" s="102" t="s">
        <v>173</v>
      </c>
      <c r="B16" s="102"/>
      <c r="C16" s="102" t="s">
        <v>187</v>
      </c>
      <c r="D16" s="102"/>
      <c r="E16" s="102"/>
      <c r="F16" s="102"/>
      <c r="G16" s="102"/>
      <c r="H16" s="102"/>
    </row>
    <row r="17" spans="1:8" ht="15.75" customHeight="1" x14ac:dyDescent="0.25">
      <c r="A17" s="147" t="s">
        <v>11</v>
      </c>
      <c r="B17" s="147"/>
      <c r="C17" s="70" t="s">
        <v>188</v>
      </c>
      <c r="D17" s="70"/>
      <c r="E17" s="147" t="s">
        <v>77</v>
      </c>
      <c r="F17" s="147"/>
      <c r="G17" s="102" t="s">
        <v>182</v>
      </c>
      <c r="H17" s="102"/>
    </row>
    <row r="18" spans="1:8" x14ac:dyDescent="0.25">
      <c r="A18" s="105" t="s">
        <v>13</v>
      </c>
      <c r="B18" s="105"/>
      <c r="C18" s="102" t="s">
        <v>190</v>
      </c>
      <c r="D18" s="102"/>
      <c r="E18" s="147" t="s">
        <v>12</v>
      </c>
      <c r="F18" s="147"/>
      <c r="G18" s="169" t="s">
        <v>181</v>
      </c>
      <c r="H18" s="169"/>
    </row>
    <row r="19" spans="1:8" x14ac:dyDescent="0.25">
      <c r="A19" s="105" t="s">
        <v>78</v>
      </c>
      <c r="B19" s="105"/>
      <c r="C19" s="102" t="s">
        <v>183</v>
      </c>
      <c r="D19" s="102"/>
      <c r="E19" s="147" t="s">
        <v>14</v>
      </c>
      <c r="F19" s="147"/>
      <c r="G19" s="102">
        <v>401303</v>
      </c>
      <c r="H19" s="102"/>
    </row>
    <row r="20" spans="1:8" ht="32.25" customHeight="1" x14ac:dyDescent="0.25">
      <c r="A20" s="105" t="s">
        <v>129</v>
      </c>
      <c r="B20" s="105"/>
      <c r="C20" s="102" t="s">
        <v>222</v>
      </c>
      <c r="D20" s="102"/>
      <c r="E20" s="147" t="s">
        <v>15</v>
      </c>
      <c r="F20" s="147"/>
      <c r="G20" s="102" t="s">
        <v>189</v>
      </c>
      <c r="H20" s="102"/>
    </row>
    <row r="21" spans="1:8" ht="15" customHeight="1" x14ac:dyDescent="0.25">
      <c r="A21" s="147" t="s">
        <v>81</v>
      </c>
      <c r="B21" s="147"/>
      <c r="C21" s="147"/>
      <c r="D21" s="147"/>
      <c r="E21" s="70" t="s">
        <v>16</v>
      </c>
      <c r="F21" s="70"/>
      <c r="G21" s="70"/>
      <c r="H21" s="70"/>
    </row>
    <row r="22" spans="1:8" ht="18.75" customHeight="1" x14ac:dyDescent="0.25">
      <c r="A22" s="147"/>
      <c r="B22" s="147"/>
      <c r="C22" s="147"/>
      <c r="D22" s="147"/>
      <c r="E22" s="70"/>
      <c r="F22" s="70"/>
      <c r="G22" s="70"/>
      <c r="H22" s="70"/>
    </row>
    <row r="23" spans="1:8" ht="15" customHeight="1" x14ac:dyDescent="0.25">
      <c r="A23" s="147" t="s">
        <v>17</v>
      </c>
      <c r="B23" s="147"/>
      <c r="C23" s="147"/>
      <c r="D23" s="147"/>
      <c r="E23" s="102" t="s">
        <v>18</v>
      </c>
      <c r="F23" s="102"/>
      <c r="G23" s="102"/>
      <c r="H23" s="102"/>
    </row>
    <row r="24" spans="1:8" ht="15" customHeight="1" x14ac:dyDescent="0.25">
      <c r="A24" s="105" t="s">
        <v>19</v>
      </c>
      <c r="B24" s="105"/>
      <c r="C24" s="105"/>
      <c r="D24" s="105"/>
      <c r="E24" s="102" t="str">
        <f>IF(AND(G18="Mumbai"),"Upper Class","Middle Class")</f>
        <v>Middle Class</v>
      </c>
      <c r="F24" s="102"/>
      <c r="G24" s="102"/>
      <c r="H24" s="102"/>
    </row>
    <row r="25" spans="1:8" x14ac:dyDescent="0.25">
      <c r="A25" s="105" t="s">
        <v>20</v>
      </c>
      <c r="B25" s="105"/>
      <c r="C25" s="105"/>
      <c r="D25" s="105"/>
      <c r="E25" s="102" t="s">
        <v>21</v>
      </c>
      <c r="F25" s="102"/>
      <c r="G25" s="102"/>
      <c r="H25" s="102"/>
    </row>
    <row r="26" spans="1:8" ht="15.75" customHeight="1" x14ac:dyDescent="0.25">
      <c r="A26" s="105" t="s">
        <v>22</v>
      </c>
      <c r="B26" s="105"/>
      <c r="C26" s="105"/>
      <c r="D26" s="105"/>
      <c r="E26" s="102" t="str">
        <f>IF(AND(G18="Mumbai"),"Developed","Developing")</f>
        <v>Developing</v>
      </c>
      <c r="F26" s="102"/>
      <c r="G26" s="102"/>
      <c r="H26" s="102"/>
    </row>
    <row r="27" spans="1:8" x14ac:dyDescent="0.25">
      <c r="A27" s="105" t="s">
        <v>23</v>
      </c>
      <c r="B27" s="105"/>
      <c r="C27" s="105"/>
      <c r="D27" s="105"/>
      <c r="E27" s="102" t="s">
        <v>24</v>
      </c>
      <c r="F27" s="102"/>
      <c r="G27" s="102"/>
      <c r="H27" s="102"/>
    </row>
    <row r="28" spans="1:8" ht="15.75" customHeight="1" x14ac:dyDescent="0.25">
      <c r="A28" s="105" t="s">
        <v>86</v>
      </c>
      <c r="B28" s="105"/>
      <c r="C28" s="105"/>
      <c r="D28" s="105"/>
      <c r="E28" s="102" t="s">
        <v>87</v>
      </c>
      <c r="F28" s="102"/>
      <c r="G28" s="102"/>
      <c r="H28" s="102"/>
    </row>
    <row r="29" spans="1:8" ht="15" customHeight="1" x14ac:dyDescent="0.25">
      <c r="A29" s="105" t="s">
        <v>35</v>
      </c>
      <c r="B29" s="105"/>
      <c r="C29" s="105"/>
      <c r="D29" s="105"/>
      <c r="E29" s="102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02"/>
      <c r="G29" s="102"/>
      <c r="H29" s="102"/>
    </row>
    <row r="30" spans="1:8" ht="15.75" customHeight="1" x14ac:dyDescent="0.25">
      <c r="A30" s="105" t="s">
        <v>98</v>
      </c>
      <c r="B30" s="105"/>
      <c r="C30" s="105"/>
      <c r="D30" s="105"/>
      <c r="E30" s="102" t="s">
        <v>36</v>
      </c>
      <c r="F30" s="102"/>
      <c r="G30" s="102"/>
      <c r="H30" s="102"/>
    </row>
    <row r="31" spans="1:8" s="22" customFormat="1" x14ac:dyDescent="0.25">
      <c r="A31" s="168" t="s">
        <v>99</v>
      </c>
      <c r="B31" s="168"/>
      <c r="C31" s="167" t="s">
        <v>29</v>
      </c>
      <c r="D31" s="167"/>
      <c r="E31" s="167"/>
      <c r="F31" s="167" t="s">
        <v>31</v>
      </c>
      <c r="G31" s="167"/>
      <c r="H31" s="167"/>
    </row>
    <row r="32" spans="1:8" s="22" customFormat="1" x14ac:dyDescent="0.25">
      <c r="A32" s="148" t="s">
        <v>25</v>
      </c>
      <c r="B32" s="148" t="s">
        <v>30</v>
      </c>
      <c r="C32" s="149" t="s">
        <v>30</v>
      </c>
      <c r="D32" s="149"/>
      <c r="E32" s="149"/>
      <c r="F32" s="149" t="s">
        <v>224</v>
      </c>
      <c r="G32" s="149"/>
      <c r="H32" s="149"/>
    </row>
    <row r="33" spans="1:9" x14ac:dyDescent="0.25">
      <c r="A33" s="148" t="s">
        <v>26</v>
      </c>
      <c r="B33" s="148" t="s">
        <v>30</v>
      </c>
      <c r="C33" s="149" t="s">
        <v>30</v>
      </c>
      <c r="D33" s="149"/>
      <c r="E33" s="149"/>
      <c r="F33" s="149" t="s">
        <v>222</v>
      </c>
      <c r="G33" s="149"/>
      <c r="H33" s="149"/>
    </row>
    <row r="34" spans="1:9" s="22" customFormat="1" x14ac:dyDescent="0.25">
      <c r="A34" s="148" t="s">
        <v>28</v>
      </c>
      <c r="B34" s="148" t="s">
        <v>30</v>
      </c>
      <c r="C34" s="149" t="s">
        <v>30</v>
      </c>
      <c r="D34" s="149"/>
      <c r="E34" s="149"/>
      <c r="F34" s="149" t="s">
        <v>224</v>
      </c>
      <c r="G34" s="149"/>
      <c r="H34" s="149"/>
    </row>
    <row r="35" spans="1:9" x14ac:dyDescent="0.25">
      <c r="A35" s="148" t="s">
        <v>27</v>
      </c>
      <c r="B35" s="148" t="s">
        <v>30</v>
      </c>
      <c r="C35" s="149" t="s">
        <v>30</v>
      </c>
      <c r="D35" s="149"/>
      <c r="E35" s="149"/>
      <c r="F35" s="149" t="s">
        <v>223</v>
      </c>
      <c r="G35" s="149"/>
      <c r="H35" s="149"/>
    </row>
    <row r="36" spans="1:9" x14ac:dyDescent="0.25">
      <c r="A36" s="105" t="s">
        <v>32</v>
      </c>
      <c r="B36" s="105"/>
      <c r="C36" s="105"/>
      <c r="D36" s="105"/>
      <c r="E36" s="105"/>
      <c r="F36" s="105"/>
      <c r="G36" s="105"/>
      <c r="H36" s="105"/>
    </row>
    <row r="37" spans="1:9" ht="15.75" customHeight="1" x14ac:dyDescent="0.25">
      <c r="A37" s="100" t="s">
        <v>33</v>
      </c>
      <c r="B37" s="100"/>
      <c r="C37" s="153" t="s">
        <v>221</v>
      </c>
      <c r="D37" s="153"/>
      <c r="E37" s="100" t="s">
        <v>34</v>
      </c>
      <c r="F37" s="100"/>
      <c r="G37" s="154">
        <v>72.809520000000006</v>
      </c>
      <c r="H37" s="154"/>
    </row>
    <row r="38" spans="1:9" x14ac:dyDescent="0.25">
      <c r="A38" s="100" t="s">
        <v>172</v>
      </c>
      <c r="B38" s="100"/>
      <c r="C38" s="101" t="s">
        <v>186</v>
      </c>
      <c r="D38" s="102"/>
      <c r="E38" s="102"/>
      <c r="F38" s="102"/>
      <c r="G38" s="102"/>
      <c r="H38" s="102"/>
    </row>
    <row r="39" spans="1:9" x14ac:dyDescent="0.25">
      <c r="A39" s="151" t="s">
        <v>37</v>
      </c>
      <c r="B39" s="151"/>
      <c r="C39" s="151"/>
      <c r="D39" s="151"/>
      <c r="E39" s="151"/>
      <c r="F39" s="151"/>
      <c r="G39" s="151"/>
      <c r="H39" s="151"/>
    </row>
    <row r="40" spans="1:9" x14ac:dyDescent="0.25">
      <c r="A40" s="105" t="s">
        <v>38</v>
      </c>
      <c r="B40" s="105"/>
      <c r="C40" s="105"/>
      <c r="D40" s="105"/>
      <c r="E40" s="150">
        <v>222110.61</v>
      </c>
      <c r="F40" s="150"/>
      <c r="G40" s="150"/>
      <c r="H40" s="150"/>
    </row>
    <row r="41" spans="1:9" x14ac:dyDescent="0.25">
      <c r="A41" s="105" t="s">
        <v>39</v>
      </c>
      <c r="B41" s="105"/>
      <c r="C41" s="105"/>
      <c r="D41" s="105"/>
      <c r="E41" s="110">
        <v>1.1000000000000001</v>
      </c>
      <c r="F41" s="110"/>
      <c r="G41" s="110"/>
      <c r="H41" s="110"/>
    </row>
    <row r="42" spans="1:9" x14ac:dyDescent="0.25">
      <c r="A42" s="105" t="s">
        <v>40</v>
      </c>
      <c r="B42" s="105"/>
      <c r="C42" s="105"/>
      <c r="D42" s="105"/>
      <c r="E42" s="110">
        <f>E44/E40-E41</f>
        <v>-4.5022612304990162E-9</v>
      </c>
      <c r="F42" s="110"/>
      <c r="G42" s="110"/>
      <c r="H42" s="110"/>
    </row>
    <row r="43" spans="1:9" x14ac:dyDescent="0.25">
      <c r="A43" s="105" t="s">
        <v>41</v>
      </c>
      <c r="B43" s="105"/>
      <c r="C43" s="105"/>
      <c r="D43" s="105"/>
      <c r="E43" s="110">
        <f>E41+E42</f>
        <v>1.0999999954977389</v>
      </c>
      <c r="F43" s="110"/>
      <c r="G43" s="110"/>
      <c r="H43" s="110"/>
      <c r="I43" s="54">
        <f>244321.67/222110.61</f>
        <v>1.0999999954977389</v>
      </c>
    </row>
    <row r="44" spans="1:9" x14ac:dyDescent="0.25">
      <c r="A44" s="105" t="s">
        <v>97</v>
      </c>
      <c r="B44" s="105"/>
      <c r="C44" s="105"/>
      <c r="D44" s="105"/>
      <c r="E44" s="111">
        <v>244321.67</v>
      </c>
      <c r="F44" s="111"/>
      <c r="G44" s="111"/>
      <c r="H44" s="111"/>
    </row>
    <row r="45" spans="1:9" x14ac:dyDescent="0.25">
      <c r="A45" s="70" t="s">
        <v>42</v>
      </c>
      <c r="B45" s="70"/>
      <c r="C45" s="70"/>
      <c r="D45" s="70"/>
      <c r="E45" s="70" t="s">
        <v>225</v>
      </c>
      <c r="F45" s="70"/>
      <c r="G45" s="70"/>
      <c r="H45" s="70"/>
    </row>
    <row r="46" spans="1:9" x14ac:dyDescent="0.25">
      <c r="A46" s="151" t="s">
        <v>43</v>
      </c>
      <c r="B46" s="151"/>
      <c r="C46" s="151"/>
      <c r="D46" s="151"/>
      <c r="E46" s="151"/>
      <c r="F46" s="151"/>
      <c r="G46" s="151"/>
      <c r="H46" s="151"/>
    </row>
    <row r="47" spans="1:9" ht="33.75" customHeight="1" x14ac:dyDescent="0.25">
      <c r="A47" s="115" t="s">
        <v>159</v>
      </c>
      <c r="B47" s="116"/>
      <c r="C47" s="117" t="s">
        <v>191</v>
      </c>
      <c r="D47" s="118"/>
      <c r="E47" s="118"/>
      <c r="F47" s="118"/>
      <c r="G47" s="118"/>
      <c r="H47" s="119"/>
    </row>
    <row r="48" spans="1:9" ht="15.75" customHeight="1" x14ac:dyDescent="0.25">
      <c r="A48" s="115" t="s">
        <v>44</v>
      </c>
      <c r="B48" s="116"/>
      <c r="C48" s="115" t="s">
        <v>192</v>
      </c>
      <c r="D48" s="181"/>
      <c r="E48" s="116"/>
      <c r="F48" s="18" t="s">
        <v>45</v>
      </c>
      <c r="G48" s="160">
        <v>44763</v>
      </c>
      <c r="H48" s="116"/>
    </row>
    <row r="49" spans="1:14" x14ac:dyDescent="0.25">
      <c r="A49" s="115" t="s">
        <v>46</v>
      </c>
      <c r="B49" s="116"/>
      <c r="C49" s="115" t="str">
        <f>C48</f>
        <v>VVCMC/TP/RDP/VP - 0111/203/2022 - 23</v>
      </c>
      <c r="D49" s="181"/>
      <c r="E49" s="116"/>
      <c r="F49" s="18" t="s">
        <v>45</v>
      </c>
      <c r="G49" s="160">
        <f>G48</f>
        <v>44763</v>
      </c>
      <c r="H49" s="161"/>
    </row>
    <row r="50" spans="1:14" s="23" customFormat="1" ht="15.75" customHeight="1" x14ac:dyDescent="0.25">
      <c r="A50" s="162" t="s">
        <v>163</v>
      </c>
      <c r="B50" s="163"/>
      <c r="C50" s="115" t="str">
        <f>C49</f>
        <v>VVCMC/TP/RDP/VP - 0111/203/2022 - 23</v>
      </c>
      <c r="D50" s="181"/>
      <c r="E50" s="116"/>
      <c r="F50" s="18" t="s">
        <v>45</v>
      </c>
      <c r="G50" s="160">
        <f>G49</f>
        <v>44763</v>
      </c>
      <c r="H50" s="161"/>
    </row>
    <row r="51" spans="1:14" s="23" customFormat="1" x14ac:dyDescent="0.25">
      <c r="A51" s="164"/>
      <c r="B51" s="165"/>
      <c r="C51" s="115" t="s">
        <v>220</v>
      </c>
      <c r="D51" s="181"/>
      <c r="E51" s="181"/>
      <c r="F51" s="181"/>
      <c r="G51" s="181"/>
      <c r="H51" s="116"/>
    </row>
    <row r="52" spans="1:14" x14ac:dyDescent="0.25">
      <c r="A52" s="185" t="s">
        <v>47</v>
      </c>
      <c r="B52" s="186"/>
      <c r="C52" s="185" t="s">
        <v>111</v>
      </c>
      <c r="D52" s="187"/>
      <c r="E52" s="186"/>
      <c r="F52" s="46" t="s">
        <v>45</v>
      </c>
      <c r="G52" s="188" t="s">
        <v>30</v>
      </c>
      <c r="H52" s="189"/>
    </row>
    <row r="53" spans="1:14" x14ac:dyDescent="0.25">
      <c r="A53" s="166" t="s">
        <v>49</v>
      </c>
      <c r="B53" s="166"/>
      <c r="C53" s="166"/>
      <c r="D53" s="166"/>
      <c r="E53" s="166"/>
      <c r="F53" s="166"/>
      <c r="G53" s="166"/>
      <c r="H53" s="166"/>
    </row>
    <row r="54" spans="1:14" x14ac:dyDescent="0.25">
      <c r="A54" s="147" t="s">
        <v>96</v>
      </c>
      <c r="B54" s="147"/>
      <c r="C54" s="147"/>
      <c r="D54" s="105">
        <v>6817.38</v>
      </c>
      <c r="E54" s="105"/>
      <c r="F54" s="105"/>
      <c r="G54" s="105"/>
      <c r="H54" s="105"/>
    </row>
    <row r="55" spans="1:14" x14ac:dyDescent="0.25">
      <c r="A55" s="102" t="s">
        <v>50</v>
      </c>
      <c r="B55" s="70"/>
      <c r="C55" s="70"/>
      <c r="D55" s="70" t="s">
        <v>219</v>
      </c>
      <c r="E55" s="70"/>
      <c r="F55" s="70"/>
      <c r="G55" s="70"/>
      <c r="H55" s="70"/>
      <c r="I55" s="24"/>
    </row>
    <row r="56" spans="1:14" ht="32.25" customHeight="1" x14ac:dyDescent="0.25">
      <c r="A56" s="157" t="s">
        <v>51</v>
      </c>
      <c r="B56" s="158"/>
      <c r="C56" s="159"/>
      <c r="D56" s="155" t="s">
        <v>194</v>
      </c>
      <c r="E56" s="156"/>
      <c r="F56" s="156"/>
      <c r="G56" s="156"/>
      <c r="H56" s="156"/>
    </row>
    <row r="57" spans="1:14" ht="15.75" customHeight="1" x14ac:dyDescent="0.25">
      <c r="A57" s="157" t="s">
        <v>94</v>
      </c>
      <c r="B57" s="158"/>
      <c r="C57" s="158"/>
      <c r="D57" s="182" t="s">
        <v>226</v>
      </c>
      <c r="E57" s="183"/>
      <c r="F57" s="183"/>
      <c r="G57" s="183"/>
      <c r="H57" s="184"/>
    </row>
    <row r="58" spans="1:14" ht="15.75" customHeight="1" x14ac:dyDescent="0.25">
      <c r="A58" s="105" t="s">
        <v>48</v>
      </c>
      <c r="B58" s="105"/>
      <c r="C58" s="105"/>
      <c r="D58" s="152" t="s">
        <v>193</v>
      </c>
      <c r="E58" s="152"/>
      <c r="F58" s="152"/>
      <c r="G58" s="152"/>
      <c r="H58" s="152"/>
      <c r="J58" s="25"/>
      <c r="K58" s="24"/>
      <c r="N58" s="24"/>
    </row>
    <row r="59" spans="1:14" ht="15.75" customHeight="1" x14ac:dyDescent="0.25">
      <c r="A59" s="105" t="s">
        <v>92</v>
      </c>
      <c r="B59" s="105"/>
      <c r="C59" s="105"/>
      <c r="D59" s="109" t="str">
        <f>(IF(G52="NA","60 Years After Completion",IF(G52&lt;&gt;"NA",""&amp;60-ROUNDDOWN((E3-G52)/360,0)&amp;" Years"," ")))</f>
        <v>60 Years After Completion</v>
      </c>
      <c r="E59" s="109"/>
      <c r="F59" s="109"/>
      <c r="G59" s="109"/>
      <c r="H59" s="109"/>
      <c r="N59" s="24"/>
    </row>
    <row r="60" spans="1:14" ht="15.75" customHeight="1" x14ac:dyDescent="0.25">
      <c r="A60" s="105" t="s">
        <v>93</v>
      </c>
      <c r="B60" s="105"/>
      <c r="C60" s="105"/>
      <c r="D60" s="147" t="s">
        <v>24</v>
      </c>
      <c r="E60" s="147"/>
      <c r="F60" s="147"/>
      <c r="G60" s="147"/>
      <c r="H60" s="147"/>
      <c r="J60" s="26"/>
      <c r="K60" s="26"/>
    </row>
    <row r="61" spans="1:14" ht="48.75" customHeight="1" x14ac:dyDescent="0.25">
      <c r="A61" s="105" t="s">
        <v>79</v>
      </c>
      <c r="B61" s="105"/>
      <c r="C61" s="105"/>
      <c r="D61" s="102" t="s">
        <v>195</v>
      </c>
      <c r="E61" s="147"/>
      <c r="F61" s="147"/>
      <c r="G61" s="147"/>
      <c r="H61" s="147"/>
    </row>
    <row r="62" spans="1:14" x14ac:dyDescent="0.25">
      <c r="A62" s="147" t="s">
        <v>156</v>
      </c>
      <c r="B62" s="147"/>
      <c r="C62" s="147"/>
      <c r="D62" s="147" t="s">
        <v>30</v>
      </c>
      <c r="E62" s="147"/>
      <c r="F62" s="147"/>
      <c r="G62" s="147"/>
      <c r="H62" s="147"/>
      <c r="I62" s="27"/>
      <c r="J62" s="27"/>
      <c r="K62" s="27"/>
      <c r="L62" s="27"/>
      <c r="M62" s="27"/>
      <c r="N62" s="27"/>
    </row>
    <row r="63" spans="1:14" ht="15.75" customHeight="1" x14ac:dyDescent="0.25">
      <c r="A63" s="105" t="s">
        <v>91</v>
      </c>
      <c r="B63" s="105"/>
      <c r="C63" s="105"/>
      <c r="D63" s="102" t="str">
        <f ca="1">(IF(G69&gt;95%,"Nothing",IF(G69&gt;0%,"Cement, Aggregate, Steel, etc",IF(G69=0%,"Work not yet Started"))))</f>
        <v>Cement, Aggregate, Steel, etc</v>
      </c>
      <c r="E63" s="102"/>
      <c r="F63" s="102"/>
      <c r="G63" s="102"/>
      <c r="H63" s="102"/>
      <c r="J63" s="26"/>
    </row>
    <row r="64" spans="1:14" ht="33.75" customHeight="1" thickBot="1" x14ac:dyDescent="0.3">
      <c r="A64" s="147" t="s">
        <v>124</v>
      </c>
      <c r="B64" s="147"/>
      <c r="C64" s="147"/>
      <c r="D64" s="102" t="str">
        <f ca="1">(IF(D63="Nothing","Yes",IF(D63="Cement, Aggregate, Steel, etc","Under Construction",IF(D63="Work not yet Started","Work not yet Started"))))</f>
        <v>Under Construction</v>
      </c>
      <c r="E64" s="102"/>
      <c r="F64" s="102" t="str">
        <f ca="1">(IF(D63="Nothing","Yes",IF(D63="Cement, Aggregate, Steel, etc","Under Construction",IF(D63="Work not yet Started","Work not yet Started"))))</f>
        <v>Under Construction</v>
      </c>
      <c r="G64" s="102"/>
      <c r="H64" s="102"/>
    </row>
    <row r="65" spans="1:10" ht="15.75" customHeight="1" x14ac:dyDescent="0.25">
      <c r="A65" s="94" t="s">
        <v>148</v>
      </c>
      <c r="B65" s="94"/>
      <c r="C65" s="94" t="s">
        <v>237</v>
      </c>
      <c r="D65" s="94"/>
      <c r="E65" s="94"/>
      <c r="F65" s="94"/>
      <c r="G65" s="94"/>
      <c r="H65" s="94"/>
      <c r="I65" s="68" t="str">
        <f ca="1">IF(D78=100%,"All work Completed. Possession granted to the Building.",IF(D77=100%,"All work Completed, Waiting for OC",I66&amp;""&amp;I67&amp;""&amp;J66&amp;""&amp;J65&amp;" "&amp;J67))</f>
        <v>Excavation, Plinth, RCC Slab, Brickwork, Internal Plaster, External Plaster, Flooring Completed, Painting upto 13 Floor, Finishing upto 3 Floor Completed</v>
      </c>
      <c r="J65" s="49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Painting upto 13 Floor, Finishing upto 3 Floor</v>
      </c>
    </row>
    <row r="66" spans="1:10" x14ac:dyDescent="0.25">
      <c r="A66" s="67" t="s">
        <v>150</v>
      </c>
      <c r="B66" s="67">
        <v>0</v>
      </c>
      <c r="C66" s="67" t="s">
        <v>76</v>
      </c>
      <c r="D66" s="67">
        <v>1</v>
      </c>
      <c r="E66" s="67" t="s">
        <v>75</v>
      </c>
      <c r="F66" s="67">
        <v>0</v>
      </c>
      <c r="G66" s="67" t="s">
        <v>85</v>
      </c>
      <c r="H66" s="67">
        <f ca="1">--TRIM(RIGHT(SUBSTITUTE(LEFT(C65,_xlfn.AGGREGATE(16,6,FIND({0,1,2,3,4,5,6,7,8,9},C65,ROW(INDIRECT("1:"&amp;LEN(C65)))),1))," ",REPT(" ",LEN(C65))),LEN(C65)))</f>
        <v>14</v>
      </c>
      <c r="I66" s="69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Brickwork, Internal Plaster, External Plaster, Flooring</v>
      </c>
      <c r="J66" s="51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33.6" customHeight="1" x14ac:dyDescent="0.25">
      <c r="A67" s="77" t="s">
        <v>95</v>
      </c>
      <c r="B67" s="77"/>
      <c r="C67" s="78" t="str">
        <f ca="1">I65</f>
        <v>Excavation, Plinth, RCC Slab, Brickwork, Internal Plaster, External Plaster, Flooring Completed, Painting upto 13 Floor, Finishing upto 3 Floor Completed</v>
      </c>
      <c r="D67" s="78"/>
      <c r="E67" s="78"/>
      <c r="F67" s="78"/>
      <c r="G67" s="78"/>
      <c r="H67" s="78"/>
      <c r="I67" s="69" t="str">
        <f ca="1">IF(I66&lt;&gt;""," Completed","")</f>
        <v xml:space="preserve"> Completed</v>
      </c>
      <c r="J67" s="51" t="str">
        <f ca="1">IF(J65&lt;&gt;"","Completed","")</f>
        <v>Completed</v>
      </c>
    </row>
    <row r="68" spans="1:10" ht="15.75" customHeight="1" x14ac:dyDescent="0.25">
      <c r="A68" s="80" t="s">
        <v>52</v>
      </c>
      <c r="B68" s="81"/>
      <c r="C68" s="44" t="s">
        <v>147</v>
      </c>
      <c r="D68" s="44" t="s">
        <v>88</v>
      </c>
      <c r="E68" s="81" t="s">
        <v>90</v>
      </c>
      <c r="F68" s="81"/>
      <c r="G68" s="81" t="s">
        <v>89</v>
      </c>
      <c r="H68" s="82"/>
      <c r="I68" s="14" t="s">
        <v>149</v>
      </c>
      <c r="J68" s="28">
        <f ca="1">H66*25%</f>
        <v>3.5</v>
      </c>
    </row>
    <row r="69" spans="1:10" x14ac:dyDescent="0.25">
      <c r="A69" s="80" t="s">
        <v>136</v>
      </c>
      <c r="B69" s="81"/>
      <c r="C69" s="44">
        <f ca="1">J70</f>
        <v>14</v>
      </c>
      <c r="D69" s="19">
        <f ca="1">((100/H66)*C69)/100</f>
        <v>1</v>
      </c>
      <c r="E69" s="83">
        <f ca="1">(((C70/H66*10)+(40/(D66+F66+H66)*C71)+(7.5/(H66)*C72)+(7.5/(H66)*C73)+(10/H66*C74)+(10/H66*C75)+(5/H66*C76)+(5/H66*C77)+(5/H66*C78))/100)</f>
        <v>0.90714285714285703</v>
      </c>
      <c r="F69" s="84"/>
      <c r="G69" s="83">
        <f ca="1">((((C69/H66)*20)+((C70/H66)*25)+(30/(H66+F66+D66)*C71)+(5/H66*C72)+(5/H66*C73)+(5/H66*C74)+(5/H66*C75)+(0/H66*C76)+(0/H66*C77)+(5/H66*C78))/100)</f>
        <v>0.95</v>
      </c>
      <c r="H69" s="89"/>
      <c r="I69" s="14" t="s">
        <v>106</v>
      </c>
      <c r="J69" s="29">
        <f ca="1">H66*50%</f>
        <v>7</v>
      </c>
    </row>
    <row r="70" spans="1:10" x14ac:dyDescent="0.25">
      <c r="A70" s="80" t="s">
        <v>53</v>
      </c>
      <c r="B70" s="81"/>
      <c r="C70" s="44">
        <f ca="1">J78</f>
        <v>14</v>
      </c>
      <c r="D70" s="19">
        <f ca="1">((100/H66)*C70)/100</f>
        <v>1</v>
      </c>
      <c r="E70" s="85"/>
      <c r="F70" s="86"/>
      <c r="G70" s="85"/>
      <c r="H70" s="90"/>
      <c r="I70" s="14" t="s">
        <v>107</v>
      </c>
      <c r="J70" s="29">
        <f ca="1">H66</f>
        <v>14</v>
      </c>
    </row>
    <row r="71" spans="1:10" ht="15.75" customHeight="1" x14ac:dyDescent="0.25">
      <c r="A71" s="80" t="s">
        <v>137</v>
      </c>
      <c r="B71" s="81"/>
      <c r="C71" s="44">
        <v>15</v>
      </c>
      <c r="D71" s="19">
        <f ca="1">((100/(D66+F66+H66))*C71)/100</f>
        <v>1</v>
      </c>
      <c r="E71" s="85"/>
      <c r="F71" s="86"/>
      <c r="G71" s="85"/>
      <c r="H71" s="90"/>
      <c r="I71" s="14" t="s">
        <v>108</v>
      </c>
      <c r="J71" s="30">
        <f ca="1">(IF(B66&gt;1,(H66/(B66+2)),H66/4))</f>
        <v>3.5</v>
      </c>
    </row>
    <row r="72" spans="1:10" ht="15.75" customHeight="1" x14ac:dyDescent="0.25">
      <c r="A72" s="80" t="s">
        <v>144</v>
      </c>
      <c r="B72" s="81" t="s">
        <v>138</v>
      </c>
      <c r="C72" s="44">
        <v>14</v>
      </c>
      <c r="D72" s="19">
        <f ca="1">((100/H66)*C72)/100</f>
        <v>1</v>
      </c>
      <c r="E72" s="85"/>
      <c r="F72" s="86"/>
      <c r="G72" s="85"/>
      <c r="H72" s="90"/>
      <c r="I72" s="14" t="s">
        <v>109</v>
      </c>
      <c r="J72" s="30">
        <f ca="1">(IF(B66&gt;1,(H66/(B66+2)+J71),H66/4+J71))</f>
        <v>7</v>
      </c>
    </row>
    <row r="73" spans="1:10" ht="15.75" customHeight="1" x14ac:dyDescent="0.25">
      <c r="A73" s="80" t="s">
        <v>145</v>
      </c>
      <c r="B73" s="81" t="s">
        <v>138</v>
      </c>
      <c r="C73" s="44">
        <v>14</v>
      </c>
      <c r="D73" s="19">
        <f ca="1">((100/H66)*C73)/100</f>
        <v>1</v>
      </c>
      <c r="E73" s="85"/>
      <c r="F73" s="86"/>
      <c r="G73" s="85"/>
      <c r="H73" s="90"/>
      <c r="I73" s="14" t="s">
        <v>154</v>
      </c>
      <c r="J73" s="30">
        <f>(IF(B66&gt;1,(H66/(B66+2)+J72),0))</f>
        <v>0</v>
      </c>
    </row>
    <row r="74" spans="1:10" ht="15" customHeight="1" x14ac:dyDescent="0.25">
      <c r="A74" s="80" t="s">
        <v>143</v>
      </c>
      <c r="B74" s="81" t="s">
        <v>140</v>
      </c>
      <c r="C74" s="44">
        <v>14</v>
      </c>
      <c r="D74" s="19">
        <f ca="1">((100/(H66))*C74)/100</f>
        <v>1</v>
      </c>
      <c r="E74" s="85"/>
      <c r="F74" s="86"/>
      <c r="G74" s="85"/>
      <c r="H74" s="90"/>
      <c r="I74" s="14" t="s">
        <v>151</v>
      </c>
      <c r="J74" s="30">
        <f>(IF(B66&gt;2,(H66/(B66+2)+J73),0))</f>
        <v>0</v>
      </c>
    </row>
    <row r="75" spans="1:10" ht="15.75" customHeight="1" x14ac:dyDescent="0.25">
      <c r="A75" s="80" t="s">
        <v>139</v>
      </c>
      <c r="B75" s="81" t="s">
        <v>139</v>
      </c>
      <c r="C75" s="44">
        <v>14</v>
      </c>
      <c r="D75" s="19">
        <f ca="1">((100/H66)*C75)/100</f>
        <v>1</v>
      </c>
      <c r="E75" s="85"/>
      <c r="F75" s="86"/>
      <c r="G75" s="85"/>
      <c r="H75" s="90"/>
      <c r="I75" s="14" t="s">
        <v>152</v>
      </c>
      <c r="J75" s="31">
        <f>(IF(B66&gt;3,(H66/(B66+2)+J74),0))</f>
        <v>0</v>
      </c>
    </row>
    <row r="76" spans="1:10" ht="15.75" customHeight="1" x14ac:dyDescent="0.25">
      <c r="A76" s="80" t="s">
        <v>146</v>
      </c>
      <c r="B76" s="81"/>
      <c r="C76" s="44">
        <v>13</v>
      </c>
      <c r="D76" s="19">
        <f ca="1">((100/H66)*C76)/100</f>
        <v>0.9285714285714286</v>
      </c>
      <c r="E76" s="85"/>
      <c r="F76" s="86"/>
      <c r="G76" s="85"/>
      <c r="H76" s="90"/>
      <c r="I76" s="14" t="s">
        <v>153</v>
      </c>
      <c r="J76" s="30">
        <f>(IF(B66&gt;4,(H66/(B66+2)+J75),0))</f>
        <v>0</v>
      </c>
    </row>
    <row r="77" spans="1:10" ht="15.75" customHeight="1" x14ac:dyDescent="0.25">
      <c r="A77" s="80" t="s">
        <v>141</v>
      </c>
      <c r="B77" s="81" t="s">
        <v>141</v>
      </c>
      <c r="C77" s="44">
        <v>3</v>
      </c>
      <c r="D77" s="19">
        <f ca="1">((100/(H66))*C77)/100</f>
        <v>0.2142857142857143</v>
      </c>
      <c r="E77" s="85"/>
      <c r="F77" s="86"/>
      <c r="G77" s="85"/>
      <c r="H77" s="90"/>
      <c r="I77" s="14" t="s">
        <v>155</v>
      </c>
      <c r="J77" s="30">
        <f ca="1">(IF(B66=1,(H66/(B66+3)+J72),IF(B66=0,(H66/4+J72),IF(B66&gt;1,0))))</f>
        <v>10.5</v>
      </c>
    </row>
    <row r="78" spans="1:10" ht="16.5" thickBot="1" x14ac:dyDescent="0.3">
      <c r="A78" s="92" t="s">
        <v>142</v>
      </c>
      <c r="B78" s="93"/>
      <c r="C78" s="45">
        <v>0</v>
      </c>
      <c r="D78" s="20">
        <f ca="1">((100/(H66))*C78)/100</f>
        <v>0</v>
      </c>
      <c r="E78" s="87"/>
      <c r="F78" s="88"/>
      <c r="G78" s="87"/>
      <c r="H78" s="91"/>
      <c r="I78" s="15" t="s">
        <v>110</v>
      </c>
      <c r="J78" s="32">
        <f ca="1">(IF(B66&gt;1.5,(H66/(B66+2)+J72+MAX(0,J73-J72)+MAX(0,J74-J73)+MAX(0,J75-J74)+MAX(0,J76-J75)+MAX(0,J77-J76)),IF(B66=1,(H66/(B66+3)+J77),IF(B66=0,H66/4+J77))))</f>
        <v>14</v>
      </c>
    </row>
    <row r="79" spans="1:10" ht="15.75" customHeight="1" x14ac:dyDescent="0.25">
      <c r="A79" s="71" t="s">
        <v>148</v>
      </c>
      <c r="B79" s="72"/>
      <c r="C79" s="73" t="s">
        <v>233</v>
      </c>
      <c r="D79" s="74"/>
      <c r="E79" s="74"/>
      <c r="F79" s="74"/>
      <c r="G79" s="74"/>
      <c r="H79" s="75"/>
      <c r="I79" s="48" t="str">
        <f ca="1">IF(D92=100%,"All work Completed. Possession granted to the Building.",IF(D91=100%,"All work Completed, Waiting for OC",I80&amp;""&amp;I81&amp;""&amp;J80&amp;""&amp;J79&amp;" "&amp;J81))</f>
        <v>Excavation, Plinth, RCC Slab, Brickwork, Internal Plaster, External Plaster, Flooring Completed, Painting upto 13 Floor Completed</v>
      </c>
      <c r="J79" s="49" t="str">
        <f ca="1">(IF(C85=(D80+F80+H80),"",IF(C85&gt;0,", RCC upto "&amp;C85&amp;" Slab","")))&amp;(IF(C86=H80,"",IF(C86&gt;0,", Brickwork upto "&amp;C86&amp;" Floor","")))&amp;(IF(C87=H80,"",IF(C87&gt;0,", Internal Plaster upto "&amp;C87&amp;" Floor","")))&amp;(IF(C88=H80,"",IF(C88&gt;0,", External Plaster upto "&amp;C88&amp;" Floor","")))&amp;(IF(C89=H80,"",IF(C89&gt;0,", Flooring upto "&amp;C89&amp;" Floor","")))&amp;(IF(C90=H80,"",IF(C90&gt;0,", Painting upto "&amp;C90&amp;" Floor","")))&amp;(IF(C91=H80,"",IF(C91&gt;0,", Finishing upto "&amp;C91&amp;" Floor","")))&amp;(IF(C92=H80,"",IF(C92&gt;0,", Possession upto "&amp;C92&amp;" Floor","")))</f>
        <v>, Painting upto 13 Floor</v>
      </c>
    </row>
    <row r="80" spans="1:10" x14ac:dyDescent="0.25">
      <c r="A80" s="16" t="s">
        <v>150</v>
      </c>
      <c r="B80" s="59">
        <v>0</v>
      </c>
      <c r="C80" s="59" t="s">
        <v>76</v>
      </c>
      <c r="D80" s="59">
        <v>1</v>
      </c>
      <c r="E80" s="59" t="s">
        <v>75</v>
      </c>
      <c r="F80" s="59">
        <v>0</v>
      </c>
      <c r="G80" s="59" t="s">
        <v>85</v>
      </c>
      <c r="H80" s="17">
        <f ca="1">--TRIM(RIGHT(SUBSTITUTE(LEFT(C79,_xlfn.AGGREGATE(16,6,FIND({0,1,2,3,4,5,6,7,8,9},C79,ROW(INDIRECT("1:"&amp;LEN(C79)))),1))," ",REPT(" ",LEN(C79))),LEN(C79)))</f>
        <v>14</v>
      </c>
      <c r="I80" s="50" t="str">
        <f ca="1">IF(D83=100%,"Excavation","")&amp;IF(D84=100%,", Plinth","")&amp;IF(D85=100%,", RCC Slab","")&amp;IF(D86=100%,", Brickwork","")&amp;IF(D87=100%,", Internal Plaster","")&amp;IF(D88=100%,", External Plaster","")&amp;IF(D89=100%,", Flooring","")&amp;IF(D90=100%,", Painting","")&amp;IF(D91=100%,", Building common Amenities","")</f>
        <v>Excavation, Plinth, RCC Slab, Brickwork, Internal Plaster, External Plaster, Flooring</v>
      </c>
      <c r="J80" s="51" t="str">
        <f ca="1">(IF(C83=0,"Work not yet Started.",IF(D83=25%,"Piling work in process",IF(D83=50%,"Excavation work in process",IF(D83=100%,"","0")))))&amp;(IF(C84=0%,"",IF(C84=J85,", Footing work is process",IF(C84=J86,", Footing work Completed",IF(C84=J87,", 1st Basement Completed",IF(C84=J88,", 1st &amp; 2nd Basement Completed",IF(C84=J89,", 1st to 3rd Basement Completed",IF(C84=J90,", 1st to 4th Basement Completed",IF(C84=J91,", Plinth work is process",IF(C84=J92,"","0"))))))))))</f>
        <v/>
      </c>
    </row>
    <row r="81" spans="1:13" ht="34.5" customHeight="1" x14ac:dyDescent="0.25">
      <c r="A81" s="76" t="s">
        <v>95</v>
      </c>
      <c r="B81" s="77"/>
      <c r="C81" s="78" t="str">
        <f ca="1">I79</f>
        <v>Excavation, Plinth, RCC Slab, Brickwork, Internal Plaster, External Plaster, Flooring Completed, Painting upto 13 Floor Completed</v>
      </c>
      <c r="D81" s="78"/>
      <c r="E81" s="78"/>
      <c r="F81" s="78"/>
      <c r="G81" s="78"/>
      <c r="H81" s="79"/>
      <c r="I81" s="50" t="str">
        <f ca="1">IF(I80&lt;&gt;""," Completed","")</f>
        <v xml:space="preserve"> Completed</v>
      </c>
      <c r="J81" s="51" t="str">
        <f ca="1">IF(J79&lt;&gt;"","Completed","")</f>
        <v>Completed</v>
      </c>
    </row>
    <row r="82" spans="1:13" ht="15.75" customHeight="1" x14ac:dyDescent="0.25">
      <c r="A82" s="80" t="s">
        <v>52</v>
      </c>
      <c r="B82" s="81"/>
      <c r="C82" s="58" t="s">
        <v>147</v>
      </c>
      <c r="D82" s="58" t="s">
        <v>88</v>
      </c>
      <c r="E82" s="81" t="s">
        <v>90</v>
      </c>
      <c r="F82" s="81"/>
      <c r="G82" s="81" t="s">
        <v>89</v>
      </c>
      <c r="H82" s="82"/>
      <c r="I82" s="14" t="s">
        <v>149</v>
      </c>
      <c r="J82" s="28">
        <f ca="1">H80*25%</f>
        <v>3.5</v>
      </c>
    </row>
    <row r="83" spans="1:13" x14ac:dyDescent="0.25">
      <c r="A83" s="80" t="s">
        <v>136</v>
      </c>
      <c r="B83" s="81"/>
      <c r="C83" s="58">
        <f ca="1">J84</f>
        <v>14</v>
      </c>
      <c r="D83" s="19">
        <f ca="1">((100/H80)*C83)/100</f>
        <v>1</v>
      </c>
      <c r="E83" s="83">
        <f ca="1">(((C84/H80*10)+(40/(D80+F80+H80)*C85)+(7.5/(H80)*C86)+(7.5/(H80)*C87)+(10/H80*C88)+(10/H80*C89)+(5/H80*C90)+(5/H80*C91)+(5/H80*C92))/100)</f>
        <v>0.89642857142857135</v>
      </c>
      <c r="F83" s="84"/>
      <c r="G83" s="83">
        <f ca="1">((((C83/H80)*20)+((C84/H80)*25)+(30/(H80+F80+D80)*C85)+(5/H80*C86)+(5/H80*C87)+(5/H80*C88)+(5/H80*C89)+(0/H80*C90)+(0/H80*C91)+(5/H80*C92))/100)</f>
        <v>0.95</v>
      </c>
      <c r="H83" s="89"/>
      <c r="I83" s="14" t="s">
        <v>106</v>
      </c>
      <c r="J83" s="29">
        <f ca="1">H80*50%</f>
        <v>7</v>
      </c>
    </row>
    <row r="84" spans="1:13" x14ac:dyDescent="0.25">
      <c r="A84" s="80" t="s">
        <v>53</v>
      </c>
      <c r="B84" s="81"/>
      <c r="C84" s="58">
        <f ca="1">J92</f>
        <v>14</v>
      </c>
      <c r="D84" s="19">
        <f ca="1">((100/H80)*C84)/100</f>
        <v>1</v>
      </c>
      <c r="E84" s="85"/>
      <c r="F84" s="86"/>
      <c r="G84" s="85"/>
      <c r="H84" s="90"/>
      <c r="I84" s="14" t="s">
        <v>107</v>
      </c>
      <c r="J84" s="29">
        <f ca="1">H80</f>
        <v>14</v>
      </c>
    </row>
    <row r="85" spans="1:13" ht="15.75" customHeight="1" x14ac:dyDescent="0.25">
      <c r="A85" s="80" t="s">
        <v>137</v>
      </c>
      <c r="B85" s="81"/>
      <c r="C85" s="58">
        <v>15</v>
      </c>
      <c r="D85" s="19">
        <f ca="1">((100/(D80+F80+H80))*C85)/100</f>
        <v>1</v>
      </c>
      <c r="E85" s="85"/>
      <c r="F85" s="86"/>
      <c r="G85" s="85"/>
      <c r="H85" s="90"/>
      <c r="I85" s="14" t="s">
        <v>108</v>
      </c>
      <c r="J85" s="30">
        <f ca="1">(IF(B80&gt;1,(H80/(B80+2)),H80/4))</f>
        <v>3.5</v>
      </c>
    </row>
    <row r="86" spans="1:13" ht="15.75" customHeight="1" x14ac:dyDescent="0.25">
      <c r="A86" s="80" t="s">
        <v>144</v>
      </c>
      <c r="B86" s="81" t="s">
        <v>138</v>
      </c>
      <c r="C86" s="58">
        <v>14</v>
      </c>
      <c r="D86" s="19">
        <f ca="1">((100/H80)*C86)/100</f>
        <v>1</v>
      </c>
      <c r="E86" s="85"/>
      <c r="F86" s="86"/>
      <c r="G86" s="85"/>
      <c r="H86" s="90"/>
      <c r="I86" s="14" t="s">
        <v>109</v>
      </c>
      <c r="J86" s="30">
        <f ca="1">(IF(B80&gt;1,(H80/(B80+2)+J85),H80/4+J85))</f>
        <v>7</v>
      </c>
    </row>
    <row r="87" spans="1:13" ht="15.75" customHeight="1" x14ac:dyDescent="0.25">
      <c r="A87" s="80" t="s">
        <v>145</v>
      </c>
      <c r="B87" s="81" t="s">
        <v>138</v>
      </c>
      <c r="C87" s="58">
        <v>14</v>
      </c>
      <c r="D87" s="19">
        <f ca="1">((100/H80)*C87)/100</f>
        <v>1</v>
      </c>
      <c r="E87" s="85"/>
      <c r="F87" s="86"/>
      <c r="G87" s="85"/>
      <c r="H87" s="90"/>
      <c r="I87" s="14" t="s">
        <v>154</v>
      </c>
      <c r="J87" s="30">
        <f>(IF(B80&gt;1,(H80/(B80+2)+J86),0))</f>
        <v>0</v>
      </c>
    </row>
    <row r="88" spans="1:13" ht="15" customHeight="1" x14ac:dyDescent="0.25">
      <c r="A88" s="80" t="s">
        <v>143</v>
      </c>
      <c r="B88" s="81" t="s">
        <v>140</v>
      </c>
      <c r="C88" s="58">
        <v>14</v>
      </c>
      <c r="D88" s="19">
        <f ca="1">((100/(H80))*C88)/100</f>
        <v>1</v>
      </c>
      <c r="E88" s="85"/>
      <c r="F88" s="86"/>
      <c r="G88" s="85"/>
      <c r="H88" s="90"/>
      <c r="I88" s="14" t="s">
        <v>151</v>
      </c>
      <c r="J88" s="30">
        <f>(IF(B80&gt;2,(H80/(B80+2)+J87),0))</f>
        <v>0</v>
      </c>
    </row>
    <row r="89" spans="1:13" ht="15.75" customHeight="1" x14ac:dyDescent="0.25">
      <c r="A89" s="80" t="s">
        <v>139</v>
      </c>
      <c r="B89" s="81" t="s">
        <v>139</v>
      </c>
      <c r="C89" s="58">
        <v>14</v>
      </c>
      <c r="D89" s="19">
        <f ca="1">((100/H80)*C89)/100</f>
        <v>1</v>
      </c>
      <c r="E89" s="85"/>
      <c r="F89" s="86"/>
      <c r="G89" s="85"/>
      <c r="H89" s="90"/>
      <c r="I89" s="14" t="s">
        <v>152</v>
      </c>
      <c r="J89" s="31">
        <f>(IF(B80&gt;3,(H80/(B80+2)+J88),0))</f>
        <v>0</v>
      </c>
    </row>
    <row r="90" spans="1:13" ht="15.75" customHeight="1" x14ac:dyDescent="0.25">
      <c r="A90" s="80" t="s">
        <v>146</v>
      </c>
      <c r="B90" s="81"/>
      <c r="C90" s="58">
        <v>13</v>
      </c>
      <c r="D90" s="19">
        <f ca="1">((100/H80)*C90)/100</f>
        <v>0.9285714285714286</v>
      </c>
      <c r="E90" s="85"/>
      <c r="F90" s="86"/>
      <c r="G90" s="85"/>
      <c r="H90" s="90"/>
      <c r="I90" s="14" t="s">
        <v>153</v>
      </c>
      <c r="J90" s="30">
        <f>(IF(B80&gt;4,(H80/(B80+2)+J89),0))</f>
        <v>0</v>
      </c>
    </row>
    <row r="91" spans="1:13" ht="15.75" customHeight="1" x14ac:dyDescent="0.25">
      <c r="A91" s="80" t="s">
        <v>141</v>
      </c>
      <c r="B91" s="81" t="s">
        <v>141</v>
      </c>
      <c r="C91" s="58">
        <v>0</v>
      </c>
      <c r="D91" s="19">
        <f ca="1">((100/(H80))*C91)/100</f>
        <v>0</v>
      </c>
      <c r="E91" s="85"/>
      <c r="F91" s="86"/>
      <c r="G91" s="85"/>
      <c r="H91" s="90"/>
      <c r="I91" s="14" t="s">
        <v>155</v>
      </c>
      <c r="J91" s="30">
        <f ca="1">(IF(B80=1,(H80/(B80+3)+J86),IF(B80=0,(H80/4+J86),IF(B80&gt;1,0))))</f>
        <v>10.5</v>
      </c>
    </row>
    <row r="92" spans="1:13" ht="16.5" thickBot="1" x14ac:dyDescent="0.3">
      <c r="A92" s="92" t="s">
        <v>142</v>
      </c>
      <c r="B92" s="93"/>
      <c r="C92" s="60">
        <v>0</v>
      </c>
      <c r="D92" s="20">
        <f ca="1">((100/(H80))*C92)/100</f>
        <v>0</v>
      </c>
      <c r="E92" s="87"/>
      <c r="F92" s="88"/>
      <c r="G92" s="87"/>
      <c r="H92" s="91"/>
      <c r="I92" s="15" t="s">
        <v>110</v>
      </c>
      <c r="J92" s="32">
        <f ca="1">(IF(B80&gt;1.5,(H80/(B80+2)+J86+MAX(0,J87-J86)+MAX(0,J88-J87)+MAX(0,J89-J88)+MAX(0,J90-J89)+MAX(0,J91-J90)),IF(B80=1,(H80/(B80+3)+J91),IF(B80=0,H80/4+J91))))</f>
        <v>14</v>
      </c>
    </row>
    <row r="93" spans="1:13" x14ac:dyDescent="0.25">
      <c r="A93" s="107" t="s">
        <v>165</v>
      </c>
      <c r="B93" s="107"/>
      <c r="C93" s="107"/>
      <c r="D93" s="107"/>
      <c r="E93" s="107"/>
      <c r="F93" s="146" t="s">
        <v>170</v>
      </c>
      <c r="G93" s="146"/>
      <c r="H93" s="146"/>
    </row>
    <row r="94" spans="1:13" x14ac:dyDescent="0.25">
      <c r="A94" s="105" t="s">
        <v>168</v>
      </c>
      <c r="B94" s="105"/>
      <c r="C94" s="105"/>
      <c r="D94" s="105"/>
      <c r="E94" s="105"/>
      <c r="F94" s="106">
        <v>7000</v>
      </c>
      <c r="G94" s="106"/>
      <c r="H94" s="106"/>
      <c r="I94" s="61" t="s">
        <v>230</v>
      </c>
      <c r="J94" s="61" t="s">
        <v>231</v>
      </c>
      <c r="K94" s="61"/>
      <c r="L94" s="61" t="s">
        <v>232</v>
      </c>
      <c r="M94" s="62">
        <v>45096</v>
      </c>
    </row>
    <row r="95" spans="1:13" x14ac:dyDescent="0.25">
      <c r="A95" s="105" t="s">
        <v>167</v>
      </c>
      <c r="B95" s="105"/>
      <c r="C95" s="105"/>
      <c r="D95" s="105"/>
      <c r="E95" s="105"/>
      <c r="F95" s="106">
        <v>12000</v>
      </c>
      <c r="G95" s="106"/>
      <c r="H95" s="106"/>
    </row>
    <row r="96" spans="1:13" hidden="1" x14ac:dyDescent="0.25">
      <c r="A96" s="105" t="s">
        <v>169</v>
      </c>
      <c r="B96" s="105"/>
      <c r="C96" s="105"/>
      <c r="D96" s="105"/>
      <c r="E96" s="105"/>
      <c r="F96" s="106"/>
      <c r="G96" s="106"/>
      <c r="H96" s="106"/>
    </row>
    <row r="97" spans="1:13" s="33" customFormat="1" hidden="1" x14ac:dyDescent="0.25">
      <c r="A97" s="105" t="s">
        <v>166</v>
      </c>
      <c r="B97" s="105"/>
      <c r="C97" s="105"/>
      <c r="D97" s="105"/>
      <c r="E97" s="105"/>
      <c r="F97" s="106"/>
      <c r="G97" s="106"/>
      <c r="H97" s="106"/>
    </row>
    <row r="98" spans="1:13" s="33" customFormat="1" x14ac:dyDescent="0.25">
      <c r="A98" s="105" t="s">
        <v>100</v>
      </c>
      <c r="B98" s="105"/>
      <c r="C98" s="105"/>
      <c r="D98" s="105"/>
      <c r="E98" s="105"/>
      <c r="F98" s="106">
        <v>150000</v>
      </c>
      <c r="G98" s="106"/>
      <c r="H98" s="106"/>
      <c r="J98" s="63" t="s">
        <v>227</v>
      </c>
      <c r="K98" s="64">
        <v>45086</v>
      </c>
      <c r="L98" s="63" t="s">
        <v>228</v>
      </c>
      <c r="M98" s="63" t="s">
        <v>229</v>
      </c>
    </row>
    <row r="99" spans="1:13" s="33" customFormat="1" hidden="1" x14ac:dyDescent="0.25">
      <c r="A99" s="105" t="s">
        <v>101</v>
      </c>
      <c r="B99" s="105"/>
      <c r="C99" s="105"/>
      <c r="D99" s="105"/>
      <c r="E99" s="105"/>
      <c r="F99" s="106"/>
      <c r="G99" s="106"/>
      <c r="H99" s="106"/>
    </row>
    <row r="100" spans="1:13" s="33" customFormat="1" hidden="1" x14ac:dyDescent="0.25">
      <c r="A100" s="105" t="s">
        <v>171</v>
      </c>
      <c r="B100" s="105"/>
      <c r="C100" s="105"/>
      <c r="D100" s="105"/>
      <c r="E100" s="105"/>
      <c r="F100" s="106"/>
      <c r="G100" s="106"/>
      <c r="H100" s="106"/>
    </row>
    <row r="101" spans="1:13" s="33" customFormat="1" hidden="1" x14ac:dyDescent="0.25">
      <c r="A101" s="105" t="s">
        <v>102</v>
      </c>
      <c r="B101" s="105"/>
      <c r="C101" s="105"/>
      <c r="D101" s="105"/>
      <c r="E101" s="105"/>
      <c r="F101" s="106"/>
      <c r="G101" s="106"/>
      <c r="H101" s="106"/>
    </row>
    <row r="102" spans="1:13" s="33" customFormat="1" hidden="1" x14ac:dyDescent="0.25">
      <c r="A102" s="105" t="s">
        <v>103</v>
      </c>
      <c r="B102" s="105"/>
      <c r="C102" s="105"/>
      <c r="D102" s="105"/>
      <c r="E102" s="105"/>
      <c r="F102" s="106"/>
      <c r="G102" s="106"/>
      <c r="H102" s="106"/>
    </row>
    <row r="103" spans="1:13" s="33" customFormat="1" hidden="1" x14ac:dyDescent="0.25">
      <c r="A103" s="105" t="s">
        <v>104</v>
      </c>
      <c r="B103" s="105"/>
      <c r="C103" s="105"/>
      <c r="D103" s="105"/>
      <c r="E103" s="105"/>
      <c r="F103" s="106"/>
      <c r="G103" s="106"/>
      <c r="H103" s="106"/>
    </row>
    <row r="104" spans="1:13" s="33" customFormat="1" hidden="1" x14ac:dyDescent="0.25">
      <c r="A104" s="105" t="s">
        <v>105</v>
      </c>
      <c r="B104" s="105"/>
      <c r="C104" s="105"/>
      <c r="D104" s="105"/>
      <c r="E104" s="105"/>
      <c r="F104" s="106"/>
      <c r="G104" s="106"/>
      <c r="H104" s="106"/>
    </row>
    <row r="105" spans="1:13" x14ac:dyDescent="0.25">
      <c r="A105" s="105" t="s">
        <v>54</v>
      </c>
      <c r="B105" s="105"/>
      <c r="C105" s="105"/>
      <c r="D105" s="105"/>
      <c r="E105" s="105"/>
      <c r="F105" s="106">
        <v>250000</v>
      </c>
      <c r="G105" s="106"/>
      <c r="H105" s="106"/>
    </row>
    <row r="106" spans="1:13" s="34" customFormat="1" x14ac:dyDescent="0.25">
      <c r="A106" s="151" t="s">
        <v>55</v>
      </c>
      <c r="B106" s="151"/>
      <c r="C106" s="151"/>
      <c r="D106" s="151"/>
      <c r="E106" s="151"/>
      <c r="F106" s="106">
        <f>F94*0.8</f>
        <v>5600</v>
      </c>
      <c r="G106" s="106"/>
      <c r="H106" s="106"/>
    </row>
    <row r="107" spans="1:13" s="35" customFormat="1" ht="15.75" customHeight="1" x14ac:dyDescent="0.25">
      <c r="A107" s="108" t="s">
        <v>80</v>
      </c>
      <c r="B107" s="108"/>
      <c r="C107" s="108"/>
      <c r="D107" s="108"/>
      <c r="E107" s="108"/>
      <c r="F107" s="108"/>
      <c r="G107" s="108"/>
      <c r="H107" s="108"/>
    </row>
    <row r="108" spans="1:13" s="35" customFormat="1" ht="15.75" customHeight="1" x14ac:dyDescent="0.25">
      <c r="A108" s="104" t="s">
        <v>56</v>
      </c>
      <c r="B108" s="104"/>
      <c r="C108" s="103" t="s">
        <v>83</v>
      </c>
      <c r="D108" s="103"/>
      <c r="E108" s="125" t="s">
        <v>57</v>
      </c>
      <c r="F108" s="125"/>
      <c r="G108" s="104" t="s">
        <v>58</v>
      </c>
      <c r="H108" s="104"/>
    </row>
    <row r="109" spans="1:13" s="35" customFormat="1" x14ac:dyDescent="0.25">
      <c r="A109" s="126" t="s">
        <v>199</v>
      </c>
      <c r="B109" s="126"/>
      <c r="C109" s="127">
        <f>COUNT(D125:D137)</f>
        <v>13</v>
      </c>
      <c r="D109" s="180"/>
      <c r="E109" s="128">
        <f>SUM(D125:D137)</f>
        <v>2059.1801099999998</v>
      </c>
      <c r="F109" s="179"/>
      <c r="G109" s="128">
        <f>SUM(F125:F137)</f>
        <v>3191.7291704999998</v>
      </c>
      <c r="H109" s="179"/>
    </row>
    <row r="110" spans="1:13" s="35" customFormat="1" x14ac:dyDescent="0.25">
      <c r="A110" s="108" t="s">
        <v>158</v>
      </c>
      <c r="B110" s="108"/>
      <c r="C110" s="122">
        <f>SUM(C109)</f>
        <v>13</v>
      </c>
      <c r="D110" s="123"/>
      <c r="E110" s="124">
        <f>SUM(E109)</f>
        <v>2059.1801099999998</v>
      </c>
      <c r="F110" s="125"/>
      <c r="G110" s="104">
        <f>SUM(G109)</f>
        <v>3191.7291704999998</v>
      </c>
      <c r="H110" s="104"/>
      <c r="J110" s="57">
        <f>SUM(G110,G116)</f>
        <v>67903.324280999994</v>
      </c>
      <c r="K110" s="57">
        <f>SUM(E110,E116)</f>
        <v>44976.459060000001</v>
      </c>
    </row>
    <row r="111" spans="1:13" s="35" customFormat="1" x14ac:dyDescent="0.25">
      <c r="A111" s="108" t="s">
        <v>74</v>
      </c>
      <c r="B111" s="108"/>
      <c r="C111" s="108"/>
      <c r="D111" s="108"/>
      <c r="E111" s="108"/>
      <c r="F111" s="108"/>
      <c r="G111" s="108"/>
      <c r="H111" s="108"/>
    </row>
    <row r="112" spans="1:13" s="35" customFormat="1" ht="15.75" customHeight="1" x14ac:dyDescent="0.25">
      <c r="A112" s="104" t="s">
        <v>56</v>
      </c>
      <c r="B112" s="104"/>
      <c r="C112" s="103" t="s">
        <v>83</v>
      </c>
      <c r="D112" s="103"/>
      <c r="E112" s="125" t="s">
        <v>57</v>
      </c>
      <c r="F112" s="125"/>
      <c r="G112" s="104" t="s">
        <v>58</v>
      </c>
      <c r="H112" s="104"/>
    </row>
    <row r="113" spans="1:14" s="35" customFormat="1" x14ac:dyDescent="0.25">
      <c r="A113" s="126" t="s">
        <v>196</v>
      </c>
      <c r="B113" s="126"/>
      <c r="C113" s="127">
        <f>COUNT(D147:D148)+COUNT(D151:D154)*11+COUNT(D156:D159)*2</f>
        <v>52</v>
      </c>
      <c r="D113" s="127"/>
      <c r="E113" s="128">
        <f>SUM(D147:D148)+SUM(D151:D154)*11+SUM(D156:D159)*2</f>
        <v>15484.875119999999</v>
      </c>
      <c r="F113" s="128"/>
      <c r="G113" s="128">
        <f>SUM(F147:F148)+SUM(F151:F154)*11+SUM(F156:F159)*2</f>
        <v>23331.938759999997</v>
      </c>
      <c r="H113" s="128"/>
    </row>
    <row r="114" spans="1:14" s="35" customFormat="1" x14ac:dyDescent="0.25">
      <c r="A114" s="126" t="s">
        <v>197</v>
      </c>
      <c r="B114" s="126"/>
      <c r="C114" s="127">
        <f>COUNT(D164:D167)+COUNT(D170:D175)*11+COUNT(D177)*2+COUNT(D179:D182)*2</f>
        <v>80</v>
      </c>
      <c r="D114" s="127"/>
      <c r="E114" s="128">
        <f>SUM(D164:D167)+SUM(D170:D175)*11+SUM(D177)*2+SUM(D179:D182)*2</f>
        <v>25373.223719999998</v>
      </c>
      <c r="F114" s="128"/>
      <c r="G114" s="128">
        <f>SUM(F164:F167)+SUM(F170:F175)*11+SUM(F177)*2+SUM(F179:F182)*2</f>
        <v>38187.927179999999</v>
      </c>
      <c r="H114" s="128"/>
    </row>
    <row r="115" spans="1:14" s="35" customFormat="1" ht="16.5" thickBot="1" x14ac:dyDescent="0.3">
      <c r="A115" s="191" t="s">
        <v>158</v>
      </c>
      <c r="B115" s="191"/>
      <c r="C115" s="192">
        <f>SUM(C113:C114)</f>
        <v>132</v>
      </c>
      <c r="D115" s="193"/>
      <c r="E115" s="194">
        <f>SUM(E113:E114)</f>
        <v>40858.098839999999</v>
      </c>
      <c r="F115" s="195"/>
      <c r="G115" s="194">
        <f>SUM(G113:G114)</f>
        <v>61519.865939999996</v>
      </c>
      <c r="H115" s="195"/>
    </row>
    <row r="116" spans="1:14" s="35" customFormat="1" ht="16.5" thickBot="1" x14ac:dyDescent="0.3">
      <c r="A116" s="196" t="s">
        <v>241</v>
      </c>
      <c r="B116" s="197"/>
      <c r="C116" s="198">
        <f>C110+C115</f>
        <v>145</v>
      </c>
      <c r="D116" s="199"/>
      <c r="E116" s="198">
        <f t="shared" ref="E116" si="0">E110+E115</f>
        <v>42917.27895</v>
      </c>
      <c r="F116" s="199"/>
      <c r="G116" s="198">
        <f t="shared" ref="G116" si="1">G110+G115</f>
        <v>64711.595110499999</v>
      </c>
      <c r="H116" s="200"/>
    </row>
    <row r="117" spans="1:14" s="34" customFormat="1" x14ac:dyDescent="0.25">
      <c r="A117" s="146" t="s">
        <v>59</v>
      </c>
      <c r="B117" s="146"/>
      <c r="C117" s="146"/>
      <c r="D117" s="146"/>
      <c r="E117" s="146"/>
      <c r="F117" s="146"/>
      <c r="G117" s="146"/>
      <c r="H117" s="146"/>
    </row>
    <row r="118" spans="1:14" x14ac:dyDescent="0.25">
      <c r="A118" s="100" t="s">
        <v>60</v>
      </c>
      <c r="B118" s="100"/>
      <c r="C118" s="100"/>
      <c r="D118" s="100"/>
      <c r="E118" s="100"/>
      <c r="F118" s="100"/>
      <c r="G118" s="100"/>
      <c r="H118" s="100"/>
    </row>
    <row r="119" spans="1:14" ht="47.25" customHeight="1" x14ac:dyDescent="0.25">
      <c r="A119" s="120" t="s">
        <v>126</v>
      </c>
      <c r="B119" s="120" t="s">
        <v>125</v>
      </c>
      <c r="C119" s="120" t="s">
        <v>61</v>
      </c>
      <c r="D119" s="120" t="s">
        <v>62</v>
      </c>
      <c r="E119" s="142" t="s">
        <v>164</v>
      </c>
      <c r="F119" s="43" t="s">
        <v>157</v>
      </c>
      <c r="G119" s="98" t="s">
        <v>64</v>
      </c>
      <c r="H119" s="144"/>
    </row>
    <row r="120" spans="1:14" s="37" customFormat="1" x14ac:dyDescent="0.25">
      <c r="A120" s="121"/>
      <c r="B120" s="121"/>
      <c r="C120" s="121"/>
      <c r="D120" s="121"/>
      <c r="E120" s="143"/>
      <c r="F120" s="13">
        <v>0.55000000000000004</v>
      </c>
      <c r="G120" s="99"/>
      <c r="H120" s="145"/>
    </row>
    <row r="121" spans="1:14" s="56" customFormat="1" x14ac:dyDescent="0.25">
      <c r="A121" s="129" t="s">
        <v>210</v>
      </c>
      <c r="B121" s="130"/>
      <c r="C121" s="130"/>
      <c r="D121" s="130"/>
      <c r="E121" s="130"/>
      <c r="F121" s="130"/>
      <c r="G121" s="130"/>
      <c r="H121" s="131"/>
    </row>
    <row r="122" spans="1:14" s="56" customFormat="1" x14ac:dyDescent="0.25">
      <c r="A122" s="129" t="s">
        <v>209</v>
      </c>
      <c r="B122" s="130"/>
      <c r="C122" s="130"/>
      <c r="D122" s="130"/>
      <c r="E122" s="130"/>
      <c r="F122" s="130"/>
      <c r="G122" s="130"/>
      <c r="H122" s="131"/>
      <c r="J122" s="36"/>
    </row>
    <row r="123" spans="1:14" s="53" customFormat="1" x14ac:dyDescent="0.25">
      <c r="A123" s="129" t="s">
        <v>199</v>
      </c>
      <c r="B123" s="130"/>
      <c r="C123" s="130"/>
      <c r="D123" s="130"/>
      <c r="E123" s="130"/>
      <c r="F123" s="130"/>
      <c r="G123" s="130"/>
      <c r="H123" s="131"/>
      <c r="J123" s="36"/>
    </row>
    <row r="124" spans="1:14" s="37" customFormat="1" x14ac:dyDescent="0.25">
      <c r="A124" s="129" t="s">
        <v>198</v>
      </c>
      <c r="B124" s="130"/>
      <c r="C124" s="130"/>
      <c r="D124" s="130"/>
      <c r="E124" s="130"/>
      <c r="F124" s="130"/>
      <c r="G124" s="130"/>
      <c r="H124" s="131"/>
      <c r="J124" s="36"/>
    </row>
    <row r="125" spans="1:14" s="37" customFormat="1" ht="15.75" customHeight="1" x14ac:dyDescent="0.25">
      <c r="A125" s="95">
        <v>1</v>
      </c>
      <c r="B125" s="97"/>
      <c r="C125" s="42" t="s">
        <v>200</v>
      </c>
      <c r="D125" s="42">
        <f>(5.5*3.2+1.4*1.4+2.75*0.25+0.9*0.25+1.2*3.2)*10.764</f>
        <v>261.69974999999999</v>
      </c>
      <c r="E125" s="42">
        <v>0</v>
      </c>
      <c r="F125" s="42">
        <f>(D125+E125)*(($F$120)+1)</f>
        <v>405.6346125</v>
      </c>
      <c r="G125" s="136" t="str">
        <f>A124</f>
        <v>Ground Floor For Commercial &amp; Parking</v>
      </c>
      <c r="H125" s="137"/>
      <c r="I125" s="55"/>
      <c r="L125" s="135"/>
      <c r="M125" s="135"/>
      <c r="N125" s="36"/>
    </row>
    <row r="126" spans="1:14" s="37" customFormat="1" ht="15.75" customHeight="1" x14ac:dyDescent="0.25">
      <c r="A126" s="95">
        <f t="shared" ref="A126:A137" si="2">A125+1</f>
        <v>2</v>
      </c>
      <c r="B126" s="97"/>
      <c r="C126" s="52" t="s">
        <v>200</v>
      </c>
      <c r="D126" s="42">
        <f>(3.9*2.1+2.75*0.25+2.75*0.75+1.2*2.1)*10.764</f>
        <v>144.88343999999998</v>
      </c>
      <c r="E126" s="42">
        <v>0</v>
      </c>
      <c r="F126" s="42">
        <f t="shared" ref="F126:F128" si="3">(D126+E126)*(($F$120)+1)</f>
        <v>224.56933199999997</v>
      </c>
      <c r="G126" s="138"/>
      <c r="H126" s="139"/>
      <c r="I126" s="36"/>
      <c r="L126" s="135"/>
      <c r="M126" s="135"/>
      <c r="N126" s="36"/>
    </row>
    <row r="127" spans="1:14" s="37" customFormat="1" ht="15.75" customHeight="1" x14ac:dyDescent="0.25">
      <c r="A127" s="95">
        <f t="shared" si="2"/>
        <v>3</v>
      </c>
      <c r="B127" s="97"/>
      <c r="C127" s="52" t="s">
        <v>200</v>
      </c>
      <c r="D127" s="42">
        <f>(3.9*2.4+0.5*1.3+0.8*0.25+1.2*2.4)*10.764</f>
        <v>140.90075999999999</v>
      </c>
      <c r="E127" s="42">
        <v>0</v>
      </c>
      <c r="F127" s="42">
        <f t="shared" si="3"/>
        <v>218.39617799999999</v>
      </c>
      <c r="G127" s="138"/>
      <c r="H127" s="139"/>
      <c r="I127" s="36"/>
      <c r="L127" s="135"/>
      <c r="M127" s="135"/>
      <c r="N127" s="36"/>
    </row>
    <row r="128" spans="1:14" s="37" customFormat="1" ht="15.75" customHeight="1" x14ac:dyDescent="0.25">
      <c r="A128" s="95">
        <f t="shared" si="2"/>
        <v>4</v>
      </c>
      <c r="B128" s="97"/>
      <c r="C128" s="52" t="s">
        <v>200</v>
      </c>
      <c r="D128" s="42">
        <f>(4.5*2.75+1.2*2.75)*10.764</f>
        <v>168.72569999999999</v>
      </c>
      <c r="E128" s="42">
        <v>0</v>
      </c>
      <c r="F128" s="42">
        <f t="shared" si="3"/>
        <v>261.524835</v>
      </c>
      <c r="G128" s="138"/>
      <c r="H128" s="139"/>
      <c r="I128" s="36"/>
      <c r="L128" s="135"/>
      <c r="M128" s="135"/>
      <c r="N128" s="36"/>
    </row>
    <row r="129" spans="1:14" s="53" customFormat="1" ht="15.75" customHeight="1" x14ac:dyDescent="0.25">
      <c r="A129" s="95">
        <f t="shared" si="2"/>
        <v>5</v>
      </c>
      <c r="B129" s="97"/>
      <c r="C129" s="52" t="s">
        <v>200</v>
      </c>
      <c r="D129" s="52">
        <f>(4.5*2.6+1.2*2.6)*10.764</f>
        <v>159.52248</v>
      </c>
      <c r="E129" s="52">
        <v>0</v>
      </c>
      <c r="F129" s="52">
        <f t="shared" ref="F129:F131" si="4">(D129+E129)*(($F$120)+1)</f>
        <v>247.25984400000002</v>
      </c>
      <c r="G129" s="138"/>
      <c r="H129" s="139"/>
      <c r="I129" s="36"/>
      <c r="L129" s="135"/>
      <c r="M129" s="135"/>
      <c r="N129" s="36"/>
    </row>
    <row r="130" spans="1:14" s="53" customFormat="1" ht="15.75" customHeight="1" x14ac:dyDescent="0.25">
      <c r="A130" s="95">
        <f t="shared" si="2"/>
        <v>6</v>
      </c>
      <c r="B130" s="97"/>
      <c r="C130" s="52" t="s">
        <v>200</v>
      </c>
      <c r="D130" s="52">
        <f>(3.8*2.4+0.5*1.45+1.2*2.4)*10.764</f>
        <v>136.97189999999998</v>
      </c>
      <c r="E130" s="52">
        <v>0</v>
      </c>
      <c r="F130" s="52">
        <f t="shared" si="4"/>
        <v>212.30644499999997</v>
      </c>
      <c r="G130" s="138"/>
      <c r="H130" s="139"/>
      <c r="I130" s="36"/>
      <c r="L130" s="135"/>
      <c r="M130" s="135"/>
      <c r="N130" s="36"/>
    </row>
    <row r="131" spans="1:14" s="53" customFormat="1" ht="15.75" customHeight="1" x14ac:dyDescent="0.25">
      <c r="A131" s="95">
        <f t="shared" si="2"/>
        <v>7</v>
      </c>
      <c r="B131" s="97"/>
      <c r="C131" s="52" t="s">
        <v>200</v>
      </c>
      <c r="D131" s="52">
        <f>(3.8*2.75+1.2*2.75)*10.764</f>
        <v>148.005</v>
      </c>
      <c r="E131" s="52">
        <v>0</v>
      </c>
      <c r="F131" s="52">
        <f t="shared" si="4"/>
        <v>229.40774999999999</v>
      </c>
      <c r="G131" s="138"/>
      <c r="H131" s="139"/>
      <c r="I131" s="36"/>
      <c r="L131" s="135"/>
      <c r="M131" s="135"/>
      <c r="N131" s="36"/>
    </row>
    <row r="132" spans="1:14" s="53" customFormat="1" ht="15.75" customHeight="1" x14ac:dyDescent="0.25">
      <c r="A132" s="95">
        <f t="shared" si="2"/>
        <v>8</v>
      </c>
      <c r="B132" s="97"/>
      <c r="C132" s="52" t="s">
        <v>200</v>
      </c>
      <c r="D132" s="52">
        <f>(3.8*2.75+1.2*2.75)*10.764</f>
        <v>148.005</v>
      </c>
      <c r="E132" s="52">
        <v>0</v>
      </c>
      <c r="F132" s="52">
        <f t="shared" ref="F132:F134" si="5">(D132+E132)*(($F$120)+1)</f>
        <v>229.40774999999999</v>
      </c>
      <c r="G132" s="138"/>
      <c r="H132" s="139"/>
      <c r="I132" s="36"/>
      <c r="L132" s="135"/>
      <c r="M132" s="135"/>
      <c r="N132" s="36"/>
    </row>
    <row r="133" spans="1:14" s="53" customFormat="1" ht="15.75" customHeight="1" x14ac:dyDescent="0.25">
      <c r="A133" s="95">
        <f t="shared" si="2"/>
        <v>9</v>
      </c>
      <c r="B133" s="97"/>
      <c r="C133" s="52" t="s">
        <v>200</v>
      </c>
      <c r="D133" s="52">
        <f>(3.8*2.75+0.5*1.2+2.75*0.25+1.2*2.75)*10.764</f>
        <v>161.86364999999998</v>
      </c>
      <c r="E133" s="52">
        <v>0</v>
      </c>
      <c r="F133" s="52">
        <f t="shared" si="5"/>
        <v>250.88865749999997</v>
      </c>
      <c r="G133" s="138"/>
      <c r="H133" s="139"/>
      <c r="I133" s="36"/>
      <c r="L133" s="135"/>
      <c r="M133" s="135"/>
      <c r="N133" s="36"/>
    </row>
    <row r="134" spans="1:14" s="53" customFormat="1" ht="15.75" customHeight="1" x14ac:dyDescent="0.25">
      <c r="A134" s="95">
        <f t="shared" si="2"/>
        <v>10</v>
      </c>
      <c r="B134" s="97"/>
      <c r="C134" s="52" t="s">
        <v>200</v>
      </c>
      <c r="D134" s="52">
        <f>(4.4*2.5+1.5*0.25+1.2*2.5)*10.764</f>
        <v>154.73249999999999</v>
      </c>
      <c r="E134" s="52">
        <v>0</v>
      </c>
      <c r="F134" s="52">
        <f t="shared" si="5"/>
        <v>239.835375</v>
      </c>
      <c r="G134" s="138"/>
      <c r="H134" s="139"/>
      <c r="I134" s="36"/>
      <c r="L134" s="135"/>
      <c r="M134" s="135"/>
      <c r="N134" s="36"/>
    </row>
    <row r="135" spans="1:14" s="53" customFormat="1" ht="15.75" customHeight="1" x14ac:dyDescent="0.25">
      <c r="A135" s="95">
        <f t="shared" si="2"/>
        <v>11</v>
      </c>
      <c r="B135" s="97"/>
      <c r="C135" s="52" t="s">
        <v>200</v>
      </c>
      <c r="D135" s="52">
        <f>(4.4*2.5+1.4*0.25+1.2*2.5)*10.764</f>
        <v>154.46339999999998</v>
      </c>
      <c r="E135" s="52">
        <v>0</v>
      </c>
      <c r="F135" s="52">
        <f t="shared" ref="F135:F137" si="6">(D135+E135)*(($F$120)+1)</f>
        <v>239.41826999999998</v>
      </c>
      <c r="G135" s="138"/>
      <c r="H135" s="139"/>
      <c r="I135" s="36"/>
      <c r="L135" s="135"/>
      <c r="M135" s="135"/>
      <c r="N135" s="36"/>
    </row>
    <row r="136" spans="1:14" s="53" customFormat="1" ht="15.75" customHeight="1" x14ac:dyDescent="0.25">
      <c r="A136" s="95">
        <f t="shared" si="2"/>
        <v>12</v>
      </c>
      <c r="B136" s="97"/>
      <c r="C136" s="52" t="s">
        <v>200</v>
      </c>
      <c r="D136" s="52">
        <f>(3.8*2.15+0.6*1.2+2.75*0.25+1.2*2.15)*10.764</f>
        <v>130.86332999999999</v>
      </c>
      <c r="E136" s="52">
        <v>0</v>
      </c>
      <c r="F136" s="52">
        <f t="shared" si="6"/>
        <v>202.83816149999998</v>
      </c>
      <c r="G136" s="138"/>
      <c r="H136" s="139"/>
      <c r="I136" s="36"/>
      <c r="L136" s="135"/>
      <c r="M136" s="135"/>
      <c r="N136" s="36"/>
    </row>
    <row r="137" spans="1:14" s="53" customFormat="1" ht="15.75" customHeight="1" x14ac:dyDescent="0.25">
      <c r="A137" s="95">
        <f t="shared" si="2"/>
        <v>13</v>
      </c>
      <c r="B137" s="97"/>
      <c r="C137" s="52" t="s">
        <v>200</v>
      </c>
      <c r="D137" s="52">
        <f>(3.8*2.76+1.2*2.76)*10.764</f>
        <v>148.54319999999998</v>
      </c>
      <c r="E137" s="52">
        <v>0</v>
      </c>
      <c r="F137" s="52">
        <f t="shared" si="6"/>
        <v>230.24195999999998</v>
      </c>
      <c r="G137" s="140"/>
      <c r="H137" s="141"/>
      <c r="I137" s="36"/>
      <c r="L137" s="135"/>
      <c r="M137" s="135"/>
      <c r="N137" s="36"/>
    </row>
    <row r="138" spans="1:14" s="37" customFormat="1" x14ac:dyDescent="0.25">
      <c r="A138" s="95"/>
      <c r="B138" s="96"/>
      <c r="C138" s="96"/>
      <c r="D138" s="96"/>
      <c r="E138" s="96"/>
      <c r="F138" s="96"/>
      <c r="G138" s="96"/>
      <c r="H138" s="97"/>
      <c r="I138" s="36"/>
      <c r="N138" s="36"/>
    </row>
    <row r="139" spans="1:14" ht="47.25" customHeight="1" x14ac:dyDescent="0.25">
      <c r="A139" s="98" t="s">
        <v>127</v>
      </c>
      <c r="B139" s="98" t="s">
        <v>128</v>
      </c>
      <c r="C139" s="120" t="s">
        <v>61</v>
      </c>
      <c r="D139" s="120" t="s">
        <v>62</v>
      </c>
      <c r="E139" s="142" t="s">
        <v>63</v>
      </c>
      <c r="F139" s="43" t="s">
        <v>157</v>
      </c>
      <c r="G139" s="98" t="s">
        <v>64</v>
      </c>
      <c r="H139" s="144"/>
      <c r="I139" s="36"/>
    </row>
    <row r="140" spans="1:14" s="37" customFormat="1" x14ac:dyDescent="0.25">
      <c r="A140" s="99"/>
      <c r="B140" s="99"/>
      <c r="C140" s="121"/>
      <c r="D140" s="121"/>
      <c r="E140" s="143"/>
      <c r="F140" s="13">
        <v>0.5</v>
      </c>
      <c r="G140" s="99"/>
      <c r="H140" s="145"/>
      <c r="I140" s="36"/>
    </row>
    <row r="141" spans="1:14" s="56" customFormat="1" x14ac:dyDescent="0.25">
      <c r="A141" s="129" t="s">
        <v>210</v>
      </c>
      <c r="B141" s="130"/>
      <c r="C141" s="130"/>
      <c r="D141" s="130"/>
      <c r="E141" s="130"/>
      <c r="F141" s="130"/>
      <c r="G141" s="130"/>
      <c r="H141" s="131"/>
    </row>
    <row r="142" spans="1:14" s="56" customFormat="1" x14ac:dyDescent="0.25">
      <c r="A142" s="129" t="s">
        <v>209</v>
      </c>
      <c r="B142" s="130"/>
      <c r="C142" s="130"/>
      <c r="D142" s="130"/>
      <c r="E142" s="130"/>
      <c r="F142" s="130"/>
      <c r="G142" s="130"/>
      <c r="H142" s="131"/>
      <c r="J142" s="36"/>
    </row>
    <row r="143" spans="1:14" s="37" customFormat="1" x14ac:dyDescent="0.25">
      <c r="A143" s="129" t="s">
        <v>196</v>
      </c>
      <c r="B143" s="130"/>
      <c r="C143" s="130"/>
      <c r="D143" s="130"/>
      <c r="E143" s="130"/>
      <c r="F143" s="130"/>
      <c r="G143" s="130"/>
      <c r="H143" s="131"/>
      <c r="J143" s="36"/>
    </row>
    <row r="144" spans="1:14" s="53" customFormat="1" ht="15.75" customHeight="1" x14ac:dyDescent="0.25">
      <c r="A144" s="129" t="s">
        <v>198</v>
      </c>
      <c r="B144" s="130"/>
      <c r="C144" s="130"/>
      <c r="D144" s="130"/>
      <c r="E144" s="130"/>
      <c r="F144" s="130"/>
      <c r="G144" s="130"/>
      <c r="H144" s="131"/>
      <c r="J144" s="36"/>
    </row>
    <row r="145" spans="1:14" s="37" customFormat="1" x14ac:dyDescent="0.25">
      <c r="A145" s="133" t="s">
        <v>201</v>
      </c>
      <c r="B145" s="133"/>
      <c r="C145" s="133"/>
      <c r="D145" s="133"/>
      <c r="E145" s="133"/>
      <c r="F145" s="133"/>
      <c r="G145" s="133"/>
      <c r="H145" s="133"/>
      <c r="I145" s="36"/>
      <c r="J145" s="56" t="s">
        <v>215</v>
      </c>
      <c r="K145" s="56" t="s">
        <v>213</v>
      </c>
      <c r="L145" s="56" t="s">
        <v>216</v>
      </c>
      <c r="M145" s="56" t="s">
        <v>217</v>
      </c>
    </row>
    <row r="146" spans="1:14" s="37" customFormat="1" ht="15.75" customHeight="1" x14ac:dyDescent="0.25">
      <c r="A146" s="134">
        <f>LEFT(A145,SUM(LEN(A145)-LEN(SUBSTITUTE(A145,{"0","1","2","3","4","5","6","7","8","9"},""))))*100+1</f>
        <v>101</v>
      </c>
      <c r="B146" s="134"/>
      <c r="C146" s="95" t="s">
        <v>202</v>
      </c>
      <c r="D146" s="96"/>
      <c r="E146" s="96"/>
      <c r="F146" s="97"/>
      <c r="G146" s="136" t="str">
        <f>A145</f>
        <v>1st Floor For Residential &amp; Parking</v>
      </c>
      <c r="H146" s="137"/>
      <c r="I146" s="36"/>
      <c r="J146" s="56">
        <v>5800</v>
      </c>
      <c r="K146" s="56" t="s">
        <v>214</v>
      </c>
      <c r="L146" s="56">
        <v>4600</v>
      </c>
      <c r="M146" s="56" t="s">
        <v>218</v>
      </c>
      <c r="N146" s="36"/>
    </row>
    <row r="147" spans="1:14" s="37" customFormat="1" ht="15.75" customHeight="1" x14ac:dyDescent="0.25">
      <c r="A147" s="134">
        <f>A146+1</f>
        <v>102</v>
      </c>
      <c r="B147" s="134"/>
      <c r="C147" s="42" t="s">
        <v>203</v>
      </c>
      <c r="D147" s="42">
        <f>27.67*10.764</f>
        <v>297.83987999999999</v>
      </c>
      <c r="E147" s="42">
        <f>(1.2*8.1)*10.764</f>
        <v>104.62607999999999</v>
      </c>
      <c r="F147" s="42">
        <f t="shared" ref="F147" si="7">D147*(($F$140)+1)+(IF(E147&lt;101,E147,IF(E147&lt;201,E147/2,IF(E147&lt;=301,E147/3,E147/4))))</f>
        <v>499.07285999999999</v>
      </c>
      <c r="G147" s="138"/>
      <c r="H147" s="139"/>
      <c r="I147" s="55"/>
      <c r="N147" s="36"/>
    </row>
    <row r="148" spans="1:14" s="37" customFormat="1" ht="15.75" customHeight="1" x14ac:dyDescent="0.25">
      <c r="A148" s="134">
        <f>A147+1</f>
        <v>103</v>
      </c>
      <c r="B148" s="134"/>
      <c r="C148" s="52" t="s">
        <v>203</v>
      </c>
      <c r="D148" s="42">
        <f>27.49*10.764</f>
        <v>295.90235999999999</v>
      </c>
      <c r="E148" s="42">
        <f>(1.2*8.1)*10.764</f>
        <v>104.62607999999999</v>
      </c>
      <c r="F148" s="42">
        <f>D148*(($F$140)+1)+(IF(E148&lt;101,E148,IF(E148&lt;201,E148/2,IF(E148&lt;=301,E148/3,E148/4))))</f>
        <v>496.16657999999995</v>
      </c>
      <c r="G148" s="138"/>
      <c r="H148" s="139"/>
      <c r="I148" s="36"/>
      <c r="N148" s="36"/>
    </row>
    <row r="149" spans="1:14" s="37" customFormat="1" ht="15.75" customHeight="1" x14ac:dyDescent="0.25">
      <c r="A149" s="95">
        <f>A148+1</f>
        <v>104</v>
      </c>
      <c r="B149" s="97"/>
      <c r="C149" s="95" t="s">
        <v>202</v>
      </c>
      <c r="D149" s="96"/>
      <c r="E149" s="96"/>
      <c r="F149" s="97"/>
      <c r="G149" s="138"/>
      <c r="H149" s="139"/>
      <c r="I149" s="36"/>
      <c r="N149" s="36"/>
    </row>
    <row r="150" spans="1:14" s="37" customFormat="1" ht="15.75" customHeight="1" x14ac:dyDescent="0.25">
      <c r="A150" s="133" t="s">
        <v>204</v>
      </c>
      <c r="B150" s="133"/>
      <c r="C150" s="133"/>
      <c r="D150" s="133"/>
      <c r="E150" s="133"/>
      <c r="F150" s="133"/>
      <c r="G150" s="133"/>
      <c r="H150" s="133"/>
      <c r="I150" s="36"/>
    </row>
    <row r="151" spans="1:14" s="37" customFormat="1" ht="15.75" customHeight="1" x14ac:dyDescent="0.25">
      <c r="A151" s="134" t="str">
        <f ca="1">(SUMPRODUCT(MID(0&amp;(LEFT(A150,SUM(LEN(A150)-LEN(SUBSTITUTE(A150,{"0","1","2"},""))))), LARGE(INDEX(ISNUMBER(--MID((LEFT(A150,SUM(LEN(A150)-LEN(SUBSTITUTE(A150,{"0","1","2"},""))))), ROW(INDIRECT("1:"&amp;LEN((LEFT(A150,SUM(LEN(A150)-LEN(SUBSTITUTE(A150,{"0","1","2"},"")))))))), 1)) * ROW(INDIRECT("1:"&amp;LEN((LEFT(A150,SUM(LEN(A150)-LEN(SUBSTITUTE(A150,{"0","1","2"},"")))))))), 0), ROW(INDIRECT("1:"&amp;LEN((LEFT(A150,SUM(LEN(A150)-LEN(SUBSTITUTE(A150,{"0","1","2"},"")))))))))+1, 1) * 10^ROW(INDIRECT("1:"&amp;LEN((LEFT(A150,SUM(LEN(A150)-LEN(SUBSTITUTE(A150,{"0","1","2"},""))))))))/10))*100+1&amp;""&amp;" ,.., "&amp;""&amp;(SUMPRODUCT(MID(0&amp;(--TRIM(RIGHT(SUBSTITUTE(LEFT(A150,_xlfn.AGGREGATE(16,6,FIND({0,1,2,3,4,5,6,7,8,9},A150,ROW(INDIRECT("1:"&amp;LEN(A150)))),1))," ",REPT(" ",LEN(A150))),LEN(A150)))), LARGE(INDEX(ISNUMBER(--MID((--TRIM(RIGHT(SUBSTITUTE(LEFT(A150,_xlfn.AGGREGATE(16,6,FIND({0,1,2,3,4,5,6,7,8,9},A150,ROW(INDIRECT("1:"&amp;LEN(A150)))),1))," ",REPT(" ",LEN(A150))),LEN(A150)))), ROW(INDIRECT("1:"&amp;LEN((--TRIM(RIGHT(SUBSTITUTE(LEFT(A150,_xlfn.AGGREGATE(16,6,FIND({0,1,2,3,4,5,6,7,8,9},A150,ROW(INDIRECT("1:"&amp;LEN(A150)))),1))," ",REPT(" ",LEN(A150))),LEN(A150))))))), 1)) * ROW(INDIRECT("1:"&amp;LEN((--TRIM(RIGHT(SUBSTITUTE(LEFT(A150,_xlfn.AGGREGATE(16,6,FIND({0,1,2,3,4,5,6,7,8,9},A150,ROW(INDIRECT("1:"&amp;LEN(A150)))),1))," ",REPT(" ",LEN(A150))),LEN(A150))))))), 0), ROW(INDIRECT("1:"&amp;LEN((--TRIM(RIGHT(SUBSTITUTE(LEFT(A150,_xlfn.AGGREGATE(16,6,FIND({0,1,2,3,4,5,6,7,8,9},A150,ROW(INDIRECT("1:"&amp;LEN(A150)))),1))," ",REPT(" ",LEN(A150))),LEN(A150))))))))+1, 1) * 10^ROW(INDIRECT("1:"&amp;LEN((--TRIM(RIGHT(SUBSTITUTE(LEFT(A150,_xlfn.AGGREGATE(16,6,FIND({0,1,2,3,4,5,6,7,8,9},A150,ROW(INDIRECT("1:"&amp;LEN(A150)))),1))," ",REPT(" ",LEN(A150))),LEN(A150)))))))/10))*100+1</f>
        <v>201 ,.., 1401</v>
      </c>
      <c r="B151" s="134"/>
      <c r="C151" s="66" t="s">
        <v>203</v>
      </c>
      <c r="D151" s="66">
        <f>27.87*10.764</f>
        <v>299.99268000000001</v>
      </c>
      <c r="E151" s="66">
        <v>0</v>
      </c>
      <c r="F151" s="66">
        <f>D151*(($F$140)+1)+(IF(E151&lt;101,E151,IF(E151&lt;201,E151/2,IF(E151&lt;=301,E151/3,E151/4))))</f>
        <v>449.98901999999998</v>
      </c>
      <c r="G151" s="134" t="str">
        <f>A150</f>
        <v>2nd to 7th, 9th to 12th, &amp; 14th Floor For Residential</v>
      </c>
      <c r="H151" s="134"/>
      <c r="I151" s="36">
        <f>2626000/F151</f>
        <v>5835.6979465854529</v>
      </c>
      <c r="J151" s="37">
        <f>3120000/F151</f>
        <v>6933.5025107945967</v>
      </c>
    </row>
    <row r="152" spans="1:14" s="37" customFormat="1" ht="15.75" customHeight="1" x14ac:dyDescent="0.25">
      <c r="A152" s="134" t="str">
        <f ca="1">(SUMPRODUCT(MID(0&amp;(LEFT(A151,SUM(LEN(A151)-LEN(SUBSTITUTE(A151,{"0","1","2"},""))))), LARGE(INDEX(ISNUMBER(--MID((LEFT(A151,SUM(LEN(A151)-LEN(SUBSTITUTE(A151,{"0","1","2"},""))))), ROW(INDIRECT("1:"&amp;LEN((LEFT(A151,SUM(LEN(A151)-LEN(SUBSTITUTE(A151,{"0","1","2"},"")))))))), 1)) * ROW(INDIRECT("1:"&amp;LEN((LEFT(A151,SUM(LEN(A151)-LEN(SUBSTITUTE(A151,{"0","1","2"},"")))))))), 0), ROW(INDIRECT("1:"&amp;LEN((LEFT(A151,SUM(LEN(A151)-LEN(SUBSTITUTE(A151,{"0","1","2"},"")))))))))+1, 1) * 10^ROW(INDIRECT("1:"&amp;LEN((LEFT(A151,SUM(LEN(A151)-LEN(SUBSTITUTE(A151,{"0","1","2"},""))))))))/10))*1+1&amp;""&amp;" ,.., "&amp;""&amp;(SUMPRODUCT(MID(0&amp;(--TRIM(RIGHT(SUBSTITUTE(LEFT(A151,_xlfn.AGGREGATE(16,6,FIND({0,1,2,3,4,5,6,7,8,9},A151,ROW(INDIRECT("1:"&amp;LEN(A151)))),1))," ",REPT(" ",LEN(A151))),LEN(A151)))), LARGE(INDEX(ISNUMBER(--MID((--TRIM(RIGHT(SUBSTITUTE(LEFT(A151,_xlfn.AGGREGATE(16,6,FIND({0,1,2,3,4,5,6,7,8,9},A151,ROW(INDIRECT("1:"&amp;LEN(A151)))),1))," ",REPT(" ",LEN(A151))),LEN(A151)))), ROW(INDIRECT("1:"&amp;LEN((--TRIM(RIGHT(SUBSTITUTE(LEFT(A151,_xlfn.AGGREGATE(16,6,FIND({0,1,2,3,4,5,6,7,8,9},A151,ROW(INDIRECT("1:"&amp;LEN(A151)))),1))," ",REPT(" ",LEN(A151))),LEN(A151))))))), 1)) * ROW(INDIRECT("1:"&amp;LEN((--TRIM(RIGHT(SUBSTITUTE(LEFT(A151,_xlfn.AGGREGATE(16,6,FIND({0,1,2,3,4,5,6,7,8,9},A151,ROW(INDIRECT("1:"&amp;LEN(A151)))),1))," ",REPT(" ",LEN(A151))),LEN(A151))))))), 0), ROW(INDIRECT("1:"&amp;LEN((--TRIM(RIGHT(SUBSTITUTE(LEFT(A151,_xlfn.AGGREGATE(16,6,FIND({0,1,2,3,4,5,6,7,8,9},A151,ROW(INDIRECT("1:"&amp;LEN(A151)))),1))," ",REPT(" ",LEN(A151))),LEN(A151))))))))+1, 1) * 10^ROW(INDIRECT("1:"&amp;LEN((--TRIM(RIGHT(SUBSTITUTE(LEFT(A151,_xlfn.AGGREGATE(16,6,FIND({0,1,2,3,4,5,6,7,8,9},A151,ROW(INDIRECT("1:"&amp;LEN(A151)))),1))," ",REPT(" ",LEN(A151))),LEN(A151)))))))/10))*1+1</f>
        <v>202 ,.., 1402</v>
      </c>
      <c r="B152" s="134"/>
      <c r="C152" s="66" t="s">
        <v>203</v>
      </c>
      <c r="D152" s="66">
        <f>27.87*10.764</f>
        <v>299.99268000000001</v>
      </c>
      <c r="E152" s="66">
        <v>0</v>
      </c>
      <c r="F152" s="66">
        <f>D152*(($F$140)+1)+(IF(E152&lt;101,E152,IF(E152&lt;201,E152/2,IF(E152&lt;=301,E152/3,E152/4))))</f>
        <v>449.98901999999998</v>
      </c>
      <c r="G152" s="134"/>
      <c r="H152" s="134"/>
      <c r="I152" s="36">
        <f t="shared" ref="I152:I154" si="8">2626000/F152</f>
        <v>5835.6979465854529</v>
      </c>
    </row>
    <row r="153" spans="1:14" s="37" customFormat="1" ht="15.75" customHeight="1" x14ac:dyDescent="0.25">
      <c r="A153" s="134" t="str">
        <f ca="1">(SUMPRODUCT(MID(0&amp;(LEFT(A152,SUM(LEN(A152)-LEN(SUBSTITUTE(A152,{"0","1","2"},""))))), LARGE(INDEX(ISNUMBER(--MID((LEFT(A152,SUM(LEN(A152)-LEN(SUBSTITUTE(A152,{"0","1","2"},""))))), ROW(INDIRECT("1:"&amp;LEN((LEFT(A152,SUM(LEN(A152)-LEN(SUBSTITUTE(A152,{"0","1","2"},"")))))))), 1)) * ROW(INDIRECT("1:"&amp;LEN((LEFT(A152,SUM(LEN(A152)-LEN(SUBSTITUTE(A152,{"0","1","2"},"")))))))), 0), ROW(INDIRECT("1:"&amp;LEN((LEFT(A152,SUM(LEN(A152)-LEN(SUBSTITUTE(A152,{"0","1","2"},"")))))))))+1, 1) * 10^ROW(INDIRECT("1:"&amp;LEN((LEFT(A152,SUM(LEN(A152)-LEN(SUBSTITUTE(A152,{"0","1","2"},""))))))))/10))*1+1&amp;""&amp;" ,.., "&amp;""&amp;(SUMPRODUCT(MID(0&amp;(--TRIM(RIGHT(SUBSTITUTE(LEFT(A152,_xlfn.AGGREGATE(16,6,FIND({0,1,2,3,4,5,6,7,8,9},A152,ROW(INDIRECT("1:"&amp;LEN(A152)))),1))," ",REPT(" ",LEN(A152))),LEN(A152)))), LARGE(INDEX(ISNUMBER(--MID((--TRIM(RIGHT(SUBSTITUTE(LEFT(A152,_xlfn.AGGREGATE(16,6,FIND({0,1,2,3,4,5,6,7,8,9},A152,ROW(INDIRECT("1:"&amp;LEN(A152)))),1))," ",REPT(" ",LEN(A152))),LEN(A152)))), ROW(INDIRECT("1:"&amp;LEN((--TRIM(RIGHT(SUBSTITUTE(LEFT(A152,_xlfn.AGGREGATE(16,6,FIND({0,1,2,3,4,5,6,7,8,9},A152,ROW(INDIRECT("1:"&amp;LEN(A152)))),1))," ",REPT(" ",LEN(A152))),LEN(A152))))))), 1)) * ROW(INDIRECT("1:"&amp;LEN((--TRIM(RIGHT(SUBSTITUTE(LEFT(A152,_xlfn.AGGREGATE(16,6,FIND({0,1,2,3,4,5,6,7,8,9},A152,ROW(INDIRECT("1:"&amp;LEN(A152)))),1))," ",REPT(" ",LEN(A152))),LEN(A152))))))), 0), ROW(INDIRECT("1:"&amp;LEN((--TRIM(RIGHT(SUBSTITUTE(LEFT(A152,_xlfn.AGGREGATE(16,6,FIND({0,1,2,3,4,5,6,7,8,9},A152,ROW(INDIRECT("1:"&amp;LEN(A152)))),1))," ",REPT(" ",LEN(A152))),LEN(A152))))))))+1, 1) * 10^ROW(INDIRECT("1:"&amp;LEN((--TRIM(RIGHT(SUBSTITUTE(LEFT(A152,_xlfn.AGGREGATE(16,6,FIND({0,1,2,3,4,5,6,7,8,9},A152,ROW(INDIRECT("1:"&amp;LEN(A152)))),1))," ",REPT(" ",LEN(A152))),LEN(A152)))))))/10))*1+1</f>
        <v>203 ,.., 1403</v>
      </c>
      <c r="B153" s="134"/>
      <c r="C153" s="66" t="s">
        <v>203</v>
      </c>
      <c r="D153" s="66">
        <f>27.45*10.764</f>
        <v>295.47179999999997</v>
      </c>
      <c r="E153" s="66">
        <v>0</v>
      </c>
      <c r="F153" s="66">
        <f>D153*(($F$140)+1)+(IF(E153&lt;101,E153,IF(E153&lt;201,E153/2,IF(E153&lt;=301,E153/3,E153/4))))</f>
        <v>443.20769999999993</v>
      </c>
      <c r="G153" s="134"/>
      <c r="H153" s="134"/>
      <c r="I153" s="36">
        <f t="shared" si="8"/>
        <v>5924.987314074192</v>
      </c>
    </row>
    <row r="154" spans="1:14" s="37" customFormat="1" ht="15.75" customHeight="1" x14ac:dyDescent="0.25">
      <c r="A154" s="134" t="str">
        <f ca="1">(SUMPRODUCT(MID(0&amp;(LEFT(A153,SUM(LEN(A153)-LEN(SUBSTITUTE(A153,{"0","1","2"},""))))), LARGE(INDEX(ISNUMBER(--MID((LEFT(A153,SUM(LEN(A153)-LEN(SUBSTITUTE(A153,{"0","1","2"},""))))), ROW(INDIRECT("1:"&amp;LEN((LEFT(A153,SUM(LEN(A153)-LEN(SUBSTITUTE(A153,{"0","1","2"},"")))))))), 1)) * ROW(INDIRECT("1:"&amp;LEN((LEFT(A153,SUM(LEN(A153)-LEN(SUBSTITUTE(A153,{"0","1","2"},"")))))))), 0), ROW(INDIRECT("1:"&amp;LEN((LEFT(A153,SUM(LEN(A153)-LEN(SUBSTITUTE(A153,{"0","1","2"},"")))))))))+1, 1) * 10^ROW(INDIRECT("1:"&amp;LEN((LEFT(A153,SUM(LEN(A153)-LEN(SUBSTITUTE(A153,{"0","1","2"},""))))))))/10))*1+1&amp;""&amp;" ,.., "&amp;""&amp;(SUMPRODUCT(MID(0&amp;(--TRIM(RIGHT(SUBSTITUTE(LEFT(A153,_xlfn.AGGREGATE(16,6,FIND({0,1,2,3,4,5,6,7,8,9},A153,ROW(INDIRECT("1:"&amp;LEN(A153)))),1))," ",REPT(" ",LEN(A153))),LEN(A153)))), LARGE(INDEX(ISNUMBER(--MID((--TRIM(RIGHT(SUBSTITUTE(LEFT(A153,_xlfn.AGGREGATE(16,6,FIND({0,1,2,3,4,5,6,7,8,9},A153,ROW(INDIRECT("1:"&amp;LEN(A153)))),1))," ",REPT(" ",LEN(A153))),LEN(A153)))), ROW(INDIRECT("1:"&amp;LEN((--TRIM(RIGHT(SUBSTITUTE(LEFT(A153,_xlfn.AGGREGATE(16,6,FIND({0,1,2,3,4,5,6,7,8,9},A153,ROW(INDIRECT("1:"&amp;LEN(A153)))),1))," ",REPT(" ",LEN(A153))),LEN(A153))))))), 1)) * ROW(INDIRECT("1:"&amp;LEN((--TRIM(RIGHT(SUBSTITUTE(LEFT(A153,_xlfn.AGGREGATE(16,6,FIND({0,1,2,3,4,5,6,7,8,9},A153,ROW(INDIRECT("1:"&amp;LEN(A153)))),1))," ",REPT(" ",LEN(A153))),LEN(A153))))))), 0), ROW(INDIRECT("1:"&amp;LEN((--TRIM(RIGHT(SUBSTITUTE(LEFT(A153,_xlfn.AGGREGATE(16,6,FIND({0,1,2,3,4,5,6,7,8,9},A153,ROW(INDIRECT("1:"&amp;LEN(A153)))),1))," ",REPT(" ",LEN(A153))),LEN(A153))))))))+1, 1) * 10^ROW(INDIRECT("1:"&amp;LEN((--TRIM(RIGHT(SUBSTITUTE(LEFT(A153,_xlfn.AGGREGATE(16,6,FIND({0,1,2,3,4,5,6,7,8,9},A153,ROW(INDIRECT("1:"&amp;LEN(A153)))),1))," ",REPT(" ",LEN(A153))),LEN(A153)))))))/10))*1+1</f>
        <v>204 ,.., 1404</v>
      </c>
      <c r="B154" s="134"/>
      <c r="C154" s="66" t="s">
        <v>203</v>
      </c>
      <c r="D154" s="66">
        <f>27.45*10.764</f>
        <v>295.47179999999997</v>
      </c>
      <c r="E154" s="66">
        <v>0</v>
      </c>
      <c r="F154" s="66">
        <f>D154*(($F$140)+1)+(IF(E154&lt;101,E154,IF(E154&lt;201,E154/2,IF(E154&lt;=301,E154/3,E154/4))))</f>
        <v>443.20769999999993</v>
      </c>
      <c r="G154" s="134"/>
      <c r="H154" s="134"/>
      <c r="I154" s="36">
        <f t="shared" si="8"/>
        <v>5924.987314074192</v>
      </c>
    </row>
    <row r="155" spans="1:14" s="37" customFormat="1" x14ac:dyDescent="0.25">
      <c r="A155" s="133" t="s">
        <v>205</v>
      </c>
      <c r="B155" s="133"/>
      <c r="C155" s="133"/>
      <c r="D155" s="133"/>
      <c r="E155" s="133"/>
      <c r="F155" s="133"/>
      <c r="G155" s="133"/>
      <c r="H155" s="133"/>
      <c r="I155" s="36"/>
    </row>
    <row r="156" spans="1:14" s="37" customFormat="1" ht="15.75" customHeight="1" x14ac:dyDescent="0.25">
      <c r="A156" s="134" t="str">
        <f ca="1">(SUMPRODUCT(MID(0&amp;(LEFT(A155,SUM(LEN(A155)-LEN(SUBSTITUTE(A155,{"0","1","2"},""))))), LARGE(INDEX(ISNUMBER(--MID((LEFT(A155,SUM(LEN(A155)-LEN(SUBSTITUTE(A155,{"0","1","2"},""))))), ROW(INDIRECT("1:"&amp;LEN((LEFT(A155,SUM(LEN(A155)-LEN(SUBSTITUTE(A155,{"0","1","2"},"")))))))), 1)) * ROW(INDIRECT("1:"&amp;LEN((LEFT(A155,SUM(LEN(A155)-LEN(SUBSTITUTE(A155,{"0","1","2"},"")))))))), 0), ROW(INDIRECT("1:"&amp;LEN((LEFT(A155,SUM(LEN(A155)-LEN(SUBSTITUTE(A155,{"0","1","2"},"")))))))))+1, 1) * 10^ROW(INDIRECT("1:"&amp;LEN((LEFT(A155,SUM(LEN(A155)-LEN(SUBSTITUTE(A155,{"0","1","2"},""))))))))/10))*100+1&amp;""&amp;" &amp; "&amp;""&amp;(SUMPRODUCT(MID(0&amp;(--TRIM(RIGHT(SUBSTITUTE(LEFT(A155,_xlfn.AGGREGATE(16,6,FIND({0,1,2,3,4,5,6,7,8,9},A155,ROW(INDIRECT("1:"&amp;LEN(A155)))),1))," ",REPT(" ",LEN(A155))),LEN(A155)))), LARGE(INDEX(ISNUMBER(--MID((--TRIM(RIGHT(SUBSTITUTE(LEFT(A155,_xlfn.AGGREGATE(16,6,FIND({0,1,2,3,4,5,6,7,8,9},A155,ROW(INDIRECT("1:"&amp;LEN(A155)))),1))," ",REPT(" ",LEN(A155))),LEN(A155)))), ROW(INDIRECT("1:"&amp;LEN((--TRIM(RIGHT(SUBSTITUTE(LEFT(A155,_xlfn.AGGREGATE(16,6,FIND({0,1,2,3,4,5,6,7,8,9},A155,ROW(INDIRECT("1:"&amp;LEN(A155)))),1))," ",REPT(" ",LEN(A155))),LEN(A155))))))), 1)) * ROW(INDIRECT("1:"&amp;LEN((--TRIM(RIGHT(SUBSTITUTE(LEFT(A155,_xlfn.AGGREGATE(16,6,FIND({0,1,2,3,4,5,6,7,8,9},A155,ROW(INDIRECT("1:"&amp;LEN(A155)))),1))," ",REPT(" ",LEN(A155))),LEN(A155))))))), 0), ROW(INDIRECT("1:"&amp;LEN((--TRIM(RIGHT(SUBSTITUTE(LEFT(A155,_xlfn.AGGREGATE(16,6,FIND({0,1,2,3,4,5,6,7,8,9},A155,ROW(INDIRECT("1:"&amp;LEN(A155)))),1))," ",REPT(" ",LEN(A155))),LEN(A155))))))))+1, 1) * 10^ROW(INDIRECT("1:"&amp;LEN((--TRIM(RIGHT(SUBSTITUTE(LEFT(A155,_xlfn.AGGREGATE(16,6,FIND({0,1,2,3,4,5,6,7,8,9},A155,ROW(INDIRECT("1:"&amp;LEN(A155)))),1))," ",REPT(" ",LEN(A155))),LEN(A155)))))))/10))*100+1</f>
        <v>801 &amp; 1301</v>
      </c>
      <c r="B156" s="134"/>
      <c r="C156" s="66" t="s">
        <v>203</v>
      </c>
      <c r="D156" s="66">
        <f>27.87*10.764</f>
        <v>299.99268000000001</v>
      </c>
      <c r="E156" s="66">
        <v>0</v>
      </c>
      <c r="F156" s="66">
        <f>D156*(($F$140)+1)+(IF(E156&lt;101,E156,IF(E156&lt;201,E156/2,IF(E156&lt;=301,E156/3,E156/4))))</f>
        <v>449.98901999999998</v>
      </c>
      <c r="G156" s="134" t="str">
        <f>A155</f>
        <v>8th &amp; 13th Floor</v>
      </c>
      <c r="H156" s="134"/>
      <c r="I156" s="36"/>
    </row>
    <row r="157" spans="1:14" s="37" customFormat="1" ht="15.75" customHeight="1" x14ac:dyDescent="0.25">
      <c r="A157" s="134" t="str">
        <f ca="1">(SUMPRODUCT(MID(0&amp;(LEFT(A156,SUM(LEN(A156)-LEN(SUBSTITUTE(A156,{"0","1","2"},""))))), LARGE(INDEX(ISNUMBER(--MID((LEFT(A156,SUM(LEN(A156)-LEN(SUBSTITUTE(A156,{"0","1","2"},""))))), ROW(INDIRECT("1:"&amp;LEN((LEFT(A156,SUM(LEN(A156)-LEN(SUBSTITUTE(A156,{"0","1","2"},"")))))))), 1)) * ROW(INDIRECT("1:"&amp;LEN((LEFT(A156,SUM(LEN(A156)-LEN(SUBSTITUTE(A156,{"0","1","2"},"")))))))), 0), ROW(INDIRECT("1:"&amp;LEN((LEFT(A156,SUM(LEN(A156)-LEN(SUBSTITUTE(A156,{"0","1","2"},"")))))))))+1, 1) * 10^ROW(INDIRECT("1:"&amp;LEN((LEFT(A156,SUM(LEN(A156)-LEN(SUBSTITUTE(A156,{"0","1","2"},""))))))))/10))*1+1&amp;""&amp;" &amp; "&amp;""&amp;(SUMPRODUCT(MID(0&amp;(--TRIM(RIGHT(SUBSTITUTE(LEFT(A156,_xlfn.AGGREGATE(16,6,FIND({0,1,2,3,4,5,6,7,8,9},A156,ROW(INDIRECT("1:"&amp;LEN(A156)))),1))," ",REPT(" ",LEN(A156))),LEN(A156)))), LARGE(INDEX(ISNUMBER(--MID((--TRIM(RIGHT(SUBSTITUTE(LEFT(A156,_xlfn.AGGREGATE(16,6,FIND({0,1,2,3,4,5,6,7,8,9},A156,ROW(INDIRECT("1:"&amp;LEN(A156)))),1))," ",REPT(" ",LEN(A156))),LEN(A156)))), ROW(INDIRECT("1:"&amp;LEN((--TRIM(RIGHT(SUBSTITUTE(LEFT(A156,_xlfn.AGGREGATE(16,6,FIND({0,1,2,3,4,5,6,7,8,9},A156,ROW(INDIRECT("1:"&amp;LEN(A156)))),1))," ",REPT(" ",LEN(A156))),LEN(A156))))))), 1)) * ROW(INDIRECT("1:"&amp;LEN((--TRIM(RIGHT(SUBSTITUTE(LEFT(A156,_xlfn.AGGREGATE(16,6,FIND({0,1,2,3,4,5,6,7,8,9},A156,ROW(INDIRECT("1:"&amp;LEN(A156)))),1))," ",REPT(" ",LEN(A156))),LEN(A156))))))), 0), ROW(INDIRECT("1:"&amp;LEN((--TRIM(RIGHT(SUBSTITUTE(LEFT(A156,_xlfn.AGGREGATE(16,6,FIND({0,1,2,3,4,5,6,7,8,9},A156,ROW(INDIRECT("1:"&amp;LEN(A156)))),1))," ",REPT(" ",LEN(A156))),LEN(A156))))))))+1, 1) * 10^ROW(INDIRECT("1:"&amp;LEN((--TRIM(RIGHT(SUBSTITUTE(LEFT(A156,_xlfn.AGGREGATE(16,6,FIND({0,1,2,3,4,5,6,7,8,9},A156,ROW(INDIRECT("1:"&amp;LEN(A156)))),1))," ",REPT(" ",LEN(A156))),LEN(A156)))))))/10))*1+1</f>
        <v>802 &amp; 1302</v>
      </c>
      <c r="B157" s="134"/>
      <c r="C157" s="66" t="s">
        <v>203</v>
      </c>
      <c r="D157" s="66">
        <f>27.87*10.764</f>
        <v>299.99268000000001</v>
      </c>
      <c r="E157" s="66">
        <v>0</v>
      </c>
      <c r="F157" s="66">
        <f>D157*(($F$140)+1)+(IF(E157&lt;101,E157,IF(E157&lt;201,E157/2,IF(E157&lt;=301,E157/3,E157/4))))</f>
        <v>449.98901999999998</v>
      </c>
      <c r="G157" s="134"/>
      <c r="H157" s="134"/>
      <c r="I157" s="36"/>
    </row>
    <row r="158" spans="1:14" s="37" customFormat="1" ht="15.75" customHeight="1" x14ac:dyDescent="0.25">
      <c r="A158" s="134" t="str">
        <f ca="1">(SUMPRODUCT(MID(0&amp;(LEFT(A157,SUM(LEN(A157)-LEN(SUBSTITUTE(A157,{"0","1","2"},""))))), LARGE(INDEX(ISNUMBER(--MID((LEFT(A157,SUM(LEN(A157)-LEN(SUBSTITUTE(A157,{"0","1","2"},""))))), ROW(INDIRECT("1:"&amp;LEN((LEFT(A157,SUM(LEN(A157)-LEN(SUBSTITUTE(A157,{"0","1","2"},"")))))))), 1)) * ROW(INDIRECT("1:"&amp;LEN((LEFT(A157,SUM(LEN(A157)-LEN(SUBSTITUTE(A157,{"0","1","2"},"")))))))), 0), ROW(INDIRECT("1:"&amp;LEN((LEFT(A157,SUM(LEN(A157)-LEN(SUBSTITUTE(A157,{"0","1","2"},"")))))))))+1, 1) * 10^ROW(INDIRECT("1:"&amp;LEN((LEFT(A157,SUM(LEN(A157)-LEN(SUBSTITUTE(A157,{"0","1","2"},""))))))))/10))*1+1&amp;""&amp;" &amp; "&amp;""&amp;(SUMPRODUCT(MID(0&amp;(--TRIM(RIGHT(SUBSTITUTE(LEFT(A157,_xlfn.AGGREGATE(16,6,FIND({0,1,2,3,4,5,6,7,8,9},A157,ROW(INDIRECT("1:"&amp;LEN(A157)))),1))," ",REPT(" ",LEN(A157))),LEN(A157)))), LARGE(INDEX(ISNUMBER(--MID((--TRIM(RIGHT(SUBSTITUTE(LEFT(A157,_xlfn.AGGREGATE(16,6,FIND({0,1,2,3,4,5,6,7,8,9},A157,ROW(INDIRECT("1:"&amp;LEN(A157)))),1))," ",REPT(" ",LEN(A157))),LEN(A157)))), ROW(INDIRECT("1:"&amp;LEN((--TRIM(RIGHT(SUBSTITUTE(LEFT(A157,_xlfn.AGGREGATE(16,6,FIND({0,1,2,3,4,5,6,7,8,9},A157,ROW(INDIRECT("1:"&amp;LEN(A157)))),1))," ",REPT(" ",LEN(A157))),LEN(A157))))))), 1)) * ROW(INDIRECT("1:"&amp;LEN((--TRIM(RIGHT(SUBSTITUTE(LEFT(A157,_xlfn.AGGREGATE(16,6,FIND({0,1,2,3,4,5,6,7,8,9},A157,ROW(INDIRECT("1:"&amp;LEN(A157)))),1))," ",REPT(" ",LEN(A157))),LEN(A157))))))), 0), ROW(INDIRECT("1:"&amp;LEN((--TRIM(RIGHT(SUBSTITUTE(LEFT(A157,_xlfn.AGGREGATE(16,6,FIND({0,1,2,3,4,5,6,7,8,9},A157,ROW(INDIRECT("1:"&amp;LEN(A157)))),1))," ",REPT(" ",LEN(A157))),LEN(A157))))))))+1, 1) * 10^ROW(INDIRECT("1:"&amp;LEN((--TRIM(RIGHT(SUBSTITUTE(LEFT(A157,_xlfn.AGGREGATE(16,6,FIND({0,1,2,3,4,5,6,7,8,9},A157,ROW(INDIRECT("1:"&amp;LEN(A157)))),1))," ",REPT(" ",LEN(A157))),LEN(A157)))))))/10))*1+1</f>
        <v>803 &amp; 1303</v>
      </c>
      <c r="B158" s="134"/>
      <c r="C158" s="134" t="s">
        <v>212</v>
      </c>
      <c r="D158" s="134"/>
      <c r="E158" s="134"/>
      <c r="F158" s="134"/>
      <c r="G158" s="134"/>
      <c r="H158" s="134"/>
      <c r="I158" s="36"/>
    </row>
    <row r="159" spans="1:14" s="37" customFormat="1" ht="15.75" customHeight="1" x14ac:dyDescent="0.25">
      <c r="A159" s="134" t="str">
        <f ca="1">(SUMPRODUCT(MID(0&amp;(LEFT(A158,SUM(LEN(A158)-LEN(SUBSTITUTE(A158,{"0","1","2"},""))))), LARGE(INDEX(ISNUMBER(--MID((LEFT(A158,SUM(LEN(A158)-LEN(SUBSTITUTE(A158,{"0","1","2"},""))))), ROW(INDIRECT("1:"&amp;LEN((LEFT(A158,SUM(LEN(A158)-LEN(SUBSTITUTE(A158,{"0","1","2"},"")))))))), 1)) * ROW(INDIRECT("1:"&amp;LEN((LEFT(A158,SUM(LEN(A158)-LEN(SUBSTITUTE(A158,{"0","1","2"},"")))))))), 0), ROW(INDIRECT("1:"&amp;LEN((LEFT(A158,SUM(LEN(A158)-LEN(SUBSTITUTE(A158,{"0","1","2"},"")))))))))+1, 1) * 10^ROW(INDIRECT("1:"&amp;LEN((LEFT(A158,SUM(LEN(A158)-LEN(SUBSTITUTE(A158,{"0","1","2"},""))))))))/10))*1+1&amp;""&amp;" &amp; "&amp;""&amp;(SUMPRODUCT(MID(0&amp;(--TRIM(RIGHT(SUBSTITUTE(LEFT(A158,_xlfn.AGGREGATE(16,6,FIND({0,1,2,3,4,5,6,7,8,9},A158,ROW(INDIRECT("1:"&amp;LEN(A158)))),1))," ",REPT(" ",LEN(A158))),LEN(A158)))), LARGE(INDEX(ISNUMBER(--MID((--TRIM(RIGHT(SUBSTITUTE(LEFT(A158,_xlfn.AGGREGATE(16,6,FIND({0,1,2,3,4,5,6,7,8,9},A158,ROW(INDIRECT("1:"&amp;LEN(A158)))),1))," ",REPT(" ",LEN(A158))),LEN(A158)))), ROW(INDIRECT("1:"&amp;LEN((--TRIM(RIGHT(SUBSTITUTE(LEFT(A158,_xlfn.AGGREGATE(16,6,FIND({0,1,2,3,4,5,6,7,8,9},A158,ROW(INDIRECT("1:"&amp;LEN(A158)))),1))," ",REPT(" ",LEN(A158))),LEN(A158))))))), 1)) * ROW(INDIRECT("1:"&amp;LEN((--TRIM(RIGHT(SUBSTITUTE(LEFT(A158,_xlfn.AGGREGATE(16,6,FIND({0,1,2,3,4,5,6,7,8,9},A158,ROW(INDIRECT("1:"&amp;LEN(A158)))),1))," ",REPT(" ",LEN(A158))),LEN(A158))))))), 0), ROW(INDIRECT("1:"&amp;LEN((--TRIM(RIGHT(SUBSTITUTE(LEFT(A158,_xlfn.AGGREGATE(16,6,FIND({0,1,2,3,4,5,6,7,8,9},A158,ROW(INDIRECT("1:"&amp;LEN(A158)))),1))," ",REPT(" ",LEN(A158))),LEN(A158))))))))+1, 1) * 10^ROW(INDIRECT("1:"&amp;LEN((--TRIM(RIGHT(SUBSTITUTE(LEFT(A158,_xlfn.AGGREGATE(16,6,FIND({0,1,2,3,4,5,6,7,8,9},A158,ROW(INDIRECT("1:"&amp;LEN(A158)))),1))," ",REPT(" ",LEN(A158))),LEN(A158)))))))/10))*1+1</f>
        <v>804 &amp; 1304</v>
      </c>
      <c r="B159" s="134"/>
      <c r="C159" s="66" t="s">
        <v>203</v>
      </c>
      <c r="D159" s="66">
        <f>27.45*10.764</f>
        <v>295.47179999999997</v>
      </c>
      <c r="E159" s="66">
        <v>0</v>
      </c>
      <c r="F159" s="66">
        <f>D159*(($F$140)+1)+(IF(E159&lt;101,E159,IF(E159&lt;201,E159/2,IF(E159&lt;=301,E159/3,E159/4))))</f>
        <v>443.20769999999993</v>
      </c>
      <c r="G159" s="134"/>
      <c r="H159" s="134"/>
      <c r="I159" s="36"/>
    </row>
    <row r="160" spans="1:14" s="53" customFormat="1" x14ac:dyDescent="0.25">
      <c r="A160" s="129" t="s">
        <v>197</v>
      </c>
      <c r="B160" s="130"/>
      <c r="C160" s="130"/>
      <c r="D160" s="130"/>
      <c r="E160" s="130"/>
      <c r="F160" s="130"/>
      <c r="G160" s="130"/>
      <c r="H160" s="131"/>
      <c r="J160" s="36"/>
    </row>
    <row r="161" spans="1:14" s="53" customFormat="1" ht="15.75" customHeight="1" x14ac:dyDescent="0.25">
      <c r="A161" s="129" t="s">
        <v>198</v>
      </c>
      <c r="B161" s="130"/>
      <c r="C161" s="130"/>
      <c r="D161" s="130"/>
      <c r="E161" s="130"/>
      <c r="F161" s="130"/>
      <c r="G161" s="130"/>
      <c r="H161" s="131"/>
      <c r="J161" s="36"/>
    </row>
    <row r="162" spans="1:14" s="53" customFormat="1" x14ac:dyDescent="0.25">
      <c r="A162" s="133" t="s">
        <v>201</v>
      </c>
      <c r="B162" s="133"/>
      <c r="C162" s="133"/>
      <c r="D162" s="133"/>
      <c r="E162" s="133"/>
      <c r="F162" s="133"/>
      <c r="G162" s="133"/>
      <c r="H162" s="133"/>
      <c r="I162" s="36"/>
      <c r="L162" s="135"/>
      <c r="M162" s="135"/>
    </row>
    <row r="163" spans="1:14" s="53" customFormat="1" ht="15.75" customHeight="1" x14ac:dyDescent="0.25">
      <c r="A163" s="134">
        <f>LEFT(A162,SUM(LEN(A162)-LEN(SUBSTITUTE(A162,{"0","1","2","3","4","5","6","7","8","9"},""))))*100+1</f>
        <v>101</v>
      </c>
      <c r="B163" s="134"/>
      <c r="C163" s="95" t="s">
        <v>202</v>
      </c>
      <c r="D163" s="96"/>
      <c r="E163" s="96"/>
      <c r="F163" s="97"/>
      <c r="G163" s="136" t="str">
        <f>A162</f>
        <v>1st Floor For Residential &amp; Parking</v>
      </c>
      <c r="H163" s="137"/>
      <c r="I163" s="36"/>
      <c r="N163" s="36"/>
    </row>
    <row r="164" spans="1:14" s="53" customFormat="1" ht="15.75" customHeight="1" x14ac:dyDescent="0.25">
      <c r="A164" s="134">
        <f>A163+1</f>
        <v>102</v>
      </c>
      <c r="B164" s="134"/>
      <c r="C164" s="52" t="s">
        <v>203</v>
      </c>
      <c r="D164" s="52">
        <f>27.45*10.764</f>
        <v>295.47179999999997</v>
      </c>
      <c r="E164" s="52">
        <f>(1.2*8.1)*10.764</f>
        <v>104.62607999999999</v>
      </c>
      <c r="F164" s="52">
        <f t="shared" ref="F164" si="9">D164*(($F$140)+1)+(IF(E164&lt;101,E164,IF(E164&lt;201,E164/2,IF(E164&lt;=301,E164/3,E164/4))))</f>
        <v>495.52073999999993</v>
      </c>
      <c r="G164" s="138"/>
      <c r="H164" s="139"/>
      <c r="I164" s="36">
        <v>1.5016949152542374</v>
      </c>
      <c r="N164" s="36"/>
    </row>
    <row r="165" spans="1:14" s="53" customFormat="1" ht="15.75" customHeight="1" x14ac:dyDescent="0.25">
      <c r="A165" s="134">
        <f>A164+1</f>
        <v>103</v>
      </c>
      <c r="B165" s="134"/>
      <c r="C165" s="52" t="s">
        <v>203</v>
      </c>
      <c r="D165" s="52">
        <f>28.27*10.764</f>
        <v>304.29827999999998</v>
      </c>
      <c r="E165" s="52">
        <f>(1.2*8.1+3.8*3)*10.764</f>
        <v>227.33567999999997</v>
      </c>
      <c r="F165" s="52">
        <f>D165*(($F$140)+1)+(IF(E165&lt;101,E165,IF(E165&lt;201,E165/2,IF(E165&lt;=301,E165/3,E165/4))))</f>
        <v>532.22597999999994</v>
      </c>
      <c r="G165" s="138"/>
      <c r="H165" s="139"/>
      <c r="I165" s="36"/>
      <c r="N165" s="36"/>
    </row>
    <row r="166" spans="1:14" s="53" customFormat="1" ht="15.75" customHeight="1" x14ac:dyDescent="0.25">
      <c r="A166" s="134">
        <f>A165+1</f>
        <v>104</v>
      </c>
      <c r="B166" s="134"/>
      <c r="C166" s="52" t="s">
        <v>206</v>
      </c>
      <c r="D166" s="52">
        <f>37.75*10.764</f>
        <v>406.34099999999995</v>
      </c>
      <c r="E166" s="52">
        <v>0</v>
      </c>
      <c r="F166" s="52">
        <f>D166*(($F$140)+1)+(IF(E166&lt;101,E166,IF(E166&lt;201,E166/2,IF(E166&lt;=301,E166/3,E166/4))))</f>
        <v>609.51149999999996</v>
      </c>
      <c r="G166" s="138"/>
      <c r="H166" s="139"/>
      <c r="I166" s="36"/>
      <c r="J166" s="53">
        <f>3165000/F166</f>
        <v>5192.6829928557545</v>
      </c>
      <c r="N166" s="36"/>
    </row>
    <row r="167" spans="1:14" s="53" customFormat="1" ht="15.75" customHeight="1" x14ac:dyDescent="0.25">
      <c r="A167" s="134">
        <f>A166+1</f>
        <v>105</v>
      </c>
      <c r="B167" s="134"/>
      <c r="C167" s="52" t="s">
        <v>203</v>
      </c>
      <c r="D167" s="52">
        <f>27.67*10.764</f>
        <v>297.83987999999999</v>
      </c>
      <c r="E167" s="52">
        <v>0</v>
      </c>
      <c r="F167" s="52">
        <f>D167*(($F$140)+1)+(IF(E167&lt;101,E167,IF(E167&lt;201,E167/2,IF(E167&lt;=301,E167/3,E167/4))))</f>
        <v>446.75981999999999</v>
      </c>
      <c r="G167" s="138"/>
      <c r="H167" s="139"/>
      <c r="I167" s="36"/>
      <c r="N167" s="36"/>
    </row>
    <row r="168" spans="1:14" s="53" customFormat="1" ht="15.75" customHeight="1" x14ac:dyDescent="0.25">
      <c r="A168" s="134">
        <f>A167+1</f>
        <v>106</v>
      </c>
      <c r="B168" s="134"/>
      <c r="C168" s="95" t="s">
        <v>202</v>
      </c>
      <c r="D168" s="96"/>
      <c r="E168" s="96"/>
      <c r="F168" s="97"/>
      <c r="G168" s="140"/>
      <c r="H168" s="141"/>
      <c r="I168" s="36"/>
      <c r="N168" s="36"/>
    </row>
    <row r="169" spans="1:14" s="53" customFormat="1" ht="15.75" customHeight="1" x14ac:dyDescent="0.25">
      <c r="A169" s="129" t="s">
        <v>204</v>
      </c>
      <c r="B169" s="130"/>
      <c r="C169" s="130"/>
      <c r="D169" s="130"/>
      <c r="E169" s="130"/>
      <c r="F169" s="130"/>
      <c r="G169" s="130"/>
      <c r="H169" s="131"/>
      <c r="I169" s="36"/>
    </row>
    <row r="170" spans="1:14" s="53" customFormat="1" ht="15.75" customHeight="1" x14ac:dyDescent="0.25">
      <c r="A170" s="95" t="str">
        <f ca="1">(SUMPRODUCT(MID(0&amp;(LEFT(A169,SUM(LEN(A169)-LEN(SUBSTITUTE(A169,{"0","1","2"},""))))), LARGE(INDEX(ISNUMBER(--MID((LEFT(A169,SUM(LEN(A169)-LEN(SUBSTITUTE(A169,{"0","1","2"},""))))), ROW(INDIRECT("1:"&amp;LEN((LEFT(A169,SUM(LEN(A169)-LEN(SUBSTITUTE(A169,{"0","1","2"},"")))))))), 1)) * ROW(INDIRECT("1:"&amp;LEN((LEFT(A169,SUM(LEN(A169)-LEN(SUBSTITUTE(A169,{"0","1","2"},"")))))))), 0), ROW(INDIRECT("1:"&amp;LEN((LEFT(A169,SUM(LEN(A169)-LEN(SUBSTITUTE(A169,{"0","1","2"},"")))))))))+1, 1) * 10^ROW(INDIRECT("1:"&amp;LEN((LEFT(A169,SUM(LEN(A169)-LEN(SUBSTITUTE(A169,{"0","1","2"},""))))))))/10))*100+1&amp;""&amp;" ,.., "&amp;""&amp;(SUMPRODUCT(MID(0&amp;(--TRIM(RIGHT(SUBSTITUTE(LEFT(A169,_xlfn.AGGREGATE(16,6,FIND({0,1,2,3,4,5,6,7,8,9},A169,ROW(INDIRECT("1:"&amp;LEN(A169)))),1))," ",REPT(" ",LEN(A169))),LEN(A169)))), LARGE(INDEX(ISNUMBER(--MID((--TRIM(RIGHT(SUBSTITUTE(LEFT(A169,_xlfn.AGGREGATE(16,6,FIND({0,1,2,3,4,5,6,7,8,9},A169,ROW(INDIRECT("1:"&amp;LEN(A169)))),1))," ",REPT(" ",LEN(A169))),LEN(A169)))), ROW(INDIRECT("1:"&amp;LEN((--TRIM(RIGHT(SUBSTITUTE(LEFT(A169,_xlfn.AGGREGATE(16,6,FIND({0,1,2,3,4,5,6,7,8,9},A169,ROW(INDIRECT("1:"&amp;LEN(A169)))),1))," ",REPT(" ",LEN(A169))),LEN(A169))))))), 1)) * ROW(INDIRECT("1:"&amp;LEN((--TRIM(RIGHT(SUBSTITUTE(LEFT(A169,_xlfn.AGGREGATE(16,6,FIND({0,1,2,3,4,5,6,7,8,9},A169,ROW(INDIRECT("1:"&amp;LEN(A169)))),1))," ",REPT(" ",LEN(A169))),LEN(A169))))))), 0), ROW(INDIRECT("1:"&amp;LEN((--TRIM(RIGHT(SUBSTITUTE(LEFT(A169,_xlfn.AGGREGATE(16,6,FIND({0,1,2,3,4,5,6,7,8,9},A169,ROW(INDIRECT("1:"&amp;LEN(A169)))),1))," ",REPT(" ",LEN(A169))),LEN(A169))))))))+1, 1) * 10^ROW(INDIRECT("1:"&amp;LEN((--TRIM(RIGHT(SUBSTITUTE(LEFT(A169,_xlfn.AGGREGATE(16,6,FIND({0,1,2,3,4,5,6,7,8,9},A169,ROW(INDIRECT("1:"&amp;LEN(A169)))),1))," ",REPT(" ",LEN(A169))),LEN(A169)))))))/10))*100+1</f>
        <v>201 ,.., 1401</v>
      </c>
      <c r="B170" s="97"/>
      <c r="C170" s="52" t="s">
        <v>203</v>
      </c>
      <c r="D170" s="52">
        <f>27.45*10.764</f>
        <v>295.47179999999997</v>
      </c>
      <c r="E170" s="52">
        <v>0</v>
      </c>
      <c r="F170" s="52">
        <f t="shared" ref="F170:F175" si="10">D170*(($F$140)+1)+(IF(E170&lt;101,E170,IF(E170&lt;201,E170/2,IF(E170&lt;=301,E170/3,E170/4))))</f>
        <v>443.20769999999993</v>
      </c>
      <c r="G170" s="136" t="str">
        <f>A169</f>
        <v>2nd to 7th, 9th to 12th, &amp; 14th Floor For Residential</v>
      </c>
      <c r="H170" s="137"/>
      <c r="I170" s="36">
        <f>2.95*2.75+1.5*1.2+2.75*2.25+0.9*1.25+2.75*2.75+0.45*2.5</f>
        <v>25.912500000000001</v>
      </c>
    </row>
    <row r="171" spans="1:14" s="53" customFormat="1" ht="15.75" customHeight="1" x14ac:dyDescent="0.25">
      <c r="A171" s="95" t="str">
        <f ca="1">(SUMPRODUCT(MID(0&amp;(LEFT(A170,SUM(LEN(A170)-LEN(SUBSTITUTE(A170,{"0","1","2"},""))))), LARGE(INDEX(ISNUMBER(--MID((LEFT(A170,SUM(LEN(A170)-LEN(SUBSTITUTE(A170,{"0","1","2"},""))))), ROW(INDIRECT("1:"&amp;LEN((LEFT(A170,SUM(LEN(A170)-LEN(SUBSTITUTE(A170,{"0","1","2"},"")))))))), 1)) * ROW(INDIRECT("1:"&amp;LEN((LEFT(A170,SUM(LEN(A170)-LEN(SUBSTITUTE(A170,{"0","1","2"},"")))))))), 0), ROW(INDIRECT("1:"&amp;LEN((LEFT(A170,SUM(LEN(A170)-LEN(SUBSTITUTE(A170,{"0","1","2"},"")))))))))+1, 1) * 10^ROW(INDIRECT("1:"&amp;LEN((LEFT(A170,SUM(LEN(A170)-LEN(SUBSTITUTE(A170,{"0","1","2"},""))))))))/10))*1+1&amp;""&amp;" ,.., "&amp;""&amp;(SUMPRODUCT(MID(0&amp;(--TRIM(RIGHT(SUBSTITUTE(LEFT(A170,_xlfn.AGGREGATE(16,6,FIND({0,1,2,3,4,5,6,7,8,9},A170,ROW(INDIRECT("1:"&amp;LEN(A170)))),1))," ",REPT(" ",LEN(A170))),LEN(A170)))), LARGE(INDEX(ISNUMBER(--MID((--TRIM(RIGHT(SUBSTITUTE(LEFT(A170,_xlfn.AGGREGATE(16,6,FIND({0,1,2,3,4,5,6,7,8,9},A170,ROW(INDIRECT("1:"&amp;LEN(A170)))),1))," ",REPT(" ",LEN(A170))),LEN(A170)))), ROW(INDIRECT("1:"&amp;LEN((--TRIM(RIGHT(SUBSTITUTE(LEFT(A170,_xlfn.AGGREGATE(16,6,FIND({0,1,2,3,4,5,6,7,8,9},A170,ROW(INDIRECT("1:"&amp;LEN(A170)))),1))," ",REPT(" ",LEN(A170))),LEN(A170))))))), 1)) * ROW(INDIRECT("1:"&amp;LEN((--TRIM(RIGHT(SUBSTITUTE(LEFT(A170,_xlfn.AGGREGATE(16,6,FIND({0,1,2,3,4,5,6,7,8,9},A170,ROW(INDIRECT("1:"&amp;LEN(A170)))),1))," ",REPT(" ",LEN(A170))),LEN(A170))))))), 0), ROW(INDIRECT("1:"&amp;LEN((--TRIM(RIGHT(SUBSTITUTE(LEFT(A170,_xlfn.AGGREGATE(16,6,FIND({0,1,2,3,4,5,6,7,8,9},A170,ROW(INDIRECT("1:"&amp;LEN(A170)))),1))," ",REPT(" ",LEN(A170))),LEN(A170))))))))+1, 1) * 10^ROW(INDIRECT("1:"&amp;LEN((--TRIM(RIGHT(SUBSTITUTE(LEFT(A170,_xlfn.AGGREGATE(16,6,FIND({0,1,2,3,4,5,6,7,8,9},A170,ROW(INDIRECT("1:"&amp;LEN(A170)))),1))," ",REPT(" ",LEN(A170))),LEN(A170)))))))/10))*1+1</f>
        <v>202 ,.., 1402</v>
      </c>
      <c r="B171" s="97"/>
      <c r="C171" s="52" t="s">
        <v>203</v>
      </c>
      <c r="D171" s="52">
        <f>27.45*10.764</f>
        <v>295.47179999999997</v>
      </c>
      <c r="E171" s="52">
        <v>0</v>
      </c>
      <c r="F171" s="52">
        <f t="shared" si="10"/>
        <v>443.20769999999993</v>
      </c>
      <c r="G171" s="138"/>
      <c r="H171" s="139"/>
      <c r="I171" s="36"/>
    </row>
    <row r="172" spans="1:14" s="53" customFormat="1" ht="15.75" customHeight="1" x14ac:dyDescent="0.25">
      <c r="A172" s="95" t="str">
        <f ca="1">(SUMPRODUCT(MID(0&amp;(LEFT(A171,SUM(LEN(A171)-LEN(SUBSTITUTE(A171,{"0","1","2"},""))))), LARGE(INDEX(ISNUMBER(--MID((LEFT(A171,SUM(LEN(A171)-LEN(SUBSTITUTE(A171,{"0","1","2"},""))))), ROW(INDIRECT("1:"&amp;LEN((LEFT(A171,SUM(LEN(A171)-LEN(SUBSTITUTE(A171,{"0","1","2"},"")))))))), 1)) * ROW(INDIRECT("1:"&amp;LEN((LEFT(A171,SUM(LEN(A171)-LEN(SUBSTITUTE(A171,{"0","1","2"},"")))))))), 0), ROW(INDIRECT("1:"&amp;LEN((LEFT(A171,SUM(LEN(A171)-LEN(SUBSTITUTE(A171,{"0","1","2"},"")))))))))+1, 1) * 10^ROW(INDIRECT("1:"&amp;LEN((LEFT(A171,SUM(LEN(A171)-LEN(SUBSTITUTE(A171,{"0","1","2"},""))))))))/10))*1+1&amp;""&amp;" ,.., "&amp;""&amp;(SUMPRODUCT(MID(0&amp;(--TRIM(RIGHT(SUBSTITUTE(LEFT(A171,_xlfn.AGGREGATE(16,6,FIND({0,1,2,3,4,5,6,7,8,9},A171,ROW(INDIRECT("1:"&amp;LEN(A171)))),1))," ",REPT(" ",LEN(A171))),LEN(A171)))), LARGE(INDEX(ISNUMBER(--MID((--TRIM(RIGHT(SUBSTITUTE(LEFT(A171,_xlfn.AGGREGATE(16,6,FIND({0,1,2,3,4,5,6,7,8,9},A171,ROW(INDIRECT("1:"&amp;LEN(A171)))),1))," ",REPT(" ",LEN(A171))),LEN(A171)))), ROW(INDIRECT("1:"&amp;LEN((--TRIM(RIGHT(SUBSTITUTE(LEFT(A171,_xlfn.AGGREGATE(16,6,FIND({0,1,2,3,4,5,6,7,8,9},A171,ROW(INDIRECT("1:"&amp;LEN(A171)))),1))," ",REPT(" ",LEN(A171))),LEN(A171))))))), 1)) * ROW(INDIRECT("1:"&amp;LEN((--TRIM(RIGHT(SUBSTITUTE(LEFT(A171,_xlfn.AGGREGATE(16,6,FIND({0,1,2,3,4,5,6,7,8,9},A171,ROW(INDIRECT("1:"&amp;LEN(A171)))),1))," ",REPT(" ",LEN(A171))),LEN(A171))))))), 0), ROW(INDIRECT("1:"&amp;LEN((--TRIM(RIGHT(SUBSTITUTE(LEFT(A171,_xlfn.AGGREGATE(16,6,FIND({0,1,2,3,4,5,6,7,8,9},A171,ROW(INDIRECT("1:"&amp;LEN(A171)))),1))," ",REPT(" ",LEN(A171))),LEN(A171))))))))+1, 1) * 10^ROW(INDIRECT("1:"&amp;LEN((--TRIM(RIGHT(SUBSTITUTE(LEFT(A171,_xlfn.AGGREGATE(16,6,FIND({0,1,2,3,4,5,6,7,8,9},A171,ROW(INDIRECT("1:"&amp;LEN(A171)))),1))," ",REPT(" ",LEN(A171))),LEN(A171)))))))/10))*1+1</f>
        <v>203 ,.., 1403</v>
      </c>
      <c r="B172" s="97"/>
      <c r="C172" s="52" t="s">
        <v>203</v>
      </c>
      <c r="D172" s="52">
        <f>27.84*10.764</f>
        <v>299.66976</v>
      </c>
      <c r="E172" s="52">
        <v>0</v>
      </c>
      <c r="F172" s="52">
        <f t="shared" si="10"/>
        <v>449.50463999999999</v>
      </c>
      <c r="G172" s="138"/>
      <c r="H172" s="139"/>
      <c r="I172" s="36"/>
    </row>
    <row r="173" spans="1:14" s="53" customFormat="1" ht="15.75" customHeight="1" x14ac:dyDescent="0.25">
      <c r="A173" s="95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10^ROW(INDIRECT("1:"&amp;LEN((LEFT(A172,SUM(LEN(A172)-LEN(SUBSTITUTE(A172,{"0","1","2"},""))))))))/10))*1+1&amp;""&amp;" ,..,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",LEN(A172))),LEN(A172)))))))/10))*1+1</f>
        <v>204 ,.., 1404</v>
      </c>
      <c r="B173" s="97"/>
      <c r="C173" s="52" t="s">
        <v>206</v>
      </c>
      <c r="D173" s="52">
        <f>37.75*10.764</f>
        <v>406.34099999999995</v>
      </c>
      <c r="E173" s="52">
        <v>0</v>
      </c>
      <c r="F173" s="52">
        <f t="shared" si="10"/>
        <v>609.51149999999996</v>
      </c>
      <c r="G173" s="138"/>
      <c r="H173" s="139"/>
      <c r="I173" s="36"/>
    </row>
    <row r="174" spans="1:14" s="53" customFormat="1" ht="15.75" customHeight="1" x14ac:dyDescent="0.25">
      <c r="A174" s="95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10^ROW(INDIRECT("1:"&amp;LEN((LEFT(A173,SUM(LEN(A173)-LEN(SUBSTITUTE(A173,{"0","1","2"},""))))))))/10))*1+1&amp;""&amp;" ,..,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",LEN(A173))),LEN(A173)))))))/10))*1+1</f>
        <v>205 ,.., 1405</v>
      </c>
      <c r="B174" s="97"/>
      <c r="C174" s="52" t="s">
        <v>203</v>
      </c>
      <c r="D174" s="52">
        <f>27.87*10.764</f>
        <v>299.99268000000001</v>
      </c>
      <c r="E174" s="52">
        <v>0</v>
      </c>
      <c r="F174" s="52">
        <f t="shared" si="10"/>
        <v>449.98901999999998</v>
      </c>
      <c r="G174" s="138"/>
      <c r="H174" s="139"/>
      <c r="I174" s="36"/>
    </row>
    <row r="175" spans="1:14" s="53" customFormat="1" ht="15.75" customHeight="1" x14ac:dyDescent="0.25">
      <c r="A175" s="95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,..,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206 ,.., 1406</v>
      </c>
      <c r="B175" s="97"/>
      <c r="C175" s="52" t="s">
        <v>203</v>
      </c>
      <c r="D175" s="52">
        <f>27.87*10.764</f>
        <v>299.99268000000001</v>
      </c>
      <c r="E175" s="52">
        <v>0</v>
      </c>
      <c r="F175" s="52">
        <f t="shared" si="10"/>
        <v>449.98901999999998</v>
      </c>
      <c r="G175" s="140"/>
      <c r="H175" s="141"/>
      <c r="I175" s="36"/>
    </row>
    <row r="176" spans="1:14" s="53" customFormat="1" x14ac:dyDescent="0.25">
      <c r="A176" s="129" t="s">
        <v>207</v>
      </c>
      <c r="B176" s="130"/>
      <c r="C176" s="130"/>
      <c r="D176" s="130"/>
      <c r="E176" s="130"/>
      <c r="F176" s="130"/>
      <c r="G176" s="130"/>
      <c r="H176" s="131"/>
      <c r="I176" s="36"/>
    </row>
    <row r="177" spans="1:9" s="53" customFormat="1" ht="15.75" customHeight="1" x14ac:dyDescent="0.25">
      <c r="A177" s="95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10^ROW(INDIRECT("1:"&amp;LEN((LEFT(A176,SUM(LEN(A176)-LEN(SUBSTITUTE(A176,{"0","1","2"},""))))))))/10))*100+1&amp;""&amp;" &amp;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",LEN(A176))),LEN(A176)))))))/10))*100+1</f>
        <v>801 &amp; 1301</v>
      </c>
      <c r="B177" s="97"/>
      <c r="C177" s="52" t="s">
        <v>203</v>
      </c>
      <c r="D177" s="52">
        <f>27.45*10.764</f>
        <v>295.47179999999997</v>
      </c>
      <c r="E177" s="52">
        <v>0</v>
      </c>
      <c r="F177" s="52">
        <f>D177*(($F$140)+1)+(IF(E177&lt;101,E177,IF(E177&lt;201,E177/2,IF(E177&lt;=301,E177/3,E177/4))))</f>
        <v>443.20769999999993</v>
      </c>
      <c r="G177" s="136" t="str">
        <f>A176</f>
        <v>8th &amp; 13th Floor ( Part Refuse Area )</v>
      </c>
      <c r="H177" s="137"/>
      <c r="I177" s="36"/>
    </row>
    <row r="178" spans="1:9" s="53" customFormat="1" ht="15.75" customHeight="1" x14ac:dyDescent="0.25">
      <c r="A178" s="95" t="str">
        <f ca="1">(SUMPRODUCT(MID(0&amp;(LEFT(A177,SUM(LEN(A177)-LEN(SUBSTITUTE(A177,{"0","1","2"},""))))), LARGE(INDEX(ISNUMBER(--MID((LEFT(A177,SUM(LEN(A177)-LEN(SUBSTITUTE(A177,{"0","1","2"},""))))), ROW(INDIRECT("1:"&amp;LEN((LEFT(A177,SUM(LEN(A177)-LEN(SUBSTITUTE(A177,{"0","1","2"},"")))))))), 1)) * ROW(INDIRECT("1:"&amp;LEN((LEFT(A177,SUM(LEN(A177)-LEN(SUBSTITUTE(A177,{"0","1","2"},"")))))))), 0), ROW(INDIRECT("1:"&amp;LEN((LEFT(A177,SUM(LEN(A177)-LEN(SUBSTITUTE(A177,{"0","1","2"},"")))))))))+1, 1) * 10^ROW(INDIRECT("1:"&amp;LEN((LEFT(A177,SUM(LEN(A177)-LEN(SUBSTITUTE(A177,{"0","1","2"},""))))))))/10))*1+1&amp;""&amp;" &amp; "&amp;""&amp;(SUMPRODUCT(MID(0&amp;(--TRIM(RIGHT(SUBSTITUTE(LEFT(A177,_xlfn.AGGREGATE(16,6,FIND({0,1,2,3,4,5,6,7,8,9},A177,ROW(INDIRECT("1:"&amp;LEN(A177)))),1))," ",REPT(" ",LEN(A177))),LEN(A177)))), LARGE(INDEX(ISNUMBER(--MID((--TRIM(RIGHT(SUBSTITUTE(LEFT(A177,_xlfn.AGGREGATE(16,6,FIND({0,1,2,3,4,5,6,7,8,9},A177,ROW(INDIRECT("1:"&amp;LEN(A177)))),1))," ",REPT(" ",LEN(A177))),LEN(A177)))), ROW(INDIRECT("1:"&amp;LEN((--TRIM(RIGHT(SUBSTITUTE(LEFT(A177,_xlfn.AGGREGATE(16,6,FIND({0,1,2,3,4,5,6,7,8,9},A177,ROW(INDIRECT("1:"&amp;LEN(A177)))),1))," ",REPT(" ",LEN(A177))),LEN(A177))))))), 1)) * ROW(INDIRECT("1:"&amp;LEN((--TRIM(RIGHT(SUBSTITUTE(LEFT(A177,_xlfn.AGGREGATE(16,6,FIND({0,1,2,3,4,5,6,7,8,9},A177,ROW(INDIRECT("1:"&amp;LEN(A177)))),1))," ",REPT(" ",LEN(A177))),LEN(A177))))))), 0), ROW(INDIRECT("1:"&amp;LEN((--TRIM(RIGHT(SUBSTITUTE(LEFT(A177,_xlfn.AGGREGATE(16,6,FIND({0,1,2,3,4,5,6,7,8,9},A177,ROW(INDIRECT("1:"&amp;LEN(A177)))),1))," ",REPT(" ",LEN(A177))),LEN(A177))))))))+1, 1) * 10^ROW(INDIRECT("1:"&amp;LEN((--TRIM(RIGHT(SUBSTITUTE(LEFT(A177,_xlfn.AGGREGATE(16,6,FIND({0,1,2,3,4,5,6,7,8,9},A177,ROW(INDIRECT("1:"&amp;LEN(A177)))),1))," ",REPT(" ",LEN(A177))),LEN(A177)))))))/10))*1+1</f>
        <v>802 &amp; 1302</v>
      </c>
      <c r="B178" s="97"/>
      <c r="C178" s="95" t="s">
        <v>212</v>
      </c>
      <c r="D178" s="96"/>
      <c r="E178" s="96"/>
      <c r="F178" s="97"/>
      <c r="G178" s="138"/>
      <c r="H178" s="139"/>
      <c r="I178" s="36"/>
    </row>
    <row r="179" spans="1:9" s="53" customFormat="1" ht="15.75" customHeight="1" x14ac:dyDescent="0.25">
      <c r="A179" s="95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10^ROW(INDIRECT("1:"&amp;LEN((LEFT(A178,SUM(LEN(A178)-LEN(SUBSTITUTE(A178,{"0","1","2"},""))))))))/10))*1+1&amp;""&amp;" &amp;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",LEN(A178))),LEN(A178)))))))/10))*1+1</f>
        <v>803 &amp; 1303</v>
      </c>
      <c r="B179" s="97"/>
      <c r="C179" s="52" t="s">
        <v>203</v>
      </c>
      <c r="D179" s="52">
        <f>27.84*10.764</f>
        <v>299.66976</v>
      </c>
      <c r="E179" s="52">
        <v>0</v>
      </c>
      <c r="F179" s="52">
        <f>D179*(($F$140)+1)+(IF(E179&lt;101,E179,IF(E179&lt;201,E179/2,IF(E179&lt;=301,E179/3,E179/4))))</f>
        <v>449.50463999999999</v>
      </c>
      <c r="G179" s="138"/>
      <c r="H179" s="139"/>
      <c r="I179" s="36"/>
    </row>
    <row r="180" spans="1:9" s="53" customFormat="1" ht="15.75" customHeight="1" x14ac:dyDescent="0.25">
      <c r="A180" s="95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&amp;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804 &amp; 1304</v>
      </c>
      <c r="B180" s="97"/>
      <c r="C180" s="52" t="s">
        <v>206</v>
      </c>
      <c r="D180" s="52">
        <f>37.75*10.764</f>
        <v>406.34099999999995</v>
      </c>
      <c r="E180" s="52">
        <v>0</v>
      </c>
      <c r="F180" s="52">
        <f>D180*(($F$140)+1)+(IF(E180&lt;101,E180,IF(E180&lt;201,E180/2,IF(E180&lt;=301,E180/3,E180/4))))</f>
        <v>609.51149999999996</v>
      </c>
      <c r="G180" s="138"/>
      <c r="H180" s="139"/>
      <c r="I180" s="36"/>
    </row>
    <row r="181" spans="1:9" s="53" customFormat="1" ht="15.75" customHeight="1" x14ac:dyDescent="0.25">
      <c r="A181" s="95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10^ROW(INDIRECT("1:"&amp;LEN((LEFT(A180,SUM(LEN(A180)-LEN(SUBSTITUTE(A180,{"0","1","2"},""))))))))/10))*1+1&amp;""&amp;" &amp;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",LEN(A180))),LEN(A180)))))))/10))*1+1</f>
        <v>805 &amp; 1305</v>
      </c>
      <c r="B181" s="97"/>
      <c r="C181" s="52" t="s">
        <v>203</v>
      </c>
      <c r="D181" s="52">
        <f>27.87*10.764</f>
        <v>299.99268000000001</v>
      </c>
      <c r="E181" s="52">
        <v>0</v>
      </c>
      <c r="F181" s="52">
        <f>D181*(($F$140)+1)+(IF(E181&lt;101,E181,IF(E181&lt;201,E181/2,IF(E181&lt;=301,E181/3,E181/4))))</f>
        <v>449.98901999999998</v>
      </c>
      <c r="G181" s="138"/>
      <c r="H181" s="139"/>
      <c r="I181" s="36"/>
    </row>
    <row r="182" spans="1:9" s="53" customFormat="1" ht="15.75" customHeight="1" x14ac:dyDescent="0.25">
      <c r="A182" s="95" t="str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10^ROW(INDIRECT("1:"&amp;LEN((LEFT(A181,SUM(LEN(A181)-LEN(SUBSTITUTE(A181,{"0","1","2"},""))))))))/10))*1+1&amp;""&amp;" &amp; "&amp;""&amp;(SUMPRODUCT(MID(0&amp;(--TRIM(RIGHT(SUBSTITUTE(LEFT(A181,_xlfn.AGGREGATE(16,6,FIND({0,1,2,3,4,5,6,7,8,9},A181,ROW(INDIRECT("1:"&amp;LEN(A181)))),1)),"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",LEN(A181))),LEN(A181)))))))/10))*1+1</f>
        <v>806 &amp; 1306</v>
      </c>
      <c r="B182" s="97"/>
      <c r="C182" s="52" t="s">
        <v>203</v>
      </c>
      <c r="D182" s="52">
        <f>27.87*10.764</f>
        <v>299.99268000000001</v>
      </c>
      <c r="E182" s="52">
        <v>0</v>
      </c>
      <c r="F182" s="52">
        <f>D182*(($F$140)+1)+(IF(E182&lt;101,E182,IF(E182&lt;201,E182/2,IF(E182&lt;=301,E182/3,E182/4))))</f>
        <v>449.98901999999998</v>
      </c>
      <c r="G182" s="140"/>
      <c r="H182" s="141"/>
      <c r="I182" s="36"/>
    </row>
    <row r="183" spans="1:9" s="35" customFormat="1" x14ac:dyDescent="0.25">
      <c r="A183" s="132" t="s">
        <v>72</v>
      </c>
      <c r="B183" s="132"/>
      <c r="C183" s="132"/>
      <c r="D183" s="132"/>
      <c r="E183" s="132"/>
      <c r="F183" s="132"/>
      <c r="G183" s="132"/>
      <c r="H183" s="132"/>
    </row>
    <row r="184" spans="1:9" s="35" customFormat="1" x14ac:dyDescent="0.25">
      <c r="A184" s="47" t="s">
        <v>161</v>
      </c>
      <c r="B184" s="175" t="s">
        <v>239</v>
      </c>
      <c r="C184" s="176"/>
      <c r="D184" s="176"/>
      <c r="E184" s="176"/>
      <c r="F184" s="176"/>
      <c r="G184" s="176"/>
      <c r="H184" s="177"/>
    </row>
    <row r="185" spans="1:9" s="35" customFormat="1" x14ac:dyDescent="0.25">
      <c r="A185" s="47" t="s">
        <v>161</v>
      </c>
      <c r="B185" s="175" t="str">
        <f>(IF(F139="Saleable area Loading :","We have considered Saleable area of Flats as per our Calculation.","We considered Saleable area of Flat as per Builder area Sheet."))</f>
        <v>We have considered Saleable area of Flats as per our Calculation.</v>
      </c>
      <c r="C185" s="176"/>
      <c r="D185" s="176"/>
      <c r="E185" s="176"/>
      <c r="F185" s="176"/>
      <c r="G185" s="176"/>
      <c r="H185" s="177"/>
    </row>
    <row r="186" spans="1:9" s="35" customFormat="1" x14ac:dyDescent="0.25">
      <c r="A186" s="47" t="s">
        <v>161</v>
      </c>
      <c r="B186" s="175" t="str">
        <f>(IF(F119="Saleable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86" s="176"/>
      <c r="D186" s="176"/>
      <c r="E186" s="176"/>
      <c r="F186" s="176"/>
      <c r="G186" s="176"/>
      <c r="H186" s="177"/>
    </row>
    <row r="187" spans="1:9" s="35" customFormat="1" x14ac:dyDescent="0.25">
      <c r="A187" s="47" t="s">
        <v>161</v>
      </c>
      <c r="B187" s="112" t="s">
        <v>130</v>
      </c>
      <c r="C187" s="113"/>
      <c r="D187" s="113"/>
      <c r="E187" s="113"/>
      <c r="F187" s="113"/>
      <c r="G187" s="113"/>
      <c r="H187" s="114"/>
    </row>
    <row r="188" spans="1:9" s="35" customFormat="1" x14ac:dyDescent="0.25">
      <c r="A188" s="47" t="s">
        <v>161</v>
      </c>
      <c r="B188" s="112" t="s">
        <v>131</v>
      </c>
      <c r="C188" s="113"/>
      <c r="D188" s="113"/>
      <c r="E188" s="113"/>
      <c r="F188" s="113"/>
      <c r="G188" s="113"/>
      <c r="H188" s="114"/>
    </row>
    <row r="189" spans="1:9" s="35" customFormat="1" x14ac:dyDescent="0.25">
      <c r="A189" s="47" t="s">
        <v>161</v>
      </c>
      <c r="B189" s="112" t="s">
        <v>160</v>
      </c>
      <c r="C189" s="113"/>
      <c r="D189" s="113"/>
      <c r="E189" s="113"/>
      <c r="F189" s="113"/>
      <c r="G189" s="113"/>
      <c r="H189" s="114"/>
    </row>
    <row r="190" spans="1:9" s="35" customFormat="1" x14ac:dyDescent="0.25">
      <c r="A190" s="47" t="s">
        <v>161</v>
      </c>
      <c r="B190" s="112" t="s">
        <v>132</v>
      </c>
      <c r="C190" s="113"/>
      <c r="D190" s="113"/>
      <c r="E190" s="113"/>
      <c r="F190" s="113"/>
      <c r="G190" s="113"/>
      <c r="H190" s="114"/>
    </row>
    <row r="191" spans="1:9" s="35" customFormat="1" ht="34.5" customHeight="1" x14ac:dyDescent="0.25">
      <c r="A191" s="47" t="s">
        <v>161</v>
      </c>
      <c r="B191" s="112" t="s">
        <v>162</v>
      </c>
      <c r="C191" s="113"/>
      <c r="D191" s="113"/>
      <c r="E191" s="113"/>
      <c r="F191" s="113"/>
      <c r="G191" s="113"/>
      <c r="H191" s="114"/>
    </row>
    <row r="192" spans="1:9" s="35" customFormat="1" x14ac:dyDescent="0.25">
      <c r="A192" s="65" t="s">
        <v>161</v>
      </c>
      <c r="B192" s="174" t="s">
        <v>133</v>
      </c>
      <c r="C192" s="174"/>
      <c r="D192" s="174"/>
      <c r="E192" s="174"/>
      <c r="F192" s="174"/>
      <c r="G192" s="174"/>
      <c r="H192" s="174"/>
    </row>
    <row r="193" spans="1:8" x14ac:dyDescent="0.25">
      <c r="A193" s="166" t="s">
        <v>65</v>
      </c>
      <c r="B193" s="166"/>
      <c r="C193" s="166"/>
      <c r="D193" s="166"/>
      <c r="E193" s="166"/>
      <c r="F193" s="166"/>
      <c r="G193" s="166"/>
      <c r="H193" s="166"/>
    </row>
    <row r="194" spans="1:8" x14ac:dyDescent="0.25">
      <c r="A194" s="105" t="s">
        <v>66</v>
      </c>
      <c r="B194" s="105"/>
      <c r="C194" s="105"/>
      <c r="D194" s="105"/>
      <c r="E194" s="105"/>
      <c r="F194" s="105"/>
      <c r="G194" s="105"/>
      <c r="H194" s="105"/>
    </row>
    <row r="195" spans="1:8" ht="15.75" customHeight="1" x14ac:dyDescent="0.25">
      <c r="A195" s="178" t="s">
        <v>67</v>
      </c>
      <c r="B195" s="178"/>
      <c r="C195" s="178"/>
      <c r="D195" s="178"/>
      <c r="E195" s="178"/>
      <c r="F195" s="178"/>
      <c r="G195" s="178"/>
      <c r="H195" s="178"/>
    </row>
    <row r="196" spans="1:8" x14ac:dyDescent="0.25">
      <c r="A196" s="105" t="s">
        <v>68</v>
      </c>
      <c r="B196" s="105"/>
      <c r="C196" s="105"/>
      <c r="D196" s="105"/>
      <c r="E196" s="105"/>
      <c r="F196" s="105"/>
      <c r="G196" s="105"/>
      <c r="H196" s="105"/>
    </row>
    <row r="197" spans="1:8" x14ac:dyDescent="0.25">
      <c r="A197" s="105" t="s">
        <v>69</v>
      </c>
      <c r="B197" s="105"/>
      <c r="C197" s="105"/>
      <c r="D197" s="105"/>
      <c r="E197" s="105"/>
      <c r="F197" s="105"/>
      <c r="G197" s="105"/>
      <c r="H197" s="105"/>
    </row>
    <row r="198" spans="1:8" x14ac:dyDescent="0.25">
      <c r="A198" s="105" t="s">
        <v>134</v>
      </c>
      <c r="B198" s="105"/>
      <c r="C198" s="105"/>
      <c r="D198" s="105"/>
      <c r="E198" s="105"/>
      <c r="F198" s="105"/>
      <c r="G198" s="105"/>
      <c r="H198" s="105"/>
    </row>
    <row r="199" spans="1:8" x14ac:dyDescent="0.25">
      <c r="A199" s="147" t="s">
        <v>135</v>
      </c>
      <c r="B199" s="147"/>
      <c r="C199" s="147"/>
      <c r="D199" s="147"/>
      <c r="E199" s="147"/>
      <c r="F199" s="147"/>
      <c r="G199" s="147"/>
      <c r="H199" s="147"/>
    </row>
    <row r="200" spans="1:8" x14ac:dyDescent="0.25">
      <c r="A200" s="173" t="s">
        <v>82</v>
      </c>
      <c r="B200" s="173"/>
      <c r="C200" s="173" t="s">
        <v>235</v>
      </c>
      <c r="D200" s="173"/>
      <c r="E200" s="173" t="s">
        <v>112</v>
      </c>
      <c r="F200" s="173"/>
      <c r="G200" s="173" t="s">
        <v>240</v>
      </c>
      <c r="H200" s="173"/>
    </row>
    <row r="201" spans="1:8" x14ac:dyDescent="0.25">
      <c r="A201" s="172" t="s">
        <v>84</v>
      </c>
      <c r="B201" s="172"/>
      <c r="C201" s="172"/>
      <c r="D201" s="172"/>
      <c r="E201" s="172"/>
      <c r="F201" s="172"/>
      <c r="G201" s="172"/>
      <c r="H201" s="172"/>
    </row>
    <row r="202" spans="1:8" x14ac:dyDescent="0.25">
      <c r="A202" s="172"/>
      <c r="B202" s="172"/>
      <c r="C202" s="172"/>
      <c r="D202" s="172"/>
      <c r="E202" s="172"/>
      <c r="F202" s="172"/>
      <c r="G202" s="172"/>
      <c r="H202" s="172"/>
    </row>
    <row r="203" spans="1:8" x14ac:dyDescent="0.25">
      <c r="A203" s="172"/>
      <c r="B203" s="172"/>
      <c r="C203" s="172"/>
      <c r="D203" s="172"/>
      <c r="E203" s="172"/>
      <c r="F203" s="172"/>
      <c r="G203" s="172"/>
      <c r="H203" s="172"/>
    </row>
    <row r="204" spans="1:8" x14ac:dyDescent="0.25">
      <c r="A204" s="172"/>
      <c r="B204" s="172"/>
      <c r="C204" s="172"/>
      <c r="D204" s="172"/>
      <c r="E204" s="172"/>
      <c r="F204" s="172"/>
      <c r="G204" s="172"/>
      <c r="H204" s="172"/>
    </row>
    <row r="205" spans="1:8" x14ac:dyDescent="0.25">
      <c r="A205" s="38" t="s">
        <v>70</v>
      </c>
      <c r="B205" s="39"/>
      <c r="C205" s="39"/>
      <c r="D205" s="38" t="str">
        <f>E8</f>
        <v>Narayan Heights</v>
      </c>
      <c r="F205" s="39"/>
      <c r="G205" s="39"/>
      <c r="H205" s="39"/>
    </row>
    <row r="206" spans="1:8" x14ac:dyDescent="0.25">
      <c r="A206" s="39"/>
      <c r="B206" s="39"/>
      <c r="C206" s="39"/>
      <c r="D206" s="39"/>
      <c r="E206" s="39"/>
      <c r="F206" s="39"/>
      <c r="G206" s="39"/>
      <c r="H206" s="39"/>
    </row>
    <row r="207" spans="1:8" x14ac:dyDescent="0.25">
      <c r="A207" s="39"/>
      <c r="B207" s="39"/>
      <c r="C207" s="39"/>
      <c r="D207" s="39"/>
      <c r="E207" s="39"/>
      <c r="F207" s="39"/>
      <c r="G207" s="39"/>
      <c r="H207" s="39"/>
    </row>
    <row r="208" spans="1:8" ht="15" customHeight="1" x14ac:dyDescent="0.25"/>
    <row r="242" spans="1:10" x14ac:dyDescent="0.25">
      <c r="J242"/>
    </row>
    <row r="247" spans="1:10" x14ac:dyDescent="0.25">
      <c r="A247" s="41" t="s">
        <v>176</v>
      </c>
    </row>
    <row r="273" hidden="1" x14ac:dyDescent="0.25"/>
    <row r="274" hidden="1" x14ac:dyDescent="0.25"/>
    <row r="275" hidden="1" x14ac:dyDescent="0.25"/>
    <row r="276" hidden="1" x14ac:dyDescent="0.25"/>
    <row r="277" hidden="1" x14ac:dyDescent="0.25"/>
    <row r="278" hidden="1" x14ac:dyDescent="0.25"/>
    <row r="279" hidden="1" x14ac:dyDescent="0.25"/>
    <row r="280" hidden="1" x14ac:dyDescent="0.25"/>
    <row r="281" hidden="1" x14ac:dyDescent="0.25"/>
    <row r="282" hidden="1" x14ac:dyDescent="0.25"/>
    <row r="283" hidden="1" x14ac:dyDescent="0.25"/>
    <row r="284" hidden="1" x14ac:dyDescent="0.25"/>
    <row r="285" hidden="1" x14ac:dyDescent="0.25"/>
    <row r="286" hidden="1" x14ac:dyDescent="0.25"/>
    <row r="287" hidden="1" x14ac:dyDescent="0.25"/>
    <row r="288" hidden="1" x14ac:dyDescent="0.25"/>
    <row r="289" spans="1:1" hidden="1" x14ac:dyDescent="0.25"/>
    <row r="290" spans="1:1" hidden="1" x14ac:dyDescent="0.25"/>
    <row r="291" spans="1:1" x14ac:dyDescent="0.25">
      <c r="A291" s="41" t="s">
        <v>71</v>
      </c>
    </row>
  </sheetData>
  <mergeCells count="362">
    <mergeCell ref="A115:B115"/>
    <mergeCell ref="C115:D115"/>
    <mergeCell ref="E115:F115"/>
    <mergeCell ref="G115:H115"/>
    <mergeCell ref="L137:M137"/>
    <mergeCell ref="G125:H137"/>
    <mergeCell ref="A144:H144"/>
    <mergeCell ref="C146:F146"/>
    <mergeCell ref="G146:H149"/>
    <mergeCell ref="C149:F149"/>
    <mergeCell ref="G151:H154"/>
    <mergeCell ref="G156:H159"/>
    <mergeCell ref="A160:H160"/>
    <mergeCell ref="L133:M133"/>
    <mergeCell ref="A134:B134"/>
    <mergeCell ref="L134:M134"/>
    <mergeCell ref="A135:B135"/>
    <mergeCell ref="L135:M135"/>
    <mergeCell ref="A136:B136"/>
    <mergeCell ref="L136:M136"/>
    <mergeCell ref="L129:M129"/>
    <mergeCell ref="A130:B130"/>
    <mergeCell ref="L130:M130"/>
    <mergeCell ref="A131:B131"/>
    <mergeCell ref="L131:M131"/>
    <mergeCell ref="A132:B132"/>
    <mergeCell ref="L132:M132"/>
    <mergeCell ref="A133:B133"/>
    <mergeCell ref="A16:B16"/>
    <mergeCell ref="C16:H16"/>
    <mergeCell ref="E41:H41"/>
    <mergeCell ref="A41:D41"/>
    <mergeCell ref="A74:B74"/>
    <mergeCell ref="A48:B48"/>
    <mergeCell ref="C48:E48"/>
    <mergeCell ref="G48:H48"/>
    <mergeCell ref="G50:H50"/>
    <mergeCell ref="D54:H54"/>
    <mergeCell ref="C50:E50"/>
    <mergeCell ref="A57:C57"/>
    <mergeCell ref="D57:H57"/>
    <mergeCell ref="C49:E49"/>
    <mergeCell ref="A52:B52"/>
    <mergeCell ref="C52:E52"/>
    <mergeCell ref="A49:B49"/>
    <mergeCell ref="A55:C55"/>
    <mergeCell ref="D55:H55"/>
    <mergeCell ref="G52:H52"/>
    <mergeCell ref="C51:H51"/>
    <mergeCell ref="A59:C59"/>
    <mergeCell ref="D61:H61"/>
    <mergeCell ref="E21:H22"/>
    <mergeCell ref="A198:H198"/>
    <mergeCell ref="A195:H195"/>
    <mergeCell ref="A146:B146"/>
    <mergeCell ref="A112:B112"/>
    <mergeCell ref="D139:D140"/>
    <mergeCell ref="E139:E140"/>
    <mergeCell ref="G139:H140"/>
    <mergeCell ref="F94:H94"/>
    <mergeCell ref="G109:H109"/>
    <mergeCell ref="A152:B152"/>
    <mergeCell ref="A118:H118"/>
    <mergeCell ref="C109:D109"/>
    <mergeCell ref="E109:F109"/>
    <mergeCell ref="B119:B120"/>
    <mergeCell ref="A119:A120"/>
    <mergeCell ref="C139:C140"/>
    <mergeCell ref="C116:D116"/>
    <mergeCell ref="A143:H143"/>
    <mergeCell ref="A154:B154"/>
    <mergeCell ref="A162:H162"/>
    <mergeCell ref="A163:B163"/>
    <mergeCell ref="F101:H101"/>
    <mergeCell ref="C108:D108"/>
    <mergeCell ref="F104:H104"/>
    <mergeCell ref="A137:B137"/>
    <mergeCell ref="G116:H116"/>
    <mergeCell ref="A193:H193"/>
    <mergeCell ref="A194:H194"/>
    <mergeCell ref="E112:F112"/>
    <mergeCell ref="B192:H192"/>
    <mergeCell ref="B190:H190"/>
    <mergeCell ref="B186:H186"/>
    <mergeCell ref="A158:B158"/>
    <mergeCell ref="A155:H155"/>
    <mergeCell ref="A156:B156"/>
    <mergeCell ref="A157:B157"/>
    <mergeCell ref="A159:B159"/>
    <mergeCell ref="A117:H117"/>
    <mergeCell ref="B184:H184"/>
    <mergeCell ref="B185:H185"/>
    <mergeCell ref="C163:F163"/>
    <mergeCell ref="A164:B164"/>
    <mergeCell ref="A165:B165"/>
    <mergeCell ref="A181:B181"/>
    <mergeCell ref="A182:B182"/>
    <mergeCell ref="C178:F178"/>
    <mergeCell ref="G177:H182"/>
    <mergeCell ref="B187:H187"/>
    <mergeCell ref="A201:H204"/>
    <mergeCell ref="A200:B200"/>
    <mergeCell ref="E200:F200"/>
    <mergeCell ref="C200:D200"/>
    <mergeCell ref="G200:H200"/>
    <mergeCell ref="A107:H107"/>
    <mergeCell ref="A105:E105"/>
    <mergeCell ref="F105:H105"/>
    <mergeCell ref="A106:E106"/>
    <mergeCell ref="F106:H106"/>
    <mergeCell ref="A145:H145"/>
    <mergeCell ref="A113:B113"/>
    <mergeCell ref="A153:B153"/>
    <mergeCell ref="A109:B109"/>
    <mergeCell ref="A196:H196"/>
    <mergeCell ref="A111:H111"/>
    <mergeCell ref="A199:H199"/>
    <mergeCell ref="A197:H197"/>
    <mergeCell ref="C119:C120"/>
    <mergeCell ref="A123:H123"/>
    <mergeCell ref="A129:B129"/>
    <mergeCell ref="A147:B147"/>
    <mergeCell ref="A148:B148"/>
    <mergeCell ref="A149:B149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E13:H13"/>
    <mergeCell ref="A14:B14"/>
    <mergeCell ref="C14:H14"/>
    <mergeCell ref="C15:H15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D22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D58:H58"/>
    <mergeCell ref="F35:H35"/>
    <mergeCell ref="A37:B37"/>
    <mergeCell ref="E37:F37"/>
    <mergeCell ref="C37:D37"/>
    <mergeCell ref="G37:H37"/>
    <mergeCell ref="A44:D44"/>
    <mergeCell ref="A45:D45"/>
    <mergeCell ref="A46:H46"/>
    <mergeCell ref="D56:H56"/>
    <mergeCell ref="A56:C56"/>
    <mergeCell ref="G49:H49"/>
    <mergeCell ref="A50:B51"/>
    <mergeCell ref="A53:H53"/>
    <mergeCell ref="A54:C54"/>
    <mergeCell ref="C65:H65"/>
    <mergeCell ref="A73:B73"/>
    <mergeCell ref="A60:C60"/>
    <mergeCell ref="D60:H60"/>
    <mergeCell ref="C67:H67"/>
    <mergeCell ref="A70:B70"/>
    <mergeCell ref="A72:B72"/>
    <mergeCell ref="E68:F68"/>
    <mergeCell ref="A61:C61"/>
    <mergeCell ref="A62:C62"/>
    <mergeCell ref="D62:H62"/>
    <mergeCell ref="A63:C63"/>
    <mergeCell ref="D63:H63"/>
    <mergeCell ref="A69:B69"/>
    <mergeCell ref="G68:H68"/>
    <mergeCell ref="E69:F78"/>
    <mergeCell ref="A64:C64"/>
    <mergeCell ref="D64:H64"/>
    <mergeCell ref="G69:H78"/>
    <mergeCell ref="A77:B77"/>
    <mergeCell ref="A78:B78"/>
    <mergeCell ref="L128:M128"/>
    <mergeCell ref="L127:M127"/>
    <mergeCell ref="L126:M126"/>
    <mergeCell ref="L125:M125"/>
    <mergeCell ref="A76:B76"/>
    <mergeCell ref="C113:D113"/>
    <mergeCell ref="E113:F113"/>
    <mergeCell ref="G113:H113"/>
    <mergeCell ref="F100:H100"/>
    <mergeCell ref="A94:E94"/>
    <mergeCell ref="A124:H124"/>
    <mergeCell ref="E119:E120"/>
    <mergeCell ref="G119:H120"/>
    <mergeCell ref="F93:H93"/>
    <mergeCell ref="F98:H98"/>
    <mergeCell ref="F103:H103"/>
    <mergeCell ref="E108:F108"/>
    <mergeCell ref="A108:B108"/>
    <mergeCell ref="A104:E104"/>
    <mergeCell ref="A116:B116"/>
    <mergeCell ref="E116:F116"/>
    <mergeCell ref="F102:H102"/>
    <mergeCell ref="G108:H108"/>
    <mergeCell ref="A103:E103"/>
    <mergeCell ref="L162:M162"/>
    <mergeCell ref="C168:F168"/>
    <mergeCell ref="G163:H168"/>
    <mergeCell ref="A174:B174"/>
    <mergeCell ref="A175:B175"/>
    <mergeCell ref="G170:H175"/>
    <mergeCell ref="A169:H169"/>
    <mergeCell ref="A170:B170"/>
    <mergeCell ref="A171:B171"/>
    <mergeCell ref="A172:B172"/>
    <mergeCell ref="A173:B173"/>
    <mergeCell ref="A166:B166"/>
    <mergeCell ref="A167:B167"/>
    <mergeCell ref="A168:B168"/>
    <mergeCell ref="B188:H188"/>
    <mergeCell ref="A183:H183"/>
    <mergeCell ref="B139:B140"/>
    <mergeCell ref="A150:H150"/>
    <mergeCell ref="A161:H161"/>
    <mergeCell ref="A151:B151"/>
    <mergeCell ref="A176:H176"/>
    <mergeCell ref="A177:B177"/>
    <mergeCell ref="A178:B178"/>
    <mergeCell ref="A179:B179"/>
    <mergeCell ref="A180:B180"/>
    <mergeCell ref="C158:F158"/>
    <mergeCell ref="B191:H191"/>
    <mergeCell ref="A47:B47"/>
    <mergeCell ref="C47:H47"/>
    <mergeCell ref="B189:H189"/>
    <mergeCell ref="F95:H95"/>
    <mergeCell ref="A95:E95"/>
    <mergeCell ref="D119:D120"/>
    <mergeCell ref="A97:E97"/>
    <mergeCell ref="A125:B125"/>
    <mergeCell ref="A126:B126"/>
    <mergeCell ref="A127:B127"/>
    <mergeCell ref="A128:B128"/>
    <mergeCell ref="A98:E98"/>
    <mergeCell ref="C110:D110"/>
    <mergeCell ref="E110:F110"/>
    <mergeCell ref="G110:H110"/>
    <mergeCell ref="A114:B114"/>
    <mergeCell ref="C114:D114"/>
    <mergeCell ref="E114:F114"/>
    <mergeCell ref="G114:H114"/>
    <mergeCell ref="A122:H122"/>
    <mergeCell ref="A121:H121"/>
    <mergeCell ref="A141:H141"/>
    <mergeCell ref="A142:H142"/>
    <mergeCell ref="A138:H138"/>
    <mergeCell ref="A139:A140"/>
    <mergeCell ref="A38:B38"/>
    <mergeCell ref="C38:H38"/>
    <mergeCell ref="C112:D112"/>
    <mergeCell ref="G112:H112"/>
    <mergeCell ref="A99:E99"/>
    <mergeCell ref="F99:H99"/>
    <mergeCell ref="A100:E100"/>
    <mergeCell ref="A102:E102"/>
    <mergeCell ref="F96:H96"/>
    <mergeCell ref="A101:E101"/>
    <mergeCell ref="A96:E96"/>
    <mergeCell ref="A93:E93"/>
    <mergeCell ref="F97:H97"/>
    <mergeCell ref="A110:B110"/>
    <mergeCell ref="D59:H59"/>
    <mergeCell ref="A42:D42"/>
    <mergeCell ref="E42:H42"/>
    <mergeCell ref="E43:H43"/>
    <mergeCell ref="E44:H44"/>
    <mergeCell ref="E45:H45"/>
    <mergeCell ref="A43:D43"/>
    <mergeCell ref="A75:B75"/>
    <mergeCell ref="I10:L10"/>
    <mergeCell ref="A79:B79"/>
    <mergeCell ref="C79:H79"/>
    <mergeCell ref="A81:B81"/>
    <mergeCell ref="C81:H81"/>
    <mergeCell ref="A82:B82"/>
    <mergeCell ref="E82:F82"/>
    <mergeCell ref="G82:H82"/>
    <mergeCell ref="A83:B83"/>
    <mergeCell ref="E83:F92"/>
    <mergeCell ref="G83:H92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68:B68"/>
    <mergeCell ref="A71:B71"/>
    <mergeCell ref="A67:B67"/>
    <mergeCell ref="A65:B65"/>
  </mergeCells>
  <hyperlinks>
    <hyperlink ref="C38" r:id="rId1" xr:uid="{00000000-0004-0000-0000-000000000000}"/>
  </hyperlinks>
  <printOptions horizontalCentered="1"/>
  <pageMargins left="0.39370078740157483" right="0.39370078740157483" top="0.82677165354330717" bottom="0.78740157480314965" header="0.15748031496062992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64" max="7" man="1"/>
    <brk id="192" max="16383" man="1"/>
    <brk id="204" max="16383" man="1"/>
    <brk id="246" max="16383" man="1"/>
    <brk id="29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5703125" defaultRowHeight="15" x14ac:dyDescent="0.25"/>
  <cols>
    <col min="1" max="1" width="8.570312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570312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90" t="s">
        <v>113</v>
      </c>
      <c r="C3" s="190"/>
      <c r="D3" s="190"/>
      <c r="E3" s="190"/>
      <c r="F3" s="190"/>
      <c r="G3" s="190"/>
      <c r="H3" s="190"/>
    </row>
    <row r="4" spans="1:9" x14ac:dyDescent="0.25">
      <c r="A4" s="2"/>
      <c r="B4" s="3" t="s">
        <v>114</v>
      </c>
      <c r="C4" s="3" t="s">
        <v>115</v>
      </c>
      <c r="D4" s="3" t="s">
        <v>73</v>
      </c>
      <c r="E4" s="3" t="s">
        <v>116</v>
      </c>
      <c r="F4" s="3" t="s">
        <v>122</v>
      </c>
      <c r="G4" s="3" t="s">
        <v>123</v>
      </c>
      <c r="H4" s="3" t="s">
        <v>117</v>
      </c>
    </row>
    <row r="5" spans="1:9" ht="15" customHeight="1" x14ac:dyDescent="0.25">
      <c r="A5" s="2"/>
      <c r="B5" s="5" t="s">
        <v>118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118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118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118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118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120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121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madhurapanchal77@gmail.com</cp:lastModifiedBy>
  <cp:lastPrinted>2025-07-13T09:26:46Z</cp:lastPrinted>
  <dcterms:created xsi:type="dcterms:W3CDTF">2019-07-16T09:29:46Z</dcterms:created>
  <dcterms:modified xsi:type="dcterms:W3CDTF">2025-07-13T09:27:38Z</dcterms:modified>
</cp:coreProperties>
</file>