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D:\July 25\Dump\"/>
    </mc:Choice>
  </mc:AlternateContent>
  <xr:revisionPtr revIDLastSave="0" documentId="13_ncr:1_{671AFF76-196B-4A6B-A6ED-F288500AB08A}" xr6:coauthVersionLast="47" xr6:coauthVersionMax="47" xr10:uidLastSave="{00000000-0000-0000-0000-000000000000}"/>
  <bookViews>
    <workbookView xWindow="-120" yWindow="-120" windowWidth="20730" windowHeight="11160" xr2:uid="{00000000-000D-0000-FFFF-FFFF00000000}"/>
  </bookViews>
  <sheets>
    <sheet name="Table 1" sheetId="1" r:id="rId1"/>
  </sheets>
  <definedNames>
    <definedName name="_xlnm.Print_Area" localSheetId="0">'Table 1'!$A$1:$H$537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1" i="1" l="1"/>
  <c r="J110" i="1"/>
  <c r="J109" i="1"/>
  <c r="J108" i="1"/>
  <c r="H101" i="1"/>
  <c r="D113" i="1" l="1"/>
  <c r="D109" i="1"/>
  <c r="J106" i="1"/>
  <c r="J107" i="1" s="1"/>
  <c r="J112" i="1" s="1"/>
  <c r="J113" i="1" s="1"/>
  <c r="C105" i="1" s="1"/>
  <c r="D112" i="1"/>
  <c r="D108" i="1"/>
  <c r="J104" i="1"/>
  <c r="D107" i="1"/>
  <c r="J103" i="1"/>
  <c r="D111" i="1"/>
  <c r="D110" i="1"/>
  <c r="D106" i="1"/>
  <c r="J105" i="1"/>
  <c r="C104" i="1" s="1"/>
  <c r="J83" i="1"/>
  <c r="J82" i="1"/>
  <c r="J81" i="1"/>
  <c r="J80" i="1"/>
  <c r="H73" i="1"/>
  <c r="E104" i="1" l="1"/>
  <c r="D105" i="1"/>
  <c r="G104" i="1"/>
  <c r="D104" i="1"/>
  <c r="J77" i="1"/>
  <c r="C76" i="1" s="1"/>
  <c r="D76" i="1" s="1"/>
  <c r="J75" i="1"/>
  <c r="D85" i="1"/>
  <c r="D83" i="1"/>
  <c r="D81" i="1"/>
  <c r="D79" i="1"/>
  <c r="J78" i="1"/>
  <c r="J79" i="1" s="1"/>
  <c r="J84" i="1" s="1"/>
  <c r="J85" i="1" s="1"/>
  <c r="C77" i="1" s="1"/>
  <c r="D84" i="1"/>
  <c r="D82" i="1"/>
  <c r="D80" i="1"/>
  <c r="D78" i="1"/>
  <c r="J76" i="1"/>
  <c r="J139" i="1"/>
  <c r="J138" i="1"/>
  <c r="J137" i="1"/>
  <c r="J136" i="1"/>
  <c r="E3" i="1"/>
  <c r="H129" i="1"/>
  <c r="I100" i="1" l="1"/>
  <c r="C102" i="1" s="1"/>
  <c r="E76" i="1"/>
  <c r="I72" i="1" s="1"/>
  <c r="C74" i="1" s="1"/>
  <c r="D77" i="1"/>
  <c r="G76" i="1"/>
  <c r="D140" i="1"/>
  <c r="D138" i="1"/>
  <c r="D136" i="1"/>
  <c r="D134" i="1"/>
  <c r="J132" i="1"/>
  <c r="J133" i="1"/>
  <c r="C132" i="1" s="1"/>
  <c r="J131" i="1"/>
  <c r="D141" i="1"/>
  <c r="D139" i="1"/>
  <c r="D137" i="1"/>
  <c r="D135" i="1"/>
  <c r="J134" i="1"/>
  <c r="J135" i="1" s="1"/>
  <c r="J140" i="1" s="1"/>
  <c r="J141" i="1" s="1"/>
  <c r="C133" i="1" s="1"/>
  <c r="J97" i="1"/>
  <c r="J96" i="1"/>
  <c r="J95" i="1"/>
  <c r="J94" i="1"/>
  <c r="H87" i="1"/>
  <c r="E132" i="1" l="1"/>
  <c r="D133" i="1"/>
  <c r="G132" i="1"/>
  <c r="D132" i="1"/>
  <c r="J91" i="1"/>
  <c r="C90" i="1" s="1"/>
  <c r="D90" i="1" s="1"/>
  <c r="J89" i="1"/>
  <c r="D99" i="1"/>
  <c r="D95" i="1"/>
  <c r="D98" i="1"/>
  <c r="D94" i="1"/>
  <c r="J90" i="1"/>
  <c r="D93" i="1"/>
  <c r="D92" i="1"/>
  <c r="D97" i="1"/>
  <c r="J92" i="1"/>
  <c r="J93" i="1" s="1"/>
  <c r="J98" i="1" s="1"/>
  <c r="J99" i="1" s="1"/>
  <c r="C91" i="1" s="1"/>
  <c r="D96" i="1"/>
  <c r="E39" i="1"/>
  <c r="E40" i="1" s="1"/>
  <c r="I128" i="1" l="1"/>
  <c r="C130" i="1" s="1"/>
  <c r="E90" i="1"/>
  <c r="I86" i="1" s="1"/>
  <c r="C88" i="1" s="1"/>
  <c r="D91" i="1"/>
  <c r="G90" i="1"/>
  <c r="G226" i="1"/>
  <c r="G244" i="1"/>
  <c r="G267" i="1"/>
  <c r="G278" i="1"/>
  <c r="G287" i="1"/>
  <c r="G296" i="1"/>
  <c r="G305" i="1"/>
  <c r="G312" i="1"/>
  <c r="G319" i="1"/>
  <c r="G326" i="1"/>
  <c r="G333" i="1"/>
  <c r="G340" i="1"/>
  <c r="G352" i="1"/>
  <c r="G363" i="1"/>
  <c r="G372" i="1"/>
  <c r="G377" i="1"/>
  <c r="G382" i="1"/>
  <c r="G391" i="1"/>
  <c r="D392" i="1" l="1"/>
  <c r="F392" i="1" s="1"/>
  <c r="D393" i="1"/>
  <c r="F393" i="1" s="1"/>
  <c r="D394" i="1"/>
  <c r="F394" i="1" s="1"/>
  <c r="D391" i="1"/>
  <c r="F391" i="1" s="1"/>
  <c r="D389" i="1"/>
  <c r="F389" i="1" s="1"/>
  <c r="D388" i="1"/>
  <c r="D385" i="1"/>
  <c r="F385" i="1" s="1"/>
  <c r="D383" i="1"/>
  <c r="F383" i="1" s="1"/>
  <c r="D384" i="1"/>
  <c r="F384" i="1" s="1"/>
  <c r="D382" i="1"/>
  <c r="F382" i="1" s="1"/>
  <c r="D380" i="1"/>
  <c r="F380" i="1" s="1"/>
  <c r="D379" i="1"/>
  <c r="F379" i="1" s="1"/>
  <c r="D378" i="1"/>
  <c r="F378" i="1" s="1"/>
  <c r="D377" i="1"/>
  <c r="F377" i="1" s="1"/>
  <c r="D373" i="1"/>
  <c r="F373" i="1" s="1"/>
  <c r="D374" i="1"/>
  <c r="F374" i="1" s="1"/>
  <c r="D375" i="1"/>
  <c r="F375" i="1" s="1"/>
  <c r="D372" i="1"/>
  <c r="F372" i="1" s="1"/>
  <c r="D370" i="1"/>
  <c r="D369" i="1"/>
  <c r="D366" i="1"/>
  <c r="F366" i="1" s="1"/>
  <c r="D365" i="1"/>
  <c r="F365" i="1" s="1"/>
  <c r="D364" i="1"/>
  <c r="F364" i="1" s="1"/>
  <c r="D363" i="1"/>
  <c r="F363" i="1" s="1"/>
  <c r="D361" i="1"/>
  <c r="F361" i="1" s="1"/>
  <c r="D360" i="1"/>
  <c r="D353" i="1"/>
  <c r="F353" i="1" s="1"/>
  <c r="D354" i="1"/>
  <c r="F354" i="1" s="1"/>
  <c r="D355" i="1"/>
  <c r="F355" i="1" s="1"/>
  <c r="D356" i="1"/>
  <c r="F356" i="1" s="1"/>
  <c r="D357" i="1"/>
  <c r="F357" i="1" s="1"/>
  <c r="D352" i="1"/>
  <c r="F352" i="1" s="1"/>
  <c r="D349" i="1"/>
  <c r="F349" i="1" s="1"/>
  <c r="D350" i="1"/>
  <c r="F350" i="1" s="1"/>
  <c r="D348" i="1"/>
  <c r="D343" i="1"/>
  <c r="F343" i="1" s="1"/>
  <c r="D342" i="1"/>
  <c r="F342" i="1" s="1"/>
  <c r="D344" i="1"/>
  <c r="F344" i="1" s="1"/>
  <c r="D340" i="1"/>
  <c r="D341" i="1"/>
  <c r="F341" i="1" s="1"/>
  <c r="D345" i="1"/>
  <c r="F345" i="1" s="1"/>
  <c r="D314" i="1"/>
  <c r="F314" i="1" s="1"/>
  <c r="D313" i="1"/>
  <c r="F313" i="1" s="1"/>
  <c r="D335" i="1"/>
  <c r="F335" i="1" s="1"/>
  <c r="D334" i="1"/>
  <c r="F334" i="1" s="1"/>
  <c r="D336" i="1"/>
  <c r="F336" i="1" s="1"/>
  <c r="D333" i="1"/>
  <c r="D329" i="1"/>
  <c r="F329" i="1" s="1"/>
  <c r="D328" i="1"/>
  <c r="F328" i="1" s="1"/>
  <c r="D327" i="1"/>
  <c r="F327" i="1" s="1"/>
  <c r="D326" i="1"/>
  <c r="D321" i="1"/>
  <c r="F321" i="1" s="1"/>
  <c r="D322" i="1"/>
  <c r="F322" i="1" s="1"/>
  <c r="D320" i="1"/>
  <c r="F320" i="1" s="1"/>
  <c r="D319" i="1"/>
  <c r="D315" i="1"/>
  <c r="F315" i="1" s="1"/>
  <c r="D312" i="1"/>
  <c r="I367" i="1" l="1"/>
  <c r="F319" i="1"/>
  <c r="F195" i="1" s="1"/>
  <c r="C195" i="1"/>
  <c r="D195" i="1"/>
  <c r="F333" i="1"/>
  <c r="F197" i="1" s="1"/>
  <c r="C197" i="1"/>
  <c r="D197" i="1"/>
  <c r="F340" i="1"/>
  <c r="F198" i="1" s="1"/>
  <c r="C198" i="1"/>
  <c r="D198" i="1"/>
  <c r="F388" i="1"/>
  <c r="F202" i="1" s="1"/>
  <c r="C202" i="1"/>
  <c r="D202" i="1"/>
  <c r="F369" i="1"/>
  <c r="C201" i="1"/>
  <c r="D201" i="1"/>
  <c r="F326" i="1"/>
  <c r="F196" i="1" s="1"/>
  <c r="C196" i="1"/>
  <c r="D196" i="1"/>
  <c r="F348" i="1"/>
  <c r="F199" i="1" s="1"/>
  <c r="D199" i="1"/>
  <c r="C199" i="1"/>
  <c r="F370" i="1"/>
  <c r="F360" i="1"/>
  <c r="F200" i="1" s="1"/>
  <c r="D200" i="1"/>
  <c r="C200" i="1"/>
  <c r="F312" i="1"/>
  <c r="F194" i="1" s="1"/>
  <c r="C194" i="1"/>
  <c r="D194" i="1"/>
  <c r="D308" i="1"/>
  <c r="F308" i="1" s="1"/>
  <c r="D307" i="1"/>
  <c r="F307" i="1" s="1"/>
  <c r="D306" i="1"/>
  <c r="F306" i="1" s="1"/>
  <c r="D305" i="1"/>
  <c r="F305" i="1" s="1"/>
  <c r="D303" i="1"/>
  <c r="F303" i="1" s="1"/>
  <c r="D302" i="1"/>
  <c r="D299" i="1"/>
  <c r="F299" i="1" s="1"/>
  <c r="D298" i="1"/>
  <c r="F298" i="1" s="1"/>
  <c r="D297" i="1"/>
  <c r="F297" i="1" s="1"/>
  <c r="D296" i="1"/>
  <c r="F296" i="1" s="1"/>
  <c r="D294" i="1"/>
  <c r="F294" i="1" s="1"/>
  <c r="D293" i="1"/>
  <c r="D287" i="1"/>
  <c r="F287" i="1" s="1"/>
  <c r="D288" i="1"/>
  <c r="F288" i="1" s="1"/>
  <c r="D289" i="1"/>
  <c r="F289" i="1" s="1"/>
  <c r="D290" i="1"/>
  <c r="F290" i="1" s="1"/>
  <c r="D285" i="1"/>
  <c r="F285" i="1" s="1"/>
  <c r="D284" i="1"/>
  <c r="D280" i="1"/>
  <c r="F280" i="1" s="1"/>
  <c r="D279" i="1"/>
  <c r="F279" i="1" s="1"/>
  <c r="D281" i="1"/>
  <c r="F281" i="1" s="1"/>
  <c r="D278" i="1"/>
  <c r="F278" i="1" s="1"/>
  <c r="D276" i="1"/>
  <c r="F276" i="1" s="1"/>
  <c r="D275" i="1"/>
  <c r="D272" i="1"/>
  <c r="F272" i="1" s="1"/>
  <c r="D271" i="1"/>
  <c r="F271" i="1" s="1"/>
  <c r="D270" i="1"/>
  <c r="F270" i="1" s="1"/>
  <c r="D269" i="1"/>
  <c r="F269" i="1" s="1"/>
  <c r="D268" i="1"/>
  <c r="F268" i="1" s="1"/>
  <c r="D267" i="1"/>
  <c r="F267" i="1" s="1"/>
  <c r="D263" i="1"/>
  <c r="F263" i="1" s="1"/>
  <c r="E262" i="1"/>
  <c r="D262" i="1"/>
  <c r="D264" i="1"/>
  <c r="F264" i="1" s="1"/>
  <c r="E261" i="1"/>
  <c r="D261" i="1"/>
  <c r="E260" i="1"/>
  <c r="D265" i="1"/>
  <c r="F265" i="1" s="1"/>
  <c r="D260" i="1"/>
  <c r="D258" i="1"/>
  <c r="F258" i="1" s="1"/>
  <c r="D257" i="1"/>
  <c r="F257" i="1" s="1"/>
  <c r="D256" i="1"/>
  <c r="F256" i="1" s="1"/>
  <c r="D255" i="1"/>
  <c r="F255" i="1" s="1"/>
  <c r="D254" i="1"/>
  <c r="F254" i="1" s="1"/>
  <c r="D253" i="1"/>
  <c r="F253" i="1" s="1"/>
  <c r="D252" i="1"/>
  <c r="F252" i="1" s="1"/>
  <c r="D251" i="1"/>
  <c r="F251" i="1" s="1"/>
  <c r="D250" i="1"/>
  <c r="D247" i="1"/>
  <c r="F247" i="1" s="1"/>
  <c r="D246" i="1"/>
  <c r="F246" i="1" s="1"/>
  <c r="D245" i="1"/>
  <c r="F245" i="1" s="1"/>
  <c r="D244" i="1"/>
  <c r="F244" i="1" s="1"/>
  <c r="E240" i="1"/>
  <c r="D241" i="1"/>
  <c r="F241" i="1" s="1"/>
  <c r="D240" i="1"/>
  <c r="E239" i="1"/>
  <c r="D242" i="1"/>
  <c r="F242" i="1" s="1"/>
  <c r="D239" i="1"/>
  <c r="D237" i="1"/>
  <c r="F237" i="1" s="1"/>
  <c r="D236" i="1"/>
  <c r="F236" i="1" s="1"/>
  <c r="D235" i="1"/>
  <c r="F235" i="1" s="1"/>
  <c r="D234" i="1"/>
  <c r="F234" i="1" s="1"/>
  <c r="D233" i="1"/>
  <c r="F233" i="1" s="1"/>
  <c r="D232" i="1"/>
  <c r="D229" i="1"/>
  <c r="F229" i="1" s="1"/>
  <c r="D228" i="1"/>
  <c r="F228" i="1" s="1"/>
  <c r="D227" i="1"/>
  <c r="F227" i="1" s="1"/>
  <c r="D226" i="1"/>
  <c r="F226" i="1" s="1"/>
  <c r="D224" i="1"/>
  <c r="F224" i="1" s="1"/>
  <c r="D223" i="1"/>
  <c r="F223" i="1" s="1"/>
  <c r="D222" i="1"/>
  <c r="F222" i="1" s="1"/>
  <c r="D221" i="1"/>
  <c r="F221" i="1" s="1"/>
  <c r="D218" i="1"/>
  <c r="F218" i="1" s="1"/>
  <c r="E217" i="1"/>
  <c r="D217" i="1"/>
  <c r="D219" i="1"/>
  <c r="F219" i="1" s="1"/>
  <c r="E216" i="1"/>
  <c r="D216" i="1"/>
  <c r="D214" i="1"/>
  <c r="F214" i="1" s="1"/>
  <c r="D213" i="1"/>
  <c r="F213" i="1" s="1"/>
  <c r="D212" i="1"/>
  <c r="F212" i="1" s="1"/>
  <c r="D211" i="1"/>
  <c r="F211" i="1" s="1"/>
  <c r="D210" i="1"/>
  <c r="F210" i="1" s="1"/>
  <c r="D209" i="1"/>
  <c r="K216" i="1"/>
  <c r="I216" i="1"/>
  <c r="I211" i="1"/>
  <c r="I210" i="1"/>
  <c r="I209" i="1"/>
  <c r="F240" i="1" l="1"/>
  <c r="F261" i="1"/>
  <c r="C188" i="1"/>
  <c r="D188" i="1"/>
  <c r="C182" i="1"/>
  <c r="D182" i="1"/>
  <c r="C183" i="1"/>
  <c r="D183" i="1"/>
  <c r="F275" i="1"/>
  <c r="F190" i="1" s="1"/>
  <c r="C190" i="1"/>
  <c r="D190" i="1"/>
  <c r="F260" i="1"/>
  <c r="C189" i="1"/>
  <c r="D189" i="1"/>
  <c r="F201" i="1"/>
  <c r="F302" i="1"/>
  <c r="F193" i="1" s="1"/>
  <c r="C193" i="1"/>
  <c r="D193" i="1"/>
  <c r="C187" i="1"/>
  <c r="D187" i="1"/>
  <c r="C181" i="1"/>
  <c r="D181" i="1"/>
  <c r="F293" i="1"/>
  <c r="F192" i="1" s="1"/>
  <c r="D192" i="1"/>
  <c r="C192" i="1"/>
  <c r="F284" i="1"/>
  <c r="F191" i="1" s="1"/>
  <c r="C191" i="1"/>
  <c r="D191" i="1"/>
  <c r="F217" i="1"/>
  <c r="F209" i="1"/>
  <c r="F181" i="1" s="1"/>
  <c r="F232" i="1"/>
  <c r="F182" i="1" s="1"/>
  <c r="F250" i="1"/>
  <c r="F183" i="1" s="1"/>
  <c r="J216" i="1"/>
  <c r="F216" i="1"/>
  <c r="F239" i="1"/>
  <c r="F188" i="1" s="1"/>
  <c r="F262" i="1"/>
  <c r="J167" i="1"/>
  <c r="J166" i="1"/>
  <c r="J165" i="1"/>
  <c r="J164" i="1"/>
  <c r="J153" i="1"/>
  <c r="J152" i="1"/>
  <c r="J151" i="1"/>
  <c r="J150" i="1"/>
  <c r="H143" i="1"/>
  <c r="H157" i="1"/>
  <c r="D184" i="1" l="1"/>
  <c r="C203" i="1"/>
  <c r="C184" i="1"/>
  <c r="D203" i="1"/>
  <c r="F184" i="1"/>
  <c r="F189" i="1"/>
  <c r="F187" i="1"/>
  <c r="J161" i="1"/>
  <c r="C160" i="1" s="1"/>
  <c r="D160" i="1" s="1"/>
  <c r="J159" i="1"/>
  <c r="D169" i="1"/>
  <c r="D165" i="1"/>
  <c r="D168" i="1"/>
  <c r="D164" i="1"/>
  <c r="J160" i="1"/>
  <c r="D167" i="1"/>
  <c r="D163" i="1"/>
  <c r="D162" i="1"/>
  <c r="J162" i="1"/>
  <c r="J163" i="1" s="1"/>
  <c r="J168" i="1" s="1"/>
  <c r="J169" i="1" s="1"/>
  <c r="C161" i="1" s="1"/>
  <c r="D166" i="1"/>
  <c r="J147" i="1"/>
  <c r="C146" i="1" s="1"/>
  <c r="D146" i="1" s="1"/>
  <c r="J145" i="1"/>
  <c r="D155" i="1"/>
  <c r="D151" i="1"/>
  <c r="D154" i="1"/>
  <c r="D150" i="1"/>
  <c r="J146" i="1"/>
  <c r="D149" i="1"/>
  <c r="D148" i="1"/>
  <c r="D153" i="1"/>
  <c r="J148" i="1"/>
  <c r="J149" i="1" s="1"/>
  <c r="J154" i="1" s="1"/>
  <c r="J155" i="1" s="1"/>
  <c r="C147" i="1" s="1"/>
  <c r="D152" i="1"/>
  <c r="F203" i="1" l="1"/>
  <c r="E160" i="1"/>
  <c r="I156" i="1" s="1"/>
  <c r="C158" i="1" s="1"/>
  <c r="D161" i="1"/>
  <c r="G160" i="1"/>
  <c r="E146" i="1"/>
  <c r="I142" i="1" s="1"/>
  <c r="C144" i="1" s="1"/>
  <c r="D147" i="1"/>
  <c r="G146" i="1"/>
  <c r="J125" i="1"/>
  <c r="J124" i="1"/>
  <c r="J123" i="1"/>
  <c r="J122" i="1"/>
  <c r="J69" i="1"/>
  <c r="J68" i="1"/>
  <c r="J67" i="1"/>
  <c r="J66" i="1"/>
  <c r="H59" i="1"/>
  <c r="D71" i="1" l="1"/>
  <c r="D69" i="1"/>
  <c r="D67" i="1"/>
  <c r="D65" i="1"/>
  <c r="J64" i="1"/>
  <c r="J65" i="1" s="1"/>
  <c r="J70" i="1" s="1"/>
  <c r="J71" i="1" s="1"/>
  <c r="C63" i="1" s="1"/>
  <c r="D70" i="1"/>
  <c r="D64" i="1"/>
  <c r="J63" i="1"/>
  <c r="C62" i="1" s="1"/>
  <c r="D62" i="1" s="1"/>
  <c r="D68" i="1"/>
  <c r="D66" i="1"/>
  <c r="J62" i="1"/>
  <c r="J61" i="1"/>
  <c r="E62" i="1" l="1"/>
  <c r="I58" i="1" s="1"/>
  <c r="C60" i="1" s="1"/>
  <c r="D63" i="1"/>
  <c r="G62" i="1"/>
  <c r="H115" i="1"/>
  <c r="D126" i="1" l="1"/>
  <c r="D122" i="1"/>
  <c r="J119" i="1"/>
  <c r="C118" i="1" s="1"/>
  <c r="D118" i="1" s="1"/>
  <c r="J117" i="1"/>
  <c r="D124" i="1"/>
  <c r="J118" i="1"/>
  <c r="D127" i="1"/>
  <c r="D125" i="1"/>
  <c r="D123" i="1"/>
  <c r="D121" i="1"/>
  <c r="J120" i="1"/>
  <c r="J121" i="1" s="1"/>
  <c r="J126" i="1" s="1"/>
  <c r="J127" i="1" s="1"/>
  <c r="C119" i="1" s="1"/>
  <c r="D120" i="1"/>
  <c r="E118" i="1" l="1"/>
  <c r="I114" i="1" s="1"/>
  <c r="C116" i="1" s="1"/>
  <c r="D119" i="1"/>
  <c r="G118" i="1"/>
</calcChain>
</file>

<file path=xl/sharedStrings.xml><?xml version="1.0" encoding="utf-8"?>
<sst xmlns="http://schemas.openxmlformats.org/spreadsheetml/2006/main" count="719" uniqueCount="247">
  <si>
    <r>
      <rPr>
        <b/>
        <sz val="11.5"/>
        <rFont val="Times New Roman"/>
        <family val="1"/>
      </rPr>
      <t>Ground Floor for Commercial &amp; Parking</t>
    </r>
  </si>
  <si>
    <r>
      <rPr>
        <sz val="11.5"/>
        <rFont val="Times New Roman"/>
        <family val="1"/>
      </rPr>
      <t>Shop</t>
    </r>
  </si>
  <si>
    <r>
      <rPr>
        <sz val="11.5"/>
        <rFont val="Times New Roman"/>
        <family val="1"/>
      </rPr>
      <t>Ground Floor for Commercial &amp; Parking</t>
    </r>
  </si>
  <si>
    <r>
      <rPr>
        <b/>
        <sz val="11.5"/>
        <rFont val="Times New Roman"/>
        <family val="1"/>
      </rPr>
      <t>1st Floor for Residential</t>
    </r>
  </si>
  <si>
    <r>
      <rPr>
        <sz val="11.5"/>
        <rFont val="Times New Roman"/>
        <family val="1"/>
      </rPr>
      <t>1BHK</t>
    </r>
  </si>
  <si>
    <r>
      <rPr>
        <sz val="11.5"/>
        <rFont val="Times New Roman"/>
        <family val="1"/>
      </rPr>
      <t>1st Floor for Residential</t>
    </r>
  </si>
  <si>
    <r>
      <rPr>
        <sz val="11.5"/>
        <rFont val="Times New Roman"/>
        <family val="1"/>
      </rPr>
      <t>2BHK</t>
    </r>
  </si>
  <si>
    <r>
      <rPr>
        <b/>
        <sz val="11.5"/>
        <rFont val="Times New Roman"/>
        <family val="1"/>
      </rPr>
      <t>2nd &amp; 3rd Floor</t>
    </r>
  </si>
  <si>
    <r>
      <rPr>
        <sz val="11.5"/>
        <rFont val="Times New Roman"/>
        <family val="1"/>
      </rPr>
      <t>2nd &amp; 3rd Floor</t>
    </r>
  </si>
  <si>
    <r>
      <rPr>
        <b/>
        <sz val="11.5"/>
        <rFont val="Times New Roman"/>
        <family val="1"/>
      </rPr>
      <t>Coral  Wing B</t>
    </r>
  </si>
  <si>
    <r>
      <rPr>
        <b/>
        <sz val="11.5"/>
        <rFont val="Times New Roman"/>
        <family val="1"/>
      </rPr>
      <t>Coral  Wing C</t>
    </r>
  </si>
  <si>
    <r>
      <rPr>
        <b/>
        <sz val="11.5"/>
        <rFont val="Times New Roman"/>
        <family val="1"/>
      </rPr>
      <t>Pearl  Wing A</t>
    </r>
  </si>
  <si>
    <r>
      <rPr>
        <b/>
        <sz val="11.5"/>
        <rFont val="Times New Roman"/>
        <family val="1"/>
      </rPr>
      <t>Ground Floor for Residential &amp; Parking</t>
    </r>
  </si>
  <si>
    <r>
      <rPr>
        <sz val="11.5"/>
        <rFont val="Times New Roman"/>
        <family val="1"/>
      </rPr>
      <t xml:space="preserve">Ground Floor for
</t>
    </r>
    <r>
      <rPr>
        <sz val="11.5"/>
        <rFont val="Times New Roman"/>
        <family val="1"/>
      </rPr>
      <t>Residential &amp; Parking</t>
    </r>
  </si>
  <si>
    <r>
      <rPr>
        <b/>
        <sz val="11.5"/>
        <rFont val="Times New Roman"/>
        <family val="1"/>
      </rPr>
      <t>Pearl  Wing B</t>
    </r>
  </si>
  <si>
    <r>
      <rPr>
        <b/>
        <sz val="11.5"/>
        <rFont val="Times New Roman"/>
        <family val="1"/>
      </rPr>
      <t>Pearl  Wing C</t>
    </r>
  </si>
  <si>
    <r>
      <rPr>
        <b/>
        <sz val="11.5"/>
        <rFont val="Times New Roman"/>
        <family val="1"/>
      </rPr>
      <t>Pearl  Wing D</t>
    </r>
  </si>
  <si>
    <r>
      <rPr>
        <b/>
        <sz val="11.5"/>
        <rFont val="Times New Roman"/>
        <family val="1"/>
      </rPr>
      <t>Ground Floor for Parking</t>
    </r>
  </si>
  <si>
    <r>
      <rPr>
        <b/>
        <sz val="11.5"/>
        <rFont val="Times New Roman"/>
        <family val="1"/>
      </rPr>
      <t>Emerald Wing B</t>
    </r>
  </si>
  <si>
    <r>
      <rPr>
        <b/>
        <sz val="11.5"/>
        <rFont val="Times New Roman"/>
        <family val="1"/>
      </rPr>
      <t>Emerald Wing C</t>
    </r>
  </si>
  <si>
    <r>
      <rPr>
        <b/>
        <sz val="11.5"/>
        <rFont val="Times New Roman"/>
        <family val="1"/>
      </rPr>
      <t>Emerald Wing D</t>
    </r>
  </si>
  <si>
    <r>
      <rPr>
        <b/>
        <sz val="11.5"/>
        <rFont val="Times New Roman"/>
        <family val="1"/>
      </rPr>
      <t>Emerald Wing E</t>
    </r>
  </si>
  <si>
    <r>
      <rPr>
        <b/>
        <sz val="11.5"/>
        <rFont val="Times New Roman"/>
        <family val="1"/>
      </rPr>
      <t>Ground Floor for Amenities &amp; Parking</t>
    </r>
  </si>
  <si>
    <r>
      <rPr>
        <b/>
        <sz val="11.5"/>
        <rFont val="Times New Roman"/>
        <family val="1"/>
      </rPr>
      <t>Sapphire Wing A</t>
    </r>
  </si>
  <si>
    <r>
      <rPr>
        <sz val="11.5"/>
        <rFont val="Times New Roman"/>
        <family val="1"/>
      </rPr>
      <t>Ground Floor for Amenities &amp; Parking</t>
    </r>
  </si>
  <si>
    <r>
      <rPr>
        <b/>
        <sz val="11.5"/>
        <rFont val="Times New Roman"/>
        <family val="1"/>
      </rPr>
      <t>Sapphire Wing B</t>
    </r>
  </si>
  <si>
    <r>
      <rPr>
        <b/>
        <sz val="11.5"/>
        <rFont val="Times New Roman"/>
        <family val="1"/>
      </rPr>
      <t>Sapphire Wing C</t>
    </r>
  </si>
  <si>
    <r>
      <rPr>
        <sz val="11.5"/>
        <rFont val="Times New Roman"/>
        <family val="1"/>
      </rPr>
      <t>Mhada</t>
    </r>
  </si>
  <si>
    <r>
      <rPr>
        <b/>
        <sz val="11.5"/>
        <rFont val="Times New Roman"/>
        <family val="1"/>
      </rPr>
      <t>Sapphire Wing D</t>
    </r>
  </si>
  <si>
    <r>
      <rPr>
        <b/>
        <sz val="11.5"/>
        <rFont val="Times New Roman"/>
        <family val="1"/>
      </rPr>
      <t>Remarks:</t>
    </r>
  </si>
  <si>
    <r>
      <rPr>
        <sz val="11.5"/>
        <rFont val="Times New Roman"/>
        <family val="1"/>
      </rPr>
      <t>Undertaking :</t>
    </r>
  </si>
  <si>
    <r>
      <rPr>
        <sz val="11.5"/>
        <rFont val="Times New Roman"/>
        <family val="1"/>
      </rPr>
      <t>1) We have personally visited the property &amp; identified the same based on the documents provided.</t>
    </r>
  </si>
  <si>
    <r>
      <rPr>
        <sz val="11.5"/>
        <rFont val="Times New Roman"/>
        <family val="1"/>
      </rPr>
      <t>2) I/We have no direct or Indirect Interest in the property being valued</t>
    </r>
  </si>
  <si>
    <r>
      <rPr>
        <sz val="11.5"/>
        <rFont val="Times New Roman"/>
        <family val="1"/>
      </rPr>
      <t>3) The information furnished above is true and correct to my/our knowledge.</t>
    </r>
  </si>
  <si>
    <r>
      <rPr>
        <sz val="11.5"/>
        <rFont val="Times New Roman"/>
        <family val="1"/>
      </rPr>
      <t>4) Legal title of the property is not verified by us.</t>
    </r>
  </si>
  <si>
    <r>
      <rPr>
        <sz val="11.5"/>
        <rFont val="Times New Roman"/>
        <family val="1"/>
      </rPr>
      <t>5) Gross carpet area =  Net Carpet area + Fungible area.</t>
    </r>
  </si>
  <si>
    <r>
      <rPr>
        <sz val="11.5"/>
        <rFont val="Times New Roman"/>
        <family val="1"/>
      </rPr>
      <t>6) Fungible Area= Enclosed Balcony + Flower Bed + Covered Balcony + Service Slab + Duct + Chajja + Wheather Shed area.</t>
    </r>
  </si>
  <si>
    <r>
      <rPr>
        <sz val="10.5"/>
        <rFont val="Times New Roman"/>
        <family val="1"/>
      </rPr>
      <t>Inspected By :</t>
    </r>
  </si>
  <si>
    <r>
      <rPr>
        <sz val="10.5"/>
        <rFont val="Times New Roman"/>
        <family val="1"/>
      </rPr>
      <t>Report By :</t>
    </r>
  </si>
  <si>
    <t>Valuation Report</t>
  </si>
  <si>
    <t>Date:</t>
  </si>
  <si>
    <t>CPC Name:</t>
  </si>
  <si>
    <t>Axis Sanpada</t>
  </si>
  <si>
    <t>Date Of Property Visit</t>
  </si>
  <si>
    <t>Name of the builder group</t>
  </si>
  <si>
    <t>M/s.Skylark Infrastructures</t>
  </si>
  <si>
    <t>Name of the builder company</t>
  </si>
  <si>
    <t>Name of the Project</t>
  </si>
  <si>
    <t>Mukta Gharonda</t>
  </si>
  <si>
    <t>Contect Details ( Name &amp; Contect No.)</t>
  </si>
  <si>
    <t>Name / No of the Building</t>
  </si>
  <si>
    <t>Docouments Provided</t>
  </si>
  <si>
    <t>Approved Plans, CC, Sale Plans, Cost Sheet</t>
  </si>
  <si>
    <t>RERA No.</t>
  </si>
  <si>
    <t>Project location details</t>
  </si>
  <si>
    <t>Mukta Gharonda, Survey No.135, Mumbai Bypass/ NH48, Kausa, Mumbra, Thane, Thane.</t>
  </si>
  <si>
    <t>Survey No</t>
  </si>
  <si>
    <t>Road</t>
  </si>
  <si>
    <t>Mumbai Bypass/ NH48</t>
  </si>
  <si>
    <t>Village</t>
  </si>
  <si>
    <t>Kausa</t>
  </si>
  <si>
    <t>City</t>
  </si>
  <si>
    <t>Mumbra</t>
  </si>
  <si>
    <t>District</t>
  </si>
  <si>
    <t>Thane</t>
  </si>
  <si>
    <t>Taluka</t>
  </si>
  <si>
    <t>Pin Code</t>
  </si>
  <si>
    <t>Near by Landmark</t>
  </si>
  <si>
    <r>
      <rPr>
        <sz val="11"/>
        <rFont val="Times New Roman"/>
        <family val="1"/>
      </rPr>
      <t>Opp.Masjid-e-baitul Ulum
Trust</t>
    </r>
  </si>
  <si>
    <t>Distance from city centre:</t>
  </si>
  <si>
    <t>Accessibility to the Project from the City: (Proximity to</t>
  </si>
  <si>
    <t>all available at  1 to 2 km.</t>
  </si>
  <si>
    <t>Does property have Electricity / Water / Drainage</t>
  </si>
  <si>
    <t>Yes</t>
  </si>
  <si>
    <t>Class of locality</t>
  </si>
  <si>
    <t>Middle Class</t>
  </si>
  <si>
    <t>Nature of land with topographical condtion</t>
  </si>
  <si>
    <t>Plane</t>
  </si>
  <si>
    <t>Nature of the locality</t>
  </si>
  <si>
    <t>Developing</t>
  </si>
  <si>
    <t>Quality of infrastructure in vicinity</t>
  </si>
  <si>
    <t>Good</t>
  </si>
  <si>
    <t>Type of Structure</t>
  </si>
  <si>
    <t>RCC Frame Structure</t>
  </si>
  <si>
    <t>Approved usage of the Property:</t>
  </si>
  <si>
    <t>Residential + Commercial</t>
  </si>
  <si>
    <t>Restrictive Covenants in regard to Land Use</t>
  </si>
  <si>
    <t>No</t>
  </si>
  <si>
    <t>Boundries</t>
  </si>
  <si>
    <t>As per deed</t>
  </si>
  <si>
    <t>At site</t>
  </si>
  <si>
    <t>East</t>
  </si>
  <si>
    <t>NA</t>
  </si>
  <si>
    <t>Masjid-e-baitul Ulum Trust</t>
  </si>
  <si>
    <t>West</t>
  </si>
  <si>
    <t>North</t>
  </si>
  <si>
    <t>Slum</t>
  </si>
  <si>
    <t>South</t>
  </si>
  <si>
    <t>Does the boundaries at site match, as mentioned in the Docoumentation: NA</t>
  </si>
  <si>
    <t>Latitude</t>
  </si>
  <si>
    <t>Longitude</t>
  </si>
  <si>
    <t>Area Statement Details :</t>
  </si>
  <si>
    <t>Total land area of the project in Sq. Mt.</t>
  </si>
  <si>
    <t>3.9 Km from Mumbra
Railway Station</t>
  </si>
  <si>
    <t>Permissible FSI</t>
  </si>
  <si>
    <t>Permissible TDR/Paid FSI</t>
  </si>
  <si>
    <t>Total FSI availaible for the project</t>
  </si>
  <si>
    <t>Total Approved Builtup area of the project (Sq.Mt)</t>
  </si>
  <si>
    <t>Total number of Buildings</t>
  </si>
  <si>
    <t>Approval Detail : Plan approval</t>
  </si>
  <si>
    <t>Layout Approval No</t>
  </si>
  <si>
    <t>Dated</t>
  </si>
  <si>
    <t>Approved Floor plan No.</t>
  </si>
  <si>
    <t>Commencement Certificate No.</t>
  </si>
  <si>
    <t>O. Certificate No.:</t>
  </si>
  <si>
    <t>Building wise Construction details</t>
  </si>
  <si>
    <t>Approved area of building (Sq.Mt)</t>
  </si>
  <si>
    <t>Approved no of units</t>
  </si>
  <si>
    <t>Approved no of Floors</t>
  </si>
  <si>
    <t>Proposed no of Floors</t>
  </si>
  <si>
    <t>Expected Completion</t>
  </si>
  <si>
    <t>Projected life of the structure</t>
  </si>
  <si>
    <t>60 Years After Completion</t>
  </si>
  <si>
    <t>Quality of construction:</t>
  </si>
  <si>
    <t>Material laying at Site:</t>
  </si>
  <si>
    <t>Cement, Aggregate, Steel, etc</t>
  </si>
  <si>
    <t>Basement</t>
  </si>
  <si>
    <t>Ground</t>
  </si>
  <si>
    <t>Podium</t>
  </si>
  <si>
    <t>Floors</t>
  </si>
  <si>
    <t>Type of Work</t>
  </si>
  <si>
    <t>Complition %</t>
  </si>
  <si>
    <t>Progress %</t>
  </si>
  <si>
    <t>Disbursement %</t>
  </si>
  <si>
    <t>Plinth</t>
  </si>
  <si>
    <t>Painting &amp; Wooden</t>
  </si>
  <si>
    <t>Wheather the construction is as per approved Building plan : Under Construction</t>
  </si>
  <si>
    <t>Violations Observed if any : NA</t>
  </si>
  <si>
    <t>Proposed Amenities :</t>
  </si>
  <si>
    <t>1.Vitrified tiles flooring 2. Granite Kitchen Platform  3. Decorative Enternace  etc.</t>
  </si>
  <si>
    <t>Recommended Rates of the Property :</t>
  </si>
  <si>
    <t>Recommended rate of the flat Per Sq. Ft. ( on Saleable area)</t>
  </si>
  <si>
    <t>Recommended rate of the shop Per Sq. Ft. ( on Saleable area)</t>
  </si>
  <si>
    <t>Development Charges</t>
  </si>
  <si>
    <t>Recommended rate of Parking</t>
  </si>
  <si>
    <t>Distressed valuation of the Property</t>
  </si>
  <si>
    <t>Commercial Area Details :</t>
  </si>
  <si>
    <t>Building &amp; Wing</t>
  </si>
  <si>
    <t>No. of Units</t>
  </si>
  <si>
    <t>Total Carpet Area</t>
  </si>
  <si>
    <t>Total Saleable Area</t>
  </si>
  <si>
    <t>Coral Wing A</t>
  </si>
  <si>
    <t>Coral Wing B</t>
  </si>
  <si>
    <t>Coral Wing C</t>
  </si>
  <si>
    <t>Total</t>
  </si>
  <si>
    <t>Sale Residential Area Details :</t>
  </si>
  <si>
    <t>Pearl Wing A</t>
  </si>
  <si>
    <t>Pearl Wing B</t>
  </si>
  <si>
    <t>Pearl Wing C</t>
  </si>
  <si>
    <t>Pearl Wing D</t>
  </si>
  <si>
    <t>Emerald Wing A</t>
  </si>
  <si>
    <t>Emerald Wing B</t>
  </si>
  <si>
    <t>Emerald Wing C</t>
  </si>
  <si>
    <t>Emerald Wing D</t>
  </si>
  <si>
    <t>Emerald Wing E</t>
  </si>
  <si>
    <t>Sapphire Wing A</t>
  </si>
  <si>
    <t>Sapphire Wing B</t>
  </si>
  <si>
    <t>Sapphire Wing C</t>
  </si>
  <si>
    <t>Sapphire Wing D</t>
  </si>
  <si>
    <t>Building details Floor Wise</t>
  </si>
  <si>
    <t>Details of Flats in Building</t>
  </si>
  <si>
    <r>
      <rPr>
        <b/>
        <sz val="11"/>
        <rFont val="Times New Roman"/>
        <family val="1"/>
      </rPr>
      <t>Flat/Shop No.
(Sale Plan)</t>
    </r>
  </si>
  <si>
    <r>
      <rPr>
        <b/>
        <sz val="11"/>
        <rFont val="Times New Roman"/>
        <family val="1"/>
      </rPr>
      <t>Flat/Shop No. (Approved
Plan)</t>
    </r>
  </si>
  <si>
    <t>Description</t>
  </si>
  <si>
    <t>Gross Carpet area</t>
  </si>
  <si>
    <t>Attached Terrace area</t>
  </si>
  <si>
    <t>Saleable area</t>
  </si>
  <si>
    <t>Floor</t>
  </si>
  <si>
    <t>Coral  Wing A</t>
  </si>
  <si>
    <t>Ground Floor for Commercial &amp; Parking</t>
  </si>
  <si>
    <t>Shop</t>
  </si>
  <si>
    <t>1st Floor for Residential</t>
  </si>
  <si>
    <t>Authorized Signatory
Name &amp; Seal of the agency</t>
  </si>
  <si>
    <t>PHOTOGRAPHS OF PROPERTY : Mukta Gharonda</t>
  </si>
  <si>
    <t>Google Map :</t>
  </si>
  <si>
    <t>Construction details:</t>
  </si>
  <si>
    <t xml:space="preserve">Stage of construction: </t>
  </si>
  <si>
    <t>All work Completed. OC Received.</t>
  </si>
  <si>
    <t>Slab/Floor</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</si>
  <si>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</si>
  <si>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</si>
  <si>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</si>
  <si>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</si>
  <si>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</si>
  <si>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</si>
  <si>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</si>
  <si>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</si>
  <si>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</si>
  <si>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</si>
  <si>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</si>
  <si>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</si>
  <si>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</si>
  <si>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</si>
  <si>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</si>
  <si>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</si>
  <si>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Basement 4</t>
  </si>
  <si>
    <t>Building Common Amenities</t>
  </si>
  <si>
    <t>Plinth in process</t>
  </si>
  <si>
    <t>Possession</t>
  </si>
  <si>
    <t>Plinth completed</t>
  </si>
  <si>
    <t>Coral (Wing A, B, C) - G + 7th Floor 
Pearl (Wing A, B, C &amp; D) - G + 7th Floor
Emerald (Wing A, B, C, D &amp; E) - G + 7th Floor 
Sapphire (Wing A, B, C, D) - G + 7th Floor</t>
  </si>
  <si>
    <t>3,00,000/-</t>
  </si>
  <si>
    <t>Sapphire (Wing C &amp;D) - G + 7th Floor</t>
  </si>
  <si>
    <t>2BHK</t>
  </si>
  <si>
    <t>1BHK</t>
  </si>
  <si>
    <t>4th to 7th Floor</t>
  </si>
  <si>
    <t>2nd to 7th Floor</t>
  </si>
  <si>
    <t>2nd &amp; 7th Floor</t>
  </si>
  <si>
    <t>1st to 7th Floor for Residential</t>
  </si>
  <si>
    <r>
      <rPr>
        <b/>
        <sz val="11.5"/>
        <rFont val="Times New Roman"/>
        <family val="1"/>
      </rPr>
      <t>Emerald Wing A</t>
    </r>
  </si>
  <si>
    <t>1st &amp; 7th Floor for Residential</t>
  </si>
  <si>
    <t>2nd Floor</t>
  </si>
  <si>
    <t>Sale</t>
  </si>
  <si>
    <t>3rd to 6th Floor</t>
  </si>
  <si>
    <t>Sale Flats - 464, Mhada Flats - 43, Sale Shops - 21</t>
  </si>
  <si>
    <t>Wing Emerald  - A, B, C, D &amp; E 
Wing Pearl - A, B, C &amp; D
Wing Sapphire - A, B, C &amp; D 
Coral - A, B &amp; C</t>
  </si>
  <si>
    <t>P51700020333</t>
  </si>
  <si>
    <t>16 Wings</t>
  </si>
  <si>
    <t>V.P.S09/0056/15/TMC/TD-DP/TPS/3994/22</t>
  </si>
  <si>
    <t>V.P.No.S09/0056/15/TMC/TDD/3994/22</t>
  </si>
  <si>
    <t xml:space="preserve">Valid Up to:
Coral (Wing A, B, C) - G + 1st to 7th Floor 
Pearl (Wing A, B, C &amp; D) - G + 1st to 7th Floor 
Emerald (Wing A, B, C, D &amp; E) - G + 1st to 7th Floor 
Sapphire (Wing A, B, C &amp; D) -  G + 1st to 7th Floor 
</t>
  </si>
  <si>
    <t xml:space="preserve">Coral (Wing A, B, C) - G + 1st to 7th Floor 
Pearl (Wing A, B, C &amp; D) - G + 1st to 7th Floor 
Emerald (Wing A, B, C, D &amp; E) - G + 1st to 7th Floor 
Sapphire (Wing A, B, C &amp; D) -  G + 1st to 7th Floor 
</t>
  </si>
  <si>
    <t>Sapphire (Wing A, B, C &amp; D) - G + 7th Floor</t>
  </si>
  <si>
    <t>9769751173 / 8452070920</t>
  </si>
  <si>
    <t xml:space="preserve">Emerald (Wing A, B, C) - G + 7th Floor 
</t>
  </si>
  <si>
    <t xml:space="preserve">Emerald (Wing D &amp; E) - G + 7th Floor 
</t>
  </si>
  <si>
    <t>Location Link</t>
  </si>
  <si>
    <t>https://goo.gl/maps/g72kfp9jjX1ZPGyy9</t>
  </si>
  <si>
    <t xml:space="preserve">Coral (Wing B, C) - G + 7th Floor 
</t>
  </si>
  <si>
    <t xml:space="preserve">Coral (Wing A) - G + 7th Floor 
</t>
  </si>
  <si>
    <t>Mr. Gangaram Lambore</t>
  </si>
  <si>
    <t>Pearl (Wing A to C) - G + 7th Floor</t>
  </si>
  <si>
    <t>Pearl (Wing D) - G + 7th Floor</t>
  </si>
  <si>
    <t>As per RERA - 29/12/2025</t>
  </si>
  <si>
    <t>Office No. 1031, Wing J, Akshar Business Park, Plot No. 03 Sector 25, Near APMC Market, Vashi, 
Navi Mumbai, Maharashtra 400703 TEL: 022-46090378/79/80                                                                                                                                                                                                 Email : vsjcapf@gmail.com. Web site : www.vsjadon.com</t>
  </si>
  <si>
    <t>1. Construction work is in process at the time of visit. Internal visit was not allowed.
2. We considered  Saleable area  as per our calculation.
3. We considered Carpet area as per Approved Plan.
4. We considered Gross carpet area = Net carpet + Enclose balcony + C.B Area.
5. We have considered rate by verifying it from market inquire.
6. Recommended rate should be considered as all inclusive rate if other charges are not mentioned. (Excluding GST &amp; other government Taxes)
7. Car parking is subjected to authentic documentation.
8. We have update revised approved floor plan &amp; C.C. (dtd. 08/04/2022).
7. On Site, we meet Mr. Samad - 9619230983</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</si>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</sst>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0"/>
    <numFmt numFmtId="166" formatCode="0.0"/>
  </numFmts>
  <fonts count="17" x14ac:knownFonts="1">
    <font>
      <sz val="10"/>
      <color rgb="FF000000"/>
      <name val="Times New Roman"/>
      <charset val="204"/>
    </font>
    <font>
      <sz val="11"/>
      <color theme="1"/>
      <name val="Calibri"/>
      <family val="2"/>
      <scheme val="minor"/>
    </font>
    <font>
      <b/>
      <sz val="11.5"/>
      <name val="Times New Roman"/>
      <family val="1"/>
    </font>
    <font>
      <sz val="11.5"/>
      <name val="Times New Roman"/>
      <family val="1"/>
    </font>
    <font>
      <sz val="11.5"/>
      <color rgb="FF000000"/>
      <name val="Times New Roman"/>
      <family val="2"/>
    </font>
    <font>
      <sz val="10.5"/>
      <name val="Times New Roman"/>
      <family val="1"/>
    </font>
    <font>
      <b/>
      <sz val="11"/>
      <name val="Times New Roman"/>
      <family val="1"/>
    </font>
    <font>
      <sz val="11"/>
      <color rgb="FF000000"/>
      <name val="Times New Roman"/>
      <family val="1"/>
    </font>
    <font>
      <sz val="11"/>
      <name val="Times New Roman"/>
      <family val="1"/>
    </font>
    <font>
      <b/>
      <sz val="11"/>
      <color rgb="FF000000"/>
      <name val="Times New Roman"/>
      <family val="1"/>
    </font>
    <font>
      <b/>
      <sz val="12"/>
      <color theme="1"/>
      <name val="Times New Roman"/>
      <family val="1"/>
    </font>
    <font>
      <sz val="12"/>
      <color theme="1"/>
      <name val="Times New Roman"/>
      <family val="1"/>
    </font>
    <font>
      <sz val="11"/>
      <color theme="1"/>
      <name val="Times New Roman"/>
      <family val="1"/>
    </font>
    <font>
      <sz val="11"/>
      <color theme="1"/>
      <name val="Calibri"/>
      <family val="2"/>
    </font>
    <font>
      <u/>
      <sz val="10"/>
      <color theme="10"/>
      <name val="Times New Roman"/>
      <family val="1"/>
    </font>
    <font>
      <b/>
      <sz val="12"/>
      <name val="Times New Roman"/>
      <family val="1"/>
    </font>
    <font>
      <sz val="10"/>
      <color theme="1"/>
      <name val="Times New Roman"/>
      <family val="1"/>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0" fontId="1" fillId="0" borderId="0"/>
    <xf numFmtId="0" fontId="14" fillId="0" borderId="0" applyNumberFormat="0" applyFill="0" applyBorder="0" applyAlignment="0" applyProtection="0"/>
  </cellStyleXfs>
  <cellXfs count="132">
    <xf numFmtId="0" fontId="0" fillId="0" borderId="0" xfId="0" applyFill="1" applyBorder="1" applyAlignment="1">
      <alignment horizontal="left" vertical="top"/>
    </xf>
    <xf numFmtId="0" fontId="7" fillId="0" borderId="0" xfId="0" applyFont="1" applyFill="1" applyBorder="1" applyAlignment="1">
      <alignment horizontal="left" vertical="top"/>
    </xf>
    <xf numFmtId="1" fontId="7" fillId="0" borderId="1" xfId="0" applyNumberFormat="1" applyFont="1" applyFill="1" applyBorder="1" applyAlignment="1">
      <alignment horizontal="left" vertical="top" indent="4" shrinkToFit="1"/>
    </xf>
    <xf numFmtId="1" fontId="4" fillId="0" borderId="1" xfId="0" applyNumberFormat="1" applyFont="1" applyFill="1" applyBorder="1" applyAlignment="1">
      <alignment horizontal="left" vertical="top" indent="4" shrinkToFit="1"/>
    </xf>
    <xf numFmtId="0" fontId="9" fillId="0" borderId="0" xfId="0" applyFont="1" applyFill="1" applyBorder="1" applyAlignment="1">
      <alignment horizontal="left" vertical="top"/>
    </xf>
    <xf numFmtId="0" fontId="11" fillId="0" borderId="16" xfId="1" applyFont="1" applyFill="1" applyBorder="1" applyProtection="1">
      <protection hidden="1"/>
    </xf>
    <xf numFmtId="0" fontId="11" fillId="0" borderId="19" xfId="1" applyFont="1" applyFill="1" applyBorder="1" applyAlignment="1" applyProtection="1">
      <alignment horizontal="center" vertical="top"/>
      <protection locked="0"/>
    </xf>
    <xf numFmtId="0" fontId="11" fillId="0" borderId="0" xfId="1" applyFont="1" applyFill="1" applyBorder="1" applyProtection="1">
      <protection hidden="1"/>
    </xf>
    <xf numFmtId="0" fontId="12" fillId="0" borderId="0" xfId="0" applyFont="1" applyFill="1" applyBorder="1" applyProtection="1">
      <protection hidden="1"/>
    </xf>
    <xf numFmtId="0" fontId="12" fillId="0" borderId="24" xfId="0" applyFont="1" applyFill="1" applyBorder="1" applyProtection="1">
      <protection hidden="1"/>
    </xf>
    <xf numFmtId="1" fontId="7" fillId="0" borderId="0" xfId="0" applyNumberFormat="1" applyFont="1" applyFill="1" applyBorder="1" applyAlignment="1">
      <alignment horizontal="left" vertical="top"/>
    </xf>
    <xf numFmtId="1" fontId="7" fillId="0" borderId="1" xfId="0" applyNumberFormat="1" applyFont="1" applyFill="1" applyBorder="1" applyAlignment="1">
      <alignment horizontal="center" vertical="top"/>
    </xf>
    <xf numFmtId="0" fontId="3" fillId="0" borderId="1" xfId="0" applyFont="1" applyFill="1" applyBorder="1" applyAlignment="1">
      <alignment horizontal="center" vertical="top" wrapText="1"/>
    </xf>
    <xf numFmtId="1" fontId="4" fillId="0" borderId="1" xfId="0" applyNumberFormat="1" applyFont="1" applyFill="1" applyBorder="1" applyAlignment="1">
      <alignment horizontal="center" vertical="top" shrinkToFit="1"/>
    </xf>
    <xf numFmtId="0" fontId="11" fillId="0" borderId="1" xfId="1" applyFont="1" applyFill="1" applyBorder="1" applyAlignment="1" applyProtection="1">
      <alignment horizontal="center" vertical="top" wrapText="1"/>
      <protection locked="0"/>
    </xf>
    <xf numFmtId="0" fontId="11" fillId="0" borderId="18" xfId="1" applyFont="1" applyFill="1" applyBorder="1" applyAlignment="1" applyProtection="1">
      <alignment horizontal="center" vertical="top"/>
      <protection locked="0"/>
    </xf>
    <xf numFmtId="0" fontId="11" fillId="0" borderId="1" xfId="1" applyFont="1" applyFill="1" applyBorder="1" applyAlignment="1" applyProtection="1">
      <alignment horizontal="center" vertical="top"/>
      <protection locked="0"/>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1" fontId="9" fillId="0" borderId="1" xfId="0" applyNumberFormat="1" applyFont="1" applyFill="1" applyBorder="1" applyAlignment="1">
      <alignment horizontal="center" vertical="top" shrinkToFit="1"/>
    </xf>
    <xf numFmtId="1" fontId="7" fillId="0" borderId="1" xfId="0" applyNumberFormat="1" applyFont="1" applyFill="1" applyBorder="1" applyAlignment="1">
      <alignment horizontal="center" vertical="top" shrinkToFit="1"/>
    </xf>
    <xf numFmtId="0" fontId="11" fillId="0" borderId="17" xfId="1" applyFont="1" applyFill="1" applyBorder="1" applyProtection="1">
      <protection hidden="1"/>
    </xf>
    <xf numFmtId="0" fontId="11" fillId="0" borderId="20" xfId="1" applyFont="1" applyFill="1" applyBorder="1" applyProtection="1">
      <protection hidden="1"/>
    </xf>
    <xf numFmtId="0" fontId="11" fillId="0" borderId="20" xfId="1" applyFont="1" applyFill="1" applyBorder="1"/>
    <xf numFmtId="0" fontId="11" fillId="0" borderId="1" xfId="1" applyFont="1" applyFill="1" applyBorder="1" applyAlignment="1" applyProtection="1">
      <alignment horizontal="center" wrapText="1"/>
      <protection locked="0"/>
    </xf>
    <xf numFmtId="9" fontId="11" fillId="0" borderId="1" xfId="1" applyNumberFormat="1" applyFont="1" applyFill="1" applyBorder="1" applyAlignment="1" applyProtection="1">
      <alignment horizontal="center" vertical="center" wrapText="1"/>
      <protection hidden="1"/>
    </xf>
    <xf numFmtId="0" fontId="12" fillId="0" borderId="20" xfId="0" applyNumberFormat="1" applyFont="1" applyFill="1" applyBorder="1" applyProtection="1">
      <protection hidden="1"/>
    </xf>
    <xf numFmtId="1" fontId="11" fillId="0" borderId="1" xfId="1" applyNumberFormat="1" applyFont="1" applyFill="1" applyBorder="1" applyAlignment="1" applyProtection="1">
      <alignment horizontal="center" wrapText="1"/>
      <protection locked="0"/>
    </xf>
    <xf numFmtId="1" fontId="13" fillId="0" borderId="20" xfId="0" applyNumberFormat="1" applyFont="1" applyFill="1" applyBorder="1"/>
    <xf numFmtId="1" fontId="13" fillId="0" borderId="20" xfId="0" applyNumberFormat="1" applyFont="1" applyFill="1" applyBorder="1" applyAlignment="1">
      <alignment horizontal="right"/>
    </xf>
    <xf numFmtId="0" fontId="11" fillId="0" borderId="22" xfId="1" applyFont="1" applyFill="1" applyBorder="1" applyAlignment="1" applyProtection="1">
      <alignment horizontal="center" wrapText="1"/>
      <protection locked="0"/>
    </xf>
    <xf numFmtId="9" fontId="11" fillId="0" borderId="22" xfId="1" applyNumberFormat="1" applyFont="1" applyFill="1" applyBorder="1" applyAlignment="1" applyProtection="1">
      <alignment horizontal="center" vertical="center" wrapText="1"/>
      <protection hidden="1"/>
    </xf>
    <xf numFmtId="1" fontId="13" fillId="0" borderId="25" xfId="0" applyNumberFormat="1" applyFont="1" applyFill="1" applyBorder="1"/>
    <xf numFmtId="0" fontId="11" fillId="0" borderId="1" xfId="1" applyFont="1" applyFill="1" applyBorder="1" applyAlignment="1" applyProtection="1">
      <alignment horizontal="center" vertical="top" wrapText="1"/>
      <protection locked="0"/>
    </xf>
    <xf numFmtId="9" fontId="11" fillId="0" borderId="1" xfId="1" applyNumberFormat="1" applyFont="1" applyFill="1" applyBorder="1" applyAlignment="1" applyProtection="1">
      <alignment horizontal="center" vertical="center" wrapText="1"/>
      <protection hidden="1"/>
    </xf>
    <xf numFmtId="9" fontId="11" fillId="0" borderId="22" xfId="1" applyNumberFormat="1" applyFont="1" applyFill="1" applyBorder="1" applyAlignment="1" applyProtection="1">
      <alignment horizontal="center" vertical="center" wrapText="1"/>
      <protection hidden="1"/>
    </xf>
    <xf numFmtId="0" fontId="11" fillId="0" borderId="1" xfId="1" applyFont="1" applyFill="1" applyBorder="1" applyAlignment="1" applyProtection="1">
      <alignment horizontal="center" vertical="top" wrapText="1"/>
      <protection locked="0"/>
    </xf>
    <xf numFmtId="9" fontId="11" fillId="0" borderId="1" xfId="1" applyNumberFormat="1" applyFont="1" applyFill="1" applyBorder="1" applyAlignment="1" applyProtection="1">
      <alignment horizontal="center" vertical="center" wrapText="1"/>
      <protection hidden="1"/>
    </xf>
    <xf numFmtId="9" fontId="11" fillId="0" borderId="22" xfId="1" applyNumberFormat="1" applyFont="1" applyFill="1" applyBorder="1" applyAlignment="1" applyProtection="1">
      <alignment horizontal="center" vertical="center" wrapText="1"/>
      <protection hidden="1"/>
    </xf>
    <xf numFmtId="0" fontId="11" fillId="0" borderId="18" xfId="1" applyFont="1" applyFill="1" applyBorder="1" applyAlignment="1" applyProtection="1">
      <alignment horizontal="center" vertical="top"/>
      <protection locked="0"/>
    </xf>
    <xf numFmtId="0" fontId="11" fillId="0" borderId="1" xfId="1" applyFont="1" applyFill="1" applyBorder="1" applyAlignment="1" applyProtection="1">
      <alignment horizontal="center" vertical="top"/>
      <protection locked="0"/>
    </xf>
    <xf numFmtId="0" fontId="11" fillId="0" borderId="18" xfId="1" applyFont="1" applyFill="1" applyBorder="1" applyAlignment="1" applyProtection="1">
      <alignment horizontal="center" vertical="top"/>
      <protection locked="0"/>
    </xf>
    <xf numFmtId="0" fontId="11" fillId="0" borderId="1" xfId="1" applyFont="1" applyFill="1" applyBorder="1" applyAlignment="1" applyProtection="1">
      <alignment horizontal="center" vertical="top"/>
      <protection locked="0"/>
    </xf>
    <xf numFmtId="0" fontId="11" fillId="0" borderId="1" xfId="1" applyFont="1" applyFill="1" applyBorder="1" applyAlignment="1" applyProtection="1">
      <alignment horizontal="center" vertical="top" wrapText="1"/>
      <protection locked="0"/>
    </xf>
    <xf numFmtId="9" fontId="11" fillId="0" borderId="1" xfId="1" applyNumberFormat="1" applyFont="1" applyFill="1" applyBorder="1" applyAlignment="1" applyProtection="1">
      <alignment horizontal="center" vertical="center" wrapText="1"/>
      <protection hidden="1"/>
    </xf>
    <xf numFmtId="0" fontId="8" fillId="0" borderId="1" xfId="0" applyFont="1" applyFill="1" applyBorder="1" applyAlignment="1">
      <alignment horizontal="left" vertical="top" wrapText="1"/>
    </xf>
    <xf numFmtId="1" fontId="4" fillId="0" borderId="1" xfId="0" applyNumberFormat="1" applyFont="1" applyFill="1" applyBorder="1" applyAlignment="1">
      <alignment horizontal="center" vertical="top" shrinkToFit="1"/>
    </xf>
    <xf numFmtId="0" fontId="11" fillId="0" borderId="1" xfId="1" applyFont="1" applyFill="1" applyBorder="1" applyAlignment="1" applyProtection="1">
      <alignment horizontal="center" vertical="top"/>
      <protection locked="0"/>
    </xf>
    <xf numFmtId="0" fontId="6" fillId="0" borderId="1" xfId="0" applyFont="1" applyFill="1" applyBorder="1" applyAlignment="1">
      <alignment horizontal="center" vertical="top" wrapText="1"/>
    </xf>
    <xf numFmtId="1" fontId="7" fillId="0" borderId="1" xfId="0" applyNumberFormat="1" applyFont="1" applyFill="1" applyBorder="1" applyAlignment="1">
      <alignment horizontal="center" vertical="top" shrinkToFit="1"/>
    </xf>
    <xf numFmtId="0" fontId="16" fillId="0" borderId="1" xfId="1" applyFont="1" applyFill="1" applyBorder="1" applyAlignment="1" applyProtection="1">
      <alignment horizontal="center" vertical="top" wrapText="1"/>
      <protection locked="0"/>
    </xf>
    <xf numFmtId="0" fontId="10" fillId="0" borderId="1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0" fontId="10" fillId="0" borderId="14"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protection locked="0"/>
    </xf>
    <xf numFmtId="0" fontId="10" fillId="0" borderId="1" xfId="1" applyFont="1" applyFill="1" applyBorder="1" applyAlignment="1" applyProtection="1">
      <alignment horizontal="left" vertical="top" wrapText="1"/>
      <protection locked="0"/>
    </xf>
    <xf numFmtId="0" fontId="11" fillId="0" borderId="1" xfId="1" applyFont="1" applyFill="1" applyBorder="1" applyAlignment="1" applyProtection="1">
      <alignment horizontal="center" vertical="top" wrapText="1"/>
      <protection locked="0"/>
    </xf>
    <xf numFmtId="9" fontId="11" fillId="0" borderId="1" xfId="1" applyNumberFormat="1" applyFont="1" applyFill="1" applyBorder="1" applyAlignment="1" applyProtection="1">
      <alignment horizontal="center" vertical="center" wrapText="1"/>
      <protection hidden="1"/>
    </xf>
    <xf numFmtId="0" fontId="8"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11" fillId="0" borderId="18" xfId="1" applyFont="1" applyFill="1" applyBorder="1" applyAlignment="1" applyProtection="1">
      <alignment horizontal="center" vertical="top" wrapText="1"/>
      <protection locked="0"/>
    </xf>
    <xf numFmtId="0" fontId="11" fillId="0" borderId="19" xfId="1" applyFont="1" applyFill="1" applyBorder="1" applyAlignment="1" applyProtection="1">
      <alignment horizontal="center" vertical="top" wrapText="1"/>
      <protection locked="0"/>
    </xf>
    <xf numFmtId="9" fontId="11" fillId="0" borderId="22" xfId="1" applyNumberFormat="1" applyFont="1" applyFill="1" applyBorder="1" applyAlignment="1" applyProtection="1">
      <alignment horizontal="center" vertical="center" wrapText="1"/>
      <protection hidden="1"/>
    </xf>
    <xf numFmtId="9" fontId="11" fillId="0" borderId="19" xfId="1" applyNumberFormat="1" applyFont="1" applyFill="1" applyBorder="1" applyAlignment="1" applyProtection="1">
      <alignment horizontal="center" vertical="center" wrapText="1"/>
      <protection hidden="1"/>
    </xf>
    <xf numFmtId="9" fontId="11" fillId="0" borderId="23" xfId="1" applyNumberFormat="1" applyFont="1" applyFill="1" applyBorder="1" applyAlignment="1" applyProtection="1">
      <alignment horizontal="center" vertical="center" wrapText="1"/>
      <protection hidden="1"/>
    </xf>
    <xf numFmtId="0" fontId="11" fillId="0" borderId="21" xfId="1" applyFont="1" applyFill="1" applyBorder="1" applyAlignment="1" applyProtection="1">
      <alignment horizontal="center" vertical="top" wrapText="1"/>
      <protection locked="0"/>
    </xf>
    <xf numFmtId="0" fontId="11" fillId="0" borderId="22" xfId="1" applyFont="1" applyFill="1" applyBorder="1" applyAlignment="1" applyProtection="1">
      <alignment horizontal="center" vertical="top" wrapText="1"/>
      <protection locked="0"/>
    </xf>
    <xf numFmtId="1" fontId="4" fillId="0" borderId="8" xfId="0" applyNumberFormat="1" applyFont="1" applyFill="1" applyBorder="1" applyAlignment="1">
      <alignment horizontal="center" vertical="top" shrinkToFit="1"/>
    </xf>
    <xf numFmtId="1" fontId="4" fillId="0" borderId="10" xfId="0" applyNumberFormat="1" applyFont="1" applyFill="1" applyBorder="1" applyAlignment="1">
      <alignment horizontal="center" vertical="top" shrinkToFit="1"/>
    </xf>
    <xf numFmtId="1" fontId="4" fillId="0" borderId="1" xfId="0" applyNumberFormat="1" applyFont="1" applyFill="1" applyBorder="1" applyAlignment="1">
      <alignment horizontal="center" vertical="top" shrinkToFit="1"/>
    </xf>
    <xf numFmtId="0" fontId="3" fillId="0" borderId="1" xfId="0" applyFont="1" applyFill="1" applyBorder="1" applyAlignment="1">
      <alignment horizontal="center" vertical="center" wrapText="1"/>
    </xf>
    <xf numFmtId="0" fontId="0" fillId="0" borderId="1" xfId="0"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1" fillId="0" borderId="18" xfId="1" applyFont="1" applyFill="1" applyBorder="1" applyAlignment="1" applyProtection="1">
      <alignment horizontal="center" vertical="top"/>
      <protection locked="0"/>
    </xf>
    <xf numFmtId="0" fontId="11" fillId="0" borderId="1" xfId="1" applyFont="1" applyFill="1" applyBorder="1" applyAlignment="1" applyProtection="1">
      <alignment horizontal="center" vertical="top"/>
      <protection locked="0"/>
    </xf>
    <xf numFmtId="0" fontId="6"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8"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10" xfId="0" applyFont="1" applyFill="1" applyBorder="1" applyAlignment="1">
      <alignment horizontal="center" vertical="top" wrapText="1"/>
    </xf>
    <xf numFmtId="0" fontId="10" fillId="0" borderId="18" xfId="1" applyFont="1" applyFill="1" applyBorder="1" applyAlignment="1" applyProtection="1">
      <alignment horizontal="left" vertical="top"/>
      <protection locked="0"/>
    </xf>
    <xf numFmtId="0" fontId="10" fillId="0" borderId="19" xfId="1" applyFont="1" applyFill="1" applyBorder="1" applyAlignment="1" applyProtection="1">
      <alignment horizontal="left" vertical="top" wrapText="1"/>
      <protection locked="0"/>
    </xf>
    <xf numFmtId="14" fontId="8" fillId="0" borderId="1" xfId="0" applyNumberFormat="1" applyFont="1" applyFill="1" applyBorder="1" applyAlignment="1">
      <alignment horizontal="left" vertical="top" wrapText="1"/>
    </xf>
    <xf numFmtId="0" fontId="9"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1" fontId="7" fillId="0" borderId="1" xfId="0" applyNumberFormat="1" applyFont="1" applyFill="1" applyBorder="1" applyAlignment="1">
      <alignment horizontal="left" vertical="top" shrinkToFit="1"/>
    </xf>
    <xf numFmtId="0" fontId="8" fillId="0" borderId="1" xfId="0" applyFont="1" applyFill="1" applyBorder="1" applyAlignment="1">
      <alignment horizontal="center" vertical="top" wrapText="1"/>
    </xf>
    <xf numFmtId="164" fontId="7" fillId="0" borderId="1" xfId="0" applyNumberFormat="1" applyFont="1" applyFill="1" applyBorder="1" applyAlignment="1">
      <alignment horizontal="center" vertical="top" shrinkToFit="1"/>
    </xf>
    <xf numFmtId="165" fontId="7" fillId="0" borderId="1" xfId="0" applyNumberFormat="1" applyFont="1" applyFill="1" applyBorder="1" applyAlignment="1">
      <alignment horizontal="center" vertical="top" shrinkToFit="1"/>
    </xf>
    <xf numFmtId="166" fontId="7" fillId="0" borderId="1" xfId="0" applyNumberFormat="1" applyFont="1" applyFill="1" applyBorder="1" applyAlignment="1">
      <alignment horizontal="left" vertical="top" shrinkToFit="1"/>
    </xf>
    <xf numFmtId="0" fontId="7" fillId="0" borderId="1" xfId="0" applyFont="1" applyFill="1" applyBorder="1" applyAlignment="1">
      <alignment horizontal="left" vertical="top"/>
    </xf>
    <xf numFmtId="2" fontId="7" fillId="0" borderId="1" xfId="0" applyNumberFormat="1" applyFont="1" applyFill="1" applyBorder="1" applyAlignment="1">
      <alignment horizontal="left" vertical="top" shrinkToFit="1"/>
    </xf>
    <xf numFmtId="1" fontId="9" fillId="0" borderId="1" xfId="0" applyNumberFormat="1" applyFont="1" applyFill="1" applyBorder="1" applyAlignment="1">
      <alignment horizontal="left" vertical="top" shrinkToFit="1"/>
    </xf>
    <xf numFmtId="1" fontId="9" fillId="0" borderId="1" xfId="0" applyNumberFormat="1" applyFont="1" applyFill="1" applyBorder="1" applyAlignment="1">
      <alignment horizontal="center" vertical="top" shrinkToFit="1"/>
    </xf>
    <xf numFmtId="1" fontId="7" fillId="0" borderId="1" xfId="0" applyNumberFormat="1" applyFont="1" applyFill="1" applyBorder="1" applyAlignment="1">
      <alignment horizontal="center" vertical="top" shrinkToFit="1"/>
    </xf>
    <xf numFmtId="0" fontId="8" fillId="0" borderId="1" xfId="0" applyFont="1" applyFill="1" applyBorder="1" applyAlignment="1">
      <alignment horizontal="left" vertical="top" wrapText="1" indent="2"/>
    </xf>
    <xf numFmtId="1" fontId="7" fillId="0" borderId="8" xfId="0" applyNumberFormat="1" applyFont="1" applyFill="1" applyBorder="1" applyAlignment="1">
      <alignment horizontal="center" vertical="top" shrinkToFit="1"/>
    </xf>
    <xf numFmtId="1" fontId="7" fillId="0" borderId="9" xfId="0" applyNumberFormat="1" applyFont="1" applyFill="1" applyBorder="1" applyAlignment="1">
      <alignment horizontal="center" vertical="top" shrinkToFit="1"/>
    </xf>
    <xf numFmtId="1" fontId="7" fillId="0" borderId="10" xfId="0" applyNumberFormat="1" applyFont="1" applyFill="1" applyBorder="1" applyAlignment="1">
      <alignment horizontal="center" vertical="top" shrinkToFit="1"/>
    </xf>
    <xf numFmtId="0" fontId="8" fillId="0" borderId="1" xfId="0" applyFont="1" applyFill="1" applyBorder="1" applyAlignment="1">
      <alignment horizontal="left" vertical="top" wrapText="1" indent="3"/>
    </xf>
    <xf numFmtId="0" fontId="8" fillId="0" borderId="1" xfId="0" applyFont="1" applyFill="1" applyBorder="1" applyAlignment="1">
      <alignment horizontal="left" vertical="top" wrapText="1" indent="4"/>
    </xf>
    <xf numFmtId="0" fontId="6" fillId="0" borderId="1" xfId="0" applyFont="1" applyFill="1" applyBorder="1" applyAlignment="1">
      <alignment horizontal="left" vertical="top" wrapText="1" indent="2"/>
    </xf>
    <xf numFmtId="1" fontId="9" fillId="0" borderId="8" xfId="0" applyNumberFormat="1" applyFont="1" applyFill="1" applyBorder="1" applyAlignment="1">
      <alignment horizontal="center" vertical="top" shrinkToFit="1"/>
    </xf>
    <xf numFmtId="1" fontId="9" fillId="0" borderId="9" xfId="0" applyNumberFormat="1" applyFont="1" applyFill="1" applyBorder="1" applyAlignment="1">
      <alignment horizontal="center" vertical="top" shrinkToFit="1"/>
    </xf>
    <xf numFmtId="1" fontId="9" fillId="0" borderId="10" xfId="0" applyNumberFormat="1" applyFont="1" applyFill="1" applyBorder="1" applyAlignment="1">
      <alignment horizontal="center" vertical="top" shrinkToFit="1"/>
    </xf>
    <xf numFmtId="1" fontId="8" fillId="0" borderId="1" xfId="0" applyNumberFormat="1" applyFont="1" applyFill="1" applyBorder="1" applyAlignment="1">
      <alignment horizontal="left" vertical="top" wrapText="1" shrinkToFit="1"/>
    </xf>
    <xf numFmtId="0" fontId="8" fillId="0" borderId="1" xfId="0" applyFont="1" applyFill="1" applyBorder="1" applyAlignment="1">
      <alignment horizontal="center" vertical="center" wrapText="1"/>
    </xf>
    <xf numFmtId="0" fontId="5" fillId="0" borderId="1" xfId="0" applyFont="1" applyFill="1" applyBorder="1" applyAlignment="1">
      <alignment horizontal="left" vertical="top" wrapText="1" indent="4"/>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indent="5"/>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0" fillId="0" borderId="26" xfId="1" applyFont="1" applyFill="1" applyBorder="1" applyAlignment="1" applyProtection="1">
      <alignment horizontal="left" vertical="top" wrapText="1"/>
      <protection locked="0"/>
    </xf>
    <xf numFmtId="0" fontId="10" fillId="0" borderId="7" xfId="1" applyFont="1" applyFill="1" applyBorder="1" applyAlignment="1" applyProtection="1">
      <alignment horizontal="left" vertical="top" wrapText="1"/>
      <protection locked="0"/>
    </xf>
    <xf numFmtId="0" fontId="10" fillId="0" borderId="6" xfId="1" applyFont="1" applyFill="1" applyBorder="1" applyAlignment="1" applyProtection="1">
      <alignment horizontal="left" vertical="top" wrapText="1"/>
      <protection locked="0"/>
    </xf>
    <xf numFmtId="0" fontId="10" fillId="0" borderId="27" xfId="1" applyFont="1" applyFill="1" applyBorder="1" applyAlignment="1" applyProtection="1">
      <alignment horizontal="left" vertical="top" wrapText="1"/>
      <protection locked="0"/>
    </xf>
    <xf numFmtId="0" fontId="10" fillId="0" borderId="28" xfId="1" applyFont="1" applyFill="1" applyBorder="1" applyAlignment="1" applyProtection="1">
      <alignment horizontal="left" vertical="top" wrapText="1"/>
      <protection locked="0"/>
    </xf>
    <xf numFmtId="164" fontId="14" fillId="0" borderId="8" xfId="2" applyNumberFormat="1" applyFill="1" applyBorder="1" applyAlignment="1">
      <alignment horizontal="left" vertical="top" shrinkToFit="1"/>
    </xf>
    <xf numFmtId="164" fontId="7" fillId="0" borderId="9" xfId="0" applyNumberFormat="1" applyFont="1" applyFill="1" applyBorder="1" applyAlignment="1">
      <alignment horizontal="left" vertical="top" shrinkToFit="1"/>
    </xf>
    <xf numFmtId="164" fontId="7" fillId="0" borderId="10" xfId="0" applyNumberFormat="1" applyFont="1" applyFill="1" applyBorder="1" applyAlignment="1">
      <alignment horizontal="left" vertical="top" shrinkToFit="1"/>
    </xf>
    <xf numFmtId="0" fontId="15" fillId="0" borderId="13" xfId="1" applyFont="1" applyFill="1" applyBorder="1" applyAlignment="1" applyProtection="1">
      <alignment horizontal="left" vertical="top" wrapText="1"/>
      <protection locked="0"/>
    </xf>
    <xf numFmtId="0" fontId="15" fillId="0" borderId="14" xfId="1" applyFont="1" applyFill="1" applyBorder="1" applyAlignment="1" applyProtection="1">
      <alignment horizontal="left" vertical="top" wrapText="1"/>
      <protection locked="0"/>
    </xf>
    <xf numFmtId="0" fontId="15" fillId="0" borderId="15" xfId="1" applyFont="1" applyFill="1" applyBorder="1" applyAlignment="1" applyProtection="1">
      <alignment horizontal="left" vertical="top" wrapText="1"/>
      <protection locked="0"/>
    </xf>
  </cellXfs>
  <cellStyles count="3">
    <cellStyle name="Hyperlink" xfId="2" builtinId="8"/>
    <cellStyle name="Normal" xfId="0" builtinId="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editAs="oneCell">
    <xdr:from>
      <xdr:col>1</xdr:col>
      <xdr:colOff>359149</xdr:colOff>
      <xdr:row>507</xdr:row>
      <xdr:rowOff>12327</xdr:rowOff>
    </xdr:from>
    <xdr:to>
      <xdr:col>6</xdr:col>
      <xdr:colOff>382610</xdr:colOff>
      <xdr:row>519</xdr:row>
      <xdr:rowOff>51492</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rot="5400000">
          <a:off x="1880059" y="86997717"/>
          <a:ext cx="2325165" cy="3862036"/>
        </a:xfrm>
        <a:prstGeom prst="rect">
          <a:avLst/>
        </a:prstGeom>
        <a:ln>
          <a:solidFill>
            <a:schemeClr val="tx1"/>
          </a:solidFill>
        </a:ln>
      </xdr:spPr>
    </xdr:pic>
    <xdr:clientData/>
  </xdr:twoCellAnchor>
  <xdr:twoCellAnchor editAs="oneCell">
    <xdr:from>
      <xdr:col>1</xdr:col>
      <xdr:colOff>359149</xdr:colOff>
      <xdr:row>520</xdr:row>
      <xdr:rowOff>44006</xdr:rowOff>
    </xdr:from>
    <xdr:to>
      <xdr:col>6</xdr:col>
      <xdr:colOff>385486</xdr:colOff>
      <xdr:row>532</xdr:row>
      <xdr:rowOff>97549</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rot="5400000">
          <a:off x="1874308" y="89511647"/>
          <a:ext cx="2339543" cy="3864912"/>
        </a:xfrm>
        <a:prstGeom prst="rect">
          <a:avLst/>
        </a:prstGeom>
        <a:ln>
          <a:solidFill>
            <a:schemeClr val="tx1"/>
          </a:solidFill>
        </a:ln>
      </xdr:spPr>
    </xdr:pic>
    <xdr:clientData/>
  </xdr:twoCellAnchor>
  <xdr:twoCellAnchor editAs="oneCell">
    <xdr:from>
      <xdr:col>9</xdr:col>
      <xdr:colOff>224118</xdr:colOff>
      <xdr:row>45</xdr:row>
      <xdr:rowOff>100853</xdr:rowOff>
    </xdr:from>
    <xdr:to>
      <xdr:col>19</xdr:col>
      <xdr:colOff>7199</xdr:colOff>
      <xdr:row>52</xdr:row>
      <xdr:rowOff>157094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8180294" y="11093824"/>
          <a:ext cx="5161905" cy="2790476"/>
        </a:xfrm>
        <a:prstGeom prst="rect">
          <a:avLst/>
        </a:prstGeom>
      </xdr:spPr>
    </xdr:pic>
    <xdr:clientData/>
  </xdr:twoCellAnchor>
  <xdr:twoCellAnchor>
    <xdr:from>
      <xdr:col>8</xdr:col>
      <xdr:colOff>917575</xdr:colOff>
      <xdr:row>406</xdr:row>
      <xdr:rowOff>66675</xdr:rowOff>
    </xdr:from>
    <xdr:to>
      <xdr:col>19</xdr:col>
      <xdr:colOff>101503</xdr:colOff>
      <xdr:row>452</xdr:row>
      <xdr:rowOff>35907</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832725" y="84162900"/>
          <a:ext cx="5575203" cy="8732232"/>
          <a:chOff x="565150" y="83019900"/>
          <a:chExt cx="6181628" cy="8148032"/>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65151" y="83019900"/>
            <a:ext cx="1968947" cy="2628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671491" y="83019900"/>
            <a:ext cx="1968947" cy="2628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777831" y="83019900"/>
            <a:ext cx="1968947" cy="2628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565150" y="88539932"/>
            <a:ext cx="1968947" cy="2628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565151" y="85779916"/>
            <a:ext cx="1968947" cy="2628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671490" y="85779916"/>
            <a:ext cx="1968947" cy="2628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777829" y="85779916"/>
            <a:ext cx="1968947" cy="2628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671489" y="88539932"/>
            <a:ext cx="1968947" cy="2628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772626" y="88539932"/>
            <a:ext cx="1968947" cy="2628000"/>
          </a:xfrm>
          <a:prstGeom prst="rect">
            <a:avLst/>
          </a:prstGeom>
          <a:ln>
            <a:solidFill>
              <a:schemeClr val="tx1"/>
            </a:solidFill>
          </a:ln>
        </xdr:spPr>
      </xdr:pic>
    </xdr:grpSp>
    <xdr:clientData/>
  </xdr:twoCellAnchor>
  <xdr:twoCellAnchor>
    <xdr:from>
      <xdr:col>8</xdr:col>
      <xdr:colOff>803275</xdr:colOff>
      <xdr:row>454</xdr:row>
      <xdr:rowOff>127000</xdr:rowOff>
    </xdr:from>
    <xdr:to>
      <xdr:col>19</xdr:col>
      <xdr:colOff>308494</xdr:colOff>
      <xdr:row>497</xdr:row>
      <xdr:rowOff>163374</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718425" y="93367225"/>
          <a:ext cx="5896494" cy="8227874"/>
          <a:chOff x="508000" y="91903550"/>
          <a:chExt cx="6502919" cy="7681774"/>
        </a:xfrm>
      </xdr:grpSpPr>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5500494" y="97569324"/>
            <a:ext cx="1510425" cy="2016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583223" y="91903550"/>
            <a:ext cx="2022891" cy="270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744159" y="91903550"/>
            <a:ext cx="2022891" cy="270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905095" y="91903550"/>
            <a:ext cx="2022891" cy="270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832128" y="97569324"/>
            <a:ext cx="1516727" cy="2016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170064" y="97569324"/>
            <a:ext cx="1510425" cy="2016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508000" y="97569324"/>
            <a:ext cx="1510425" cy="2016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583223" y="94736437"/>
            <a:ext cx="2022891" cy="270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744158" y="94736437"/>
            <a:ext cx="2022891" cy="2700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905095" y="94736437"/>
            <a:ext cx="2022891" cy="2700000"/>
          </a:xfrm>
          <a:prstGeom prst="rect">
            <a:avLst/>
          </a:prstGeom>
          <a:ln>
            <a:solidFill>
              <a:schemeClr val="tx1"/>
            </a:solidFill>
          </a:ln>
        </xdr:spPr>
      </xdr:pic>
    </xdr:grpSp>
    <xdr:clientData/>
  </xdr:twoCellAnchor>
  <xdr:twoCellAnchor>
    <xdr:from>
      <xdr:col>0</xdr:col>
      <xdr:colOff>169094</xdr:colOff>
      <xdr:row>406</xdr:row>
      <xdr:rowOff>95250</xdr:rowOff>
    </xdr:from>
    <xdr:to>
      <xdr:col>7</xdr:col>
      <xdr:colOff>1352300</xdr:colOff>
      <xdr:row>445</xdr:row>
      <xdr:rowOff>14568</xdr:rowOff>
    </xdr:to>
    <xdr:grpSp>
      <xdr:nvGrpSpPr>
        <xdr:cNvPr id="26" name="Group 25">
          <a:extLst>
            <a:ext uri="{FF2B5EF4-FFF2-40B4-BE49-F238E27FC236}">
              <a16:creationId xmlns:a16="http://schemas.microsoft.com/office/drawing/2014/main" id="{5932C4F0-E5BB-4F2F-8E80-C33557AB3C0B}"/>
            </a:ext>
          </a:extLst>
        </xdr:cNvPr>
        <xdr:cNvGrpSpPr/>
      </xdr:nvGrpSpPr>
      <xdr:grpSpPr>
        <a:xfrm>
          <a:off x="169094" y="84191475"/>
          <a:ext cx="6526731" cy="7348818"/>
          <a:chOff x="1" y="591671"/>
          <a:chExt cx="6992900" cy="6856407"/>
        </a:xfrm>
      </xdr:grpSpPr>
      <xdr:pic>
        <xdr:nvPicPr>
          <xdr:cNvPr id="36" name="Picture 35">
            <a:extLst>
              <a:ext uri="{FF2B5EF4-FFF2-40B4-BE49-F238E27FC236}">
                <a16:creationId xmlns:a16="http://schemas.microsoft.com/office/drawing/2014/main" id="{F5D19864-EFC1-4FCF-88C0-9D064AF95CA2}"/>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51807" y="591671"/>
            <a:ext cx="1753172" cy="2340000"/>
          </a:xfrm>
          <a:prstGeom prst="rect">
            <a:avLst/>
          </a:prstGeom>
          <a:ln>
            <a:solidFill>
              <a:schemeClr val="tx1"/>
            </a:solidFill>
          </a:ln>
        </xdr:spPr>
      </xdr:pic>
      <xdr:pic>
        <xdr:nvPicPr>
          <xdr:cNvPr id="46" name="Picture 45">
            <a:extLst>
              <a:ext uri="{FF2B5EF4-FFF2-40B4-BE49-F238E27FC236}">
                <a16:creationId xmlns:a16="http://schemas.microsoft.com/office/drawing/2014/main" id="{D3EC4E94-BC1A-4997-A275-760E9149C95A}"/>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388184" y="591671"/>
            <a:ext cx="1753171" cy="2340000"/>
          </a:xfrm>
          <a:prstGeom prst="rect">
            <a:avLst/>
          </a:prstGeom>
          <a:ln>
            <a:solidFill>
              <a:schemeClr val="tx1"/>
            </a:solidFill>
          </a:ln>
        </xdr:spPr>
      </xdr:pic>
      <xdr:pic>
        <xdr:nvPicPr>
          <xdr:cNvPr id="47" name="Picture 46">
            <a:extLst>
              <a:ext uri="{FF2B5EF4-FFF2-40B4-BE49-F238E27FC236}">
                <a16:creationId xmlns:a16="http://schemas.microsoft.com/office/drawing/2014/main" id="{C4606830-9B40-4565-99B9-B64CCF2A64D8}"/>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4324560" y="591671"/>
            <a:ext cx="1753172" cy="2340000"/>
          </a:xfrm>
          <a:prstGeom prst="rect">
            <a:avLst/>
          </a:prstGeom>
          <a:ln>
            <a:solidFill>
              <a:schemeClr val="tx1"/>
            </a:solidFill>
          </a:ln>
        </xdr:spPr>
      </xdr:pic>
      <xdr:pic>
        <xdr:nvPicPr>
          <xdr:cNvPr id="48" name="Picture 47">
            <a:extLst>
              <a:ext uri="{FF2B5EF4-FFF2-40B4-BE49-F238E27FC236}">
                <a16:creationId xmlns:a16="http://schemas.microsoft.com/office/drawing/2014/main" id="{3C88E7BE-8F0B-495A-A960-2935E9475289}"/>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 y="3137648"/>
            <a:ext cx="1618313" cy="2160000"/>
          </a:xfrm>
          <a:prstGeom prst="rect">
            <a:avLst/>
          </a:prstGeom>
          <a:ln>
            <a:solidFill>
              <a:schemeClr val="tx1"/>
            </a:solidFill>
          </a:ln>
        </xdr:spPr>
      </xdr:pic>
      <xdr:pic>
        <xdr:nvPicPr>
          <xdr:cNvPr id="49" name="Picture 48">
            <a:extLst>
              <a:ext uri="{FF2B5EF4-FFF2-40B4-BE49-F238E27FC236}">
                <a16:creationId xmlns:a16="http://schemas.microsoft.com/office/drawing/2014/main" id="{CC7FDFCD-AB05-43CA-B7C2-4F0C5BEBC12C}"/>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791079" y="3137648"/>
            <a:ext cx="1618312" cy="2160000"/>
          </a:xfrm>
          <a:prstGeom prst="rect">
            <a:avLst/>
          </a:prstGeom>
          <a:ln>
            <a:solidFill>
              <a:schemeClr val="tx1"/>
            </a:solidFill>
          </a:ln>
        </xdr:spPr>
      </xdr:pic>
      <xdr:pic>
        <xdr:nvPicPr>
          <xdr:cNvPr id="51" name="Picture 50">
            <a:extLst>
              <a:ext uri="{FF2B5EF4-FFF2-40B4-BE49-F238E27FC236}">
                <a16:creationId xmlns:a16="http://schemas.microsoft.com/office/drawing/2014/main" id="{13B54C07-3A84-46F5-ACB9-7257A7BEFCA6}"/>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3582834" y="3137648"/>
            <a:ext cx="1618312" cy="2160000"/>
          </a:xfrm>
          <a:prstGeom prst="rect">
            <a:avLst/>
          </a:prstGeom>
          <a:ln>
            <a:solidFill>
              <a:schemeClr val="tx1"/>
            </a:solidFill>
          </a:ln>
        </xdr:spPr>
      </xdr:pic>
      <xdr:pic>
        <xdr:nvPicPr>
          <xdr:cNvPr id="52" name="Picture 51">
            <a:extLst>
              <a:ext uri="{FF2B5EF4-FFF2-40B4-BE49-F238E27FC236}">
                <a16:creationId xmlns:a16="http://schemas.microsoft.com/office/drawing/2014/main" id="{4B3786C7-27F4-4C65-9898-39947BD3B7C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5374589" y="3137648"/>
            <a:ext cx="1618312" cy="2160000"/>
          </a:xfrm>
          <a:prstGeom prst="rect">
            <a:avLst/>
          </a:prstGeom>
          <a:ln>
            <a:solidFill>
              <a:schemeClr val="tx1"/>
            </a:solidFill>
          </a:ln>
        </xdr:spPr>
      </xdr:pic>
      <xdr:pic>
        <xdr:nvPicPr>
          <xdr:cNvPr id="53" name="Picture 52">
            <a:extLst>
              <a:ext uri="{FF2B5EF4-FFF2-40B4-BE49-F238E27FC236}">
                <a16:creationId xmlns:a16="http://schemas.microsoft.com/office/drawing/2014/main" id="{FEA3DC02-2692-49B8-AE03-83E04F71E57C}"/>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318890" y="5468078"/>
            <a:ext cx="1483453" cy="1980000"/>
          </a:xfrm>
          <a:prstGeom prst="rect">
            <a:avLst/>
          </a:prstGeom>
          <a:ln>
            <a:solidFill>
              <a:schemeClr val="tx1"/>
            </a:solidFill>
          </a:ln>
        </xdr:spPr>
      </xdr:pic>
      <xdr:pic>
        <xdr:nvPicPr>
          <xdr:cNvPr id="54" name="Picture 53">
            <a:extLst>
              <a:ext uri="{FF2B5EF4-FFF2-40B4-BE49-F238E27FC236}">
                <a16:creationId xmlns:a16="http://schemas.microsoft.com/office/drawing/2014/main" id="{3824B8D9-2C6A-4D6A-A847-47DCCA4223AF}"/>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927010" y="5468078"/>
            <a:ext cx="1483453" cy="1980000"/>
          </a:xfrm>
          <a:prstGeom prst="rect">
            <a:avLst/>
          </a:prstGeom>
          <a:ln>
            <a:solidFill>
              <a:schemeClr val="tx1"/>
            </a:solidFill>
          </a:ln>
        </xdr:spPr>
      </xdr:pic>
      <xdr:pic>
        <xdr:nvPicPr>
          <xdr:cNvPr id="55" name="Picture 54">
            <a:extLst>
              <a:ext uri="{FF2B5EF4-FFF2-40B4-BE49-F238E27FC236}">
                <a16:creationId xmlns:a16="http://schemas.microsoft.com/office/drawing/2014/main" id="{0382A5EA-4CFE-4BB5-B345-C003FB8F0B1A}"/>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3545321" y="5468078"/>
            <a:ext cx="1483453" cy="1980000"/>
          </a:xfrm>
          <a:prstGeom prst="rect">
            <a:avLst/>
          </a:prstGeom>
          <a:ln>
            <a:solidFill>
              <a:schemeClr val="tx1"/>
            </a:solidFill>
          </a:ln>
        </xdr:spPr>
      </xdr:pic>
      <xdr:pic>
        <xdr:nvPicPr>
          <xdr:cNvPr id="56" name="Picture 55">
            <a:extLst>
              <a:ext uri="{FF2B5EF4-FFF2-40B4-BE49-F238E27FC236}">
                <a16:creationId xmlns:a16="http://schemas.microsoft.com/office/drawing/2014/main" id="{AF8DE8E7-7B03-4E5A-A4AA-70E00CDDDF75}"/>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5163633" y="5468078"/>
            <a:ext cx="1483453" cy="1980000"/>
          </a:xfrm>
          <a:prstGeom prst="rect">
            <a:avLst/>
          </a:prstGeom>
          <a:ln>
            <a:solidFill>
              <a:schemeClr val="tx1"/>
            </a:solidFill>
          </a:ln>
        </xdr:spPr>
      </xdr:pic>
    </xdr:grpSp>
    <xdr:clientData/>
  </xdr:twoCellAnchor>
  <xdr:twoCellAnchor>
    <xdr:from>
      <xdr:col>0</xdr:col>
      <xdr:colOff>704850</xdr:colOff>
      <xdr:row>457</xdr:row>
      <xdr:rowOff>0</xdr:rowOff>
    </xdr:from>
    <xdr:to>
      <xdr:col>7</xdr:col>
      <xdr:colOff>829217</xdr:colOff>
      <xdr:row>492</xdr:row>
      <xdr:rowOff>152736</xdr:rowOff>
    </xdr:to>
    <xdr:grpSp>
      <xdr:nvGrpSpPr>
        <xdr:cNvPr id="58" name="Group 57">
          <a:extLst>
            <a:ext uri="{FF2B5EF4-FFF2-40B4-BE49-F238E27FC236}">
              <a16:creationId xmlns:a16="http://schemas.microsoft.com/office/drawing/2014/main" id="{2B9974D5-7C2B-4023-BB03-6E75337B9DA5}"/>
            </a:ext>
          </a:extLst>
        </xdr:cNvPr>
        <xdr:cNvGrpSpPr/>
      </xdr:nvGrpSpPr>
      <xdr:grpSpPr>
        <a:xfrm>
          <a:off x="704850" y="93811725"/>
          <a:ext cx="5467892" cy="6820236"/>
          <a:chOff x="380090" y="304800"/>
          <a:chExt cx="5467892" cy="6820236"/>
        </a:xfrm>
      </xdr:grpSpPr>
      <xdr:pic>
        <xdr:nvPicPr>
          <xdr:cNvPr id="59" name="Picture 58">
            <a:extLst>
              <a:ext uri="{FF2B5EF4-FFF2-40B4-BE49-F238E27FC236}">
                <a16:creationId xmlns:a16="http://schemas.microsoft.com/office/drawing/2014/main" id="{E90F25B8-A254-43A6-9065-0D0471C41C54}"/>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380090" y="304800"/>
            <a:ext cx="1753171" cy="2340000"/>
          </a:xfrm>
          <a:prstGeom prst="rect">
            <a:avLst/>
          </a:prstGeom>
          <a:ln>
            <a:solidFill>
              <a:schemeClr val="tx1"/>
            </a:solidFill>
          </a:ln>
        </xdr:spPr>
      </xdr:pic>
      <xdr:pic>
        <xdr:nvPicPr>
          <xdr:cNvPr id="60" name="Picture 59">
            <a:extLst>
              <a:ext uri="{FF2B5EF4-FFF2-40B4-BE49-F238E27FC236}">
                <a16:creationId xmlns:a16="http://schemas.microsoft.com/office/drawing/2014/main" id="{6E7577F5-DA3E-4854-B258-3233BDF6BB15}"/>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2241106" y="304800"/>
            <a:ext cx="1745859" cy="2340000"/>
          </a:xfrm>
          <a:prstGeom prst="rect">
            <a:avLst/>
          </a:prstGeom>
          <a:ln>
            <a:solidFill>
              <a:schemeClr val="tx1"/>
            </a:solidFill>
          </a:ln>
        </xdr:spPr>
      </xdr:pic>
      <xdr:pic>
        <xdr:nvPicPr>
          <xdr:cNvPr id="61" name="Picture 60">
            <a:extLst>
              <a:ext uri="{FF2B5EF4-FFF2-40B4-BE49-F238E27FC236}">
                <a16:creationId xmlns:a16="http://schemas.microsoft.com/office/drawing/2014/main" id="{957B7422-C707-4812-A513-517F2FD75A00}"/>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4094810" y="304800"/>
            <a:ext cx="1753172" cy="2340000"/>
          </a:xfrm>
          <a:prstGeom prst="rect">
            <a:avLst/>
          </a:prstGeom>
          <a:ln>
            <a:solidFill>
              <a:schemeClr val="tx1"/>
            </a:solidFill>
          </a:ln>
        </xdr:spPr>
      </xdr:pic>
      <xdr:pic>
        <xdr:nvPicPr>
          <xdr:cNvPr id="62" name="Picture 61">
            <a:extLst>
              <a:ext uri="{FF2B5EF4-FFF2-40B4-BE49-F238E27FC236}">
                <a16:creationId xmlns:a16="http://schemas.microsoft.com/office/drawing/2014/main" id="{2A332A43-9499-4EE7-BDCC-4A5AB31271C9}"/>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735876" y="2814918"/>
            <a:ext cx="1618312" cy="2160000"/>
          </a:xfrm>
          <a:prstGeom prst="rect">
            <a:avLst/>
          </a:prstGeom>
          <a:ln>
            <a:solidFill>
              <a:schemeClr val="tx1"/>
            </a:solidFill>
          </a:ln>
        </xdr:spPr>
      </xdr:pic>
      <xdr:pic>
        <xdr:nvPicPr>
          <xdr:cNvPr id="63" name="Picture 62">
            <a:extLst>
              <a:ext uri="{FF2B5EF4-FFF2-40B4-BE49-F238E27FC236}">
                <a16:creationId xmlns:a16="http://schemas.microsoft.com/office/drawing/2014/main" id="{4BB99363-AE88-4A72-93CE-AB217C66CBD5}"/>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2507296" y="2814918"/>
            <a:ext cx="2877715" cy="2160000"/>
          </a:xfrm>
          <a:prstGeom prst="rect">
            <a:avLst/>
          </a:prstGeom>
          <a:ln>
            <a:solidFill>
              <a:schemeClr val="tx1"/>
            </a:solidFill>
          </a:ln>
        </xdr:spPr>
      </xdr:pic>
      <xdr:pic>
        <xdr:nvPicPr>
          <xdr:cNvPr id="64" name="Picture 63">
            <a:extLst>
              <a:ext uri="{FF2B5EF4-FFF2-40B4-BE49-F238E27FC236}">
                <a16:creationId xmlns:a16="http://schemas.microsoft.com/office/drawing/2014/main" id="{69062980-547A-4409-B484-075EAAAEA71A}"/>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359027" y="5145036"/>
            <a:ext cx="1489641" cy="1980000"/>
          </a:xfrm>
          <a:prstGeom prst="rect">
            <a:avLst/>
          </a:prstGeom>
          <a:ln>
            <a:solidFill>
              <a:schemeClr val="tx1"/>
            </a:solidFill>
          </a:ln>
        </xdr:spPr>
      </xdr:pic>
      <xdr:pic>
        <xdr:nvPicPr>
          <xdr:cNvPr id="65" name="Picture 64">
            <a:extLst>
              <a:ext uri="{FF2B5EF4-FFF2-40B4-BE49-F238E27FC236}">
                <a16:creationId xmlns:a16="http://schemas.microsoft.com/office/drawing/2014/main" id="{2948CE76-7DB0-457F-B529-F6C830D94797}"/>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3012158" y="5145036"/>
            <a:ext cx="1483453" cy="198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72kfp9jjX1ZPGyy9"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06"/>
  <sheetViews>
    <sheetView tabSelected="1" view="pageBreakPreview" topLeftCell="A37" zoomScaleNormal="100" zoomScaleSheetLayoutView="100" workbookViewId="0">
      <selection activeCell="K44" sqref="K44"/>
    </sheetView>
  </sheetViews>
  <sheetFormatPr defaultColWidth="9.33203125" defaultRowHeight="15" x14ac:dyDescent="0.2"/>
  <cols>
    <col min="1" max="1" width="13.1640625" style="1" customWidth="1"/>
    <col min="2" max="2" width="13.6640625" style="1" customWidth="1"/>
    <col min="3" max="3" width="14" style="1" customWidth="1"/>
    <col min="4" max="7" width="13.1640625" style="1" customWidth="1"/>
    <col min="8" max="8" width="27.5" style="1" customWidth="1"/>
    <col min="9" max="9" width="18.5" style="1" customWidth="1"/>
    <col min="10" max="16384" width="9.33203125" style="1"/>
  </cols>
  <sheetData>
    <row r="1" spans="1:8" ht="49.5" customHeight="1" x14ac:dyDescent="0.2">
      <c r="A1" s="92" t="s">
        <v>244</v>
      </c>
      <c r="B1" s="92"/>
      <c r="C1" s="92"/>
      <c r="D1" s="92"/>
      <c r="E1" s="92"/>
      <c r="F1" s="92"/>
      <c r="G1" s="92"/>
      <c r="H1" s="92"/>
    </row>
    <row r="2" spans="1:8" x14ac:dyDescent="0.2">
      <c r="A2" s="84" t="s">
        <v>39</v>
      </c>
      <c r="B2" s="84"/>
      <c r="C2" s="84"/>
      <c r="D2" s="84"/>
      <c r="E2" s="84"/>
      <c r="F2" s="84"/>
      <c r="G2" s="84"/>
      <c r="H2" s="84"/>
    </row>
    <row r="3" spans="1:8" x14ac:dyDescent="0.2">
      <c r="A3" s="62" t="s">
        <v>40</v>
      </c>
      <c r="B3" s="62"/>
      <c r="C3" s="62"/>
      <c r="D3" s="62"/>
      <c r="E3" s="91" t="str">
        <f ca="1">TEXT(TODAY(),"DD/MM/YYYY")</f>
        <v>13/07/2025</v>
      </c>
      <c r="F3" s="91"/>
      <c r="G3" s="91"/>
      <c r="H3" s="91"/>
    </row>
    <row r="4" spans="1:8" x14ac:dyDescent="0.2">
      <c r="A4" s="62" t="s">
        <v>41</v>
      </c>
      <c r="B4" s="62"/>
      <c r="C4" s="62"/>
      <c r="D4" s="62"/>
      <c r="E4" s="62" t="s">
        <v>42</v>
      </c>
      <c r="F4" s="62"/>
      <c r="G4" s="62"/>
      <c r="H4" s="62"/>
    </row>
    <row r="5" spans="1:8" x14ac:dyDescent="0.2">
      <c r="A5" s="62" t="s">
        <v>43</v>
      </c>
      <c r="B5" s="62"/>
      <c r="C5" s="62"/>
      <c r="D5" s="62"/>
      <c r="E5" s="91">
        <v>45848</v>
      </c>
      <c r="F5" s="91"/>
      <c r="G5" s="91"/>
      <c r="H5" s="91"/>
    </row>
    <row r="6" spans="1:8" x14ac:dyDescent="0.2">
      <c r="A6" s="62" t="s">
        <v>44</v>
      </c>
      <c r="B6" s="62"/>
      <c r="C6" s="62"/>
      <c r="D6" s="62"/>
      <c r="E6" s="62" t="s">
        <v>45</v>
      </c>
      <c r="F6" s="62"/>
      <c r="G6" s="62"/>
      <c r="H6" s="62"/>
    </row>
    <row r="7" spans="1:8" x14ac:dyDescent="0.2">
      <c r="A7" s="62" t="s">
        <v>46</v>
      </c>
      <c r="B7" s="62"/>
      <c r="C7" s="62"/>
      <c r="D7" s="62"/>
      <c r="E7" s="62" t="s">
        <v>45</v>
      </c>
      <c r="F7" s="62"/>
      <c r="G7" s="62"/>
      <c r="H7" s="62"/>
    </row>
    <row r="8" spans="1:8" ht="16.5" customHeight="1" x14ac:dyDescent="0.2">
      <c r="A8" s="62" t="s">
        <v>47</v>
      </c>
      <c r="B8" s="62"/>
      <c r="C8" s="62"/>
      <c r="D8" s="62"/>
      <c r="E8" s="93" t="s">
        <v>48</v>
      </c>
      <c r="F8" s="93"/>
      <c r="G8" s="93"/>
      <c r="H8" s="93"/>
    </row>
    <row r="9" spans="1:8" x14ac:dyDescent="0.2">
      <c r="A9" s="62" t="s">
        <v>49</v>
      </c>
      <c r="B9" s="62"/>
      <c r="C9" s="62"/>
      <c r="D9" s="62"/>
      <c r="E9" s="62" t="s">
        <v>233</v>
      </c>
      <c r="F9" s="62"/>
      <c r="G9" s="62"/>
      <c r="H9" s="62"/>
    </row>
    <row r="10" spans="1:8" ht="62.25" customHeight="1" x14ac:dyDescent="0.2">
      <c r="A10" s="62" t="s">
        <v>50</v>
      </c>
      <c r="B10" s="62"/>
      <c r="C10" s="62"/>
      <c r="D10" s="62"/>
      <c r="E10" s="62" t="s">
        <v>225</v>
      </c>
      <c r="F10" s="63"/>
      <c r="G10" s="63"/>
      <c r="H10" s="63"/>
    </row>
    <row r="11" spans="1:8" ht="16.5" customHeight="1" x14ac:dyDescent="0.2">
      <c r="A11" s="62" t="s">
        <v>51</v>
      </c>
      <c r="B11" s="62"/>
      <c r="C11" s="62"/>
      <c r="D11" s="62"/>
      <c r="E11" s="62" t="s">
        <v>52</v>
      </c>
      <c r="F11" s="62"/>
      <c r="G11" s="62"/>
      <c r="H11" s="62"/>
    </row>
    <row r="12" spans="1:8" ht="16.5" customHeight="1" x14ac:dyDescent="0.2">
      <c r="A12" s="62" t="s">
        <v>53</v>
      </c>
      <c r="B12" s="62"/>
      <c r="C12" s="62"/>
      <c r="D12" s="62"/>
      <c r="E12" s="62" t="s">
        <v>226</v>
      </c>
      <c r="F12" s="62"/>
      <c r="G12" s="62"/>
      <c r="H12" s="62"/>
    </row>
    <row r="13" spans="1:8" x14ac:dyDescent="0.2">
      <c r="A13" s="62" t="s">
        <v>54</v>
      </c>
      <c r="B13" s="62"/>
      <c r="C13" s="62" t="s">
        <v>55</v>
      </c>
      <c r="D13" s="62"/>
      <c r="E13" s="62"/>
      <c r="F13" s="62"/>
      <c r="G13" s="62"/>
      <c r="H13" s="62"/>
    </row>
    <row r="14" spans="1:8" ht="16.5" customHeight="1" x14ac:dyDescent="0.2">
      <c r="A14" s="62" t="s">
        <v>56</v>
      </c>
      <c r="B14" s="62"/>
      <c r="C14" s="94">
        <v>135</v>
      </c>
      <c r="D14" s="94"/>
      <c r="E14" s="94"/>
      <c r="F14" s="94"/>
      <c r="G14" s="94"/>
      <c r="H14" s="94"/>
    </row>
    <row r="15" spans="1:8" ht="16.5" customHeight="1" x14ac:dyDescent="0.2">
      <c r="A15" s="62" t="s">
        <v>57</v>
      </c>
      <c r="B15" s="62"/>
      <c r="C15" s="62" t="s">
        <v>58</v>
      </c>
      <c r="D15" s="62"/>
      <c r="E15" s="62" t="s">
        <v>59</v>
      </c>
      <c r="F15" s="62"/>
      <c r="G15" s="62" t="s">
        <v>60</v>
      </c>
      <c r="H15" s="62"/>
    </row>
    <row r="16" spans="1:8" ht="16.5" customHeight="1" x14ac:dyDescent="0.2">
      <c r="A16" s="62" t="s">
        <v>61</v>
      </c>
      <c r="B16" s="62"/>
      <c r="C16" s="62" t="s">
        <v>62</v>
      </c>
      <c r="D16" s="62"/>
      <c r="E16" s="62" t="s">
        <v>63</v>
      </c>
      <c r="F16" s="62"/>
      <c r="G16" s="62" t="s">
        <v>64</v>
      </c>
      <c r="H16" s="62"/>
    </row>
    <row r="17" spans="1:8" ht="16.5" customHeight="1" x14ac:dyDescent="0.2">
      <c r="A17" s="62" t="s">
        <v>65</v>
      </c>
      <c r="B17" s="62"/>
      <c r="C17" s="62" t="s">
        <v>64</v>
      </c>
      <c r="D17" s="62"/>
      <c r="E17" s="62" t="s">
        <v>66</v>
      </c>
      <c r="F17" s="62"/>
      <c r="G17" s="62">
        <v>400612</v>
      </c>
      <c r="H17" s="62"/>
    </row>
    <row r="18" spans="1:8" ht="33" customHeight="1" x14ac:dyDescent="0.2">
      <c r="A18" s="62" t="s">
        <v>67</v>
      </c>
      <c r="B18" s="62"/>
      <c r="C18" s="63" t="s">
        <v>68</v>
      </c>
      <c r="D18" s="63"/>
      <c r="E18" s="62" t="s">
        <v>69</v>
      </c>
      <c r="F18" s="62"/>
      <c r="G18" s="62" t="s">
        <v>103</v>
      </c>
      <c r="H18" s="62"/>
    </row>
    <row r="19" spans="1:8" x14ac:dyDescent="0.2">
      <c r="A19" s="62" t="s">
        <v>70</v>
      </c>
      <c r="B19" s="62"/>
      <c r="C19" s="62"/>
      <c r="D19" s="62"/>
      <c r="E19" s="62" t="s">
        <v>71</v>
      </c>
      <c r="F19" s="62"/>
      <c r="G19" s="62"/>
      <c r="H19" s="62"/>
    </row>
    <row r="20" spans="1:8" x14ac:dyDescent="0.2">
      <c r="A20" s="62" t="s">
        <v>72</v>
      </c>
      <c r="B20" s="62"/>
      <c r="C20" s="62"/>
      <c r="D20" s="62"/>
      <c r="E20" s="62" t="s">
        <v>73</v>
      </c>
      <c r="F20" s="62"/>
      <c r="G20" s="62"/>
      <c r="H20" s="62"/>
    </row>
    <row r="21" spans="1:8" x14ac:dyDescent="0.2">
      <c r="A21" s="62" t="s">
        <v>74</v>
      </c>
      <c r="B21" s="62"/>
      <c r="C21" s="62"/>
      <c r="D21" s="62"/>
      <c r="E21" s="62" t="s">
        <v>75</v>
      </c>
      <c r="F21" s="62"/>
      <c r="G21" s="62"/>
      <c r="H21" s="62"/>
    </row>
    <row r="22" spans="1:8" x14ac:dyDescent="0.2">
      <c r="A22" s="62" t="s">
        <v>76</v>
      </c>
      <c r="B22" s="62"/>
      <c r="C22" s="62"/>
      <c r="D22" s="62"/>
      <c r="E22" s="62" t="s">
        <v>77</v>
      </c>
      <c r="F22" s="62"/>
      <c r="G22" s="62"/>
      <c r="H22" s="62"/>
    </row>
    <row r="23" spans="1:8" x14ac:dyDescent="0.2">
      <c r="A23" s="62" t="s">
        <v>78</v>
      </c>
      <c r="B23" s="62"/>
      <c r="C23" s="62"/>
      <c r="D23" s="62"/>
      <c r="E23" s="62" t="s">
        <v>79</v>
      </c>
      <c r="F23" s="62"/>
      <c r="G23" s="62"/>
      <c r="H23" s="62"/>
    </row>
    <row r="24" spans="1:8" x14ac:dyDescent="0.2">
      <c r="A24" s="62" t="s">
        <v>80</v>
      </c>
      <c r="B24" s="62"/>
      <c r="C24" s="62"/>
      <c r="D24" s="62"/>
      <c r="E24" s="62" t="s">
        <v>81</v>
      </c>
      <c r="F24" s="62"/>
      <c r="G24" s="62"/>
      <c r="H24" s="62"/>
    </row>
    <row r="25" spans="1:8" x14ac:dyDescent="0.2">
      <c r="A25" s="62" t="s">
        <v>82</v>
      </c>
      <c r="B25" s="62"/>
      <c r="C25" s="62"/>
      <c r="D25" s="62"/>
      <c r="E25" s="62" t="s">
        <v>83</v>
      </c>
      <c r="F25" s="62"/>
      <c r="G25" s="62"/>
      <c r="H25" s="62"/>
    </row>
    <row r="26" spans="1:8" x14ac:dyDescent="0.2">
      <c r="A26" s="62" t="s">
        <v>84</v>
      </c>
      <c r="B26" s="62"/>
      <c r="C26" s="62"/>
      <c r="D26" s="62"/>
      <c r="E26" s="62" t="s">
        <v>85</v>
      </c>
      <c r="F26" s="62"/>
      <c r="G26" s="62"/>
      <c r="H26" s="62"/>
    </row>
    <row r="27" spans="1:8" x14ac:dyDescent="0.2">
      <c r="A27" s="62" t="s">
        <v>86</v>
      </c>
      <c r="B27" s="62"/>
      <c r="C27" s="62"/>
      <c r="D27" s="62"/>
      <c r="E27" s="62" t="s">
        <v>87</v>
      </c>
      <c r="F27" s="62"/>
      <c r="G27" s="62"/>
      <c r="H27" s="62"/>
    </row>
    <row r="28" spans="1:8" ht="16.5" customHeight="1" x14ac:dyDescent="0.2">
      <c r="A28" s="84" t="s">
        <v>88</v>
      </c>
      <c r="B28" s="84"/>
      <c r="C28" s="84" t="s">
        <v>89</v>
      </c>
      <c r="D28" s="84"/>
      <c r="E28" s="84"/>
      <c r="F28" s="84" t="s">
        <v>90</v>
      </c>
      <c r="G28" s="84"/>
      <c r="H28" s="84"/>
    </row>
    <row r="29" spans="1:8" ht="16.5" customHeight="1" x14ac:dyDescent="0.2">
      <c r="A29" s="95" t="s">
        <v>91</v>
      </c>
      <c r="B29" s="95"/>
      <c r="C29" s="95" t="s">
        <v>92</v>
      </c>
      <c r="D29" s="95"/>
      <c r="E29" s="95"/>
      <c r="F29" s="95" t="s">
        <v>93</v>
      </c>
      <c r="G29" s="95"/>
      <c r="H29" s="95"/>
    </row>
    <row r="30" spans="1:8" ht="16.5" customHeight="1" x14ac:dyDescent="0.2">
      <c r="A30" s="95" t="s">
        <v>94</v>
      </c>
      <c r="B30" s="95"/>
      <c r="C30" s="95" t="s">
        <v>92</v>
      </c>
      <c r="D30" s="95"/>
      <c r="E30" s="95"/>
      <c r="F30" s="95" t="s">
        <v>57</v>
      </c>
      <c r="G30" s="95"/>
      <c r="H30" s="95"/>
    </row>
    <row r="31" spans="1:8" ht="16.5" customHeight="1" x14ac:dyDescent="0.2">
      <c r="A31" s="95" t="s">
        <v>95</v>
      </c>
      <c r="B31" s="95"/>
      <c r="C31" s="95" t="s">
        <v>92</v>
      </c>
      <c r="D31" s="95"/>
      <c r="E31" s="95"/>
      <c r="F31" s="95" t="s">
        <v>96</v>
      </c>
      <c r="G31" s="95"/>
      <c r="H31" s="95"/>
    </row>
    <row r="32" spans="1:8" ht="16.5" customHeight="1" x14ac:dyDescent="0.2">
      <c r="A32" s="95" t="s">
        <v>97</v>
      </c>
      <c r="B32" s="95"/>
      <c r="C32" s="95" t="s">
        <v>92</v>
      </c>
      <c r="D32" s="95"/>
      <c r="E32" s="95"/>
      <c r="F32" s="95" t="s">
        <v>57</v>
      </c>
      <c r="G32" s="95"/>
      <c r="H32" s="95"/>
    </row>
    <row r="33" spans="1:8" ht="16.5" customHeight="1" x14ac:dyDescent="0.2">
      <c r="A33" s="62" t="s">
        <v>98</v>
      </c>
      <c r="B33" s="62"/>
      <c r="C33" s="62"/>
      <c r="D33" s="62"/>
      <c r="E33" s="62"/>
      <c r="F33" s="62"/>
      <c r="G33" s="62"/>
      <c r="H33" s="62"/>
    </row>
    <row r="34" spans="1:8" ht="16.5" customHeight="1" x14ac:dyDescent="0.2">
      <c r="A34" s="84" t="s">
        <v>99</v>
      </c>
      <c r="B34" s="84"/>
      <c r="C34" s="96">
        <v>19.162675</v>
      </c>
      <c r="D34" s="96"/>
      <c r="E34" s="84" t="s">
        <v>100</v>
      </c>
      <c r="F34" s="84"/>
      <c r="G34" s="97">
        <v>73.024029999999996</v>
      </c>
      <c r="H34" s="97"/>
    </row>
    <row r="35" spans="1:8" ht="16.5" customHeight="1" x14ac:dyDescent="0.2">
      <c r="A35" s="84" t="s">
        <v>236</v>
      </c>
      <c r="B35" s="84"/>
      <c r="C35" s="126" t="s">
        <v>237</v>
      </c>
      <c r="D35" s="127"/>
      <c r="E35" s="127"/>
      <c r="F35" s="127"/>
      <c r="G35" s="127"/>
      <c r="H35" s="128"/>
    </row>
    <row r="36" spans="1:8" ht="16.5" customHeight="1" x14ac:dyDescent="0.2">
      <c r="A36" s="93" t="s">
        <v>101</v>
      </c>
      <c r="B36" s="93"/>
      <c r="C36" s="93"/>
      <c r="D36" s="93"/>
      <c r="E36" s="93"/>
      <c r="F36" s="93"/>
      <c r="G36" s="93"/>
      <c r="H36" s="93"/>
    </row>
    <row r="37" spans="1:8" ht="16.5" customHeight="1" x14ac:dyDescent="0.2">
      <c r="A37" s="62" t="s">
        <v>102</v>
      </c>
      <c r="B37" s="62"/>
      <c r="C37" s="62"/>
      <c r="D37" s="62"/>
      <c r="E37" s="100">
        <v>11999.83</v>
      </c>
      <c r="F37" s="100"/>
      <c r="G37" s="100"/>
      <c r="H37" s="100"/>
    </row>
    <row r="38" spans="1:8" x14ac:dyDescent="0.2">
      <c r="A38" s="62" t="s">
        <v>104</v>
      </c>
      <c r="B38" s="62"/>
      <c r="C38" s="62"/>
      <c r="D38" s="62"/>
      <c r="E38" s="98">
        <v>1.1000000000000001</v>
      </c>
      <c r="F38" s="98"/>
      <c r="G38" s="98"/>
      <c r="H38" s="98"/>
    </row>
    <row r="39" spans="1:8" x14ac:dyDescent="0.2">
      <c r="A39" s="62" t="s">
        <v>105</v>
      </c>
      <c r="B39" s="62"/>
      <c r="C39" s="62"/>
      <c r="D39" s="62"/>
      <c r="E39" s="98">
        <f>E41/E37-E38</f>
        <v>0.75744464713250093</v>
      </c>
      <c r="F39" s="98"/>
      <c r="G39" s="98"/>
      <c r="H39" s="98"/>
    </row>
    <row r="40" spans="1:8" x14ac:dyDescent="0.2">
      <c r="A40" s="62" t="s">
        <v>106</v>
      </c>
      <c r="B40" s="62"/>
      <c r="C40" s="62"/>
      <c r="D40" s="62"/>
      <c r="E40" s="98">
        <f>E38+E39</f>
        <v>1.857444647132501</v>
      </c>
      <c r="F40" s="98"/>
      <c r="G40" s="98"/>
      <c r="H40" s="98"/>
    </row>
    <row r="41" spans="1:8" x14ac:dyDescent="0.2">
      <c r="A41" s="62" t="s">
        <v>107</v>
      </c>
      <c r="B41" s="62"/>
      <c r="C41" s="62"/>
      <c r="D41" s="62"/>
      <c r="E41" s="100">
        <v>22289.02</v>
      </c>
      <c r="F41" s="100"/>
      <c r="G41" s="100"/>
      <c r="H41" s="100"/>
    </row>
    <row r="42" spans="1:8" x14ac:dyDescent="0.2">
      <c r="A42" s="62" t="s">
        <v>108</v>
      </c>
      <c r="B42" s="62"/>
      <c r="C42" s="62"/>
      <c r="D42" s="62"/>
      <c r="E42" s="62" t="s">
        <v>227</v>
      </c>
      <c r="F42" s="62"/>
      <c r="G42" s="62"/>
      <c r="H42" s="62"/>
    </row>
    <row r="43" spans="1:8" x14ac:dyDescent="0.2">
      <c r="A43" s="93" t="s">
        <v>109</v>
      </c>
      <c r="B43" s="93"/>
      <c r="C43" s="93"/>
      <c r="D43" s="93"/>
      <c r="E43" s="93"/>
      <c r="F43" s="93"/>
      <c r="G43" s="93"/>
      <c r="H43" s="93"/>
    </row>
    <row r="44" spans="1:8" ht="32.25" customHeight="1" x14ac:dyDescent="0.2">
      <c r="A44" s="62" t="s">
        <v>110</v>
      </c>
      <c r="B44" s="62"/>
      <c r="C44" s="62" t="s">
        <v>228</v>
      </c>
      <c r="D44" s="62"/>
      <c r="E44" s="62"/>
      <c r="F44" s="47" t="s">
        <v>111</v>
      </c>
      <c r="G44" s="91">
        <v>44635</v>
      </c>
      <c r="H44" s="62"/>
    </row>
    <row r="45" spans="1:8" ht="29.25" customHeight="1" x14ac:dyDescent="0.2">
      <c r="A45" s="62" t="s">
        <v>112</v>
      </c>
      <c r="B45" s="62"/>
      <c r="C45" s="62" t="s">
        <v>228</v>
      </c>
      <c r="D45" s="62"/>
      <c r="E45" s="62"/>
      <c r="F45" s="47" t="s">
        <v>111</v>
      </c>
      <c r="G45" s="91">
        <v>44635</v>
      </c>
      <c r="H45" s="62"/>
    </row>
    <row r="46" spans="1:8" x14ac:dyDescent="0.2">
      <c r="A46" s="62" t="s">
        <v>113</v>
      </c>
      <c r="B46" s="62"/>
      <c r="C46" s="62" t="s">
        <v>229</v>
      </c>
      <c r="D46" s="62"/>
      <c r="E46" s="62"/>
      <c r="F46" s="47" t="s">
        <v>111</v>
      </c>
      <c r="G46" s="91">
        <v>44635</v>
      </c>
      <c r="H46" s="62"/>
    </row>
    <row r="47" spans="1:8" ht="77.25" customHeight="1" x14ac:dyDescent="0.2">
      <c r="A47" s="62"/>
      <c r="B47" s="62"/>
      <c r="C47" s="62" t="s">
        <v>230</v>
      </c>
      <c r="D47" s="63"/>
      <c r="E47" s="63"/>
      <c r="F47" s="63"/>
      <c r="G47" s="63"/>
      <c r="H47" s="63"/>
    </row>
    <row r="48" spans="1:8" x14ac:dyDescent="0.2">
      <c r="A48" s="93" t="s">
        <v>114</v>
      </c>
      <c r="B48" s="93"/>
      <c r="C48" s="93" t="s">
        <v>92</v>
      </c>
      <c r="D48" s="93"/>
      <c r="E48" s="93"/>
      <c r="F48" s="20" t="s">
        <v>111</v>
      </c>
      <c r="G48" s="93" t="s">
        <v>92</v>
      </c>
      <c r="H48" s="93"/>
    </row>
    <row r="49" spans="1:10" x14ac:dyDescent="0.2">
      <c r="A49" s="93" t="s">
        <v>115</v>
      </c>
      <c r="B49" s="93"/>
      <c r="C49" s="93"/>
      <c r="D49" s="93"/>
      <c r="E49" s="93"/>
      <c r="F49" s="93"/>
      <c r="G49" s="93"/>
      <c r="H49" s="93"/>
    </row>
    <row r="50" spans="1:10" x14ac:dyDescent="0.2">
      <c r="A50" s="62" t="s">
        <v>116</v>
      </c>
      <c r="B50" s="62"/>
      <c r="C50" s="62"/>
      <c r="D50" s="100">
        <v>22289.02</v>
      </c>
      <c r="E50" s="100"/>
      <c r="F50" s="100"/>
      <c r="G50" s="100"/>
      <c r="H50" s="100"/>
    </row>
    <row r="51" spans="1:10" x14ac:dyDescent="0.2">
      <c r="A51" s="62" t="s">
        <v>117</v>
      </c>
      <c r="B51" s="62"/>
      <c r="C51" s="62"/>
      <c r="D51" s="62" t="s">
        <v>224</v>
      </c>
      <c r="E51" s="62"/>
      <c r="F51" s="62"/>
      <c r="G51" s="62"/>
      <c r="H51" s="62"/>
    </row>
    <row r="52" spans="1:10" ht="62.25" customHeight="1" x14ac:dyDescent="0.2">
      <c r="A52" s="62" t="s">
        <v>118</v>
      </c>
      <c r="B52" s="62"/>
      <c r="C52" s="62"/>
      <c r="D52" s="62" t="s">
        <v>231</v>
      </c>
      <c r="E52" s="99"/>
      <c r="F52" s="99"/>
      <c r="G52" s="99"/>
      <c r="H52" s="99"/>
    </row>
    <row r="53" spans="1:10" ht="62.25" customHeight="1" x14ac:dyDescent="0.2">
      <c r="A53" s="62" t="s">
        <v>119</v>
      </c>
      <c r="B53" s="62"/>
      <c r="C53" s="62"/>
      <c r="D53" s="62" t="s">
        <v>210</v>
      </c>
      <c r="E53" s="99"/>
      <c r="F53" s="99"/>
      <c r="G53" s="99"/>
      <c r="H53" s="99"/>
    </row>
    <row r="54" spans="1:10" x14ac:dyDescent="0.2">
      <c r="A54" s="62" t="s">
        <v>120</v>
      </c>
      <c r="B54" s="62"/>
      <c r="C54" s="62"/>
      <c r="D54" s="62" t="s">
        <v>243</v>
      </c>
      <c r="E54" s="62"/>
      <c r="F54" s="62"/>
      <c r="G54" s="62"/>
      <c r="H54" s="62"/>
    </row>
    <row r="55" spans="1:10" x14ac:dyDescent="0.2">
      <c r="A55" s="62" t="s">
        <v>121</v>
      </c>
      <c r="B55" s="62"/>
      <c r="C55" s="62"/>
      <c r="D55" s="62" t="s">
        <v>122</v>
      </c>
      <c r="E55" s="62"/>
      <c r="F55" s="62"/>
      <c r="G55" s="62"/>
      <c r="H55" s="62"/>
    </row>
    <row r="56" spans="1:10" x14ac:dyDescent="0.2">
      <c r="A56" s="62" t="s">
        <v>123</v>
      </c>
      <c r="B56" s="62"/>
      <c r="C56" s="62"/>
      <c r="D56" s="62" t="s">
        <v>81</v>
      </c>
      <c r="E56" s="62"/>
      <c r="F56" s="62"/>
      <c r="G56" s="62"/>
      <c r="H56" s="62"/>
    </row>
    <row r="57" spans="1:10" ht="15.75" thickBot="1" x14ac:dyDescent="0.25">
      <c r="A57" s="62" t="s">
        <v>124</v>
      </c>
      <c r="B57" s="62"/>
      <c r="C57" s="62"/>
      <c r="D57" s="62" t="s">
        <v>125</v>
      </c>
      <c r="E57" s="62"/>
      <c r="F57" s="62"/>
      <c r="G57" s="62"/>
      <c r="H57" s="62"/>
    </row>
    <row r="58" spans="1:10" ht="15.75" x14ac:dyDescent="0.25">
      <c r="A58" s="53" t="s">
        <v>185</v>
      </c>
      <c r="B58" s="54"/>
      <c r="C58" s="55" t="s">
        <v>238</v>
      </c>
      <c r="D58" s="56"/>
      <c r="E58" s="56"/>
      <c r="F58" s="56"/>
      <c r="G58" s="56"/>
      <c r="H58" s="57"/>
      <c r="I58" s="5" t="str">
        <f ca="1">(IF(E62&gt;99%,"All work completed. Please provide OC.",IF(E62&gt;89.8%,"Plinth, RCC, Brick, Plaster, Flooring, Painting work Completed. Finishing work is in process.",IF(E62&lt;94%,(IF(C62=0,"Work not yet Started.",IF(D62=25%,"Piling work in process",IF(D62=50%,"Excavation work in process",IF(D62=100%,"Excavation work Completed. ","0")))&amp;(IF(C63=0%,"",IF(C63=J64,"Footing work is process",IF(C63=J65,"Footing work Completed",IF(C63=J66,"1st Basement Completed",IF(C63=J67,"1st &amp; 2nd Basement Completed",IF(C63=J68,"1st to 3rd Basement Completed",IF(C63=J69,"1st to 4th Basement Completed",IF(C63=J70,"Plinth work is process",IF(C63=J71,"Plinth work completed","0")))))))))))&amp;(IF(C64=(D59+F59+H59),", RCC Slab",IF(C64&gt;0,", RCC upto "&amp;C64&amp;" Slab",""))&amp;(IF(C65=H59,", Brickwork",IF(C65&gt;0,", Brickwork upto "&amp;C65&amp;" Floor",""))&amp;(IF(C66=H59,", Internal Plaster",IF(C66&gt;0,", Internal Plaster upto "&amp;C66&amp;" Floor",""))&amp;(IF(C67=H59,", External Plaster",IF(C67&gt;0,", External Plaster upto "&amp;C67&amp;" Floor",""))&amp;(IF(C68=H59,", Flooring",IF(C68&gt;0,", Flooring upto "&amp;C68&amp;" Floor",""))&amp;(IF(C69=H59,", Painting",IF(C69&gt;0,", Painting upto "&amp;C69&amp;" Floor",""))&amp;(IF(C70&gt;0,", Finishing upto "&amp;C70&amp;" Floor","")&amp;(IF(C64&gt;0.5," Completed",""))))))))))))))</f>
        <v>Excavation work Completed. Plinth work completed, RCC Slab, Brickwork, Internal Plaster, External Plaster, Flooring, Painting upto 5 Floor Completed</v>
      </c>
      <c r="J58" s="23"/>
    </row>
    <row r="59" spans="1:10" ht="15.75" x14ac:dyDescent="0.25">
      <c r="A59" s="15" t="s">
        <v>126</v>
      </c>
      <c r="B59" s="16">
        <v>0</v>
      </c>
      <c r="C59" s="16" t="s">
        <v>127</v>
      </c>
      <c r="D59" s="16">
        <v>1</v>
      </c>
      <c r="E59" s="16" t="s">
        <v>128</v>
      </c>
      <c r="F59" s="16">
        <v>0</v>
      </c>
      <c r="G59" s="16" t="s">
        <v>129</v>
      </c>
      <c r="H59" s="6">
        <f ca="1">--TRIM(RIGHT(SUBSTITUTE(LEFT(C58,_xlfn.AGGREGATE(16,6,FIND({0,1,2,3,4,5,6,7,8,9},C58,ROW(INDIRECT("1:"&amp;LEN(C58)))),1))," ",REPT(" ",LEN(C58))),LEN(C58)))</f>
        <v>7</v>
      </c>
      <c r="I59" s="7"/>
      <c r="J59" s="24"/>
    </row>
    <row r="60" spans="1:10" ht="33.6" customHeight="1" x14ac:dyDescent="0.25">
      <c r="A60" s="89" t="s">
        <v>186</v>
      </c>
      <c r="B60" s="58"/>
      <c r="C60" s="59" t="str">
        <f ca="1">I58</f>
        <v>Excavation work Completed. Plinth work completed, RCC Slab, Brickwork, Internal Plaster, External Plaster, Flooring, Painting upto 5 Floor Completed</v>
      </c>
      <c r="D60" s="59"/>
      <c r="E60" s="59"/>
      <c r="F60" s="59"/>
      <c r="G60" s="59"/>
      <c r="H60" s="90"/>
      <c r="I60" s="7" t="s">
        <v>187</v>
      </c>
      <c r="J60" s="24"/>
    </row>
    <row r="61" spans="1:10" ht="15.75" x14ac:dyDescent="0.25">
      <c r="A61" s="64" t="s">
        <v>130</v>
      </c>
      <c r="B61" s="60"/>
      <c r="C61" s="14" t="s">
        <v>188</v>
      </c>
      <c r="D61" s="52" t="s">
        <v>131</v>
      </c>
      <c r="E61" s="60" t="s">
        <v>132</v>
      </c>
      <c r="F61" s="60"/>
      <c r="G61" s="60" t="s">
        <v>133</v>
      </c>
      <c r="H61" s="65"/>
      <c r="I61" s="8" t="s">
        <v>189</v>
      </c>
      <c r="J61" s="25">
        <f ca="1">H59*25%</f>
        <v>1.75</v>
      </c>
    </row>
    <row r="62" spans="1:10" ht="15.75" x14ac:dyDescent="0.25">
      <c r="A62" s="60" t="s">
        <v>190</v>
      </c>
      <c r="B62" s="60"/>
      <c r="C62" s="26">
        <f ca="1">J63</f>
        <v>7</v>
      </c>
      <c r="D62" s="46">
        <f ca="1">((100/H59)*C62)/100</f>
        <v>1</v>
      </c>
      <c r="E62" s="61">
        <f ca="1">(((C63/H59*10)+(40/(D59+F59+H59)*C64)+(7.5/(H59)*C65)+(7.5/(H59)*C66)+(10/H59*C67)+(10/H59*C68)+(5/H59*C69)+(5/H59*C70)+(5/H59*C71))/100)</f>
        <v>0.88571428571428568</v>
      </c>
      <c r="F62" s="61"/>
      <c r="G62" s="61">
        <f ca="1">((((C62/H59)*20)+((C63/H59)*25)+(30/(H59+F59+D59)*C64)+(5/H59*C65)+(5/H59*C66)+(5/H59*C67)+(5/H59*C68)+(0/H59*C69)+(0/H59*C70)+(5/H59*C71))/100)</f>
        <v>0.95</v>
      </c>
      <c r="H62" s="61"/>
      <c r="I62" s="8" t="s">
        <v>191</v>
      </c>
      <c r="J62" s="28">
        <f ca="1">H59*50%</f>
        <v>3.5</v>
      </c>
    </row>
    <row r="63" spans="1:10" ht="15.75" x14ac:dyDescent="0.25">
      <c r="A63" s="60" t="s">
        <v>134</v>
      </c>
      <c r="B63" s="60"/>
      <c r="C63" s="29">
        <f ca="1">J71</f>
        <v>7</v>
      </c>
      <c r="D63" s="46">
        <f ca="1">((100/H59)*C63)/100</f>
        <v>1</v>
      </c>
      <c r="E63" s="61"/>
      <c r="F63" s="61"/>
      <c r="G63" s="61"/>
      <c r="H63" s="61"/>
      <c r="I63" s="8" t="s">
        <v>192</v>
      </c>
      <c r="J63" s="28">
        <f ca="1">H59</f>
        <v>7</v>
      </c>
    </row>
    <row r="64" spans="1:10" ht="15.75" x14ac:dyDescent="0.25">
      <c r="A64" s="60" t="s">
        <v>193</v>
      </c>
      <c r="B64" s="60"/>
      <c r="C64" s="29">
        <v>8</v>
      </c>
      <c r="D64" s="46">
        <f ca="1">((100/(D59+F59+H59))*C64)/100</f>
        <v>1</v>
      </c>
      <c r="E64" s="61"/>
      <c r="F64" s="61"/>
      <c r="G64" s="61"/>
      <c r="H64" s="61"/>
      <c r="I64" s="8" t="s">
        <v>194</v>
      </c>
      <c r="J64" s="30">
        <f ca="1">(IF(B59&gt;1,(H59/(B59+2)),H59/4))</f>
        <v>1.75</v>
      </c>
    </row>
    <row r="65" spans="1:10" ht="15.75" x14ac:dyDescent="0.25">
      <c r="A65" s="60" t="s">
        <v>195</v>
      </c>
      <c r="B65" s="60" t="s">
        <v>196</v>
      </c>
      <c r="C65" s="26">
        <v>7</v>
      </c>
      <c r="D65" s="46">
        <f ca="1">((100/H59)*C65)/100</f>
        <v>1</v>
      </c>
      <c r="E65" s="61"/>
      <c r="F65" s="61"/>
      <c r="G65" s="61"/>
      <c r="H65" s="61"/>
      <c r="I65" s="8" t="s">
        <v>197</v>
      </c>
      <c r="J65" s="30">
        <f ca="1">(IF(B59&gt;1,(H59/(B59+2)+J64),H59/4+J64))</f>
        <v>3.5</v>
      </c>
    </row>
    <row r="66" spans="1:10" ht="15.75" x14ac:dyDescent="0.25">
      <c r="A66" s="60" t="s">
        <v>198</v>
      </c>
      <c r="B66" s="60" t="s">
        <v>196</v>
      </c>
      <c r="C66" s="26">
        <v>7</v>
      </c>
      <c r="D66" s="46">
        <f ca="1">((100/H59)*C66)/100</f>
        <v>1</v>
      </c>
      <c r="E66" s="61"/>
      <c r="F66" s="61"/>
      <c r="G66" s="61"/>
      <c r="H66" s="61"/>
      <c r="I66" s="8" t="s">
        <v>199</v>
      </c>
      <c r="J66" s="30">
        <f>(IF(B59&gt;1,(H59/(B59+2)+J65),0))</f>
        <v>0</v>
      </c>
    </row>
    <row r="67" spans="1:10" ht="15.75" x14ac:dyDescent="0.25">
      <c r="A67" s="60" t="s">
        <v>200</v>
      </c>
      <c r="B67" s="60" t="s">
        <v>201</v>
      </c>
      <c r="C67" s="26">
        <v>7</v>
      </c>
      <c r="D67" s="46">
        <f ca="1">((100/(H59))*C67)/100</f>
        <v>1</v>
      </c>
      <c r="E67" s="61"/>
      <c r="F67" s="61"/>
      <c r="G67" s="61"/>
      <c r="H67" s="61"/>
      <c r="I67" s="8" t="s">
        <v>202</v>
      </c>
      <c r="J67" s="30">
        <f>(IF(B59&gt;2,(H59/(B59+2)+J66),0))</f>
        <v>0</v>
      </c>
    </row>
    <row r="68" spans="1:10" ht="15.75" x14ac:dyDescent="0.25">
      <c r="A68" s="60" t="s">
        <v>203</v>
      </c>
      <c r="B68" s="60" t="s">
        <v>203</v>
      </c>
      <c r="C68" s="26">
        <v>7</v>
      </c>
      <c r="D68" s="46">
        <f ca="1">((100/H59)*C68)/100</f>
        <v>1</v>
      </c>
      <c r="E68" s="61"/>
      <c r="F68" s="61"/>
      <c r="G68" s="61"/>
      <c r="H68" s="61"/>
      <c r="I68" s="8" t="s">
        <v>204</v>
      </c>
      <c r="J68" s="31">
        <f>(IF(B59&gt;3,(H59/(B59+2)+J67),0))</f>
        <v>0</v>
      </c>
    </row>
    <row r="69" spans="1:10" ht="15.75" x14ac:dyDescent="0.25">
      <c r="A69" s="60" t="s">
        <v>135</v>
      </c>
      <c r="B69" s="60"/>
      <c r="C69" s="26">
        <v>5</v>
      </c>
      <c r="D69" s="46">
        <f ca="1">((100/H59)*C69)/100</f>
        <v>0.7142857142857143</v>
      </c>
      <c r="E69" s="61"/>
      <c r="F69" s="61"/>
      <c r="G69" s="61"/>
      <c r="H69" s="61"/>
      <c r="I69" s="8" t="s">
        <v>205</v>
      </c>
      <c r="J69" s="30">
        <f>(IF(B59&gt;4,(H59/(B59+2)+J68),0))</f>
        <v>0</v>
      </c>
    </row>
    <row r="70" spans="1:10" ht="15.75" x14ac:dyDescent="0.25">
      <c r="A70" s="60" t="s">
        <v>206</v>
      </c>
      <c r="B70" s="60" t="s">
        <v>206</v>
      </c>
      <c r="C70" s="26">
        <v>0</v>
      </c>
      <c r="D70" s="46">
        <f ca="1">((100/(H59))*C70)/100</f>
        <v>0</v>
      </c>
      <c r="E70" s="61"/>
      <c r="F70" s="61"/>
      <c r="G70" s="61"/>
      <c r="H70" s="61"/>
      <c r="I70" s="8" t="s">
        <v>207</v>
      </c>
      <c r="J70" s="30">
        <f ca="1">(IF(B59=1,(H59/(B59+3)+J65),IF(B59=0,(H59/4+J65),IF(B59&gt;1,0))))</f>
        <v>5.25</v>
      </c>
    </row>
    <row r="71" spans="1:10" ht="16.5" thickBot="1" x14ac:dyDescent="0.3">
      <c r="A71" s="60" t="s">
        <v>208</v>
      </c>
      <c r="B71" s="60"/>
      <c r="C71" s="26">
        <v>0</v>
      </c>
      <c r="D71" s="46">
        <f ca="1">((100/(H59))*C71)/100</f>
        <v>0</v>
      </c>
      <c r="E71" s="61"/>
      <c r="F71" s="61"/>
      <c r="G71" s="61"/>
      <c r="H71" s="61"/>
      <c r="I71" s="9" t="s">
        <v>209</v>
      </c>
      <c r="J71" s="34">
        <f ca="1">(IF(B59&gt;1.5,(H59/(B59+2)+J65+MAX(0,J66-J65)+MAX(0,J67-J66)+MAX(0,J68-J67)+MAX(0,J69-J68)+MAX(0,J70-J69)),IF(B59=1,(H59/(B59+3)+J70),IF(B59=0,H59/4+J70))))</f>
        <v>7</v>
      </c>
    </row>
    <row r="72" spans="1:10" ht="15.75" x14ac:dyDescent="0.25">
      <c r="A72" s="59" t="s">
        <v>185</v>
      </c>
      <c r="B72" s="59"/>
      <c r="C72" s="59" t="s">
        <v>239</v>
      </c>
      <c r="D72" s="59"/>
      <c r="E72" s="59"/>
      <c r="F72" s="59"/>
      <c r="G72" s="59"/>
      <c r="H72" s="59"/>
      <c r="I72" s="5" t="str">
        <f ca="1">(IF(E76&gt;99%,"All work completed. Please provide OC.",IF(E76&gt;89.8%,"Plinth, RCC, Brick, Plaster, Flooring, Painting work Completed. Finishing work is in process.",IF(E76&lt;94%,(IF(C76=0,"Work not yet Started.",IF(D76=25%,"Piling work in process",IF(D76=50%,"Excavation work in process",IF(D76=100%,"Excavation work Completed. ","0")))&amp;(IF(C77=0%,"",IF(C77=J78,"Footing work is process",IF(C77=J79,"Footing work Completed",IF(C77=J80,"1st Basement Completed",IF(C77=J81,"1st &amp; 2nd Basement Completed",IF(C77=J82,"1st to 3rd Basement Completed",IF(C77=J83,"1st to 4th Basement Completed",IF(C77=J84,"Plinth work is process",IF(C77=J85,"Plinth work completed","0")))))))))))&amp;(IF(C78=(D73+F73+H73),", RCC Slab",IF(C78&gt;0,", RCC upto "&amp;C78&amp;" Slab",""))&amp;(IF(C79=H73,", Brickwork",IF(C79&gt;0,", Brickwork upto "&amp;C79&amp;" Floor",""))&amp;(IF(C80=H73,", Internal Plaster",IF(C80&gt;0,", Internal Plaster upto "&amp;C80&amp;" Floor",""))&amp;(IF(C81=H73,", External Plaster",IF(C81&gt;0,", External Plaster upto "&amp;C81&amp;" Floor",""))&amp;(IF(C82=H73,", Flooring",IF(C82&gt;0,", Flooring upto "&amp;C82&amp;" Floor",""))&amp;(IF(C83=H73,", Painting",IF(C83&gt;0,", Painting upto "&amp;C83&amp;" Floor",""))&amp;(IF(C84&gt;0,", Finishing upto "&amp;C84&amp;" Floor","")&amp;(IF(C78&gt;0.5," Completed",""))))))))))))))</f>
        <v>Excavation work Completed. Plinth work completed, RCC Slab, Brickwork, Internal Plaster, External Plaster, Flooring upto 5 Floor, Painting upto 5 Floor Completed</v>
      </c>
      <c r="J72" s="23"/>
    </row>
    <row r="73" spans="1:10" ht="15.75" x14ac:dyDescent="0.25">
      <c r="A73" s="49" t="s">
        <v>126</v>
      </c>
      <c r="B73" s="49">
        <v>0</v>
      </c>
      <c r="C73" s="49" t="s">
        <v>127</v>
      </c>
      <c r="D73" s="49">
        <v>1</v>
      </c>
      <c r="E73" s="49" t="s">
        <v>128</v>
      </c>
      <c r="F73" s="49">
        <v>0</v>
      </c>
      <c r="G73" s="49" t="s">
        <v>129</v>
      </c>
      <c r="H73" s="49">
        <f ca="1">--TRIM(RIGHT(SUBSTITUTE(LEFT(C72,_xlfn.AGGREGATE(16,6,FIND({0,1,2,3,4,5,6,7,8,9},C72,ROW(INDIRECT("1:"&amp;LEN(C72)))),1))," ",REPT(" ",LEN(C72))),LEN(C72)))</f>
        <v>7</v>
      </c>
      <c r="I73" s="7"/>
      <c r="J73" s="24"/>
    </row>
    <row r="74" spans="1:10" ht="36" customHeight="1" x14ac:dyDescent="0.25">
      <c r="A74" s="58" t="s">
        <v>186</v>
      </c>
      <c r="B74" s="58"/>
      <c r="C74" s="59" t="str">
        <f ca="1">I72</f>
        <v>Excavation work Completed. Plinth work completed, RCC Slab, Brickwork, Internal Plaster, External Plaster, Flooring upto 5 Floor, Painting upto 5 Floor Completed</v>
      </c>
      <c r="D74" s="59"/>
      <c r="E74" s="59"/>
      <c r="F74" s="59"/>
      <c r="G74" s="59"/>
      <c r="H74" s="59"/>
      <c r="I74" s="7" t="s">
        <v>187</v>
      </c>
      <c r="J74" s="24"/>
    </row>
    <row r="75" spans="1:10" ht="15.75" x14ac:dyDescent="0.25">
      <c r="A75" s="64" t="s">
        <v>130</v>
      </c>
      <c r="B75" s="60"/>
      <c r="C75" s="35" t="s">
        <v>188</v>
      </c>
      <c r="D75" s="52" t="s">
        <v>131</v>
      </c>
      <c r="E75" s="60" t="s">
        <v>132</v>
      </c>
      <c r="F75" s="60"/>
      <c r="G75" s="60" t="s">
        <v>133</v>
      </c>
      <c r="H75" s="65"/>
      <c r="I75" s="8" t="s">
        <v>189</v>
      </c>
      <c r="J75" s="25">
        <f ca="1">H73*25%</f>
        <v>1.75</v>
      </c>
    </row>
    <row r="76" spans="1:10" ht="15.75" x14ac:dyDescent="0.25">
      <c r="A76" s="64" t="s">
        <v>190</v>
      </c>
      <c r="B76" s="60"/>
      <c r="C76" s="26">
        <f ca="1">J77</f>
        <v>7</v>
      </c>
      <c r="D76" s="36">
        <f ca="1">((100/H73)*C76)/100</f>
        <v>1</v>
      </c>
      <c r="E76" s="61">
        <f ca="1">(((C77/H73*10)+(40/(D73+F73+H73)*C78)+(7.5/(H73)*C79)+(7.5/(H73)*C80)+(10/H73*C81)+(10/H73*C82)+(5/H73*C83)+(5/H73*C84)+(5/H73*C85))/100)</f>
        <v>0.8571428571428571</v>
      </c>
      <c r="F76" s="61"/>
      <c r="G76" s="61">
        <f ca="1">((((C76/H73)*20)+((C77/H73)*25)+(30/(H73+F73+D73)*C78)+(5/H73*C79)+(5/H73*C80)+(5/H73*C81)+(5/H73*C82)+(0/H73*C83)+(0/H73*C84)+(5/H73*C85))/100)</f>
        <v>0.93571428571428572</v>
      </c>
      <c r="H76" s="67"/>
      <c r="I76" s="8" t="s">
        <v>191</v>
      </c>
      <c r="J76" s="28">
        <f ca="1">H73*50%</f>
        <v>3.5</v>
      </c>
    </row>
    <row r="77" spans="1:10" ht="15.75" x14ac:dyDescent="0.25">
      <c r="A77" s="64" t="s">
        <v>134</v>
      </c>
      <c r="B77" s="60"/>
      <c r="C77" s="29">
        <f ca="1">J85</f>
        <v>7</v>
      </c>
      <c r="D77" s="36">
        <f ca="1">((100/H73)*C77)/100</f>
        <v>1</v>
      </c>
      <c r="E77" s="61"/>
      <c r="F77" s="61"/>
      <c r="G77" s="61"/>
      <c r="H77" s="67"/>
      <c r="I77" s="8" t="s">
        <v>192</v>
      </c>
      <c r="J77" s="28">
        <f ca="1">H73</f>
        <v>7</v>
      </c>
    </row>
    <row r="78" spans="1:10" ht="15.75" x14ac:dyDescent="0.25">
      <c r="A78" s="64" t="s">
        <v>193</v>
      </c>
      <c r="B78" s="60"/>
      <c r="C78" s="29">
        <v>8</v>
      </c>
      <c r="D78" s="36">
        <f ca="1">((100/(D73+F73+H73))*C78)/100</f>
        <v>1</v>
      </c>
      <c r="E78" s="61"/>
      <c r="F78" s="61"/>
      <c r="G78" s="61"/>
      <c r="H78" s="67"/>
      <c r="I78" s="8" t="s">
        <v>194</v>
      </c>
      <c r="J78" s="30">
        <f ca="1">(IF(B73&gt;1,(H73/(B73+2)),H73/4))</f>
        <v>1.75</v>
      </c>
    </row>
    <row r="79" spans="1:10" ht="15.75" x14ac:dyDescent="0.25">
      <c r="A79" s="64" t="s">
        <v>195</v>
      </c>
      <c r="B79" s="60" t="s">
        <v>196</v>
      </c>
      <c r="C79" s="26">
        <v>7</v>
      </c>
      <c r="D79" s="36">
        <f ca="1">((100/H73)*C79)/100</f>
        <v>1</v>
      </c>
      <c r="E79" s="61"/>
      <c r="F79" s="61"/>
      <c r="G79" s="61"/>
      <c r="H79" s="67"/>
      <c r="I79" s="8" t="s">
        <v>197</v>
      </c>
      <c r="J79" s="30">
        <f ca="1">(IF(B73&gt;1,(H73/(B73+2)+J78),H73/4+J78))</f>
        <v>3.5</v>
      </c>
    </row>
    <row r="80" spans="1:10" ht="15.75" x14ac:dyDescent="0.25">
      <c r="A80" s="64" t="s">
        <v>198</v>
      </c>
      <c r="B80" s="60" t="s">
        <v>196</v>
      </c>
      <c r="C80" s="26">
        <v>7</v>
      </c>
      <c r="D80" s="36">
        <f ca="1">((100/H73)*C80)/100</f>
        <v>1</v>
      </c>
      <c r="E80" s="61"/>
      <c r="F80" s="61"/>
      <c r="G80" s="61"/>
      <c r="H80" s="67"/>
      <c r="I80" s="8" t="s">
        <v>199</v>
      </c>
      <c r="J80" s="30">
        <f>(IF(B73&gt;1,(H73/(B73+2)+J79),0))</f>
        <v>0</v>
      </c>
    </row>
    <row r="81" spans="1:10" ht="15.75" x14ac:dyDescent="0.25">
      <c r="A81" s="64" t="s">
        <v>200</v>
      </c>
      <c r="B81" s="60" t="s">
        <v>201</v>
      </c>
      <c r="C81" s="26">
        <v>7</v>
      </c>
      <c r="D81" s="36">
        <f ca="1">((100/(H73))*C81)/100</f>
        <v>1</v>
      </c>
      <c r="E81" s="61"/>
      <c r="F81" s="61"/>
      <c r="G81" s="61"/>
      <c r="H81" s="67"/>
      <c r="I81" s="8" t="s">
        <v>202</v>
      </c>
      <c r="J81" s="30">
        <f>(IF(B73&gt;2,(H73/(B73+2)+J80),0))</f>
        <v>0</v>
      </c>
    </row>
    <row r="82" spans="1:10" ht="15.75" x14ac:dyDescent="0.25">
      <c r="A82" s="64" t="s">
        <v>203</v>
      </c>
      <c r="B82" s="60" t="s">
        <v>203</v>
      </c>
      <c r="C82" s="26">
        <v>5</v>
      </c>
      <c r="D82" s="36">
        <f ca="1">((100/H73)*C82)/100</f>
        <v>0.7142857142857143</v>
      </c>
      <c r="E82" s="61"/>
      <c r="F82" s="61"/>
      <c r="G82" s="61"/>
      <c r="H82" s="67"/>
      <c r="I82" s="8" t="s">
        <v>204</v>
      </c>
      <c r="J82" s="31">
        <f>(IF(B73&gt;3,(H73/(B73+2)+J81),0))</f>
        <v>0</v>
      </c>
    </row>
    <row r="83" spans="1:10" ht="15.75" x14ac:dyDescent="0.25">
      <c r="A83" s="64" t="s">
        <v>135</v>
      </c>
      <c r="B83" s="60"/>
      <c r="C83" s="26">
        <v>5</v>
      </c>
      <c r="D83" s="36">
        <f ca="1">((100/H73)*C83)/100</f>
        <v>0.7142857142857143</v>
      </c>
      <c r="E83" s="61"/>
      <c r="F83" s="61"/>
      <c r="G83" s="61"/>
      <c r="H83" s="67"/>
      <c r="I83" s="8" t="s">
        <v>205</v>
      </c>
      <c r="J83" s="30">
        <f>(IF(B73&gt;4,(H73/(B73+2)+J82),0))</f>
        <v>0</v>
      </c>
    </row>
    <row r="84" spans="1:10" ht="15.75" x14ac:dyDescent="0.25">
      <c r="A84" s="64" t="s">
        <v>206</v>
      </c>
      <c r="B84" s="60" t="s">
        <v>206</v>
      </c>
      <c r="C84" s="26">
        <v>0</v>
      </c>
      <c r="D84" s="36">
        <f ca="1">((100/(H73))*C84)/100</f>
        <v>0</v>
      </c>
      <c r="E84" s="61"/>
      <c r="F84" s="61"/>
      <c r="G84" s="61"/>
      <c r="H84" s="67"/>
      <c r="I84" s="8" t="s">
        <v>207</v>
      </c>
      <c r="J84" s="30">
        <f ca="1">(IF(B73=1,(H73/(B73+3)+J79),IF(B73=0,(H73/4+J79),IF(B73&gt;1,0))))</f>
        <v>5.25</v>
      </c>
    </row>
    <row r="85" spans="1:10" ht="16.5" thickBot="1" x14ac:dyDescent="0.3">
      <c r="A85" s="69" t="s">
        <v>208</v>
      </c>
      <c r="B85" s="70"/>
      <c r="C85" s="32">
        <v>0</v>
      </c>
      <c r="D85" s="37">
        <f ca="1">((100/(H73))*C85)/100</f>
        <v>0</v>
      </c>
      <c r="E85" s="66"/>
      <c r="F85" s="66"/>
      <c r="G85" s="66"/>
      <c r="H85" s="68"/>
      <c r="I85" s="9" t="s">
        <v>209</v>
      </c>
      <c r="J85" s="34">
        <f ca="1">(IF(B73&gt;1.5,(H73/(B73+2)+J79+MAX(0,J80-J79)+MAX(0,J81-J80)+MAX(0,J82-J81)+MAX(0,J83-J82)+MAX(0,J84-J83)),IF(B73=1,(H73/(B73+3)+J84),IF(B73=0,H73/4+J84))))</f>
        <v>7</v>
      </c>
    </row>
    <row r="86" spans="1:10" ht="15.75" x14ac:dyDescent="0.25">
      <c r="A86" s="53" t="s">
        <v>185</v>
      </c>
      <c r="B86" s="54"/>
      <c r="C86" s="55" t="s">
        <v>241</v>
      </c>
      <c r="D86" s="56"/>
      <c r="E86" s="56"/>
      <c r="F86" s="56"/>
      <c r="G86" s="56"/>
      <c r="H86" s="57"/>
      <c r="I86" s="5" t="str">
        <f ca="1">(IF(E90&gt;99%,"All work completed. Please provide OC.",IF(E90&gt;89.8%,"Plinth, RCC, Brick, Plaster, Flooring, Painting work Completed. Finishing work is in process.",IF(E90&lt;94%,(IF(C90=0,"Work not yet Started.",IF(D90=25%,"Piling work in process",IF(D90=50%,"Excavation work in process",IF(D90=100%,"Excavation work Completed. ","0")))&amp;(IF(C91=0%,"",IF(C91=J92,"Footing work is process",IF(C91=J93,"Footing work Completed",IF(C91=J94,"1st Basement Completed",IF(C91=J95,"1st &amp; 2nd Basement Completed",IF(C91=J96,"1st to 3rd Basement Completed",IF(C91=J97,"1st to 4th Basement Completed",IF(C91=J98,"Plinth work is process",IF(C91=J99,"Plinth work completed","0")))))))))))&amp;(IF(C92=(D87+F87+H87),", RCC Slab",IF(C92&gt;0,", RCC upto "&amp;C92&amp;" Slab",""))&amp;(IF(C93=H87,", Brickwork",IF(C93&gt;0,", Brickwork upto "&amp;C93&amp;" Floor",""))&amp;(IF(C94=H87,", Internal Plaster",IF(C94&gt;0,", Internal Plaster upto "&amp;C94&amp;" Floor",""))&amp;(IF(C95=H87,", External Plaster",IF(C95&gt;0,", External Plaster upto "&amp;C95&amp;" Floor",""))&amp;(IF(C96=H87,", Flooring",IF(C96&gt;0,", Flooring upto "&amp;C96&amp;" Floor",""))&amp;(IF(C97=H87,", Painting",IF(C97&gt;0,", Painting upto "&amp;C97&amp;" Floor",""))&amp;(IF(C98&gt;0,", Finishing upto "&amp;C98&amp;" Floor","")&amp;(IF(C92&gt;0.5," Completed",""))))))))))))))</f>
        <v>Plinth, RCC, Brick, Plaster, Flooring, Painting work Completed. Finishing work is in process.</v>
      </c>
      <c r="J86" s="23"/>
    </row>
    <row r="87" spans="1:10" ht="15.75" x14ac:dyDescent="0.25">
      <c r="A87" s="41" t="s">
        <v>126</v>
      </c>
      <c r="B87" s="42">
        <v>0</v>
      </c>
      <c r="C87" s="42" t="s">
        <v>127</v>
      </c>
      <c r="D87" s="42">
        <v>1</v>
      </c>
      <c r="E87" s="42" t="s">
        <v>128</v>
      </c>
      <c r="F87" s="42">
        <v>0</v>
      </c>
      <c r="G87" s="42" t="s">
        <v>129</v>
      </c>
      <c r="H87" s="6">
        <f ca="1">--TRIM(RIGHT(SUBSTITUTE(LEFT(C86,_xlfn.AGGREGATE(16,6,FIND({0,1,2,3,4,5,6,7,8,9},C86,ROW(INDIRECT("1:"&amp;LEN(C86)))),1))," ",REPT(" ",LEN(C86))),LEN(C86)))</f>
        <v>7</v>
      </c>
      <c r="I87" s="7"/>
      <c r="J87" s="24"/>
    </row>
    <row r="88" spans="1:10" ht="50.25" customHeight="1" x14ac:dyDescent="0.25">
      <c r="A88" s="89" t="s">
        <v>186</v>
      </c>
      <c r="B88" s="58"/>
      <c r="C88" s="59" t="str">
        <f ca="1">I86</f>
        <v>Plinth, RCC, Brick, Plaster, Flooring, Painting work Completed. Finishing work is in process.</v>
      </c>
      <c r="D88" s="59"/>
      <c r="E88" s="59"/>
      <c r="F88" s="59"/>
      <c r="G88" s="59"/>
      <c r="H88" s="90"/>
      <c r="I88" s="7" t="s">
        <v>187</v>
      </c>
      <c r="J88" s="24"/>
    </row>
    <row r="89" spans="1:10" ht="18" customHeight="1" x14ac:dyDescent="0.25">
      <c r="A89" s="64" t="s">
        <v>130</v>
      </c>
      <c r="B89" s="60"/>
      <c r="C89" s="38" t="s">
        <v>188</v>
      </c>
      <c r="D89" s="38" t="s">
        <v>131</v>
      </c>
      <c r="E89" s="60" t="s">
        <v>132</v>
      </c>
      <c r="F89" s="60"/>
      <c r="G89" s="60" t="s">
        <v>133</v>
      </c>
      <c r="H89" s="65"/>
      <c r="I89" s="8" t="s">
        <v>189</v>
      </c>
      <c r="J89" s="25">
        <f ca="1">H87*25%</f>
        <v>1.75</v>
      </c>
    </row>
    <row r="90" spans="1:10" ht="15.75" x14ac:dyDescent="0.25">
      <c r="A90" s="64" t="s">
        <v>190</v>
      </c>
      <c r="B90" s="60"/>
      <c r="C90" s="26">
        <f ca="1">J91</f>
        <v>7</v>
      </c>
      <c r="D90" s="39">
        <f ca="1">((100/H87)*C90)/100</f>
        <v>1</v>
      </c>
      <c r="E90" s="61">
        <f ca="1">(((C91/H87*10)+(40/(D87+F87+H87)*C92)+(7.5/(H87)*C93)+(7.5/(H87)*C94)+(10/H87*C95)+(10/H87*C96)+(5/H87*C97)+(5/H87*C98)+(5/H87*C99))/100)</f>
        <v>0.9</v>
      </c>
      <c r="F90" s="61"/>
      <c r="G90" s="61">
        <f ca="1">((((C90/H87)*20)+((C91/H87)*25)+(30/(H87+F87+D87)*C92)+(5/H87*C93)+(5/H87*C94)+(5/H87*C95)+(5/H87*C96)+(0/H87*C97)+(0/H87*C98)+(5/H87*C99))/100)</f>
        <v>0.95</v>
      </c>
      <c r="H90" s="67"/>
      <c r="I90" s="8" t="s">
        <v>191</v>
      </c>
      <c r="J90" s="28">
        <f ca="1">H87*50%</f>
        <v>3.5</v>
      </c>
    </row>
    <row r="91" spans="1:10" ht="15.75" x14ac:dyDescent="0.25">
      <c r="A91" s="64" t="s">
        <v>134</v>
      </c>
      <c r="B91" s="60"/>
      <c r="C91" s="29">
        <f ca="1">J99</f>
        <v>7</v>
      </c>
      <c r="D91" s="39">
        <f ca="1">((100/H87)*C91)/100</f>
        <v>1</v>
      </c>
      <c r="E91" s="61"/>
      <c r="F91" s="61"/>
      <c r="G91" s="61"/>
      <c r="H91" s="67"/>
      <c r="I91" s="8" t="s">
        <v>192</v>
      </c>
      <c r="J91" s="28">
        <f ca="1">H87</f>
        <v>7</v>
      </c>
    </row>
    <row r="92" spans="1:10" ht="15.75" x14ac:dyDescent="0.25">
      <c r="A92" s="64" t="s">
        <v>193</v>
      </c>
      <c r="B92" s="60"/>
      <c r="C92" s="29">
        <v>8</v>
      </c>
      <c r="D92" s="39">
        <f ca="1">((100/(D87+F87+H87))*C92)/100</f>
        <v>1</v>
      </c>
      <c r="E92" s="61"/>
      <c r="F92" s="61"/>
      <c r="G92" s="61"/>
      <c r="H92" s="67"/>
      <c r="I92" s="8" t="s">
        <v>194</v>
      </c>
      <c r="J92" s="30">
        <f ca="1">(IF(B87&gt;1,(H87/(B87+2)),H87/4))</f>
        <v>1.75</v>
      </c>
    </row>
    <row r="93" spans="1:10" ht="15.75" x14ac:dyDescent="0.25">
      <c r="A93" s="64" t="s">
        <v>195</v>
      </c>
      <c r="B93" s="60" t="s">
        <v>196</v>
      </c>
      <c r="C93" s="26">
        <v>7</v>
      </c>
      <c r="D93" s="39">
        <f ca="1">((100/H87)*C93)/100</f>
        <v>1</v>
      </c>
      <c r="E93" s="61"/>
      <c r="F93" s="61"/>
      <c r="G93" s="61"/>
      <c r="H93" s="67"/>
      <c r="I93" s="8" t="s">
        <v>197</v>
      </c>
      <c r="J93" s="30">
        <f ca="1">(IF(B87&gt;1,(H87/(B87+2)+J92),H87/4+J92))</f>
        <v>3.5</v>
      </c>
    </row>
    <row r="94" spans="1:10" ht="15.75" x14ac:dyDescent="0.25">
      <c r="A94" s="64" t="s">
        <v>198</v>
      </c>
      <c r="B94" s="60" t="s">
        <v>196</v>
      </c>
      <c r="C94" s="26">
        <v>7</v>
      </c>
      <c r="D94" s="39">
        <f ca="1">((100/H87)*C94)/100</f>
        <v>1</v>
      </c>
      <c r="E94" s="61"/>
      <c r="F94" s="61"/>
      <c r="G94" s="61"/>
      <c r="H94" s="67"/>
      <c r="I94" s="8" t="s">
        <v>199</v>
      </c>
      <c r="J94" s="30">
        <f>(IF(B87&gt;1,(H87/(B87+2)+J93),0))</f>
        <v>0</v>
      </c>
    </row>
    <row r="95" spans="1:10" ht="15.75" x14ac:dyDescent="0.25">
      <c r="A95" s="64" t="s">
        <v>200</v>
      </c>
      <c r="B95" s="60" t="s">
        <v>201</v>
      </c>
      <c r="C95" s="26">
        <v>7</v>
      </c>
      <c r="D95" s="39">
        <f ca="1">((100/(H87))*C95)/100</f>
        <v>1</v>
      </c>
      <c r="E95" s="61"/>
      <c r="F95" s="61"/>
      <c r="G95" s="61"/>
      <c r="H95" s="67"/>
      <c r="I95" s="8" t="s">
        <v>202</v>
      </c>
      <c r="J95" s="30">
        <f>(IF(B87&gt;2,(H87/(B87+2)+J94),0))</f>
        <v>0</v>
      </c>
    </row>
    <row r="96" spans="1:10" ht="15.75" x14ac:dyDescent="0.25">
      <c r="A96" s="64" t="s">
        <v>203</v>
      </c>
      <c r="B96" s="60" t="s">
        <v>203</v>
      </c>
      <c r="C96" s="26">
        <v>7</v>
      </c>
      <c r="D96" s="39">
        <f ca="1">((100/H87)*C96)/100</f>
        <v>1</v>
      </c>
      <c r="E96" s="61"/>
      <c r="F96" s="61"/>
      <c r="G96" s="61"/>
      <c r="H96" s="67"/>
      <c r="I96" s="8" t="s">
        <v>204</v>
      </c>
      <c r="J96" s="31">
        <f>(IF(B87&gt;3,(H87/(B87+2)+J95),0))</f>
        <v>0</v>
      </c>
    </row>
    <row r="97" spans="1:10" ht="15.75" x14ac:dyDescent="0.25">
      <c r="A97" s="64" t="s">
        <v>135</v>
      </c>
      <c r="B97" s="60"/>
      <c r="C97" s="26">
        <v>6</v>
      </c>
      <c r="D97" s="39">
        <f ca="1">((100/H87)*C97)/100</f>
        <v>0.85714285714285721</v>
      </c>
      <c r="E97" s="61"/>
      <c r="F97" s="61"/>
      <c r="G97" s="61"/>
      <c r="H97" s="67"/>
      <c r="I97" s="8" t="s">
        <v>205</v>
      </c>
      <c r="J97" s="30">
        <f>(IF(B87&gt;4,(H87/(B87+2)+J96),0))</f>
        <v>0</v>
      </c>
    </row>
    <row r="98" spans="1:10" ht="15.75" x14ac:dyDescent="0.25">
      <c r="A98" s="64" t="s">
        <v>206</v>
      </c>
      <c r="B98" s="60" t="s">
        <v>206</v>
      </c>
      <c r="C98" s="26">
        <v>1</v>
      </c>
      <c r="D98" s="39">
        <f ca="1">((100/(H87))*C98)/100</f>
        <v>0.14285714285714288</v>
      </c>
      <c r="E98" s="61"/>
      <c r="F98" s="61"/>
      <c r="G98" s="61"/>
      <c r="H98" s="67"/>
      <c r="I98" s="8" t="s">
        <v>207</v>
      </c>
      <c r="J98" s="30">
        <f ca="1">(IF(B87=1,(H87/(B87+3)+J93),IF(B87=0,(H87/4+J93),IF(B87&gt;1,0))))</f>
        <v>5.25</v>
      </c>
    </row>
    <row r="99" spans="1:10" ht="16.5" thickBot="1" x14ac:dyDescent="0.3">
      <c r="A99" s="69" t="s">
        <v>208</v>
      </c>
      <c r="B99" s="70"/>
      <c r="C99" s="32">
        <v>0</v>
      </c>
      <c r="D99" s="40">
        <f ca="1">((100/(H87))*C99)/100</f>
        <v>0</v>
      </c>
      <c r="E99" s="66"/>
      <c r="F99" s="66"/>
      <c r="G99" s="66"/>
      <c r="H99" s="68"/>
      <c r="I99" s="9" t="s">
        <v>209</v>
      </c>
      <c r="J99" s="34">
        <f ca="1">(IF(B87&gt;1.5,(H87/(B87+2)+J93+MAX(0,J94-J93)+MAX(0,J95-J94)+MAX(0,J96-J95)+MAX(0,J97-J96)+MAX(0,J98-J97)),IF(B87=1,(H87/(B87+3)+J98),IF(B87=0,H87/4+J98))))</f>
        <v>7</v>
      </c>
    </row>
    <row r="100" spans="1:10" ht="15.75" x14ac:dyDescent="0.25">
      <c r="A100" s="53" t="s">
        <v>185</v>
      </c>
      <c r="B100" s="54"/>
      <c r="C100" s="55" t="s">
        <v>242</v>
      </c>
      <c r="D100" s="56"/>
      <c r="E100" s="56"/>
      <c r="F100" s="56"/>
      <c r="G100" s="56"/>
      <c r="H100" s="57"/>
      <c r="I100" s="5" t="str">
        <f ca="1">(IF(E104&gt;99%,"All work completed. Please provide OC.",IF(E104&gt;89.8%,"Plinth, RCC, Brick, Plaster, Flooring, Painting work Completed. Finishing work is in process.",IF(E104&lt;94%,(IF(C104=0,"Work not yet Started.",IF(D104=25%,"Piling work in process",IF(D104=50%,"Excavation work in process",IF(D104=100%,"Excavation work Completed. ","0")))&amp;(IF(C105=0%,"",IF(C105=J106,"Footing work is process",IF(C105=J107,"Footing work Completed",IF(C105=J108,"1st Basement Completed",IF(C105=J109,"1st &amp; 2nd Basement Completed",IF(C105=J110,"1st to 3rd Basement Completed",IF(C105=J111,"1st to 4th Basement Completed",IF(C105=J112,"Plinth work is process",IF(C105=J113,"Plinth work completed","0")))))))))))&amp;(IF(C106=(D101+F101+H101),", RCC Slab",IF(C106&gt;0,", RCC upto "&amp;C106&amp;" Slab",""))&amp;(IF(C107=H101,", Brickwork",IF(C107&gt;0,", Brickwork upto "&amp;C107&amp;" Floor",""))&amp;(IF(C108=H101,", Internal Plaster",IF(C108&gt;0,", Internal Plaster upto "&amp;C108&amp;" Floor",""))&amp;(IF(C109=H101,", External Plaster",IF(C109&gt;0,", External Plaster upto "&amp;C109&amp;" Floor",""))&amp;(IF(C110=H101,", Flooring",IF(C110&gt;0,", Flooring upto "&amp;C110&amp;" Floor",""))&amp;(IF(C111=H101,", Painting",IF(C111&gt;0,", Painting upto "&amp;C111&amp;" Floor",""))&amp;(IF(C112&gt;0,", Finishing upto "&amp;C112&amp;" Floor","")&amp;(IF(C106&gt;0.5," Completed",""))))))))))))))</f>
        <v>Excavation work Completed. Plinth work completed, RCC Slab, Brickwork, Internal Plaster, External Plaster, Flooring, Painting upto 6 Floor Completed</v>
      </c>
      <c r="J100" s="23"/>
    </row>
    <row r="101" spans="1:10" ht="15.75" x14ac:dyDescent="0.25">
      <c r="A101" s="43" t="s">
        <v>126</v>
      </c>
      <c r="B101" s="44">
        <v>0</v>
      </c>
      <c r="C101" s="44" t="s">
        <v>127</v>
      </c>
      <c r="D101" s="44">
        <v>1</v>
      </c>
      <c r="E101" s="44" t="s">
        <v>128</v>
      </c>
      <c r="F101" s="44">
        <v>0</v>
      </c>
      <c r="G101" s="44" t="s">
        <v>129</v>
      </c>
      <c r="H101" s="6">
        <f ca="1">--TRIM(RIGHT(SUBSTITUTE(LEFT(C100,_xlfn.AGGREGATE(16,6,FIND({0,1,2,3,4,5,6,7,8,9},C100,ROW(INDIRECT("1:"&amp;LEN(C100)))),1))," ",REPT(" ",LEN(C100))),LEN(C100)))</f>
        <v>7</v>
      </c>
      <c r="I101" s="7"/>
      <c r="J101" s="24"/>
    </row>
    <row r="102" spans="1:10" ht="33.75" customHeight="1" x14ac:dyDescent="0.25">
      <c r="A102" s="58" t="s">
        <v>186</v>
      </c>
      <c r="B102" s="58"/>
      <c r="C102" s="59" t="str">
        <f ca="1">I100</f>
        <v>Excavation work Completed. Plinth work completed, RCC Slab, Brickwork, Internal Plaster, External Plaster, Flooring, Painting upto 6 Floor Completed</v>
      </c>
      <c r="D102" s="59"/>
      <c r="E102" s="59"/>
      <c r="F102" s="59"/>
      <c r="G102" s="59"/>
      <c r="H102" s="59"/>
      <c r="I102" s="7" t="s">
        <v>187</v>
      </c>
      <c r="J102" s="24"/>
    </row>
    <row r="103" spans="1:10" ht="15.75" x14ac:dyDescent="0.25">
      <c r="A103" s="60" t="s">
        <v>130</v>
      </c>
      <c r="B103" s="60"/>
      <c r="C103" s="45" t="s">
        <v>188</v>
      </c>
      <c r="D103" s="52" t="s">
        <v>131</v>
      </c>
      <c r="E103" s="60" t="s">
        <v>132</v>
      </c>
      <c r="F103" s="60"/>
      <c r="G103" s="60" t="s">
        <v>133</v>
      </c>
      <c r="H103" s="60"/>
      <c r="I103" s="8" t="s">
        <v>189</v>
      </c>
      <c r="J103" s="25">
        <f ca="1">H101*25%</f>
        <v>1.75</v>
      </c>
    </row>
    <row r="104" spans="1:10" ht="15.75" x14ac:dyDescent="0.25">
      <c r="A104" s="60" t="s">
        <v>190</v>
      </c>
      <c r="B104" s="60"/>
      <c r="C104" s="26">
        <f ca="1">J105</f>
        <v>7</v>
      </c>
      <c r="D104" s="46">
        <f ca="1">((100/H101)*C104)/100</f>
        <v>1</v>
      </c>
      <c r="E104" s="61">
        <f ca="1">(((C105/H101*10)+(40/(D101+F101+H101)*C106)+(7.5/(H101)*C107)+(7.5/(H101)*C108)+(10/H101*C109)+(10/H101*C110)+(5/H101*C111)+(5/H101*C112)+(5/H101*C113))/100)</f>
        <v>0.8928571428571429</v>
      </c>
      <c r="F104" s="61"/>
      <c r="G104" s="61">
        <f ca="1">((((C104/H101)*20)+((C105/H101)*25)+(30/(H101+F101+D101)*C106)+(5/H101*C107)+(5/H101*C108)+(5/H101*C109)+(5/H101*C110)+(0/H101*C111)+(0/H101*C112)+(5/H101*C113))/100)</f>
        <v>0.95</v>
      </c>
      <c r="H104" s="61"/>
      <c r="I104" s="8" t="s">
        <v>191</v>
      </c>
      <c r="J104" s="28">
        <f ca="1">H101*50%</f>
        <v>3.5</v>
      </c>
    </row>
    <row r="105" spans="1:10" ht="15.75" x14ac:dyDescent="0.25">
      <c r="A105" s="60" t="s">
        <v>134</v>
      </c>
      <c r="B105" s="60"/>
      <c r="C105" s="29">
        <f ca="1">J113</f>
        <v>7</v>
      </c>
      <c r="D105" s="46">
        <f ca="1">((100/H101)*C105)/100</f>
        <v>1</v>
      </c>
      <c r="E105" s="61"/>
      <c r="F105" s="61"/>
      <c r="G105" s="61"/>
      <c r="H105" s="61"/>
      <c r="I105" s="8" t="s">
        <v>192</v>
      </c>
      <c r="J105" s="28">
        <f ca="1">H101</f>
        <v>7</v>
      </c>
    </row>
    <row r="106" spans="1:10" ht="15.75" x14ac:dyDescent="0.25">
      <c r="A106" s="60" t="s">
        <v>193</v>
      </c>
      <c r="B106" s="60"/>
      <c r="C106" s="29">
        <v>8</v>
      </c>
      <c r="D106" s="46">
        <f ca="1">((100/(D101+F101+H101))*C106)/100</f>
        <v>1</v>
      </c>
      <c r="E106" s="61"/>
      <c r="F106" s="61"/>
      <c r="G106" s="61"/>
      <c r="H106" s="61"/>
      <c r="I106" s="8" t="s">
        <v>194</v>
      </c>
      <c r="J106" s="30">
        <f ca="1">(IF(B101&gt;1,(H101/(B101+2)),H101/4))</f>
        <v>1.75</v>
      </c>
    </row>
    <row r="107" spans="1:10" ht="15.75" x14ac:dyDescent="0.25">
      <c r="A107" s="60" t="s">
        <v>195</v>
      </c>
      <c r="B107" s="60" t="s">
        <v>196</v>
      </c>
      <c r="C107" s="26">
        <v>7</v>
      </c>
      <c r="D107" s="46">
        <f ca="1">((100/H101)*C107)/100</f>
        <v>1</v>
      </c>
      <c r="E107" s="61"/>
      <c r="F107" s="61"/>
      <c r="G107" s="61"/>
      <c r="H107" s="61"/>
      <c r="I107" s="8" t="s">
        <v>197</v>
      </c>
      <c r="J107" s="30">
        <f ca="1">(IF(B101&gt;1,(H101/(B101+2)+J106),H101/4+J106))</f>
        <v>3.5</v>
      </c>
    </row>
    <row r="108" spans="1:10" ht="15.75" x14ac:dyDescent="0.25">
      <c r="A108" s="60" t="s">
        <v>198</v>
      </c>
      <c r="B108" s="60" t="s">
        <v>196</v>
      </c>
      <c r="C108" s="26">
        <v>7</v>
      </c>
      <c r="D108" s="46">
        <f ca="1">((100/H101)*C108)/100</f>
        <v>1</v>
      </c>
      <c r="E108" s="61"/>
      <c r="F108" s="61"/>
      <c r="G108" s="61"/>
      <c r="H108" s="61"/>
      <c r="I108" s="8" t="s">
        <v>199</v>
      </c>
      <c r="J108" s="30">
        <f>(IF(B101&gt;1,(H101/(B101+2)+J107),0))</f>
        <v>0</v>
      </c>
    </row>
    <row r="109" spans="1:10" ht="15.75" x14ac:dyDescent="0.25">
      <c r="A109" s="60" t="s">
        <v>200</v>
      </c>
      <c r="B109" s="60" t="s">
        <v>201</v>
      </c>
      <c r="C109" s="26">
        <v>7</v>
      </c>
      <c r="D109" s="46">
        <f ca="1">((100/(H101))*C109)/100</f>
        <v>1</v>
      </c>
      <c r="E109" s="61"/>
      <c r="F109" s="61"/>
      <c r="G109" s="61"/>
      <c r="H109" s="61"/>
      <c r="I109" s="8" t="s">
        <v>202</v>
      </c>
      <c r="J109" s="30">
        <f>(IF(B101&gt;2,(H101/(B101+2)+J108),0))</f>
        <v>0</v>
      </c>
    </row>
    <row r="110" spans="1:10" ht="15.75" x14ac:dyDescent="0.25">
      <c r="A110" s="60" t="s">
        <v>203</v>
      </c>
      <c r="B110" s="60" t="s">
        <v>203</v>
      </c>
      <c r="C110" s="26">
        <v>7</v>
      </c>
      <c r="D110" s="46">
        <f ca="1">((100/H101)*C110)/100</f>
        <v>1</v>
      </c>
      <c r="E110" s="61"/>
      <c r="F110" s="61"/>
      <c r="G110" s="61"/>
      <c r="H110" s="61"/>
      <c r="I110" s="8" t="s">
        <v>204</v>
      </c>
      <c r="J110" s="31">
        <f>(IF(B101&gt;3,(H101/(B101+2)+J109),0))</f>
        <v>0</v>
      </c>
    </row>
    <row r="111" spans="1:10" ht="15.75" x14ac:dyDescent="0.25">
      <c r="A111" s="60" t="s">
        <v>135</v>
      </c>
      <c r="B111" s="60"/>
      <c r="C111" s="26">
        <v>6</v>
      </c>
      <c r="D111" s="46">
        <f ca="1">((100/H101)*C111)/100</f>
        <v>0.85714285714285721</v>
      </c>
      <c r="E111" s="61"/>
      <c r="F111" s="61"/>
      <c r="G111" s="61"/>
      <c r="H111" s="61"/>
      <c r="I111" s="8" t="s">
        <v>205</v>
      </c>
      <c r="J111" s="30">
        <f>(IF(B101&gt;4,(H101/(B101+2)+J110),0))</f>
        <v>0</v>
      </c>
    </row>
    <row r="112" spans="1:10" ht="15.75" x14ac:dyDescent="0.25">
      <c r="A112" s="60" t="s">
        <v>206</v>
      </c>
      <c r="B112" s="60" t="s">
        <v>206</v>
      </c>
      <c r="C112" s="26">
        <v>0</v>
      </c>
      <c r="D112" s="46">
        <f ca="1">((100/(H101))*C112)/100</f>
        <v>0</v>
      </c>
      <c r="E112" s="61"/>
      <c r="F112" s="61"/>
      <c r="G112" s="61"/>
      <c r="H112" s="61"/>
      <c r="I112" s="8" t="s">
        <v>207</v>
      </c>
      <c r="J112" s="30">
        <f ca="1">(IF(B101=1,(H101/(B101+3)+J107),IF(B101=0,(H101/4+J107),IF(B101&gt;1,0))))</f>
        <v>5.25</v>
      </c>
    </row>
    <row r="113" spans="1:10" ht="16.5" thickBot="1" x14ac:dyDescent="0.3">
      <c r="A113" s="60" t="s">
        <v>208</v>
      </c>
      <c r="B113" s="60"/>
      <c r="C113" s="26">
        <v>0</v>
      </c>
      <c r="D113" s="46">
        <f ca="1">((100/(H101))*C113)/100</f>
        <v>0</v>
      </c>
      <c r="E113" s="61"/>
      <c r="F113" s="61"/>
      <c r="G113" s="61"/>
      <c r="H113" s="61"/>
      <c r="I113" s="9" t="s">
        <v>209</v>
      </c>
      <c r="J113" s="34">
        <f ca="1">(IF(B101&gt;1.5,(H101/(B101+2)+J107+MAX(0,J108-J107)+MAX(0,J109-J108)+MAX(0,J110-J109)+MAX(0,J111-J110)+MAX(0,J112-J111)),IF(B101=1,(H101/(B101+3)+J112),IF(B101=0,H101/4+J112))))</f>
        <v>7</v>
      </c>
    </row>
    <row r="114" spans="1:10" ht="15.75" x14ac:dyDescent="0.25">
      <c r="A114" s="59" t="s">
        <v>185</v>
      </c>
      <c r="B114" s="59"/>
      <c r="C114" s="59" t="s">
        <v>234</v>
      </c>
      <c r="D114" s="59"/>
      <c r="E114" s="59"/>
      <c r="F114" s="59"/>
      <c r="G114" s="59"/>
      <c r="H114" s="59"/>
      <c r="I114" s="5" t="str">
        <f ca="1">(IF(E118&gt;99%,"All work completed. Please provide OC.",IF(E118&gt;89.8%,"Plinth, RCC, Brick, Plaster, Flooring, Painting work Completed. Finishing work is in process.",IF(E118&lt;94%,(IF(C118=0,"Work not yet Started.",IF(D118=25%,"Piling work in process",IF(D118=50%,"Excavation work in process",IF(D118=100%,"Excavation work Completed. ","0")))&amp;(IF(C119=0%,"",IF(C119=J120,"Footing work is process",IF(C119=J121,"Footing work Completed",IF(C119=J122,"1st Basement Completed",IF(C119=J123,"1st &amp; 2nd Basement Completed",IF(C119=J124,"1st to 3rd Basement Completed",IF(C119=J125,"1st to 4th Basement Completed",IF(C119=J126,"Plinth work is process",IF(C119=J127,"Plinth work completed","0")))))))))))&amp;(IF(C120=(D115+F115+H115),", RCC Slab",IF(C120&gt;0,", RCC upto "&amp;C120&amp;" Slab",""))&amp;(IF(C121=H115,", Brickwork",IF(C121&gt;0,", Brickwork upto "&amp;C121&amp;" Floor",""))&amp;(IF(C122=H115,", Internal Plaster",IF(C122&gt;0,", Internal Plaster upto "&amp;C122&amp;" Floor",""))&amp;(IF(C123=H115,", External Plaster",IF(C123&gt;0,", External Plaster upto "&amp;C123&amp;" Floor",""))&amp;(IF(C124=H115,", Flooring",IF(C124&gt;0,", Flooring upto "&amp;C124&amp;" Floor",""))&amp;(IF(C125=H115,", Painting",IF(C125&gt;0,", Painting upto "&amp;C125&amp;" Floor",""))&amp;(IF(C126&gt;0,", Finishing upto "&amp;C126&amp;" Floor","")&amp;(IF(C120&gt;0.5," Completed",""))))))))))))))</f>
        <v>Excavation work Completed. Plinth work completed, RCC Slab, Brickwork, Internal Plaster, External Plaster, Flooring, Painting upto 6 Floor Completed</v>
      </c>
      <c r="J114" s="23"/>
    </row>
    <row r="115" spans="1:10" ht="15.75" x14ac:dyDescent="0.25">
      <c r="A115" s="49" t="s">
        <v>126</v>
      </c>
      <c r="B115" s="49">
        <v>0</v>
      </c>
      <c r="C115" s="49" t="s">
        <v>127</v>
      </c>
      <c r="D115" s="49">
        <v>1</v>
      </c>
      <c r="E115" s="49" t="s">
        <v>128</v>
      </c>
      <c r="F115" s="49">
        <v>0</v>
      </c>
      <c r="G115" s="49" t="s">
        <v>129</v>
      </c>
      <c r="H115" s="49">
        <f ca="1">--TRIM(RIGHT(SUBSTITUTE(LEFT(C114,_xlfn.AGGREGATE(16,6,FIND({0,1,2,3,4,5,6,7,8,9},C114,ROW(INDIRECT("1:"&amp;LEN(C114)))),1))," ",REPT(" ",LEN(C114))),LEN(C114)))</f>
        <v>7</v>
      </c>
      <c r="I115" s="7"/>
      <c r="J115" s="24"/>
    </row>
    <row r="116" spans="1:10" ht="32.25" customHeight="1" x14ac:dyDescent="0.25">
      <c r="A116" s="58" t="s">
        <v>186</v>
      </c>
      <c r="B116" s="58"/>
      <c r="C116" s="59" t="str">
        <f ca="1">I114</f>
        <v>Excavation work Completed. Plinth work completed, RCC Slab, Brickwork, Internal Plaster, External Plaster, Flooring, Painting upto 6 Floor Completed</v>
      </c>
      <c r="D116" s="59"/>
      <c r="E116" s="59"/>
      <c r="F116" s="59"/>
      <c r="G116" s="59"/>
      <c r="H116" s="59"/>
      <c r="I116" s="7" t="s">
        <v>187</v>
      </c>
      <c r="J116" s="24"/>
    </row>
    <row r="117" spans="1:10" ht="15.75" x14ac:dyDescent="0.25">
      <c r="A117" s="64" t="s">
        <v>130</v>
      </c>
      <c r="B117" s="60"/>
      <c r="C117" s="14" t="s">
        <v>188</v>
      </c>
      <c r="D117" s="52" t="s">
        <v>131</v>
      </c>
      <c r="E117" s="60" t="s">
        <v>132</v>
      </c>
      <c r="F117" s="60"/>
      <c r="G117" s="60" t="s">
        <v>133</v>
      </c>
      <c r="H117" s="65"/>
      <c r="I117" s="8" t="s">
        <v>189</v>
      </c>
      <c r="J117" s="25">
        <f ca="1">H115*25%</f>
        <v>1.75</v>
      </c>
    </row>
    <row r="118" spans="1:10" ht="15.75" x14ac:dyDescent="0.25">
      <c r="A118" s="64" t="s">
        <v>190</v>
      </c>
      <c r="B118" s="60"/>
      <c r="C118" s="26">
        <f ca="1">J119</f>
        <v>7</v>
      </c>
      <c r="D118" s="27">
        <f ca="1">((100/H115)*C118)/100</f>
        <v>1</v>
      </c>
      <c r="E118" s="61">
        <f ca="1">(((C119/H115*10)+(40/(D115+F115+H115)*C120)+(7.5/(H115)*C121)+(7.5/(H115)*C122)+(10/H115*C123)+(10/H115*C124)+(5/H115*C125)+(5/H115*C126)+(5/H115*C127))/100)</f>
        <v>0.8928571428571429</v>
      </c>
      <c r="F118" s="61"/>
      <c r="G118" s="61">
        <f ca="1">((((C118/H115)*20)+((C119/H115)*25)+(30/(H115+F115+D115)*C120)+(5/H115*C121)+(5/H115*C122)+(5/H115*C123)+(5/H115*C124)+(0/H115*C125)+(0/H115*C126)+(5/H115*C127))/100)</f>
        <v>0.95</v>
      </c>
      <c r="H118" s="67"/>
      <c r="I118" s="8" t="s">
        <v>191</v>
      </c>
      <c r="J118" s="28">
        <f ca="1">H115*50%</f>
        <v>3.5</v>
      </c>
    </row>
    <row r="119" spans="1:10" ht="15.75" x14ac:dyDescent="0.25">
      <c r="A119" s="64" t="s">
        <v>134</v>
      </c>
      <c r="B119" s="60"/>
      <c r="C119" s="29">
        <f ca="1">J127</f>
        <v>7</v>
      </c>
      <c r="D119" s="27">
        <f ca="1">((100/H115)*C119)/100</f>
        <v>1</v>
      </c>
      <c r="E119" s="61"/>
      <c r="F119" s="61"/>
      <c r="G119" s="61"/>
      <c r="H119" s="67"/>
      <c r="I119" s="8" t="s">
        <v>192</v>
      </c>
      <c r="J119" s="28">
        <f ca="1">H115</f>
        <v>7</v>
      </c>
    </row>
    <row r="120" spans="1:10" ht="15.75" x14ac:dyDescent="0.25">
      <c r="A120" s="82" t="s">
        <v>193</v>
      </c>
      <c r="B120" s="83"/>
      <c r="C120" s="29">
        <v>8</v>
      </c>
      <c r="D120" s="27">
        <f ca="1">((100/(D115+F115+H115))*C120)/100</f>
        <v>1</v>
      </c>
      <c r="E120" s="61"/>
      <c r="F120" s="61"/>
      <c r="G120" s="61"/>
      <c r="H120" s="67"/>
      <c r="I120" s="8" t="s">
        <v>194</v>
      </c>
      <c r="J120" s="30">
        <f ca="1">(IF(B115&gt;1,(H115/(B115+2)),H115/4))</f>
        <v>1.75</v>
      </c>
    </row>
    <row r="121" spans="1:10" ht="15.75" x14ac:dyDescent="0.25">
      <c r="A121" s="64" t="s">
        <v>195</v>
      </c>
      <c r="B121" s="60" t="s">
        <v>196</v>
      </c>
      <c r="C121" s="26">
        <v>7</v>
      </c>
      <c r="D121" s="27">
        <f ca="1">((100/H115)*C121)/100</f>
        <v>1</v>
      </c>
      <c r="E121" s="61"/>
      <c r="F121" s="61"/>
      <c r="G121" s="61"/>
      <c r="H121" s="67"/>
      <c r="I121" s="8" t="s">
        <v>197</v>
      </c>
      <c r="J121" s="30">
        <f ca="1">(IF(B115&gt;1,(H115/(B115+2)+J120),H115/4+J120))</f>
        <v>3.5</v>
      </c>
    </row>
    <row r="122" spans="1:10" ht="15.75" x14ac:dyDescent="0.25">
      <c r="A122" s="64" t="s">
        <v>198</v>
      </c>
      <c r="B122" s="60" t="s">
        <v>196</v>
      </c>
      <c r="C122" s="26">
        <v>7</v>
      </c>
      <c r="D122" s="27">
        <f ca="1">((100/H115)*C122)/100</f>
        <v>1</v>
      </c>
      <c r="E122" s="61"/>
      <c r="F122" s="61"/>
      <c r="G122" s="61"/>
      <c r="H122" s="67"/>
      <c r="I122" s="8" t="s">
        <v>199</v>
      </c>
      <c r="J122" s="30">
        <f>(IF(B115&gt;1,(H115/(B115+2)+J121),0))</f>
        <v>0</v>
      </c>
    </row>
    <row r="123" spans="1:10" ht="15.75" x14ac:dyDescent="0.25">
      <c r="A123" s="64" t="s">
        <v>200</v>
      </c>
      <c r="B123" s="60" t="s">
        <v>201</v>
      </c>
      <c r="C123" s="26">
        <v>7</v>
      </c>
      <c r="D123" s="27">
        <f ca="1">((100/(H115))*C123)/100</f>
        <v>1</v>
      </c>
      <c r="E123" s="61"/>
      <c r="F123" s="61"/>
      <c r="G123" s="61"/>
      <c r="H123" s="67"/>
      <c r="I123" s="8" t="s">
        <v>202</v>
      </c>
      <c r="J123" s="30">
        <f>(IF(B115&gt;2,(H115/(B115+2)+J122),0))</f>
        <v>0</v>
      </c>
    </row>
    <row r="124" spans="1:10" ht="15.75" x14ac:dyDescent="0.25">
      <c r="A124" s="64" t="s">
        <v>203</v>
      </c>
      <c r="B124" s="60" t="s">
        <v>203</v>
      </c>
      <c r="C124" s="26">
        <v>7</v>
      </c>
      <c r="D124" s="27">
        <f ca="1">((100/H115)*C124)/100</f>
        <v>1</v>
      </c>
      <c r="E124" s="61"/>
      <c r="F124" s="61"/>
      <c r="G124" s="61"/>
      <c r="H124" s="67"/>
      <c r="I124" s="8" t="s">
        <v>204</v>
      </c>
      <c r="J124" s="31">
        <f>(IF(B115&gt;3,(H115/(B115+2)+J123),0))</f>
        <v>0</v>
      </c>
    </row>
    <row r="125" spans="1:10" ht="15.75" x14ac:dyDescent="0.25">
      <c r="A125" s="64" t="s">
        <v>135</v>
      </c>
      <c r="B125" s="60"/>
      <c r="C125" s="26">
        <v>6</v>
      </c>
      <c r="D125" s="27">
        <f ca="1">((100/H115)*C125)/100</f>
        <v>0.85714285714285721</v>
      </c>
      <c r="E125" s="61"/>
      <c r="F125" s="61"/>
      <c r="G125" s="61"/>
      <c r="H125" s="67"/>
      <c r="I125" s="8" t="s">
        <v>205</v>
      </c>
      <c r="J125" s="30">
        <f>(IF(B115&gt;4,(H115/(B115+2)+J124),0))</f>
        <v>0</v>
      </c>
    </row>
    <row r="126" spans="1:10" ht="15.75" x14ac:dyDescent="0.25">
      <c r="A126" s="64" t="s">
        <v>206</v>
      </c>
      <c r="B126" s="60" t="s">
        <v>206</v>
      </c>
      <c r="C126" s="26">
        <v>0</v>
      </c>
      <c r="D126" s="27">
        <f ca="1">((100/(H115))*C126)/100</f>
        <v>0</v>
      </c>
      <c r="E126" s="61"/>
      <c r="F126" s="61"/>
      <c r="G126" s="61"/>
      <c r="H126" s="67"/>
      <c r="I126" s="8" t="s">
        <v>207</v>
      </c>
      <c r="J126" s="30">
        <f ca="1">(IF(B115=1,(H115/(B115+3)+J121),IF(B115=0,(H115/4+J121),IF(B115&gt;1,0))))</f>
        <v>5.25</v>
      </c>
    </row>
    <row r="127" spans="1:10" ht="16.5" thickBot="1" x14ac:dyDescent="0.3">
      <c r="A127" s="69" t="s">
        <v>208</v>
      </c>
      <c r="B127" s="70"/>
      <c r="C127" s="32">
        <v>0</v>
      </c>
      <c r="D127" s="33">
        <f ca="1">((100/(H115))*C127)/100</f>
        <v>0</v>
      </c>
      <c r="E127" s="66"/>
      <c r="F127" s="66"/>
      <c r="G127" s="66"/>
      <c r="H127" s="68"/>
      <c r="I127" s="9" t="s">
        <v>209</v>
      </c>
      <c r="J127" s="34">
        <f ca="1">(IF(B115&gt;1.5,(H115/(B115+2)+J121+MAX(0,J122-J121)+MAX(0,J123-J122)+MAX(0,J124-J123)+MAX(0,J125-J124)+MAX(0,J126-J125)),IF(B115=1,(H115/(B115+3)+J126),IF(B115=0,H115/4+J126))))</f>
        <v>7</v>
      </c>
    </row>
    <row r="128" spans="1:10" ht="15.75" x14ac:dyDescent="0.25">
      <c r="A128" s="53" t="s">
        <v>185</v>
      </c>
      <c r="B128" s="54"/>
      <c r="C128" s="129" t="s">
        <v>235</v>
      </c>
      <c r="D128" s="130"/>
      <c r="E128" s="130"/>
      <c r="F128" s="130"/>
      <c r="G128" s="130"/>
      <c r="H128" s="131"/>
      <c r="I128" s="5" t="str">
        <f ca="1">(IF(E132&gt;99%,"All work completed. Please provide OC.",IF(E132&gt;89.8%,"Plinth, RCC, Brick, Plaster, Flooring, Painting work Completed. Finishing work is in process.",IF(E132&lt;94%,(IF(C132=0,"Work not yet Started.",IF(D132=25%,"Piling work in process",IF(D132=50%,"Excavation work in process",IF(D132=100%,"Excavation work Completed. ","0")))&amp;(IF(C133=0%,"",IF(C133=J134,"Footing work is process",IF(C133=J135,"Footing work Completed",IF(C133=J136,"1st Basement Completed",IF(C133=J137,"1st &amp; 2nd Basement Completed",IF(C133=J138,"1st to 3rd Basement Completed",IF(C133=J139,"1st to 4th Basement Completed",IF(C133=J140,"Plinth work is process",IF(C133=J141,"Plinth work completed","0")))))))))))&amp;(IF(C134=(D129+F129+H129),", RCC Slab",IF(C134&gt;0,", RCC upto "&amp;C134&amp;" Slab",""))&amp;(IF(C135=H129,", Brickwork",IF(C135&gt;0,", Brickwork upto "&amp;C135&amp;" Floor",""))&amp;(IF(C136=H129,", Internal Plaster",IF(C136&gt;0,", Internal Plaster upto "&amp;C136&amp;" Floor",""))&amp;(IF(C137=H129,", External Plaster",IF(C137&gt;0,", External Plaster upto "&amp;C137&amp;" Floor",""))&amp;(IF(C138=H129,", Flooring",IF(C138&gt;0,", Flooring upto "&amp;C138&amp;" Floor",""))&amp;(IF(C139=H129,", Painting",IF(C139&gt;0,", Painting upto "&amp;C139&amp;" Floor",""))&amp;(IF(C140&gt;0,", Finishing upto "&amp;C140&amp;" Floor","")&amp;(IF(C134&gt;0.5," Completed",""))))))))))))))</f>
        <v>Excavation work Completed. Plinth work completed, RCC Slab, Brickwork, Internal Plaster, External Plaster, Flooring upto 6 Floor, Painting upto 5 Floor Completed</v>
      </c>
      <c r="J128" s="23"/>
    </row>
    <row r="129" spans="1:10" ht="15.75" x14ac:dyDescent="0.25">
      <c r="A129" s="41" t="s">
        <v>126</v>
      </c>
      <c r="B129" s="42">
        <v>0</v>
      </c>
      <c r="C129" s="42" t="s">
        <v>127</v>
      </c>
      <c r="D129" s="42">
        <v>1</v>
      </c>
      <c r="E129" s="42" t="s">
        <v>128</v>
      </c>
      <c r="F129" s="42">
        <v>0</v>
      </c>
      <c r="G129" s="42" t="s">
        <v>129</v>
      </c>
      <c r="H129" s="6">
        <f ca="1">--TRIM(RIGHT(SUBSTITUTE(LEFT(C128,_xlfn.AGGREGATE(16,6,FIND({0,1,2,3,4,5,6,7,8,9},C128,ROW(INDIRECT("1:"&amp;LEN(C128)))),1))," ",REPT(" ",LEN(C128))),LEN(C128)))</f>
        <v>7</v>
      </c>
      <c r="I129" s="7"/>
      <c r="J129" s="24"/>
    </row>
    <row r="130" spans="1:10" ht="34.5" customHeight="1" x14ac:dyDescent="0.25">
      <c r="A130" s="89" t="s">
        <v>186</v>
      </c>
      <c r="B130" s="58"/>
      <c r="C130" s="59" t="str">
        <f ca="1">I128</f>
        <v>Excavation work Completed. Plinth work completed, RCC Slab, Brickwork, Internal Plaster, External Plaster, Flooring upto 6 Floor, Painting upto 5 Floor Completed</v>
      </c>
      <c r="D130" s="59"/>
      <c r="E130" s="59"/>
      <c r="F130" s="59"/>
      <c r="G130" s="59"/>
      <c r="H130" s="90"/>
      <c r="I130" s="7" t="s">
        <v>187</v>
      </c>
      <c r="J130" s="24"/>
    </row>
    <row r="131" spans="1:10" ht="15.75" x14ac:dyDescent="0.25">
      <c r="A131" s="64" t="s">
        <v>130</v>
      </c>
      <c r="B131" s="60"/>
      <c r="C131" s="38" t="s">
        <v>188</v>
      </c>
      <c r="D131" s="52" t="s">
        <v>131</v>
      </c>
      <c r="E131" s="60" t="s">
        <v>132</v>
      </c>
      <c r="F131" s="60"/>
      <c r="G131" s="60" t="s">
        <v>133</v>
      </c>
      <c r="H131" s="65"/>
      <c r="I131" s="8" t="s">
        <v>189</v>
      </c>
      <c r="J131" s="25">
        <f ca="1">H129*25%</f>
        <v>1.75</v>
      </c>
    </row>
    <row r="132" spans="1:10" ht="15.75" x14ac:dyDescent="0.25">
      <c r="A132" s="64" t="s">
        <v>190</v>
      </c>
      <c r="B132" s="60"/>
      <c r="C132" s="26">
        <f ca="1">J133</f>
        <v>7</v>
      </c>
      <c r="D132" s="39">
        <f ca="1">((100/H129)*C132)/100</f>
        <v>1</v>
      </c>
      <c r="E132" s="61">
        <f ca="1">(((C133/H129*10)+(40/(D129+F129+H129)*C134)+(7.5/(H129)*C135)+(7.5/(H129)*C136)+(10/H129*C137)+(10/H129*C138)+(5/H129*C139)+(5/H129*C140)+(5/H129*C141))/100)</f>
        <v>0.87142857142857144</v>
      </c>
      <c r="F132" s="61"/>
      <c r="G132" s="61">
        <f ca="1">((((C132/H129)*20)+((C133/H129)*25)+(30/(H129+F129+D129)*C134)+(5/H129*C135)+(5/H129*C136)+(5/H129*C137)+(5/H129*C138)+(0/H129*C139)+(0/H129*C140)+(5/H129*C141))/100)</f>
        <v>0.94285714285714295</v>
      </c>
      <c r="H132" s="67"/>
      <c r="I132" s="8" t="s">
        <v>191</v>
      </c>
      <c r="J132" s="28">
        <f ca="1">H129*50%</f>
        <v>3.5</v>
      </c>
    </row>
    <row r="133" spans="1:10" ht="15.75" x14ac:dyDescent="0.25">
      <c r="A133" s="64" t="s">
        <v>134</v>
      </c>
      <c r="B133" s="60"/>
      <c r="C133" s="29">
        <f ca="1">J141</f>
        <v>7</v>
      </c>
      <c r="D133" s="39">
        <f ca="1">((100/H129)*C133)/100</f>
        <v>1</v>
      </c>
      <c r="E133" s="61"/>
      <c r="F133" s="61"/>
      <c r="G133" s="61"/>
      <c r="H133" s="67"/>
      <c r="I133" s="8" t="s">
        <v>192</v>
      </c>
      <c r="J133" s="28">
        <f ca="1">H129</f>
        <v>7</v>
      </c>
    </row>
    <row r="134" spans="1:10" ht="15.75" x14ac:dyDescent="0.25">
      <c r="A134" s="82" t="s">
        <v>193</v>
      </c>
      <c r="B134" s="83"/>
      <c r="C134" s="29">
        <v>8</v>
      </c>
      <c r="D134" s="39">
        <f ca="1">((100/(D129+F129+H129))*C134)/100</f>
        <v>1</v>
      </c>
      <c r="E134" s="61"/>
      <c r="F134" s="61"/>
      <c r="G134" s="61"/>
      <c r="H134" s="67"/>
      <c r="I134" s="8" t="s">
        <v>194</v>
      </c>
      <c r="J134" s="30">
        <f ca="1">(IF(B129&gt;1,(H129/(B129+2)),H129/4))</f>
        <v>1.75</v>
      </c>
    </row>
    <row r="135" spans="1:10" ht="15.75" x14ac:dyDescent="0.25">
      <c r="A135" s="64" t="s">
        <v>195</v>
      </c>
      <c r="B135" s="60" t="s">
        <v>196</v>
      </c>
      <c r="C135" s="26">
        <v>7</v>
      </c>
      <c r="D135" s="39">
        <f ca="1">((100/H129)*C135)/100</f>
        <v>1</v>
      </c>
      <c r="E135" s="61"/>
      <c r="F135" s="61"/>
      <c r="G135" s="61"/>
      <c r="H135" s="67"/>
      <c r="I135" s="8" t="s">
        <v>197</v>
      </c>
      <c r="J135" s="30">
        <f ca="1">(IF(B129&gt;1,(H129/(B129+2)+J134),H129/4+J134))</f>
        <v>3.5</v>
      </c>
    </row>
    <row r="136" spans="1:10" ht="15.75" x14ac:dyDescent="0.25">
      <c r="A136" s="64" t="s">
        <v>198</v>
      </c>
      <c r="B136" s="60" t="s">
        <v>196</v>
      </c>
      <c r="C136" s="26">
        <v>7</v>
      </c>
      <c r="D136" s="39">
        <f ca="1">((100/H129)*C136)/100</f>
        <v>1</v>
      </c>
      <c r="E136" s="61"/>
      <c r="F136" s="61"/>
      <c r="G136" s="61"/>
      <c r="H136" s="67"/>
      <c r="I136" s="8" t="s">
        <v>199</v>
      </c>
      <c r="J136" s="30">
        <f>(IF(B129&gt;1,(H129/(B129+2)+J135),0))</f>
        <v>0</v>
      </c>
    </row>
    <row r="137" spans="1:10" ht="15.75" x14ac:dyDescent="0.25">
      <c r="A137" s="64" t="s">
        <v>200</v>
      </c>
      <c r="B137" s="60" t="s">
        <v>201</v>
      </c>
      <c r="C137" s="26">
        <v>7</v>
      </c>
      <c r="D137" s="39">
        <f ca="1">((100/(H129))*C137)/100</f>
        <v>1</v>
      </c>
      <c r="E137" s="61"/>
      <c r="F137" s="61"/>
      <c r="G137" s="61"/>
      <c r="H137" s="67"/>
      <c r="I137" s="8" t="s">
        <v>202</v>
      </c>
      <c r="J137" s="30">
        <f>(IF(B129&gt;2,(H129/(B129+2)+J136),0))</f>
        <v>0</v>
      </c>
    </row>
    <row r="138" spans="1:10" ht="15.75" x14ac:dyDescent="0.25">
      <c r="A138" s="64" t="s">
        <v>203</v>
      </c>
      <c r="B138" s="60" t="s">
        <v>203</v>
      </c>
      <c r="C138" s="26">
        <v>6</v>
      </c>
      <c r="D138" s="39">
        <f ca="1">((100/H129)*C138)/100</f>
        <v>0.85714285714285721</v>
      </c>
      <c r="E138" s="61"/>
      <c r="F138" s="61"/>
      <c r="G138" s="61"/>
      <c r="H138" s="67"/>
      <c r="I138" s="8" t="s">
        <v>204</v>
      </c>
      <c r="J138" s="31">
        <f>(IF(B129&gt;3,(H129/(B129+2)+J137),0))</f>
        <v>0</v>
      </c>
    </row>
    <row r="139" spans="1:10" ht="15.75" x14ac:dyDescent="0.25">
      <c r="A139" s="64" t="s">
        <v>135</v>
      </c>
      <c r="B139" s="60"/>
      <c r="C139" s="26">
        <v>5</v>
      </c>
      <c r="D139" s="39">
        <f ca="1">((100/H129)*C139)/100</f>
        <v>0.7142857142857143</v>
      </c>
      <c r="E139" s="61"/>
      <c r="F139" s="61"/>
      <c r="G139" s="61"/>
      <c r="H139" s="67"/>
      <c r="I139" s="8" t="s">
        <v>205</v>
      </c>
      <c r="J139" s="30">
        <f>(IF(B129&gt;4,(H129/(B129+2)+J138),0))</f>
        <v>0</v>
      </c>
    </row>
    <row r="140" spans="1:10" ht="15.75" x14ac:dyDescent="0.25">
      <c r="A140" s="64" t="s">
        <v>206</v>
      </c>
      <c r="B140" s="60" t="s">
        <v>206</v>
      </c>
      <c r="C140" s="26">
        <v>0</v>
      </c>
      <c r="D140" s="39">
        <f ca="1">((100/(H129))*C140)/100</f>
        <v>0</v>
      </c>
      <c r="E140" s="61"/>
      <c r="F140" s="61"/>
      <c r="G140" s="61"/>
      <c r="H140" s="67"/>
      <c r="I140" s="8" t="s">
        <v>207</v>
      </c>
      <c r="J140" s="30">
        <f ca="1">(IF(B129=1,(H129/(B129+3)+J135),IF(B129=0,(H129/4+J135),IF(B129&gt;1,0))))</f>
        <v>5.25</v>
      </c>
    </row>
    <row r="141" spans="1:10" ht="16.5" thickBot="1" x14ac:dyDescent="0.3">
      <c r="A141" s="69" t="s">
        <v>208</v>
      </c>
      <c r="B141" s="70"/>
      <c r="C141" s="32">
        <v>0</v>
      </c>
      <c r="D141" s="40">
        <f ca="1">((100/(H129))*C141)/100</f>
        <v>0</v>
      </c>
      <c r="E141" s="66"/>
      <c r="F141" s="66"/>
      <c r="G141" s="66"/>
      <c r="H141" s="68"/>
      <c r="I141" s="9" t="s">
        <v>209</v>
      </c>
      <c r="J141" s="34">
        <f ca="1">(IF(B129&gt;1.5,(H129/(B129+2)+J135+MAX(0,J136-J135)+MAX(0,J137-J136)+MAX(0,J138-J137)+MAX(0,J139-J138)+MAX(0,J140-J139)),IF(B129=1,(H129/(B129+3)+J140),IF(B129=0,H129/4+J140))))</f>
        <v>7</v>
      </c>
    </row>
    <row r="142" spans="1:10" ht="15.75" x14ac:dyDescent="0.25">
      <c r="A142" s="53" t="s">
        <v>185</v>
      </c>
      <c r="B142" s="54"/>
      <c r="C142" s="55" t="s">
        <v>232</v>
      </c>
      <c r="D142" s="56"/>
      <c r="E142" s="56"/>
      <c r="F142" s="56"/>
      <c r="G142" s="56"/>
      <c r="H142" s="57"/>
      <c r="I142" s="5" t="str">
        <f ca="1">(IF(E146&gt;99%,"All work completed. Please provide OC.",IF(E146&gt;89.8%,"Plinth, RCC, Brick, Plaster, Flooring, Painting work Completed. Finishing work is in process.",IF(E146&lt;94%,(IF(C146=0,"Work not yet Started.",IF(D146=25%,"Piling work in process",IF(D146=50%,"Excavation work in process",IF(D146=100%,"Excavation work Completed. ","0")))&amp;(IF(C147=0%,"",IF(C147=J148,"Footing work is process",IF(C147=J149,"Footing work Completed",IF(C147=J150,"1st Basement Completed",IF(C147=J151,"1st &amp; 2nd Basement Completed",IF(C147=J152,"1st to 3rd Basement Completed",IF(C147=J153,"1st to 4th Basement Completed",IF(C147=J154,"Plinth work is process",IF(C147=J155,"Plinth work completed","0")))))))))))&amp;(IF(C148=(D143+F143+H143),", RCC Slab",IF(C148&gt;0,", RCC upto "&amp;C148&amp;" Slab",""))&amp;(IF(C149=H143,", Brickwork",IF(C149&gt;0,", Brickwork upto "&amp;C149&amp;" Floor",""))&amp;(IF(C150=H143,", Internal Plaster",IF(C150&gt;0,", Internal Plaster upto "&amp;C150&amp;" Floor",""))&amp;(IF(C151=H143,", External Plaster",IF(C151&gt;0,", External Plaster upto "&amp;C151&amp;" Floor",""))&amp;(IF(C152=H143,", Flooring",IF(C152&gt;0,", Flooring upto "&amp;C152&amp;" Floor",""))&amp;(IF(C153=H143,", Painting",IF(C153&gt;0,", Painting upto "&amp;C153&amp;" Floor",""))&amp;(IF(C154&gt;0,", Finishing upto "&amp;C154&amp;" Floor","")&amp;(IF(C148&gt;0.5," Completed",""))))))))))))))</f>
        <v>Excavation work Completed. Plinth work completed, RCC Slab, Brickwork, Internal Plaster, External Plaster, Flooring, Painting upto 6 Floor Completed</v>
      </c>
      <c r="J142" s="23"/>
    </row>
    <row r="143" spans="1:10" ht="15.75" x14ac:dyDescent="0.25">
      <c r="A143" s="15" t="s">
        <v>126</v>
      </c>
      <c r="B143" s="16">
        <v>0</v>
      </c>
      <c r="C143" s="16" t="s">
        <v>127</v>
      </c>
      <c r="D143" s="16">
        <v>1</v>
      </c>
      <c r="E143" s="16" t="s">
        <v>128</v>
      </c>
      <c r="F143" s="16">
        <v>0</v>
      </c>
      <c r="G143" s="16" t="s">
        <v>129</v>
      </c>
      <c r="H143" s="6">
        <f ca="1">--TRIM(RIGHT(SUBSTITUTE(LEFT(C142,_xlfn.AGGREGATE(16,6,FIND({0,1,2,3,4,5,6,7,8,9},C142,ROW(INDIRECT("1:"&amp;LEN(C142)))),1))," ",REPT(" ",LEN(C142))),LEN(C142)))</f>
        <v>7</v>
      </c>
      <c r="I143" s="7"/>
      <c r="J143" s="24"/>
    </row>
    <row r="144" spans="1:10" ht="33.6" customHeight="1" x14ac:dyDescent="0.25">
      <c r="A144" s="89" t="s">
        <v>186</v>
      </c>
      <c r="B144" s="58"/>
      <c r="C144" s="59" t="str">
        <f ca="1">I142</f>
        <v>Excavation work Completed. Plinth work completed, RCC Slab, Brickwork, Internal Plaster, External Plaster, Flooring, Painting upto 6 Floor Completed</v>
      </c>
      <c r="D144" s="59"/>
      <c r="E144" s="59"/>
      <c r="F144" s="59"/>
      <c r="G144" s="59"/>
      <c r="H144" s="90"/>
      <c r="I144" s="7" t="s">
        <v>187</v>
      </c>
      <c r="J144" s="24"/>
    </row>
    <row r="145" spans="1:10" ht="18" customHeight="1" x14ac:dyDescent="0.25">
      <c r="A145" s="64" t="s">
        <v>130</v>
      </c>
      <c r="B145" s="60"/>
      <c r="C145" s="14" t="s">
        <v>188</v>
      </c>
      <c r="D145" s="14" t="s">
        <v>131</v>
      </c>
      <c r="E145" s="60" t="s">
        <v>132</v>
      </c>
      <c r="F145" s="60"/>
      <c r="G145" s="60" t="s">
        <v>133</v>
      </c>
      <c r="H145" s="65"/>
      <c r="I145" s="8" t="s">
        <v>189</v>
      </c>
      <c r="J145" s="25">
        <f ca="1">H143*25%</f>
        <v>1.75</v>
      </c>
    </row>
    <row r="146" spans="1:10" ht="15.75" x14ac:dyDescent="0.25">
      <c r="A146" s="64" t="s">
        <v>190</v>
      </c>
      <c r="B146" s="60"/>
      <c r="C146" s="26">
        <f ca="1">J147</f>
        <v>7</v>
      </c>
      <c r="D146" s="27">
        <f ca="1">((100/H143)*C146)/100</f>
        <v>1</v>
      </c>
      <c r="E146" s="61">
        <f ca="1">(((C147/H143*10)+(40/(D143+F143+H143)*C148)+(7.5/(H143)*C149)+(7.5/(H143)*C150)+(10/H143*C151)+(10/H143*C152)+(5/H143*C153)+(5/H143*C154)+(5/H143*C155))/100)</f>
        <v>0.8928571428571429</v>
      </c>
      <c r="F146" s="61"/>
      <c r="G146" s="61">
        <f ca="1">((((C146/H143)*20)+((C147/H143)*25)+(30/(H143+F143+D143)*C148)+(5/H143*C149)+(5/H143*C150)+(5/H143*C151)+(5/H143*C152)+(0/H143*C153)+(0/H143*C154)+(5/H143*C155))/100)</f>
        <v>0.95</v>
      </c>
      <c r="H146" s="67"/>
      <c r="I146" s="8" t="s">
        <v>191</v>
      </c>
      <c r="J146" s="28">
        <f ca="1">H143*50%</f>
        <v>3.5</v>
      </c>
    </row>
    <row r="147" spans="1:10" ht="15.75" x14ac:dyDescent="0.25">
      <c r="A147" s="64" t="s">
        <v>134</v>
      </c>
      <c r="B147" s="60"/>
      <c r="C147" s="29">
        <f ca="1">J155</f>
        <v>7</v>
      </c>
      <c r="D147" s="27">
        <f ca="1">((100/H143)*C147)/100</f>
        <v>1</v>
      </c>
      <c r="E147" s="61"/>
      <c r="F147" s="61"/>
      <c r="G147" s="61"/>
      <c r="H147" s="67"/>
      <c r="I147" s="8" t="s">
        <v>192</v>
      </c>
      <c r="J147" s="28">
        <f ca="1">H143</f>
        <v>7</v>
      </c>
    </row>
    <row r="148" spans="1:10" ht="15.75" x14ac:dyDescent="0.25">
      <c r="A148" s="82" t="s">
        <v>193</v>
      </c>
      <c r="B148" s="83"/>
      <c r="C148" s="29">
        <v>8</v>
      </c>
      <c r="D148" s="27">
        <f ca="1">((100/(D143+F143+H143))*C148)/100</f>
        <v>1</v>
      </c>
      <c r="E148" s="61"/>
      <c r="F148" s="61"/>
      <c r="G148" s="61"/>
      <c r="H148" s="67"/>
      <c r="I148" s="8" t="s">
        <v>194</v>
      </c>
      <c r="J148" s="30">
        <f ca="1">(IF(B143&gt;1,(H143/(B143+2)),H143/4))</f>
        <v>1.75</v>
      </c>
    </row>
    <row r="149" spans="1:10" ht="15.75" x14ac:dyDescent="0.25">
      <c r="A149" s="64" t="s">
        <v>195</v>
      </c>
      <c r="B149" s="60" t="s">
        <v>196</v>
      </c>
      <c r="C149" s="26">
        <v>7</v>
      </c>
      <c r="D149" s="27">
        <f ca="1">((100/H143)*C149)/100</f>
        <v>1</v>
      </c>
      <c r="E149" s="61"/>
      <c r="F149" s="61"/>
      <c r="G149" s="61"/>
      <c r="H149" s="67"/>
      <c r="I149" s="8" t="s">
        <v>197</v>
      </c>
      <c r="J149" s="30">
        <f ca="1">(IF(B143&gt;1,(H143/(B143+2)+J148),H143/4+J148))</f>
        <v>3.5</v>
      </c>
    </row>
    <row r="150" spans="1:10" ht="15.75" x14ac:dyDescent="0.25">
      <c r="A150" s="64" t="s">
        <v>198</v>
      </c>
      <c r="B150" s="60" t="s">
        <v>196</v>
      </c>
      <c r="C150" s="26">
        <v>7</v>
      </c>
      <c r="D150" s="27">
        <f ca="1">((100/H143)*C150)/100</f>
        <v>1</v>
      </c>
      <c r="E150" s="61"/>
      <c r="F150" s="61"/>
      <c r="G150" s="61"/>
      <c r="H150" s="67"/>
      <c r="I150" s="8" t="s">
        <v>199</v>
      </c>
      <c r="J150" s="30">
        <f>(IF(B143&gt;1,(H143/(B143+2)+J149),0))</f>
        <v>0</v>
      </c>
    </row>
    <row r="151" spans="1:10" ht="15.75" x14ac:dyDescent="0.25">
      <c r="A151" s="64" t="s">
        <v>200</v>
      </c>
      <c r="B151" s="60" t="s">
        <v>201</v>
      </c>
      <c r="C151" s="26">
        <v>7</v>
      </c>
      <c r="D151" s="27">
        <f ca="1">((100/(H143))*C151)/100</f>
        <v>1</v>
      </c>
      <c r="E151" s="61"/>
      <c r="F151" s="61"/>
      <c r="G151" s="61"/>
      <c r="H151" s="67"/>
      <c r="I151" s="8" t="s">
        <v>202</v>
      </c>
      <c r="J151" s="30">
        <f>(IF(B143&gt;2,(H143/(B143+2)+J150),0))</f>
        <v>0</v>
      </c>
    </row>
    <row r="152" spans="1:10" ht="15.75" x14ac:dyDescent="0.25">
      <c r="A152" s="64" t="s">
        <v>203</v>
      </c>
      <c r="B152" s="60" t="s">
        <v>203</v>
      </c>
      <c r="C152" s="26">
        <v>7</v>
      </c>
      <c r="D152" s="27">
        <f ca="1">((100/H143)*C152)/100</f>
        <v>1</v>
      </c>
      <c r="E152" s="61"/>
      <c r="F152" s="61"/>
      <c r="G152" s="61"/>
      <c r="H152" s="67"/>
      <c r="I152" s="8" t="s">
        <v>204</v>
      </c>
      <c r="J152" s="31">
        <f>(IF(B143&gt;3,(H143/(B143+2)+J151),0))</f>
        <v>0</v>
      </c>
    </row>
    <row r="153" spans="1:10" ht="15.75" x14ac:dyDescent="0.25">
      <c r="A153" s="64" t="s">
        <v>135</v>
      </c>
      <c r="B153" s="60"/>
      <c r="C153" s="26">
        <v>6</v>
      </c>
      <c r="D153" s="27">
        <f ca="1">((100/H143)*C153)/100</f>
        <v>0.85714285714285721</v>
      </c>
      <c r="E153" s="61"/>
      <c r="F153" s="61"/>
      <c r="G153" s="61"/>
      <c r="H153" s="67"/>
      <c r="I153" s="8" t="s">
        <v>205</v>
      </c>
      <c r="J153" s="30">
        <f>(IF(B143&gt;4,(H143/(B143+2)+J152),0))</f>
        <v>0</v>
      </c>
    </row>
    <row r="154" spans="1:10" ht="15.75" x14ac:dyDescent="0.25">
      <c r="A154" s="64" t="s">
        <v>206</v>
      </c>
      <c r="B154" s="60" t="s">
        <v>206</v>
      </c>
      <c r="C154" s="26">
        <v>0</v>
      </c>
      <c r="D154" s="27">
        <f ca="1">((100/(H143))*C154)/100</f>
        <v>0</v>
      </c>
      <c r="E154" s="61"/>
      <c r="F154" s="61"/>
      <c r="G154" s="61"/>
      <c r="H154" s="67"/>
      <c r="I154" s="8" t="s">
        <v>207</v>
      </c>
      <c r="J154" s="30">
        <f ca="1">(IF(B143=1,(H143/(B143+3)+J149),IF(B143=0,(H143/4+J149),IF(B143&gt;1,0))))</f>
        <v>5.25</v>
      </c>
    </row>
    <row r="155" spans="1:10" ht="16.5" thickBot="1" x14ac:dyDescent="0.3">
      <c r="A155" s="69" t="s">
        <v>208</v>
      </c>
      <c r="B155" s="70"/>
      <c r="C155" s="32">
        <v>0</v>
      </c>
      <c r="D155" s="33">
        <f ca="1">((100/(H143))*C155)/100</f>
        <v>0</v>
      </c>
      <c r="E155" s="66"/>
      <c r="F155" s="66"/>
      <c r="G155" s="66"/>
      <c r="H155" s="68"/>
      <c r="I155" s="9" t="s">
        <v>209</v>
      </c>
      <c r="J155" s="34">
        <f ca="1">(IF(B143&gt;1.5,(H143/(B143+2)+J149+MAX(0,J150-J149)+MAX(0,J151-J150)+MAX(0,J152-J151)+MAX(0,J153-J152)+MAX(0,J154-J153)),IF(B143=1,(H143/(B143+3)+J154),IF(B143=0,H143/4+J154))))</f>
        <v>7</v>
      </c>
    </row>
    <row r="156" spans="1:10" ht="15.75" hidden="1" x14ac:dyDescent="0.25">
      <c r="A156" s="121" t="s">
        <v>185</v>
      </c>
      <c r="B156" s="122"/>
      <c r="C156" s="123" t="s">
        <v>212</v>
      </c>
      <c r="D156" s="124"/>
      <c r="E156" s="124"/>
      <c r="F156" s="124"/>
      <c r="G156" s="124"/>
      <c r="H156" s="125"/>
      <c r="I156" s="5" t="str">
        <f ca="1">(IF(E160&gt;99%,"All work completed. Please provide OC.",IF(E160&gt;89.8%,"Plinth, RCC, Brick, Plaster, Flooring, Painting work Completed. Finishing work is in process.",IF(E160&lt;94%,(IF(C160=0,"Work not yet Started.",IF(D160=25%,"Piling work in process",IF(D160=50%,"Excavation work in process",IF(D160=100%,"Excavation work Completed. ","0")))&amp;(IF(C161=0%,"",IF(C161=J162,"Footing work is process",IF(C161=J163,"Footing work Completed",IF(C161=J164,"1st Basement Completed",IF(C161=J165,"1st &amp; 2nd Basement Completed",IF(C161=J166,"1st to 3rd Basement Completed",IF(C161=J167,"1st to 4th Basement Completed",IF(C161=J168,"Plinth work is process",IF(C161=J169,"Plinth work completed","0")))))))))))&amp;(IF(C162=(D157+F157+H157),", RCC Slab",IF(C162&gt;0,", RCC upto "&amp;C162&amp;" Slab",""))&amp;(IF(C163=H157,", Brickwork",IF(C163&gt;0,", Brickwork upto "&amp;C163&amp;" Floor",""))&amp;(IF(C164=H157,", Internal Plaster",IF(C164&gt;0,", Internal Plaster upto "&amp;C164&amp;" Floor",""))&amp;(IF(C165=H157,", External Plaster",IF(C165&gt;0,", External Plaster upto "&amp;C165&amp;" Floor",""))&amp;(IF(C166=H157,", Flooring",IF(C166&gt;0,", Flooring upto "&amp;C166&amp;" Floor",""))&amp;(IF(C167=H157,", Painting",IF(C167&gt;0,", Painting upto "&amp;C167&amp;" Floor",""))&amp;(IF(C168&gt;0,", Finishing upto "&amp;C168&amp;" Floor","")&amp;(IF(C162&gt;0.5," Completed",""))))))))))))))</f>
        <v>Excavation work Completed. Plinth work completed, RCC upto 6 Slab, Brickwork upto 4 Floor Completed</v>
      </c>
      <c r="J156" s="23"/>
    </row>
    <row r="157" spans="1:10" ht="15.75" hidden="1" x14ac:dyDescent="0.25">
      <c r="A157" s="15" t="s">
        <v>126</v>
      </c>
      <c r="B157" s="16">
        <v>0</v>
      </c>
      <c r="C157" s="16" t="s">
        <v>127</v>
      </c>
      <c r="D157" s="16">
        <v>1</v>
      </c>
      <c r="E157" s="16" t="s">
        <v>128</v>
      </c>
      <c r="F157" s="16">
        <v>0</v>
      </c>
      <c r="G157" s="16" t="s">
        <v>129</v>
      </c>
      <c r="H157" s="6">
        <f ca="1">--TRIM(RIGHT(SUBSTITUTE(LEFT(C156,_xlfn.AGGREGATE(16,6,FIND({0,1,2,3,4,5,6,7,8,9},C156,ROW(INDIRECT("1:"&amp;LEN(C156)))),1))," ",REPT(" ",LEN(C156))),LEN(C156)))</f>
        <v>7</v>
      </c>
      <c r="I157" s="7"/>
      <c r="J157" s="24"/>
    </row>
    <row r="158" spans="1:10" ht="33.75" hidden="1" customHeight="1" x14ac:dyDescent="0.25">
      <c r="A158" s="89" t="s">
        <v>186</v>
      </c>
      <c r="B158" s="58"/>
      <c r="C158" s="59" t="str">
        <f ca="1">I156</f>
        <v>Excavation work Completed. Plinth work completed, RCC upto 6 Slab, Brickwork upto 4 Floor Completed</v>
      </c>
      <c r="D158" s="59"/>
      <c r="E158" s="59"/>
      <c r="F158" s="59"/>
      <c r="G158" s="59"/>
      <c r="H158" s="90"/>
      <c r="I158" s="7" t="s">
        <v>187</v>
      </c>
      <c r="J158" s="24"/>
    </row>
    <row r="159" spans="1:10" ht="31.5" hidden="1" x14ac:dyDescent="0.25">
      <c r="A159" s="64" t="s">
        <v>130</v>
      </c>
      <c r="B159" s="60"/>
      <c r="C159" s="14" t="s">
        <v>188</v>
      </c>
      <c r="D159" s="14" t="s">
        <v>131</v>
      </c>
      <c r="E159" s="60" t="s">
        <v>132</v>
      </c>
      <c r="F159" s="60"/>
      <c r="G159" s="60" t="s">
        <v>133</v>
      </c>
      <c r="H159" s="65"/>
      <c r="I159" s="8" t="s">
        <v>189</v>
      </c>
      <c r="J159" s="25">
        <f ca="1">H157*25%</f>
        <v>1.75</v>
      </c>
    </row>
    <row r="160" spans="1:10" ht="15.75" hidden="1" x14ac:dyDescent="0.25">
      <c r="A160" s="64" t="s">
        <v>190</v>
      </c>
      <c r="B160" s="60"/>
      <c r="C160" s="26">
        <f ca="1">J161</f>
        <v>7</v>
      </c>
      <c r="D160" s="27">
        <f ca="1">((100/H157)*C160)/100</f>
        <v>1</v>
      </c>
      <c r="E160" s="61">
        <f ca="1">(((C161/H157*10)+(40/(D157+F157+H157)*C162)+(7.5/(H157)*C163)+(7.5/(H157)*C164)+(10/H157*C165)+(10/H157*C166)+(5/H157*C167)+(5/H157*C168)+(5/H157*C169))/100)</f>
        <v>0.44285714285714284</v>
      </c>
      <c r="F160" s="61"/>
      <c r="G160" s="61">
        <f ca="1">((((C160/H157)*20)+((C161/H157)*25)+(30/(H157+F157+D157)*C162)+(5/H157*C163)+(5/H157*C164)+(5/H157*C165)+(5/H157*C166)+(0/H157*C167)+(0/H157*C168)+(5/H157*C169))/100)</f>
        <v>0.70357142857142863</v>
      </c>
      <c r="H160" s="67"/>
      <c r="I160" s="8" t="s">
        <v>191</v>
      </c>
      <c r="J160" s="28">
        <f ca="1">H157*50%</f>
        <v>3.5</v>
      </c>
    </row>
    <row r="161" spans="1:10" ht="15.75" hidden="1" x14ac:dyDescent="0.25">
      <c r="A161" s="64" t="s">
        <v>134</v>
      </c>
      <c r="B161" s="60"/>
      <c r="C161" s="29">
        <f ca="1">J169</f>
        <v>7</v>
      </c>
      <c r="D161" s="27">
        <f ca="1">((100/H157)*C161)/100</f>
        <v>1</v>
      </c>
      <c r="E161" s="61"/>
      <c r="F161" s="61"/>
      <c r="G161" s="61"/>
      <c r="H161" s="67"/>
      <c r="I161" s="8" t="s">
        <v>192</v>
      </c>
      <c r="J161" s="28">
        <f ca="1">H157</f>
        <v>7</v>
      </c>
    </row>
    <row r="162" spans="1:10" ht="15.75" hidden="1" x14ac:dyDescent="0.25">
      <c r="A162" s="82" t="s">
        <v>193</v>
      </c>
      <c r="B162" s="83"/>
      <c r="C162" s="29">
        <v>6</v>
      </c>
      <c r="D162" s="27">
        <f ca="1">((100/(D157+F157+H157))*C162)/100</f>
        <v>0.75</v>
      </c>
      <c r="E162" s="61"/>
      <c r="F162" s="61"/>
      <c r="G162" s="61"/>
      <c r="H162" s="67"/>
      <c r="I162" s="8" t="s">
        <v>194</v>
      </c>
      <c r="J162" s="30">
        <f ca="1">(IF(B157&gt;1,(H157/(B157+2)),H157/4))</f>
        <v>1.75</v>
      </c>
    </row>
    <row r="163" spans="1:10" ht="15.75" hidden="1" x14ac:dyDescent="0.25">
      <c r="A163" s="64" t="s">
        <v>195</v>
      </c>
      <c r="B163" s="60" t="s">
        <v>196</v>
      </c>
      <c r="C163" s="26">
        <v>4</v>
      </c>
      <c r="D163" s="27">
        <f ca="1">((100/H157)*C163)/100</f>
        <v>0.57142857142857151</v>
      </c>
      <c r="E163" s="61"/>
      <c r="F163" s="61"/>
      <c r="G163" s="61"/>
      <c r="H163" s="67"/>
      <c r="I163" s="8" t="s">
        <v>197</v>
      </c>
      <c r="J163" s="30">
        <f ca="1">(IF(B157&gt;1,(H157/(B157+2)+J162),H157/4+J162))</f>
        <v>3.5</v>
      </c>
    </row>
    <row r="164" spans="1:10" ht="15.75" hidden="1" x14ac:dyDescent="0.25">
      <c r="A164" s="64" t="s">
        <v>198</v>
      </c>
      <c r="B164" s="60" t="s">
        <v>196</v>
      </c>
      <c r="C164" s="26">
        <v>0</v>
      </c>
      <c r="D164" s="27">
        <f ca="1">((100/H157)*C164)/100</f>
        <v>0</v>
      </c>
      <c r="E164" s="61"/>
      <c r="F164" s="61"/>
      <c r="G164" s="61"/>
      <c r="H164" s="67"/>
      <c r="I164" s="8" t="s">
        <v>199</v>
      </c>
      <c r="J164" s="30">
        <f>(IF(B157&gt;1,(H157/(B157+2)+J163),0))</f>
        <v>0</v>
      </c>
    </row>
    <row r="165" spans="1:10" ht="15.75" hidden="1" x14ac:dyDescent="0.25">
      <c r="A165" s="64" t="s">
        <v>200</v>
      </c>
      <c r="B165" s="60" t="s">
        <v>201</v>
      </c>
      <c r="C165" s="26">
        <v>0</v>
      </c>
      <c r="D165" s="27">
        <f ca="1">((100/(H157))*C165)/100</f>
        <v>0</v>
      </c>
      <c r="E165" s="61"/>
      <c r="F165" s="61"/>
      <c r="G165" s="61"/>
      <c r="H165" s="67"/>
      <c r="I165" s="8" t="s">
        <v>202</v>
      </c>
      <c r="J165" s="30">
        <f>(IF(B157&gt;2,(H157/(B157+2)+J164),0))</f>
        <v>0</v>
      </c>
    </row>
    <row r="166" spans="1:10" ht="15.75" hidden="1" x14ac:dyDescent="0.25">
      <c r="A166" s="64" t="s">
        <v>203</v>
      </c>
      <c r="B166" s="60" t="s">
        <v>203</v>
      </c>
      <c r="C166" s="26">
        <v>0</v>
      </c>
      <c r="D166" s="27">
        <f ca="1">((100/H157)*C166)/100</f>
        <v>0</v>
      </c>
      <c r="E166" s="61"/>
      <c r="F166" s="61"/>
      <c r="G166" s="61"/>
      <c r="H166" s="67"/>
      <c r="I166" s="8" t="s">
        <v>204</v>
      </c>
      <c r="J166" s="31">
        <f>(IF(B157&gt;3,(H157/(B157+2)+J165),0))</f>
        <v>0</v>
      </c>
    </row>
    <row r="167" spans="1:10" ht="15.75" hidden="1" x14ac:dyDescent="0.25">
      <c r="A167" s="64" t="s">
        <v>135</v>
      </c>
      <c r="B167" s="60"/>
      <c r="C167" s="26">
        <v>0</v>
      </c>
      <c r="D167" s="27">
        <f ca="1">((100/H157)*C167)/100</f>
        <v>0</v>
      </c>
      <c r="E167" s="61"/>
      <c r="F167" s="61"/>
      <c r="G167" s="61"/>
      <c r="H167" s="67"/>
      <c r="I167" s="8" t="s">
        <v>205</v>
      </c>
      <c r="J167" s="30">
        <f>(IF(B157&gt;4,(H157/(B157+2)+J166),0))</f>
        <v>0</v>
      </c>
    </row>
    <row r="168" spans="1:10" ht="15.75" hidden="1" x14ac:dyDescent="0.25">
      <c r="A168" s="64" t="s">
        <v>206</v>
      </c>
      <c r="B168" s="60" t="s">
        <v>206</v>
      </c>
      <c r="C168" s="26">
        <v>0</v>
      </c>
      <c r="D168" s="27">
        <f ca="1">((100/(H157))*C168)/100</f>
        <v>0</v>
      </c>
      <c r="E168" s="61"/>
      <c r="F168" s="61"/>
      <c r="G168" s="61"/>
      <c r="H168" s="67"/>
      <c r="I168" s="8" t="s">
        <v>207</v>
      </c>
      <c r="J168" s="30">
        <f ca="1">(IF(B157=1,(H157/(B157+3)+J163),IF(B157=0,(H157/4+J163),IF(B157&gt;1,0))))</f>
        <v>5.25</v>
      </c>
    </row>
    <row r="169" spans="1:10" ht="16.5" hidden="1" thickBot="1" x14ac:dyDescent="0.3">
      <c r="A169" s="69" t="s">
        <v>208</v>
      </c>
      <c r="B169" s="70"/>
      <c r="C169" s="32">
        <v>0</v>
      </c>
      <c r="D169" s="33">
        <f ca="1">((100/(H157))*C169)/100</f>
        <v>0</v>
      </c>
      <c r="E169" s="66"/>
      <c r="F169" s="66"/>
      <c r="G169" s="66"/>
      <c r="H169" s="68"/>
      <c r="I169" s="9" t="s">
        <v>209</v>
      </c>
      <c r="J169" s="34">
        <f ca="1">(IF(B157&gt;1.5,(H157/(B157+2)+J163+MAX(0,J164-J163)+MAX(0,J165-J164)+MAX(0,J166-J165)+MAX(0,J167-J166)+MAX(0,J168-J167)),IF(B157=1,(H157/(B157+3)+J168),IF(B157=0,H157/4+J168))))</f>
        <v>7</v>
      </c>
    </row>
    <row r="170" spans="1:10" x14ac:dyDescent="0.2">
      <c r="A170" s="62" t="s">
        <v>136</v>
      </c>
      <c r="B170" s="62"/>
      <c r="C170" s="62"/>
      <c r="D170" s="62"/>
      <c r="E170" s="62"/>
      <c r="F170" s="62"/>
      <c r="G170" s="62"/>
      <c r="H170" s="62"/>
    </row>
    <row r="171" spans="1:10" x14ac:dyDescent="0.2">
      <c r="A171" s="62" t="s">
        <v>137</v>
      </c>
      <c r="B171" s="62"/>
      <c r="C171" s="62"/>
      <c r="D171" s="62"/>
      <c r="E171" s="62"/>
      <c r="F171" s="62"/>
      <c r="G171" s="62"/>
      <c r="H171" s="62"/>
    </row>
    <row r="172" spans="1:10" x14ac:dyDescent="0.2">
      <c r="A172" s="93" t="s">
        <v>138</v>
      </c>
      <c r="B172" s="93"/>
      <c r="C172" s="62" t="s">
        <v>139</v>
      </c>
      <c r="D172" s="62"/>
      <c r="E172" s="62"/>
      <c r="F172" s="62"/>
      <c r="G172" s="62"/>
      <c r="H172" s="62"/>
    </row>
    <row r="173" spans="1:10" x14ac:dyDescent="0.2">
      <c r="A173" s="93" t="s">
        <v>140</v>
      </c>
      <c r="B173" s="93"/>
      <c r="C173" s="93"/>
      <c r="D173" s="93"/>
      <c r="E173" s="93"/>
      <c r="F173" s="93"/>
      <c r="G173" s="93"/>
      <c r="H173" s="93"/>
    </row>
    <row r="174" spans="1:10" x14ac:dyDescent="0.2">
      <c r="A174" s="62" t="s">
        <v>141</v>
      </c>
      <c r="B174" s="62"/>
      <c r="C174" s="62"/>
      <c r="D174" s="62"/>
      <c r="E174" s="62"/>
      <c r="F174" s="101">
        <v>6000</v>
      </c>
      <c r="G174" s="101"/>
      <c r="H174" s="101"/>
    </row>
    <row r="175" spans="1:10" x14ac:dyDescent="0.2">
      <c r="A175" s="62" t="s">
        <v>142</v>
      </c>
      <c r="B175" s="62"/>
      <c r="C175" s="62"/>
      <c r="D175" s="62"/>
      <c r="E175" s="62"/>
      <c r="F175" s="94">
        <v>9000</v>
      </c>
      <c r="G175" s="94"/>
      <c r="H175" s="94"/>
    </row>
    <row r="176" spans="1:10" x14ac:dyDescent="0.2">
      <c r="A176" s="62" t="s">
        <v>143</v>
      </c>
      <c r="B176" s="62"/>
      <c r="C176" s="62"/>
      <c r="D176" s="62"/>
      <c r="E176" s="62"/>
      <c r="F176" s="114" t="s">
        <v>211</v>
      </c>
      <c r="G176" s="94"/>
      <c r="H176" s="94"/>
    </row>
    <row r="177" spans="1:8" x14ac:dyDescent="0.2">
      <c r="A177" s="62" t="s">
        <v>144</v>
      </c>
      <c r="B177" s="62"/>
      <c r="C177" s="62"/>
      <c r="D177" s="62"/>
      <c r="E177" s="62"/>
      <c r="F177" s="114" t="s">
        <v>211</v>
      </c>
      <c r="G177" s="94"/>
      <c r="H177" s="94"/>
    </row>
    <row r="178" spans="1:8" x14ac:dyDescent="0.2">
      <c r="A178" s="93" t="s">
        <v>145</v>
      </c>
      <c r="B178" s="93"/>
      <c r="C178" s="93"/>
      <c r="D178" s="93"/>
      <c r="E178" s="93"/>
      <c r="F178" s="94">
        <v>3840</v>
      </c>
      <c r="G178" s="94"/>
      <c r="H178" s="94"/>
    </row>
    <row r="179" spans="1:8" ht="15" customHeight="1" x14ac:dyDescent="0.2">
      <c r="A179" s="84" t="s">
        <v>146</v>
      </c>
      <c r="B179" s="84"/>
      <c r="C179" s="84"/>
      <c r="D179" s="84"/>
      <c r="E179" s="84"/>
      <c r="F179" s="84"/>
      <c r="G179" s="84"/>
      <c r="H179" s="84"/>
    </row>
    <row r="180" spans="1:8" ht="28.5" customHeight="1" x14ac:dyDescent="0.2">
      <c r="A180" s="110" t="s">
        <v>147</v>
      </c>
      <c r="B180" s="110"/>
      <c r="C180" s="50" t="s">
        <v>148</v>
      </c>
      <c r="D180" s="110" t="s">
        <v>149</v>
      </c>
      <c r="E180" s="110"/>
      <c r="F180" s="84" t="s">
        <v>150</v>
      </c>
      <c r="G180" s="84"/>
      <c r="H180" s="84"/>
    </row>
    <row r="181" spans="1:8" x14ac:dyDescent="0.2">
      <c r="A181" s="109" t="s">
        <v>151</v>
      </c>
      <c r="B181" s="109"/>
      <c r="C181" s="22">
        <f>COUNT(D209:D214)</f>
        <v>6</v>
      </c>
      <c r="D181" s="103">
        <f>SUM(D209:D214)</f>
        <v>1237.0430124</v>
      </c>
      <c r="E181" s="103"/>
      <c r="F181" s="105">
        <f>SUM(F209:F214)</f>
        <v>1855.5645185999997</v>
      </c>
      <c r="G181" s="106"/>
      <c r="H181" s="107"/>
    </row>
    <row r="182" spans="1:8" x14ac:dyDescent="0.2">
      <c r="A182" s="109" t="s">
        <v>152</v>
      </c>
      <c r="B182" s="109"/>
      <c r="C182" s="22">
        <f>COUNT(D232:D237)</f>
        <v>6</v>
      </c>
      <c r="D182" s="103">
        <f>SUM(D232:D237)</f>
        <v>1236.3250536</v>
      </c>
      <c r="E182" s="103"/>
      <c r="F182" s="105">
        <f>SUM(F232:F237)</f>
        <v>1854.4875803999998</v>
      </c>
      <c r="G182" s="106"/>
      <c r="H182" s="107"/>
    </row>
    <row r="183" spans="1:8" x14ac:dyDescent="0.2">
      <c r="A183" s="109" t="s">
        <v>153</v>
      </c>
      <c r="B183" s="109"/>
      <c r="C183" s="22">
        <f>COUNT(D250:D258)</f>
        <v>9</v>
      </c>
      <c r="D183" s="103">
        <f>SUM(D250:D258)</f>
        <v>1717.7018975999999</v>
      </c>
      <c r="E183" s="103"/>
      <c r="F183" s="105">
        <f>SUM(F250:F258)</f>
        <v>2576.5528463999995</v>
      </c>
      <c r="G183" s="106"/>
      <c r="H183" s="107"/>
    </row>
    <row r="184" spans="1:8" x14ac:dyDescent="0.2">
      <c r="A184" s="84" t="s">
        <v>154</v>
      </c>
      <c r="B184" s="84"/>
      <c r="C184" s="21">
        <f>SUM(C181:C183)</f>
        <v>21</v>
      </c>
      <c r="D184" s="102">
        <f>SUM(D181:E183)</f>
        <v>4191.0699635999999</v>
      </c>
      <c r="E184" s="102"/>
      <c r="F184" s="111">
        <f>SUM(F181:G183)</f>
        <v>6286.6049453999985</v>
      </c>
      <c r="G184" s="112"/>
      <c r="H184" s="113"/>
    </row>
    <row r="185" spans="1:8" ht="15" customHeight="1" x14ac:dyDescent="0.2">
      <c r="A185" s="84" t="s">
        <v>155</v>
      </c>
      <c r="B185" s="84"/>
      <c r="C185" s="84"/>
      <c r="D185" s="84"/>
      <c r="E185" s="84"/>
      <c r="F185" s="84"/>
      <c r="G185" s="84"/>
      <c r="H185" s="84"/>
    </row>
    <row r="186" spans="1:8" ht="28.5" customHeight="1" x14ac:dyDescent="0.2">
      <c r="A186" s="110" t="s">
        <v>147</v>
      </c>
      <c r="B186" s="110"/>
      <c r="C186" s="17" t="s">
        <v>148</v>
      </c>
      <c r="D186" s="110" t="s">
        <v>149</v>
      </c>
      <c r="E186" s="110"/>
      <c r="F186" s="84" t="s">
        <v>150</v>
      </c>
      <c r="G186" s="84"/>
      <c r="H186" s="84"/>
    </row>
    <row r="187" spans="1:8" x14ac:dyDescent="0.2">
      <c r="A187" s="109" t="s">
        <v>151</v>
      </c>
      <c r="B187" s="109"/>
      <c r="C187" s="22">
        <f>COUNT(D216:D219)+COUNT(D221:D224)*2+COUNT(D226:D229)*4</f>
        <v>28</v>
      </c>
      <c r="D187" s="103">
        <f>SUM(D216:D219)+SUM(D221:D224)*2+SUM(D226:D229)*4</f>
        <v>12478.548045599999</v>
      </c>
      <c r="E187" s="103"/>
      <c r="F187" s="105">
        <f>SUM(F216:F219)+SUM(F221:F224)*2+SUM(F226:F229)*4</f>
        <v>18299.33637012</v>
      </c>
      <c r="G187" s="106"/>
      <c r="H187" s="107"/>
    </row>
    <row r="188" spans="1:8" x14ac:dyDescent="0.2">
      <c r="A188" s="109" t="s">
        <v>152</v>
      </c>
      <c r="B188" s="109"/>
      <c r="C188" s="22">
        <f>COUNT(D239:D242)+COUNT(D244:D247)*6</f>
        <v>28</v>
      </c>
      <c r="D188" s="103">
        <f>SUM(D239:D242)+SUM(D244:D247)*6</f>
        <v>13112.601465600001</v>
      </c>
      <c r="E188" s="103"/>
      <c r="F188" s="105">
        <f>SUM(F239:F242)+SUM(F244:F247)*6</f>
        <v>19214.139129120002</v>
      </c>
      <c r="G188" s="106"/>
      <c r="H188" s="107"/>
    </row>
    <row r="189" spans="1:8" x14ac:dyDescent="0.2">
      <c r="A189" s="109" t="s">
        <v>153</v>
      </c>
      <c r="B189" s="109"/>
      <c r="C189" s="22">
        <f>COUNT(D260:D265)+COUNT(D267:D272)*6</f>
        <v>42</v>
      </c>
      <c r="D189" s="103">
        <f>SUM(D260:D265)+SUM(D267:D272)*6</f>
        <v>20319.185577599997</v>
      </c>
      <c r="E189" s="103"/>
      <c r="F189" s="105">
        <f>SUM(F260:F265)+SUM(F267:F272)*6</f>
        <v>29564.224578719997</v>
      </c>
      <c r="G189" s="106"/>
      <c r="H189" s="107"/>
    </row>
    <row r="190" spans="1:8" x14ac:dyDescent="0.2">
      <c r="A190" s="109" t="s">
        <v>156</v>
      </c>
      <c r="B190" s="109"/>
      <c r="C190" s="22">
        <f>COUNT(D275:D276)+COUNT(D278:D281)*7</f>
        <v>30</v>
      </c>
      <c r="D190" s="103">
        <f>SUM(D275:D276)+SUM(D278:D281)*7</f>
        <v>14040.335556</v>
      </c>
      <c r="E190" s="103"/>
      <c r="F190" s="105">
        <f>SUM(F275:F276)+SUM(F278:F281)*7</f>
        <v>20358.486556200001</v>
      </c>
      <c r="G190" s="106"/>
      <c r="H190" s="107"/>
    </row>
    <row r="191" spans="1:8" x14ac:dyDescent="0.2">
      <c r="A191" s="109" t="s">
        <v>157</v>
      </c>
      <c r="B191" s="109"/>
      <c r="C191" s="22">
        <f>COUNT(D284:D285)+COUNT(D287:D290)*7</f>
        <v>30</v>
      </c>
      <c r="D191" s="103">
        <f>SUM(D284:D285)+SUM(D287:D290)*7</f>
        <v>14040.335556</v>
      </c>
      <c r="E191" s="103"/>
      <c r="F191" s="105">
        <f>SUM(F284:F285)+SUM(F287:F290)*7</f>
        <v>20358.486556200001</v>
      </c>
      <c r="G191" s="106"/>
      <c r="H191" s="107"/>
    </row>
    <row r="192" spans="1:8" x14ac:dyDescent="0.2">
      <c r="A192" s="109" t="s">
        <v>158</v>
      </c>
      <c r="B192" s="109"/>
      <c r="C192" s="22">
        <f>COUNT(D293:D294)+COUNT(D296:D299)*7</f>
        <v>30</v>
      </c>
      <c r="D192" s="103">
        <f>SUM(D293:D294)+SUM(D296:D299)*7</f>
        <v>14040.335556</v>
      </c>
      <c r="E192" s="103"/>
      <c r="F192" s="105">
        <f>SUM(F293:F294)+SUM(F296:F299)*7</f>
        <v>20358.486556200001</v>
      </c>
      <c r="G192" s="106"/>
      <c r="H192" s="107"/>
    </row>
    <row r="193" spans="1:8" x14ac:dyDescent="0.2">
      <c r="A193" s="109" t="s">
        <v>159</v>
      </c>
      <c r="B193" s="109"/>
      <c r="C193" s="22">
        <f>COUNT(D302:D303)+COUNT(D305:D308)*7</f>
        <v>30</v>
      </c>
      <c r="D193" s="103">
        <f>SUM(D302:D303)+SUM(D305:D308)*7</f>
        <v>14040.335556</v>
      </c>
      <c r="E193" s="103"/>
      <c r="F193" s="105">
        <f>SUM(F302:F303)+SUM(F305:F308)*7</f>
        <v>20358.486556200001</v>
      </c>
      <c r="G193" s="106"/>
      <c r="H193" s="107"/>
    </row>
    <row r="194" spans="1:8" x14ac:dyDescent="0.2">
      <c r="A194" s="108" t="s">
        <v>160</v>
      </c>
      <c r="B194" s="108"/>
      <c r="C194" s="22">
        <f>COUNT(D312:D315)*7</f>
        <v>28</v>
      </c>
      <c r="D194" s="103">
        <f>SUM(D312:D315)*7</f>
        <v>11839.9436064</v>
      </c>
      <c r="E194" s="103"/>
      <c r="F194" s="105">
        <f>SUM(F312:F315)*7</f>
        <v>17167.91822928</v>
      </c>
      <c r="G194" s="106"/>
      <c r="H194" s="107"/>
    </row>
    <row r="195" spans="1:8" x14ac:dyDescent="0.2">
      <c r="A195" s="108" t="s">
        <v>161</v>
      </c>
      <c r="B195" s="108"/>
      <c r="C195" s="22">
        <f>COUNT(D319:D322)*7</f>
        <v>28</v>
      </c>
      <c r="D195" s="103">
        <f>SUM(D319:D322)*7</f>
        <v>9431.4598559999995</v>
      </c>
      <c r="E195" s="103"/>
      <c r="F195" s="105">
        <f>SUM(F319:F322)*7</f>
        <v>13675.6167912</v>
      </c>
      <c r="G195" s="106"/>
      <c r="H195" s="107"/>
    </row>
    <row r="196" spans="1:8" x14ac:dyDescent="0.2">
      <c r="A196" s="108" t="s">
        <v>162</v>
      </c>
      <c r="B196" s="108"/>
      <c r="C196" s="22">
        <f>COUNT(D326:D329)*7</f>
        <v>28</v>
      </c>
      <c r="D196" s="103">
        <f>SUM(D326:D329)*7</f>
        <v>11342.6468064</v>
      </c>
      <c r="E196" s="103"/>
      <c r="F196" s="105">
        <f>SUM(F326:F329)*7</f>
        <v>16446.837869279996</v>
      </c>
      <c r="G196" s="106"/>
      <c r="H196" s="107"/>
    </row>
    <row r="197" spans="1:8" x14ac:dyDescent="0.2">
      <c r="A197" s="108" t="s">
        <v>163</v>
      </c>
      <c r="B197" s="108"/>
      <c r="C197" s="22">
        <f>COUNT(D333:D336)*7</f>
        <v>28</v>
      </c>
      <c r="D197" s="103">
        <f>SUM(D333:D336)*7</f>
        <v>11831.670396000001</v>
      </c>
      <c r="E197" s="103"/>
      <c r="F197" s="105">
        <f>SUM(F333:F336)*7</f>
        <v>17155.922074200003</v>
      </c>
      <c r="G197" s="106"/>
      <c r="H197" s="107"/>
    </row>
    <row r="198" spans="1:8" x14ac:dyDescent="0.2">
      <c r="A198" s="108" t="s">
        <v>164</v>
      </c>
      <c r="B198" s="108"/>
      <c r="C198" s="22">
        <f>COUNT(D340:D345)*7</f>
        <v>42</v>
      </c>
      <c r="D198" s="103">
        <f>SUM(D340:D345)*7</f>
        <v>20016.829123199997</v>
      </c>
      <c r="E198" s="103"/>
      <c r="F198" s="105">
        <f>SUM(F340:F345)*7</f>
        <v>29024.40222864</v>
      </c>
      <c r="G198" s="106"/>
      <c r="H198" s="107"/>
    </row>
    <row r="199" spans="1:8" x14ac:dyDescent="0.2">
      <c r="A199" s="104" t="s">
        <v>165</v>
      </c>
      <c r="B199" s="104"/>
      <c r="C199" s="22">
        <f>COUNT(D348:D350)+COUNT(D352:D357)*7</f>
        <v>45</v>
      </c>
      <c r="D199" s="103">
        <f>SUM(D348:D350)+SUM(D352:D357)*7</f>
        <v>14957.89659</v>
      </c>
      <c r="E199" s="103"/>
      <c r="F199" s="105">
        <f>SUM(F348:F350)+SUM(F352:F357)*7</f>
        <v>21688.950055499998</v>
      </c>
      <c r="G199" s="106"/>
      <c r="H199" s="107"/>
    </row>
    <row r="200" spans="1:8" x14ac:dyDescent="0.2">
      <c r="A200" s="104" t="s">
        <v>166</v>
      </c>
      <c r="B200" s="104"/>
      <c r="C200" s="22">
        <f>COUNT(D360:D361)+COUNT(D363:D366)*7</f>
        <v>30</v>
      </c>
      <c r="D200" s="103">
        <f>SUM(D360:D361)+SUM(D363:D366)*7</f>
        <v>12548.025360000001</v>
      </c>
      <c r="E200" s="103"/>
      <c r="F200" s="105">
        <f>SUM(F360:F361)+SUM(F363:F366)*7</f>
        <v>18194.636771999998</v>
      </c>
      <c r="G200" s="106"/>
      <c r="H200" s="107"/>
    </row>
    <row r="201" spans="1:8" ht="15" customHeight="1" x14ac:dyDescent="0.2">
      <c r="A201" s="104" t="s">
        <v>167</v>
      </c>
      <c r="B201" s="104"/>
      <c r="C201" s="22">
        <f>COUNT(D369:D370)+COUNT(D372:D375)*2+COUNT(D377:D380)+COUNT(D382:D385)*4</f>
        <v>30</v>
      </c>
      <c r="D201" s="103">
        <f>SUM(D369:D370)+SUM(D372:D375)*2+SUM(D377:D380)+SUM(D382:D385)*4</f>
        <v>15102.484019999998</v>
      </c>
      <c r="E201" s="103"/>
      <c r="F201" s="105">
        <f>SUM(F369:F370)+SUM(F372:F375)*2+SUM(F377:F380)+SUM(F382:F385)*4</f>
        <v>21898.601828999996</v>
      </c>
      <c r="G201" s="106"/>
      <c r="H201" s="107"/>
    </row>
    <row r="202" spans="1:8" x14ac:dyDescent="0.2">
      <c r="A202" s="104" t="s">
        <v>168</v>
      </c>
      <c r="B202" s="104"/>
      <c r="C202" s="22">
        <f>COUNT(D388:D389)+COUNT(D391:D394)*7</f>
        <v>30</v>
      </c>
      <c r="D202" s="103">
        <f>SUM(D388:D389)+SUM(D391:D394)*7</f>
        <v>15102.484019999998</v>
      </c>
      <c r="E202" s="103"/>
      <c r="F202" s="105">
        <f>SUM(F388:F389)+SUM(F391:F394)*7</f>
        <v>21898.601828999999</v>
      </c>
      <c r="G202" s="106"/>
      <c r="H202" s="107"/>
    </row>
    <row r="203" spans="1:8" x14ac:dyDescent="0.2">
      <c r="A203" s="84" t="s">
        <v>154</v>
      </c>
      <c r="B203" s="84"/>
      <c r="C203" s="21">
        <f>SUM(C187:C202)</f>
        <v>507</v>
      </c>
      <c r="D203" s="102">
        <f>SUM(D187:E202)</f>
        <v>224245.11709080002</v>
      </c>
      <c r="E203" s="102"/>
      <c r="F203" s="102">
        <f>SUM(F187:H202)</f>
        <v>325663.13398086</v>
      </c>
      <c r="G203" s="102"/>
      <c r="H203" s="102"/>
    </row>
    <row r="204" spans="1:8" ht="15" customHeight="1" x14ac:dyDescent="0.2">
      <c r="A204" s="84" t="s">
        <v>169</v>
      </c>
      <c r="B204" s="84"/>
      <c r="C204" s="84"/>
      <c r="D204" s="84"/>
      <c r="E204" s="84"/>
      <c r="F204" s="84"/>
      <c r="G204" s="84"/>
      <c r="H204" s="84"/>
    </row>
    <row r="205" spans="1:8" ht="15" customHeight="1" x14ac:dyDescent="0.2">
      <c r="A205" s="84" t="s">
        <v>170</v>
      </c>
      <c r="B205" s="84"/>
      <c r="C205" s="84"/>
      <c r="D205" s="84"/>
      <c r="E205" s="84"/>
      <c r="F205" s="84"/>
      <c r="G205" s="84"/>
      <c r="H205" s="84"/>
    </row>
    <row r="206" spans="1:8" ht="57" x14ac:dyDescent="0.2">
      <c r="A206" s="18" t="s">
        <v>171</v>
      </c>
      <c r="B206" s="18" t="s">
        <v>172</v>
      </c>
      <c r="C206" s="17" t="s">
        <v>173</v>
      </c>
      <c r="D206" s="17" t="s">
        <v>174</v>
      </c>
      <c r="E206" s="17" t="s">
        <v>175</v>
      </c>
      <c r="F206" s="17" t="s">
        <v>176</v>
      </c>
      <c r="G206" s="84" t="s">
        <v>177</v>
      </c>
      <c r="H206" s="84"/>
    </row>
    <row r="207" spans="1:8" ht="15" customHeight="1" x14ac:dyDescent="0.2">
      <c r="A207" s="84" t="s">
        <v>178</v>
      </c>
      <c r="B207" s="84"/>
      <c r="C207" s="84"/>
      <c r="D207" s="84"/>
      <c r="E207" s="84"/>
      <c r="F207" s="84"/>
      <c r="G207" s="84"/>
      <c r="H207" s="84"/>
    </row>
    <row r="208" spans="1:8" ht="15" customHeight="1" x14ac:dyDescent="0.2">
      <c r="A208" s="84" t="s">
        <v>179</v>
      </c>
      <c r="B208" s="84"/>
      <c r="C208" s="84"/>
      <c r="D208" s="84"/>
      <c r="E208" s="84"/>
      <c r="F208" s="84"/>
      <c r="G208" s="84"/>
      <c r="H208" s="84"/>
    </row>
    <row r="209" spans="1:11" ht="15" customHeight="1" x14ac:dyDescent="0.2">
      <c r="A209" s="103">
        <v>1</v>
      </c>
      <c r="B209" s="103"/>
      <c r="C209" s="19" t="s">
        <v>180</v>
      </c>
      <c r="D209" s="11">
        <f>(4.41*6.67)*10.764</f>
        <v>316.61983079999999</v>
      </c>
      <c r="E209" s="2">
        <v>0</v>
      </c>
      <c r="F209" s="22">
        <f>D209*1.5+E209</f>
        <v>474.92974619999995</v>
      </c>
      <c r="G209" s="115" t="s">
        <v>179</v>
      </c>
      <c r="H209" s="115"/>
      <c r="I209" s="10">
        <f>(4.41*6.67)*10.764</f>
        <v>316.61983079999999</v>
      </c>
    </row>
    <row r="210" spans="1:11" x14ac:dyDescent="0.2">
      <c r="A210" s="103">
        <v>2</v>
      </c>
      <c r="B210" s="103"/>
      <c r="C210" s="19" t="s">
        <v>180</v>
      </c>
      <c r="D210" s="11">
        <f>(2.29*6.67)*10.764</f>
        <v>164.41256519999999</v>
      </c>
      <c r="E210" s="2">
        <v>0</v>
      </c>
      <c r="F210" s="22">
        <f t="shared" ref="F210:F214" si="0">D210*1.5+E210</f>
        <v>246.61884779999997</v>
      </c>
      <c r="G210" s="115"/>
      <c r="H210" s="115"/>
      <c r="I210" s="10">
        <f>(2.29*6.67)*10.764</f>
        <v>164.41256519999999</v>
      </c>
    </row>
    <row r="211" spans="1:11" x14ac:dyDescent="0.2">
      <c r="A211" s="103">
        <v>3</v>
      </c>
      <c r="B211" s="103"/>
      <c r="C211" s="19" t="s">
        <v>180</v>
      </c>
      <c r="D211" s="11">
        <f>(2.75*6.67)*10.764</f>
        <v>197.43867</v>
      </c>
      <c r="E211" s="2">
        <v>0</v>
      </c>
      <c r="F211" s="22">
        <f t="shared" si="0"/>
        <v>296.158005</v>
      </c>
      <c r="G211" s="115"/>
      <c r="H211" s="115"/>
      <c r="I211" s="10">
        <f>(2.75*6.67)*10.764</f>
        <v>197.43867</v>
      </c>
    </row>
    <row r="212" spans="1:11" x14ac:dyDescent="0.2">
      <c r="A212" s="103">
        <v>4</v>
      </c>
      <c r="B212" s="103"/>
      <c r="C212" s="19" t="s">
        <v>180</v>
      </c>
      <c r="D212" s="22">
        <f>(2.75*6.67)*10.764</f>
        <v>197.43867</v>
      </c>
      <c r="E212" s="2">
        <v>0</v>
      </c>
      <c r="F212" s="22">
        <f t="shared" si="0"/>
        <v>296.158005</v>
      </c>
      <c r="G212" s="115"/>
      <c r="H212" s="115"/>
    </row>
    <row r="213" spans="1:11" x14ac:dyDescent="0.2">
      <c r="A213" s="103">
        <v>5</v>
      </c>
      <c r="B213" s="103"/>
      <c r="C213" s="19" t="s">
        <v>180</v>
      </c>
      <c r="D213" s="22">
        <f>(2.29*6.67)*10.764</f>
        <v>164.41256519999999</v>
      </c>
      <c r="E213" s="2">
        <v>0</v>
      </c>
      <c r="F213" s="22">
        <f t="shared" si="0"/>
        <v>246.61884779999997</v>
      </c>
      <c r="G213" s="115"/>
      <c r="H213" s="115"/>
    </row>
    <row r="214" spans="1:11" x14ac:dyDescent="0.2">
      <c r="A214" s="103">
        <v>6</v>
      </c>
      <c r="B214" s="103"/>
      <c r="C214" s="19" t="s">
        <v>180</v>
      </c>
      <c r="D214" s="22">
        <f>(2.74*6.67)*10.764</f>
        <v>196.72071119999998</v>
      </c>
      <c r="E214" s="2">
        <v>0</v>
      </c>
      <c r="F214" s="22">
        <f t="shared" si="0"/>
        <v>295.08106679999997</v>
      </c>
      <c r="G214" s="115"/>
      <c r="H214" s="115"/>
    </row>
    <row r="215" spans="1:11" ht="15" customHeight="1" x14ac:dyDescent="0.2">
      <c r="A215" s="84" t="s">
        <v>181</v>
      </c>
      <c r="B215" s="84"/>
      <c r="C215" s="84"/>
      <c r="D215" s="84"/>
      <c r="E215" s="84"/>
      <c r="F215" s="84"/>
      <c r="G215" s="84"/>
      <c r="H215" s="84"/>
    </row>
    <row r="216" spans="1:11" ht="15" customHeight="1" x14ac:dyDescent="0.2">
      <c r="A216" s="73">
        <v>1</v>
      </c>
      <c r="B216" s="73"/>
      <c r="C216" s="12" t="s">
        <v>213</v>
      </c>
      <c r="D216" s="13">
        <f>(2.75*3.5+1.53*2.75+2.29*2.74+3.04*3.04+3.2*3.5+2.13*1.22+1.22*2.13+0.91*3.8+1.37*0.61+2.13*0.61)*10.764</f>
        <v>552.61191959999996</v>
      </c>
      <c r="E216" s="13">
        <f>(2.75*1.5+2.29*0.4+3.4*1.37)*10.764</f>
        <v>104.40003600000001</v>
      </c>
      <c r="F216" s="22">
        <f>D216*1.45+E216</f>
        <v>905.68731941999988</v>
      </c>
      <c r="G216" s="74" t="s">
        <v>5</v>
      </c>
      <c r="H216" s="74"/>
      <c r="I216" s="10">
        <f>(2.75*3.5+1.53*2.75+2.29*1.99+2.74*3.05+2.13*1.22+1.22*2.13+1.53*0.61+1.17*0.61+0.91*2.29)*10.764</f>
        <v>384.00247080000008</v>
      </c>
      <c r="J216" s="10">
        <f>D216-I216</f>
        <v>168.60944879999988</v>
      </c>
      <c r="K216" s="10">
        <f>(2.75*1.5+1.2*3.9+1.17*0.5)*10.764</f>
        <v>101.07396</v>
      </c>
    </row>
    <row r="217" spans="1:11" x14ac:dyDescent="0.2">
      <c r="A217" s="73">
        <v>2</v>
      </c>
      <c r="B217" s="73"/>
      <c r="C217" s="12" t="s">
        <v>214</v>
      </c>
      <c r="D217" s="13">
        <f>(2.75*3.5+2.29*1.99+2.74*3.05+2.13*1.22+1.22*2.13+0.91*2.29+1.53*0.61+1.17*0.61)*10.764</f>
        <v>338.71294079999996</v>
      </c>
      <c r="E217" s="13">
        <f>(1.5*2.75+3.8*1.2+1.17*0.6)*10.764</f>
        <v>101.04166799999997</v>
      </c>
      <c r="F217" s="22">
        <f t="shared" ref="F217:F229" si="1">D217*1.45+E217</f>
        <v>592.1754321599999</v>
      </c>
      <c r="G217" s="74"/>
      <c r="H217" s="74"/>
    </row>
    <row r="218" spans="1:11" x14ac:dyDescent="0.2">
      <c r="A218" s="73">
        <v>3</v>
      </c>
      <c r="B218" s="73"/>
      <c r="C218" s="12" t="s">
        <v>214</v>
      </c>
      <c r="D218" s="13">
        <f>(2.75*3.5+2.29*1.99+2.74*3.05+2.13*1.22+1.22*2.13+0.91*2.29+1.53*0.61+1.17*0.61)*10.764</f>
        <v>338.71294079999996</v>
      </c>
      <c r="E218" s="13">
        <v>0</v>
      </c>
      <c r="F218" s="22">
        <f t="shared" si="1"/>
        <v>491.13376415999994</v>
      </c>
      <c r="G218" s="74"/>
      <c r="H218" s="74"/>
    </row>
    <row r="219" spans="1:11" x14ac:dyDescent="0.2">
      <c r="A219" s="73">
        <v>4</v>
      </c>
      <c r="B219" s="73"/>
      <c r="C219" s="12" t="s">
        <v>214</v>
      </c>
      <c r="D219" s="13">
        <f>(2.75*3.5+1.53*2.75+2.29*2.74+3.04*3.04+3.2*3.5+2.13*1.22+1.22*2.13+0.91*3.8+1.37*0.61+2.13*0.61)*10.764</f>
        <v>552.61191959999996</v>
      </c>
      <c r="E219" s="3">
        <v>0</v>
      </c>
      <c r="F219" s="22">
        <f t="shared" si="1"/>
        <v>801.28728341999988</v>
      </c>
      <c r="G219" s="74"/>
      <c r="H219" s="74"/>
    </row>
    <row r="220" spans="1:11" ht="15" customHeight="1" x14ac:dyDescent="0.2">
      <c r="A220" s="84" t="s">
        <v>7</v>
      </c>
      <c r="B220" s="84"/>
      <c r="C220" s="84"/>
      <c r="D220" s="84"/>
      <c r="E220" s="84"/>
      <c r="F220" s="84"/>
      <c r="G220" s="84"/>
      <c r="H220" s="84"/>
    </row>
    <row r="221" spans="1:11" ht="15" customHeight="1" x14ac:dyDescent="0.2">
      <c r="A221" s="73">
        <v>1</v>
      </c>
      <c r="B221" s="73"/>
      <c r="C221" s="12" t="s">
        <v>213</v>
      </c>
      <c r="D221" s="48">
        <f>(2.75*3.5+1.53*2.75+2.29*2.74+3.04*3.04+3.2*3.5+2.13*1.22+1.22*2.13+0.91*3.8+1.37*0.61+2.13*0.61)*10.764</f>
        <v>552.61191959999996</v>
      </c>
      <c r="E221" s="3">
        <v>0</v>
      </c>
      <c r="F221" s="51">
        <f t="shared" si="1"/>
        <v>801.28728341999988</v>
      </c>
      <c r="G221" s="74" t="s">
        <v>8</v>
      </c>
      <c r="H221" s="74"/>
    </row>
    <row r="222" spans="1:11" x14ac:dyDescent="0.2">
      <c r="A222" s="73">
        <v>2</v>
      </c>
      <c r="B222" s="73"/>
      <c r="C222" s="12" t="s">
        <v>214</v>
      </c>
      <c r="D222" s="48">
        <f>(2.75*3.5+2.29*1.99+2.74*3.05+2.13*1.22+1.22*2.13+0.91*2.29+1.53*0.61+1.17*0.61)*10.764</f>
        <v>338.71294079999996</v>
      </c>
      <c r="E222" s="3">
        <v>0</v>
      </c>
      <c r="F222" s="51">
        <f t="shared" si="1"/>
        <v>491.13376415999994</v>
      </c>
      <c r="G222" s="74"/>
      <c r="H222" s="74"/>
    </row>
    <row r="223" spans="1:11" x14ac:dyDescent="0.2">
      <c r="A223" s="73">
        <v>3</v>
      </c>
      <c r="B223" s="73"/>
      <c r="C223" s="12" t="s">
        <v>214</v>
      </c>
      <c r="D223" s="48">
        <f>(2.75*3.5+2.29*1.99+2.74*3.05+2.13*1.22+1.22*2.13+0.91*2.29+1.53*0.61+1.17*0.61)*10.764</f>
        <v>338.71294079999996</v>
      </c>
      <c r="E223" s="3">
        <v>0</v>
      </c>
      <c r="F223" s="51">
        <f t="shared" si="1"/>
        <v>491.13376415999994</v>
      </c>
      <c r="G223" s="74"/>
      <c r="H223" s="74"/>
    </row>
    <row r="224" spans="1:11" x14ac:dyDescent="0.2">
      <c r="A224" s="73">
        <v>4</v>
      </c>
      <c r="B224" s="73"/>
      <c r="C224" s="12" t="s">
        <v>214</v>
      </c>
      <c r="D224" s="48">
        <f>(2.75*3.5+1.53*2.75+2.29*2.74+3.04*3.04+3.2*3.5+2.13*1.22+1.22*2.13+0.91*3.8+1.37*0.61+2.13*0.61)*10.764</f>
        <v>552.61191959999996</v>
      </c>
      <c r="E224" s="3">
        <v>0</v>
      </c>
      <c r="F224" s="51">
        <f t="shared" si="1"/>
        <v>801.28728341999988</v>
      </c>
      <c r="G224" s="74"/>
      <c r="H224" s="74"/>
    </row>
    <row r="225" spans="1:8" ht="15" customHeight="1" x14ac:dyDescent="0.2">
      <c r="A225" s="85" t="s">
        <v>215</v>
      </c>
      <c r="B225" s="84"/>
      <c r="C225" s="84"/>
      <c r="D225" s="84"/>
      <c r="E225" s="84"/>
      <c r="F225" s="84"/>
      <c r="G225" s="84"/>
      <c r="H225" s="84"/>
    </row>
    <row r="226" spans="1:8" ht="15" customHeight="1" x14ac:dyDescent="0.2">
      <c r="A226" s="73">
        <v>1</v>
      </c>
      <c r="B226" s="73"/>
      <c r="C226" s="12" t="s">
        <v>213</v>
      </c>
      <c r="D226" s="48">
        <f>(2.75*3.5+1.53*2.75+2.29*2.74+3.04*3.04+3.2*3.5+2.13*1.22+1.22*2.13+0.91*3.8+1.37*0.61+2.13*0.61)*10.764</f>
        <v>552.61191959999996</v>
      </c>
      <c r="E226" s="3">
        <v>0</v>
      </c>
      <c r="F226" s="51">
        <f t="shared" si="1"/>
        <v>801.28728341999988</v>
      </c>
      <c r="G226" s="74" t="str">
        <f>A225</f>
        <v>4th to 7th Floor</v>
      </c>
      <c r="H226" s="74"/>
    </row>
    <row r="227" spans="1:8" x14ac:dyDescent="0.2">
      <c r="A227" s="73">
        <v>2</v>
      </c>
      <c r="B227" s="73"/>
      <c r="C227" s="12" t="s">
        <v>214</v>
      </c>
      <c r="D227" s="48">
        <f>(2.75*3.5+2.29*1.99+2.74*3.05+2.13*1.22+1.22*2.13+0.91*2.29+1.53*0.61+1.17*0.61)*10.764</f>
        <v>338.71294079999996</v>
      </c>
      <c r="E227" s="3">
        <v>0</v>
      </c>
      <c r="F227" s="51">
        <f t="shared" si="1"/>
        <v>491.13376415999994</v>
      </c>
      <c r="G227" s="74"/>
      <c r="H227" s="74"/>
    </row>
    <row r="228" spans="1:8" x14ac:dyDescent="0.2">
      <c r="A228" s="73">
        <v>3</v>
      </c>
      <c r="B228" s="73"/>
      <c r="C228" s="12" t="s">
        <v>214</v>
      </c>
      <c r="D228" s="48">
        <f>(2.75*3.5+2.29*1.99+2.74*3.05+2.13*1.22+1.22*2.13+0.91*2.29+1.53*0.61+1.17*0.61)*10.764</f>
        <v>338.71294079999996</v>
      </c>
      <c r="E228" s="3">
        <v>0</v>
      </c>
      <c r="F228" s="51">
        <f t="shared" si="1"/>
        <v>491.13376415999994</v>
      </c>
      <c r="G228" s="74"/>
      <c r="H228" s="74"/>
    </row>
    <row r="229" spans="1:8" x14ac:dyDescent="0.2">
      <c r="A229" s="73">
        <v>4</v>
      </c>
      <c r="B229" s="73"/>
      <c r="C229" s="12" t="s">
        <v>214</v>
      </c>
      <c r="D229" s="48">
        <f>(2.75*3.5+1.53*2.75+2.29*2.74+3.04*3.04+3.2*3.5+2.13*1.22+1.22*2.13+0.91*3.8+1.37*0.61+2.13*0.61)*10.764</f>
        <v>552.61191959999996</v>
      </c>
      <c r="E229" s="3">
        <v>0</v>
      </c>
      <c r="F229" s="51">
        <f t="shared" si="1"/>
        <v>801.28728341999988</v>
      </c>
      <c r="G229" s="74"/>
      <c r="H229" s="74"/>
    </row>
    <row r="230" spans="1:8" ht="15" customHeight="1" x14ac:dyDescent="0.2">
      <c r="A230" s="84" t="s">
        <v>9</v>
      </c>
      <c r="B230" s="84"/>
      <c r="C230" s="84"/>
      <c r="D230" s="84"/>
      <c r="E230" s="84"/>
      <c r="F230" s="84"/>
      <c r="G230" s="84"/>
      <c r="H230" s="84"/>
    </row>
    <row r="231" spans="1:8" ht="15" customHeight="1" x14ac:dyDescent="0.2">
      <c r="A231" s="84" t="s">
        <v>0</v>
      </c>
      <c r="B231" s="84"/>
      <c r="C231" s="84"/>
      <c r="D231" s="84"/>
      <c r="E231" s="84"/>
      <c r="F231" s="84"/>
      <c r="G231" s="84"/>
      <c r="H231" s="84"/>
    </row>
    <row r="232" spans="1:8" ht="15" customHeight="1" x14ac:dyDescent="0.2">
      <c r="A232" s="71">
        <v>7</v>
      </c>
      <c r="B232" s="72"/>
      <c r="C232" s="12" t="s">
        <v>1</v>
      </c>
      <c r="D232" s="13">
        <f>(2.74*6.67)*10.764</f>
        <v>196.72071119999998</v>
      </c>
      <c r="E232" s="3">
        <v>0</v>
      </c>
      <c r="F232" s="22">
        <f>D232*1.5+E232</f>
        <v>295.08106679999997</v>
      </c>
      <c r="G232" s="74" t="s">
        <v>2</v>
      </c>
      <c r="H232" s="74"/>
    </row>
    <row r="233" spans="1:8" x14ac:dyDescent="0.2">
      <c r="A233" s="71">
        <v>8</v>
      </c>
      <c r="B233" s="72"/>
      <c r="C233" s="12" t="s">
        <v>1</v>
      </c>
      <c r="D233" s="13">
        <f>(2.29*6.67)*10.764</f>
        <v>164.41256519999999</v>
      </c>
      <c r="E233" s="3">
        <v>0</v>
      </c>
      <c r="F233" s="22">
        <f t="shared" ref="F233:F237" si="2">D233*1.5+E233</f>
        <v>246.61884779999997</v>
      </c>
      <c r="G233" s="74"/>
      <c r="H233" s="74"/>
    </row>
    <row r="234" spans="1:8" x14ac:dyDescent="0.2">
      <c r="A234" s="71">
        <v>9</v>
      </c>
      <c r="B234" s="72"/>
      <c r="C234" s="12" t="s">
        <v>1</v>
      </c>
      <c r="D234" s="13">
        <f>(2.74*6.67)*10.764</f>
        <v>196.72071119999998</v>
      </c>
      <c r="E234" s="3">
        <v>0</v>
      </c>
      <c r="F234" s="22">
        <f t="shared" si="2"/>
        <v>295.08106679999997</v>
      </c>
      <c r="G234" s="74"/>
      <c r="H234" s="74"/>
    </row>
    <row r="235" spans="1:8" x14ac:dyDescent="0.2">
      <c r="A235" s="71">
        <v>10</v>
      </c>
      <c r="B235" s="72"/>
      <c r="C235" s="12" t="s">
        <v>1</v>
      </c>
      <c r="D235" s="13">
        <f>(2.75*6.67)*10.764</f>
        <v>197.43867</v>
      </c>
      <c r="E235" s="3">
        <v>0</v>
      </c>
      <c r="F235" s="22">
        <f t="shared" si="2"/>
        <v>296.158005</v>
      </c>
      <c r="G235" s="74"/>
      <c r="H235" s="74"/>
    </row>
    <row r="236" spans="1:8" x14ac:dyDescent="0.2">
      <c r="A236" s="71">
        <v>11</v>
      </c>
      <c r="B236" s="72"/>
      <c r="C236" s="12" t="s">
        <v>1</v>
      </c>
      <c r="D236" s="13">
        <f>(2.29*6.67)*10.764</f>
        <v>164.41256519999999</v>
      </c>
      <c r="E236" s="3">
        <v>0</v>
      </c>
      <c r="F236" s="22">
        <f t="shared" si="2"/>
        <v>246.61884779999997</v>
      </c>
      <c r="G236" s="74"/>
      <c r="H236" s="74"/>
    </row>
    <row r="237" spans="1:8" x14ac:dyDescent="0.2">
      <c r="A237" s="71">
        <v>12</v>
      </c>
      <c r="B237" s="72"/>
      <c r="C237" s="12" t="s">
        <v>1</v>
      </c>
      <c r="D237" s="13">
        <f>(4.41*6.67)*10.764</f>
        <v>316.61983079999999</v>
      </c>
      <c r="E237" s="3">
        <v>0</v>
      </c>
      <c r="F237" s="22">
        <f t="shared" si="2"/>
        <v>474.92974619999995</v>
      </c>
      <c r="G237" s="74"/>
      <c r="H237" s="74"/>
    </row>
    <row r="238" spans="1:8" ht="15" customHeight="1" x14ac:dyDescent="0.2">
      <c r="A238" s="84" t="s">
        <v>3</v>
      </c>
      <c r="B238" s="84"/>
      <c r="C238" s="84"/>
      <c r="D238" s="84"/>
      <c r="E238" s="84"/>
      <c r="F238" s="84"/>
      <c r="G238" s="84"/>
      <c r="H238" s="84"/>
    </row>
    <row r="239" spans="1:8" ht="15" customHeight="1" x14ac:dyDescent="0.2">
      <c r="A239" s="73">
        <v>1</v>
      </c>
      <c r="B239" s="73"/>
      <c r="C239" s="12" t="s">
        <v>6</v>
      </c>
      <c r="D239" s="13">
        <f>(2.75*3.5+1.53*2.75+2.29*2.74+3.04*3.04+3.2*3.5+2.13*1.22+1.22*2.13+0.91*3.8+1.37*0.61+2.13*0.61)*10.764</f>
        <v>552.61191959999996</v>
      </c>
      <c r="E239" s="13">
        <f>(1.5*2.75+0.5*2.29+1.37*3.2)*10.764</f>
        <v>103.915656</v>
      </c>
      <c r="F239" s="22">
        <f>D239*1.45+E239</f>
        <v>905.20293941999989</v>
      </c>
      <c r="G239" s="74" t="s">
        <v>5</v>
      </c>
      <c r="H239" s="74"/>
    </row>
    <row r="240" spans="1:8" x14ac:dyDescent="0.2">
      <c r="A240" s="73">
        <v>2</v>
      </c>
      <c r="B240" s="73"/>
      <c r="C240" s="12" t="s">
        <v>4</v>
      </c>
      <c r="D240" s="13">
        <f>(2.75*3.5+1.53*2.75+2.29*1.99+2.74*3.05+2.13*1.22+1.22*2.13+0.91*2.29+1.53*0.61+1.17*0.61)*10.764</f>
        <v>384.00247080000008</v>
      </c>
      <c r="E240" s="13">
        <f>(2.75*1.5+1.1*3.8+1.17*0.6)*10.764</f>
        <v>96.951347999999996</v>
      </c>
      <c r="F240" s="22">
        <f t="shared" ref="F240:F247" si="3">D240*1.45+E240</f>
        <v>653.75493066000013</v>
      </c>
      <c r="G240" s="74"/>
      <c r="H240" s="74"/>
    </row>
    <row r="241" spans="1:8" x14ac:dyDescent="0.2">
      <c r="A241" s="73">
        <v>3</v>
      </c>
      <c r="B241" s="73"/>
      <c r="C241" s="12" t="s">
        <v>4</v>
      </c>
      <c r="D241" s="13">
        <f>(2.75*3.5+1.53*2.75+2.29*1.99+2.74*3.05+2.13*1.22+1.22*2.13+0.91*2.29+1.53*0.61+1.17*0.61)*10.764</f>
        <v>384.00247080000008</v>
      </c>
      <c r="E241" s="3">
        <v>0</v>
      </c>
      <c r="F241" s="22">
        <f t="shared" si="3"/>
        <v>556.80358266000007</v>
      </c>
      <c r="G241" s="74"/>
      <c r="H241" s="74"/>
    </row>
    <row r="242" spans="1:8" x14ac:dyDescent="0.2">
      <c r="A242" s="73">
        <v>4</v>
      </c>
      <c r="B242" s="73"/>
      <c r="C242" s="12" t="s">
        <v>6</v>
      </c>
      <c r="D242" s="13">
        <f>(2.75*3.5+1.53*2.75+2.29*2.74+3.04*3.04+3.2*3.5+2.13*1.22+1.22*2.13+0.91*3.8+1.37*0.61+2.13*0.61)*10.764</f>
        <v>552.61191959999996</v>
      </c>
      <c r="E242" s="3">
        <v>0</v>
      </c>
      <c r="F242" s="22">
        <f t="shared" si="3"/>
        <v>801.28728341999988</v>
      </c>
      <c r="G242" s="74"/>
      <c r="H242" s="74"/>
    </row>
    <row r="243" spans="1:8" ht="15" customHeight="1" x14ac:dyDescent="0.2">
      <c r="A243" s="85" t="s">
        <v>216</v>
      </c>
      <c r="B243" s="84"/>
      <c r="C243" s="84"/>
      <c r="D243" s="84"/>
      <c r="E243" s="84"/>
      <c r="F243" s="84"/>
      <c r="G243" s="84"/>
      <c r="H243" s="84"/>
    </row>
    <row r="244" spans="1:8" ht="15" customHeight="1" x14ac:dyDescent="0.2">
      <c r="A244" s="73">
        <v>1</v>
      </c>
      <c r="B244" s="73"/>
      <c r="C244" s="12" t="s">
        <v>6</v>
      </c>
      <c r="D244" s="13">
        <f>(2.75*3.5+1.53*2.75+2.29*2.74+3.04*3.04+3.2*3.5+2.13*1.22+1.22*2.13+0.91*3.8+1.37*0.61+2.13*0.61)*10.764</f>
        <v>552.61191959999996</v>
      </c>
      <c r="E244" s="3">
        <v>0</v>
      </c>
      <c r="F244" s="22">
        <f t="shared" si="3"/>
        <v>801.28728341999988</v>
      </c>
      <c r="G244" s="74" t="str">
        <f>A243</f>
        <v>2nd to 7th Floor</v>
      </c>
      <c r="H244" s="74"/>
    </row>
    <row r="245" spans="1:8" x14ac:dyDescent="0.2">
      <c r="A245" s="73">
        <v>2</v>
      </c>
      <c r="B245" s="73"/>
      <c r="C245" s="12" t="s">
        <v>4</v>
      </c>
      <c r="D245" s="13">
        <f>(2.75*3.5+1.53*2.75+2.29*1.99+2.74*3.05+2.13*1.22+1.22*2.13+0.91*2.29+1.53*0.61+1.17*0.61)*10.764</f>
        <v>384.00247080000008</v>
      </c>
      <c r="E245" s="3">
        <v>0</v>
      </c>
      <c r="F245" s="22">
        <f t="shared" si="3"/>
        <v>556.80358266000007</v>
      </c>
      <c r="G245" s="74"/>
      <c r="H245" s="74"/>
    </row>
    <row r="246" spans="1:8" x14ac:dyDescent="0.2">
      <c r="A246" s="73">
        <v>3</v>
      </c>
      <c r="B246" s="73"/>
      <c r="C246" s="12" t="s">
        <v>4</v>
      </c>
      <c r="D246" s="13">
        <f>(2.75*3.5+1.53*2.75+2.29*1.99+2.74*3.05+2.13*1.22+1.22*2.13+0.91*2.29+1.53*0.61+1.17*0.61)*10.764</f>
        <v>384.00247080000008</v>
      </c>
      <c r="E246" s="3">
        <v>0</v>
      </c>
      <c r="F246" s="22">
        <f t="shared" si="3"/>
        <v>556.80358266000007</v>
      </c>
      <c r="G246" s="74"/>
      <c r="H246" s="74"/>
    </row>
    <row r="247" spans="1:8" x14ac:dyDescent="0.2">
      <c r="A247" s="73">
        <v>4</v>
      </c>
      <c r="B247" s="73"/>
      <c r="C247" s="12" t="s">
        <v>6</v>
      </c>
      <c r="D247" s="13">
        <f>(2.75*3.5+1.53*2.75+2.29*2.74+3.04*3.04+3.2*3.5+2.13*1.22+1.22*2.13+0.91*3.8+1.37*0.61+2.13*0.61)*10.764</f>
        <v>552.61191959999996</v>
      </c>
      <c r="E247" s="3">
        <v>0</v>
      </c>
      <c r="F247" s="22">
        <f t="shared" si="3"/>
        <v>801.28728341999988</v>
      </c>
      <c r="G247" s="74"/>
      <c r="H247" s="74"/>
    </row>
    <row r="248" spans="1:8" ht="15" customHeight="1" x14ac:dyDescent="0.2">
      <c r="A248" s="84" t="s">
        <v>10</v>
      </c>
      <c r="B248" s="84"/>
      <c r="C248" s="84"/>
      <c r="D248" s="84"/>
      <c r="E248" s="84"/>
      <c r="F248" s="84"/>
      <c r="G248" s="84"/>
      <c r="H248" s="84"/>
    </row>
    <row r="249" spans="1:8" ht="15" customHeight="1" x14ac:dyDescent="0.2">
      <c r="A249" s="84" t="s">
        <v>0</v>
      </c>
      <c r="B249" s="84"/>
      <c r="C249" s="84"/>
      <c r="D249" s="84"/>
      <c r="E249" s="84"/>
      <c r="F249" s="84"/>
      <c r="G249" s="84"/>
      <c r="H249" s="84"/>
    </row>
    <row r="250" spans="1:8" ht="15" customHeight="1" x14ac:dyDescent="0.2">
      <c r="A250" s="71">
        <v>13</v>
      </c>
      <c r="B250" s="72"/>
      <c r="C250" s="12" t="s">
        <v>1</v>
      </c>
      <c r="D250" s="13">
        <f>(4.41*6.67)*10.764</f>
        <v>316.61983079999999</v>
      </c>
      <c r="E250" s="3">
        <v>0</v>
      </c>
      <c r="F250" s="22">
        <f>D250*1.5+E250</f>
        <v>474.92974619999995</v>
      </c>
      <c r="G250" s="74" t="s">
        <v>2</v>
      </c>
      <c r="H250" s="74"/>
    </row>
    <row r="251" spans="1:8" x14ac:dyDescent="0.2">
      <c r="A251" s="71">
        <v>14</v>
      </c>
      <c r="B251" s="72"/>
      <c r="C251" s="12" t="s">
        <v>1</v>
      </c>
      <c r="D251" s="13">
        <f>(2.29*6.67)*10.764</f>
        <v>164.41256519999999</v>
      </c>
      <c r="E251" s="3">
        <v>0</v>
      </c>
      <c r="F251" s="22">
        <f t="shared" ref="F251:F258" si="4">D251*1.5+E251</f>
        <v>246.61884779999997</v>
      </c>
      <c r="G251" s="74"/>
      <c r="H251" s="74"/>
    </row>
    <row r="252" spans="1:8" x14ac:dyDescent="0.2">
      <c r="A252" s="71">
        <v>15</v>
      </c>
      <c r="B252" s="72"/>
      <c r="C252" s="12" t="s">
        <v>1</v>
      </c>
      <c r="D252" s="13">
        <f>(2.74*5.47)*10.764</f>
        <v>161.32867919999998</v>
      </c>
      <c r="E252" s="3">
        <v>0</v>
      </c>
      <c r="F252" s="22">
        <f t="shared" si="4"/>
        <v>241.99301879999996</v>
      </c>
      <c r="G252" s="74"/>
      <c r="H252" s="74"/>
    </row>
    <row r="253" spans="1:8" x14ac:dyDescent="0.2">
      <c r="A253" s="71">
        <v>16</v>
      </c>
      <c r="B253" s="72"/>
      <c r="C253" s="12" t="s">
        <v>1</v>
      </c>
      <c r="D253" s="13">
        <f>(2.74*5.47)*10.764</f>
        <v>161.32867919999998</v>
      </c>
      <c r="E253" s="3">
        <v>0</v>
      </c>
      <c r="F253" s="22">
        <f t="shared" si="4"/>
        <v>241.99301879999996</v>
      </c>
      <c r="G253" s="74"/>
      <c r="H253" s="74"/>
    </row>
    <row r="254" spans="1:8" x14ac:dyDescent="0.2">
      <c r="A254" s="71">
        <v>17</v>
      </c>
      <c r="B254" s="72"/>
      <c r="C254" s="12" t="s">
        <v>1</v>
      </c>
      <c r="D254" s="13">
        <f>(2.29*5.47)*10.764</f>
        <v>134.83309319999998</v>
      </c>
      <c r="E254" s="3">
        <v>0</v>
      </c>
      <c r="F254" s="22">
        <f t="shared" si="4"/>
        <v>202.24963979999995</v>
      </c>
      <c r="G254" s="74"/>
      <c r="H254" s="74"/>
    </row>
    <row r="255" spans="1:8" x14ac:dyDescent="0.2">
      <c r="A255" s="71">
        <v>18</v>
      </c>
      <c r="B255" s="72"/>
      <c r="C255" s="12" t="s">
        <v>1</v>
      </c>
      <c r="D255" s="13">
        <f>(2.74*5.47)*10.764</f>
        <v>161.32867919999998</v>
      </c>
      <c r="E255" s="3">
        <v>0</v>
      </c>
      <c r="F255" s="22">
        <f t="shared" si="4"/>
        <v>241.99301879999996</v>
      </c>
      <c r="G255" s="74"/>
      <c r="H255" s="74"/>
    </row>
    <row r="256" spans="1:8" x14ac:dyDescent="0.2">
      <c r="A256" s="71">
        <v>19</v>
      </c>
      <c r="B256" s="72"/>
      <c r="C256" s="12" t="s">
        <v>1</v>
      </c>
      <c r="D256" s="13">
        <f>(2.74*5.47)*10.764</f>
        <v>161.32867919999998</v>
      </c>
      <c r="E256" s="3">
        <v>0</v>
      </c>
      <c r="F256" s="22">
        <f t="shared" si="4"/>
        <v>241.99301879999996</v>
      </c>
      <c r="G256" s="74"/>
      <c r="H256" s="74"/>
    </row>
    <row r="257" spans="1:8" x14ac:dyDescent="0.2">
      <c r="A257" s="71">
        <v>20</v>
      </c>
      <c r="B257" s="72"/>
      <c r="C257" s="12" t="s">
        <v>1</v>
      </c>
      <c r="D257" s="13">
        <f>(2.29*6.67)*10.764</f>
        <v>164.41256519999999</v>
      </c>
      <c r="E257" s="3">
        <v>0</v>
      </c>
      <c r="F257" s="22">
        <f t="shared" si="4"/>
        <v>246.61884779999997</v>
      </c>
      <c r="G257" s="74"/>
      <c r="H257" s="74"/>
    </row>
    <row r="258" spans="1:8" x14ac:dyDescent="0.2">
      <c r="A258" s="71">
        <v>21</v>
      </c>
      <c r="B258" s="72"/>
      <c r="C258" s="12" t="s">
        <v>1</v>
      </c>
      <c r="D258" s="13">
        <f>(3.04*6.98+1.37*4.32)*10.764</f>
        <v>292.10912640000004</v>
      </c>
      <c r="E258" s="3">
        <v>0</v>
      </c>
      <c r="F258" s="22">
        <f t="shared" si="4"/>
        <v>438.16368960000005</v>
      </c>
      <c r="G258" s="74"/>
      <c r="H258" s="74"/>
    </row>
    <row r="259" spans="1:8" ht="15" customHeight="1" x14ac:dyDescent="0.2">
      <c r="A259" s="84" t="s">
        <v>3</v>
      </c>
      <c r="B259" s="84"/>
      <c r="C259" s="84"/>
      <c r="D259" s="84"/>
      <c r="E259" s="84"/>
      <c r="F259" s="84"/>
      <c r="G259" s="84"/>
      <c r="H259" s="84"/>
    </row>
    <row r="260" spans="1:8" ht="15" customHeight="1" x14ac:dyDescent="0.2">
      <c r="A260" s="73">
        <v>1</v>
      </c>
      <c r="B260" s="73"/>
      <c r="C260" s="12" t="s">
        <v>6</v>
      </c>
      <c r="D260" s="13">
        <f>(2.75*3.6+1.44*2.75+2.29*2.74+3.04*3.04+3.2*3.5+2.13*1.22+1.22*2.13+0.91*3.8+1.37*0.61+2.13*0.61)*10.764</f>
        <v>552.90792959999999</v>
      </c>
      <c r="E260" s="3">
        <f>(0.4*5.2)*10.764</f>
        <v>22.389119999999998</v>
      </c>
      <c r="F260" s="22">
        <f>D260*1.45+E260</f>
        <v>824.10561791999999</v>
      </c>
      <c r="G260" s="74" t="s">
        <v>5</v>
      </c>
      <c r="H260" s="74"/>
    </row>
    <row r="261" spans="1:8" x14ac:dyDescent="0.2">
      <c r="A261" s="73">
        <v>2</v>
      </c>
      <c r="B261" s="73"/>
      <c r="C261" s="12" t="s">
        <v>4</v>
      </c>
      <c r="D261" s="13">
        <f>(2.75*3.6+2.29*1.98+2.74*2.6+0.6*2.74+2.13*1.22+1.22*2.13+0.91*2.29+1.17*0.61+1.53*0.61)*10.764</f>
        <v>345.85054919999999</v>
      </c>
      <c r="E261" s="3">
        <f>(0.4*2.75)*10.764</f>
        <v>11.840400000000001</v>
      </c>
      <c r="F261" s="22">
        <f t="shared" ref="F261:F272" si="5">D261*1.45+E261</f>
        <v>513.32369633999997</v>
      </c>
      <c r="G261" s="74"/>
      <c r="H261" s="74"/>
    </row>
    <row r="262" spans="1:8" x14ac:dyDescent="0.2">
      <c r="A262" s="73">
        <v>3</v>
      </c>
      <c r="B262" s="73"/>
      <c r="C262" s="12" t="s">
        <v>6</v>
      </c>
      <c r="D262" s="13">
        <f>(2.75*3.66+1.37*2.75+2.29*2.74+3.04*3.04+3.2*3.5+2.13*1.22+1.22*2.13+0.91*3.8+1.37*0.61+2.13*0.61)*10.764</f>
        <v>552.61191959999996</v>
      </c>
      <c r="E262" s="3">
        <f>(1.37*3.04+0.4*5.19)*10.764</f>
        <v>67.175971199999992</v>
      </c>
      <c r="F262" s="22">
        <f t="shared" si="5"/>
        <v>868.46325461999982</v>
      </c>
      <c r="G262" s="74"/>
      <c r="H262" s="74"/>
    </row>
    <row r="263" spans="1:8" x14ac:dyDescent="0.2">
      <c r="A263" s="73">
        <v>4</v>
      </c>
      <c r="B263" s="73"/>
      <c r="C263" s="12" t="s">
        <v>6</v>
      </c>
      <c r="D263" s="13">
        <f>(2.75*3.66+1.37*2.75+2.29*2.74+3.04*3.04+3.2*3.5+2.13*1.22+1.22*2.13+0.91*3.8+1.37*0.61+2.13*0.61)*10.764</f>
        <v>552.61191959999996</v>
      </c>
      <c r="E263" s="3">
        <v>0</v>
      </c>
      <c r="F263" s="22">
        <f t="shared" si="5"/>
        <v>801.28728341999988</v>
      </c>
      <c r="G263" s="74"/>
      <c r="H263" s="74"/>
    </row>
    <row r="264" spans="1:8" x14ac:dyDescent="0.2">
      <c r="A264" s="73">
        <v>5</v>
      </c>
      <c r="B264" s="73"/>
      <c r="C264" s="12" t="s">
        <v>4</v>
      </c>
      <c r="D264" s="13">
        <f>(2.75*3.6+2.29*1.98+2.74*2.6+0.6*2.74+2.13*1.22+1.22*2.13+0.91*2.29+1.17*0.61+1.53*0.61)*10.764</f>
        <v>345.85054919999999</v>
      </c>
      <c r="E264" s="3">
        <v>0</v>
      </c>
      <c r="F264" s="22">
        <f t="shared" si="5"/>
        <v>501.48329633999998</v>
      </c>
      <c r="G264" s="74"/>
      <c r="H264" s="74"/>
    </row>
    <row r="265" spans="1:8" x14ac:dyDescent="0.2">
      <c r="A265" s="73">
        <v>6</v>
      </c>
      <c r="B265" s="73"/>
      <c r="C265" s="12" t="s">
        <v>6</v>
      </c>
      <c r="D265" s="13">
        <f>(2.75*3.6+1.44*2.75+2.29*2.74+3.04*3.04+3.2*3.5+2.13*1.22+1.22*2.13+0.91*3.8+1.37*0.61+2.13*0.61)*10.764</f>
        <v>552.90792959999999</v>
      </c>
      <c r="E265" s="3">
        <v>0</v>
      </c>
      <c r="F265" s="22">
        <f t="shared" si="5"/>
        <v>801.71649791999994</v>
      </c>
      <c r="G265" s="74"/>
      <c r="H265" s="74"/>
    </row>
    <row r="266" spans="1:8" ht="15" customHeight="1" x14ac:dyDescent="0.2">
      <c r="A266" s="85" t="s">
        <v>217</v>
      </c>
      <c r="B266" s="84"/>
      <c r="C266" s="84"/>
      <c r="D266" s="84"/>
      <c r="E266" s="84"/>
      <c r="F266" s="84"/>
      <c r="G266" s="84"/>
      <c r="H266" s="84"/>
    </row>
    <row r="267" spans="1:8" ht="15" customHeight="1" x14ac:dyDescent="0.2">
      <c r="A267" s="73">
        <v>1</v>
      </c>
      <c r="B267" s="73"/>
      <c r="C267" s="12" t="s">
        <v>6</v>
      </c>
      <c r="D267" s="48">
        <f>(2.75*3.6+1.44*2.75+2.29*2.74+3.04*3.04+3.2*3.5+2.13*1.22+1.22*2.13+0.91*3.8+1.37*0.61+2.13*0.61)*10.764</f>
        <v>552.90792959999999</v>
      </c>
      <c r="E267" s="3">
        <v>0</v>
      </c>
      <c r="F267" s="51">
        <f t="shared" si="5"/>
        <v>801.71649791999994</v>
      </c>
      <c r="G267" s="74" t="str">
        <f>A266</f>
        <v>2nd &amp; 7th Floor</v>
      </c>
      <c r="H267" s="74"/>
    </row>
    <row r="268" spans="1:8" x14ac:dyDescent="0.2">
      <c r="A268" s="73">
        <v>2</v>
      </c>
      <c r="B268" s="73"/>
      <c r="C268" s="12" t="s">
        <v>4</v>
      </c>
      <c r="D268" s="48">
        <f>(2.75*3.6+2.29*1.98+2.74*2.6+0.6*2.74+2.13*1.22+1.22*2.13+0.91*2.29+1.17*0.61+1.53*0.61)*10.764</f>
        <v>345.85054919999999</v>
      </c>
      <c r="E268" s="3">
        <v>0</v>
      </c>
      <c r="F268" s="51">
        <f t="shared" si="5"/>
        <v>501.48329633999998</v>
      </c>
      <c r="G268" s="74"/>
      <c r="H268" s="74"/>
    </row>
    <row r="269" spans="1:8" x14ac:dyDescent="0.2">
      <c r="A269" s="73">
        <v>3</v>
      </c>
      <c r="B269" s="73"/>
      <c r="C269" s="12" t="s">
        <v>6</v>
      </c>
      <c r="D269" s="48">
        <f>(2.75*3.66+1.37*2.75+2.29*2.74+3.04*3.04+3.2*3.5+2.13*1.22+1.22*2.13+0.91*3.8+1.37*0.61+2.13*0.61)*10.764</f>
        <v>552.61191959999996</v>
      </c>
      <c r="E269" s="3">
        <v>0</v>
      </c>
      <c r="F269" s="51">
        <f t="shared" si="5"/>
        <v>801.28728341999988</v>
      </c>
      <c r="G269" s="74"/>
      <c r="H269" s="74"/>
    </row>
    <row r="270" spans="1:8" x14ac:dyDescent="0.2">
      <c r="A270" s="73">
        <v>4</v>
      </c>
      <c r="B270" s="73"/>
      <c r="C270" s="12" t="s">
        <v>6</v>
      </c>
      <c r="D270" s="48">
        <f>(2.75*3.66+1.37*2.75+2.29*2.74+3.04*3.04+3.2*3.5+2.13*1.22+1.22*2.13+0.91*3.8+1.37*0.61+2.13*0.61)*10.764</f>
        <v>552.61191959999996</v>
      </c>
      <c r="E270" s="3">
        <v>0</v>
      </c>
      <c r="F270" s="51">
        <f t="shared" si="5"/>
        <v>801.28728341999988</v>
      </c>
      <c r="G270" s="74"/>
      <c r="H270" s="74"/>
    </row>
    <row r="271" spans="1:8" x14ac:dyDescent="0.2">
      <c r="A271" s="73">
        <v>5</v>
      </c>
      <c r="B271" s="73"/>
      <c r="C271" s="12" t="s">
        <v>4</v>
      </c>
      <c r="D271" s="48">
        <f>(2.75*3.6+2.29*1.98+2.74*2.6+0.6*2.74+2.13*1.22+1.22*2.13+0.91*2.29+1.17*0.61+1.53*0.61)*10.764</f>
        <v>345.85054919999999</v>
      </c>
      <c r="E271" s="3">
        <v>0</v>
      </c>
      <c r="F271" s="51">
        <f t="shared" si="5"/>
        <v>501.48329633999998</v>
      </c>
      <c r="G271" s="74"/>
      <c r="H271" s="74"/>
    </row>
    <row r="272" spans="1:8" x14ac:dyDescent="0.2">
      <c r="A272" s="73">
        <v>6</v>
      </c>
      <c r="B272" s="73"/>
      <c r="C272" s="12" t="s">
        <v>6</v>
      </c>
      <c r="D272" s="48">
        <f>(2.75*3.6+1.44*2.75+2.29*2.74+3.04*3.04+3.2*3.5+2.13*1.22+1.22*2.13+0.91*3.8+1.37*0.61+2.13*0.61)*10.764</f>
        <v>552.90792959999999</v>
      </c>
      <c r="E272" s="3">
        <v>0</v>
      </c>
      <c r="F272" s="51">
        <f t="shared" si="5"/>
        <v>801.71649791999994</v>
      </c>
      <c r="G272" s="74"/>
      <c r="H272" s="74"/>
    </row>
    <row r="273" spans="1:8" ht="15" customHeight="1" x14ac:dyDescent="0.2">
      <c r="A273" s="84" t="s">
        <v>11</v>
      </c>
      <c r="B273" s="84"/>
      <c r="C273" s="84"/>
      <c r="D273" s="84"/>
      <c r="E273" s="84"/>
      <c r="F273" s="84"/>
      <c r="G273" s="84"/>
      <c r="H273" s="84"/>
    </row>
    <row r="274" spans="1:8" ht="15" customHeight="1" x14ac:dyDescent="0.2">
      <c r="A274" s="84" t="s">
        <v>12</v>
      </c>
      <c r="B274" s="84"/>
      <c r="C274" s="84"/>
      <c r="D274" s="84"/>
      <c r="E274" s="84"/>
      <c r="F274" s="84"/>
      <c r="G274" s="84"/>
      <c r="H274" s="84"/>
    </row>
    <row r="275" spans="1:8" ht="15" customHeight="1" x14ac:dyDescent="0.2">
      <c r="A275" s="73">
        <v>1</v>
      </c>
      <c r="B275" s="73"/>
      <c r="C275" s="12" t="s">
        <v>213</v>
      </c>
      <c r="D275" s="13">
        <f>(2.75*4.88+2.29*2.74+3.04*3.04+3.2*3.5+2.13*1.22+1.22*2.13+0.91*3.8+1.37*0.61+2.13*0.61)*10.764</f>
        <v>548.17176959999995</v>
      </c>
      <c r="E275" s="3">
        <v>0</v>
      </c>
      <c r="F275" s="22">
        <f t="shared" ref="F275:F281" si="6">D275*1.45+E275</f>
        <v>794.84906591999993</v>
      </c>
      <c r="G275" s="75" t="s">
        <v>13</v>
      </c>
      <c r="H275" s="75"/>
    </row>
    <row r="276" spans="1:8" x14ac:dyDescent="0.2">
      <c r="A276" s="73">
        <v>2</v>
      </c>
      <c r="B276" s="73"/>
      <c r="C276" s="12" t="s">
        <v>214</v>
      </c>
      <c r="D276" s="13">
        <f>(2.75*4.88+2.29*1.99+2.74*3.05+2.13*1.22+1.22*2.13+0.91*2.29+1.17*0.61+1.53*0.61)*10.764</f>
        <v>379.56232080000007</v>
      </c>
      <c r="E276" s="3">
        <v>0</v>
      </c>
      <c r="F276" s="22">
        <f t="shared" si="6"/>
        <v>550.36536516000012</v>
      </c>
      <c r="G276" s="75"/>
      <c r="H276" s="75"/>
    </row>
    <row r="277" spans="1:8" ht="15" customHeight="1" x14ac:dyDescent="0.2">
      <c r="A277" s="86" t="s">
        <v>218</v>
      </c>
      <c r="B277" s="87"/>
      <c r="C277" s="87"/>
      <c r="D277" s="87"/>
      <c r="E277" s="87"/>
      <c r="F277" s="87"/>
      <c r="G277" s="87"/>
      <c r="H277" s="88"/>
    </row>
    <row r="278" spans="1:8" ht="15" customHeight="1" x14ac:dyDescent="0.2">
      <c r="A278" s="73">
        <v>1</v>
      </c>
      <c r="B278" s="73"/>
      <c r="C278" s="12" t="s">
        <v>6</v>
      </c>
      <c r="D278" s="13">
        <f>(2.75*3.5+2.29*2.74+3.04*3.04+3.2*3.5+2.13*1.22+1.22*2.13+1.53*2.75+0.91*3.8+2.13*0.61+1.37*0.61)*10.764</f>
        <v>552.61191959999996</v>
      </c>
      <c r="E278" s="3">
        <v>0</v>
      </c>
      <c r="F278" s="22">
        <f t="shared" si="6"/>
        <v>801.28728341999988</v>
      </c>
      <c r="G278" s="76" t="str">
        <f>A277</f>
        <v>1st to 7th Floor for Residential</v>
      </c>
      <c r="H278" s="77"/>
    </row>
    <row r="279" spans="1:8" x14ac:dyDescent="0.2">
      <c r="A279" s="73">
        <v>2</v>
      </c>
      <c r="B279" s="73"/>
      <c r="C279" s="12" t="s">
        <v>4</v>
      </c>
      <c r="D279" s="13">
        <f>(2.75*3.5+1.53*2.75+2.29*1.99+2.74*3.05+2.13*1.22+1.22*2.13+0.91*2.29+1.53*0.61+1.17*0.61)*10.764</f>
        <v>384.00247080000008</v>
      </c>
      <c r="E279" s="3">
        <v>0</v>
      </c>
      <c r="F279" s="22">
        <f t="shared" si="6"/>
        <v>556.80358266000007</v>
      </c>
      <c r="G279" s="78"/>
      <c r="H279" s="79"/>
    </row>
    <row r="280" spans="1:8" x14ac:dyDescent="0.2">
      <c r="A280" s="73">
        <v>3</v>
      </c>
      <c r="B280" s="73"/>
      <c r="C280" s="12" t="s">
        <v>4</v>
      </c>
      <c r="D280" s="13">
        <f>(2.75*3.5+1.53*2.75+2.29*1.99+2.74*3.05+2.13*1.22+1.22*2.13+0.91*2.29+1.53*0.61+1.17*0.61)*10.764</f>
        <v>384.00247080000008</v>
      </c>
      <c r="E280" s="3">
        <v>0</v>
      </c>
      <c r="F280" s="22">
        <f t="shared" si="6"/>
        <v>556.80358266000007</v>
      </c>
      <c r="G280" s="78"/>
      <c r="H280" s="79"/>
    </row>
    <row r="281" spans="1:8" x14ac:dyDescent="0.2">
      <c r="A281" s="73">
        <v>4</v>
      </c>
      <c r="B281" s="73"/>
      <c r="C281" s="12" t="s">
        <v>6</v>
      </c>
      <c r="D281" s="13">
        <f>(2.75*3.5+2.29*2.74+3.04*3.04+3.2*3.5+2.13*1.22+1.22*2.13+1.53*2.75+0.91*3.8+2.13*0.61+1.37*0.61)*10.764</f>
        <v>552.61191959999996</v>
      </c>
      <c r="E281" s="3">
        <v>0</v>
      </c>
      <c r="F281" s="22">
        <f t="shared" si="6"/>
        <v>801.28728341999988</v>
      </c>
      <c r="G281" s="80"/>
      <c r="H281" s="81"/>
    </row>
    <row r="282" spans="1:8" ht="15" customHeight="1" x14ac:dyDescent="0.2">
      <c r="A282" s="84" t="s">
        <v>14</v>
      </c>
      <c r="B282" s="84"/>
      <c r="C282" s="84"/>
      <c r="D282" s="84"/>
      <c r="E282" s="84"/>
      <c r="F282" s="84"/>
      <c r="G282" s="84"/>
      <c r="H282" s="84"/>
    </row>
    <row r="283" spans="1:8" ht="15" customHeight="1" x14ac:dyDescent="0.2">
      <c r="A283" s="84" t="s">
        <v>12</v>
      </c>
      <c r="B283" s="84"/>
      <c r="C283" s="84"/>
      <c r="D283" s="84"/>
      <c r="E283" s="84"/>
      <c r="F283" s="84"/>
      <c r="G283" s="84"/>
      <c r="H283" s="84"/>
    </row>
    <row r="284" spans="1:8" ht="15" customHeight="1" x14ac:dyDescent="0.2">
      <c r="A284" s="73">
        <v>1</v>
      </c>
      <c r="B284" s="73"/>
      <c r="C284" s="12" t="s">
        <v>6</v>
      </c>
      <c r="D284" s="13">
        <f>(2.75*4.88+2.29*2.74+3.04*3.04+3.2*3.5+2.13*1.22+1.22*2.13+0.91*3.8+1.37*0.61+2.13*0.61)*10.764</f>
        <v>548.17176959999995</v>
      </c>
      <c r="E284" s="3">
        <v>0</v>
      </c>
      <c r="F284" s="22">
        <f t="shared" ref="F284:F290" si="7">D284*1.45+E284</f>
        <v>794.84906591999993</v>
      </c>
      <c r="G284" s="75" t="s">
        <v>13</v>
      </c>
      <c r="H284" s="75"/>
    </row>
    <row r="285" spans="1:8" x14ac:dyDescent="0.2">
      <c r="A285" s="73">
        <v>2</v>
      </c>
      <c r="B285" s="73"/>
      <c r="C285" s="12" t="s">
        <v>4</v>
      </c>
      <c r="D285" s="13">
        <f>(2.75*4.88+2.29*1.99+2.74*3.05+2.13*1.22+1.22*2.13+0.91*2.29+1.17*0.61+1.53*0.61)*10.764</f>
        <v>379.56232080000007</v>
      </c>
      <c r="E285" s="3">
        <v>0</v>
      </c>
      <c r="F285" s="22">
        <f t="shared" si="7"/>
        <v>550.36536516000012</v>
      </c>
      <c r="G285" s="75"/>
      <c r="H285" s="75"/>
    </row>
    <row r="286" spans="1:8" ht="15" customHeight="1" x14ac:dyDescent="0.2">
      <c r="A286" s="85" t="s">
        <v>218</v>
      </c>
      <c r="B286" s="84"/>
      <c r="C286" s="84"/>
      <c r="D286" s="84"/>
      <c r="E286" s="84"/>
      <c r="F286" s="84"/>
      <c r="G286" s="84"/>
      <c r="H286" s="84"/>
    </row>
    <row r="287" spans="1:8" ht="15" customHeight="1" x14ac:dyDescent="0.2">
      <c r="A287" s="73">
        <v>1</v>
      </c>
      <c r="B287" s="73"/>
      <c r="C287" s="12" t="s">
        <v>6</v>
      </c>
      <c r="D287" s="13">
        <f>(2.75*3.5+2.29*2.74+3.04*3.04+3.2*3.5+2.13*1.22+1.22*2.13+1.53*2.75+0.91*3.8+2.13*0.61+1.37*0.61)*10.764</f>
        <v>552.61191959999996</v>
      </c>
      <c r="E287" s="3">
        <v>0</v>
      </c>
      <c r="F287" s="22">
        <f t="shared" si="7"/>
        <v>801.28728341999988</v>
      </c>
      <c r="G287" s="74" t="str">
        <f>A286</f>
        <v>1st to 7th Floor for Residential</v>
      </c>
      <c r="H287" s="74"/>
    </row>
    <row r="288" spans="1:8" x14ac:dyDescent="0.2">
      <c r="A288" s="73">
        <v>2</v>
      </c>
      <c r="B288" s="73"/>
      <c r="C288" s="12" t="s">
        <v>4</v>
      </c>
      <c r="D288" s="13">
        <f>(2.75*3.5+1.53*2.75+2.29*1.99+2.74*3.05+2.13*1.22+1.22*2.13+0.91*2.29+1.53*0.61+1.17*0.61)*10.764</f>
        <v>384.00247080000008</v>
      </c>
      <c r="E288" s="3">
        <v>0</v>
      </c>
      <c r="F288" s="22">
        <f t="shared" si="7"/>
        <v>556.80358266000007</v>
      </c>
      <c r="G288" s="74"/>
      <c r="H288" s="74"/>
    </row>
    <row r="289" spans="1:8" x14ac:dyDescent="0.2">
      <c r="A289" s="73">
        <v>3</v>
      </c>
      <c r="B289" s="73"/>
      <c r="C289" s="12" t="s">
        <v>4</v>
      </c>
      <c r="D289" s="13">
        <f>(2.75*3.5+1.53*2.75+2.29*1.99+2.74*3.05+2.13*1.22+1.22*2.13+0.91*2.29+1.53*0.61+1.17*0.61)*10.764</f>
        <v>384.00247080000008</v>
      </c>
      <c r="E289" s="3">
        <v>0</v>
      </c>
      <c r="F289" s="22">
        <f t="shared" si="7"/>
        <v>556.80358266000007</v>
      </c>
      <c r="G289" s="74"/>
      <c r="H289" s="74"/>
    </row>
    <row r="290" spans="1:8" x14ac:dyDescent="0.2">
      <c r="A290" s="73">
        <v>4</v>
      </c>
      <c r="B290" s="73"/>
      <c r="C290" s="12" t="s">
        <v>6</v>
      </c>
      <c r="D290" s="13">
        <f>(2.75*3.5+2.29*2.74+3.04*3.04+3.2*3.5+2.13*1.22+1.22*2.13+1.53*2.75+0.91*3.8+2.13*0.61+1.37*0.61)*10.764</f>
        <v>552.61191959999996</v>
      </c>
      <c r="E290" s="3">
        <v>0</v>
      </c>
      <c r="F290" s="22">
        <f t="shared" si="7"/>
        <v>801.28728341999988</v>
      </c>
      <c r="G290" s="74"/>
      <c r="H290" s="74"/>
    </row>
    <row r="291" spans="1:8" ht="15" customHeight="1" x14ac:dyDescent="0.2">
      <c r="A291" s="84" t="s">
        <v>15</v>
      </c>
      <c r="B291" s="84"/>
      <c r="C291" s="84"/>
      <c r="D291" s="84"/>
      <c r="E291" s="84"/>
      <c r="F291" s="84"/>
      <c r="G291" s="84"/>
      <c r="H291" s="84"/>
    </row>
    <row r="292" spans="1:8" ht="15" customHeight="1" x14ac:dyDescent="0.2">
      <c r="A292" s="84" t="s">
        <v>12</v>
      </c>
      <c r="B292" s="84"/>
      <c r="C292" s="84"/>
      <c r="D292" s="84"/>
      <c r="E292" s="84"/>
      <c r="F292" s="84"/>
      <c r="G292" s="84"/>
      <c r="H292" s="84"/>
    </row>
    <row r="293" spans="1:8" ht="15" customHeight="1" x14ac:dyDescent="0.2">
      <c r="A293" s="73">
        <v>1</v>
      </c>
      <c r="B293" s="73"/>
      <c r="C293" s="12" t="s">
        <v>213</v>
      </c>
      <c r="D293" s="13">
        <f>(2.75*4.88+2.29*2.74+3.04*3.04+3.2*3.5+2.13*1.22+1.22*2.13+0.91*3.8+1.37*0.61+2.13*0.61)*10.764</f>
        <v>548.17176959999995</v>
      </c>
      <c r="E293" s="3">
        <v>0</v>
      </c>
      <c r="F293" s="22">
        <f t="shared" ref="F293:F299" si="8">D293*1.45+E293</f>
        <v>794.84906591999993</v>
      </c>
      <c r="G293" s="75" t="s">
        <v>13</v>
      </c>
      <c r="H293" s="75"/>
    </row>
    <row r="294" spans="1:8" x14ac:dyDescent="0.2">
      <c r="A294" s="73">
        <v>2</v>
      </c>
      <c r="B294" s="73"/>
      <c r="C294" s="12" t="s">
        <v>214</v>
      </c>
      <c r="D294" s="13">
        <f>(2.75*4.88+2.29*1.99+2.74*3.05+2.13*1.22+1.22*2.13+0.91*2.29+1.17*0.61+1.53*0.61)*10.764</f>
        <v>379.56232080000007</v>
      </c>
      <c r="E294" s="3">
        <v>0</v>
      </c>
      <c r="F294" s="22">
        <f t="shared" si="8"/>
        <v>550.36536516000012</v>
      </c>
      <c r="G294" s="75"/>
      <c r="H294" s="75"/>
    </row>
    <row r="295" spans="1:8" ht="15" customHeight="1" x14ac:dyDescent="0.2">
      <c r="A295" s="85" t="s">
        <v>218</v>
      </c>
      <c r="B295" s="84"/>
      <c r="C295" s="84"/>
      <c r="D295" s="84"/>
      <c r="E295" s="84"/>
      <c r="F295" s="84"/>
      <c r="G295" s="84"/>
      <c r="H295" s="84"/>
    </row>
    <row r="296" spans="1:8" ht="15" customHeight="1" x14ac:dyDescent="0.2">
      <c r="A296" s="73">
        <v>1</v>
      </c>
      <c r="B296" s="73"/>
      <c r="C296" s="12" t="s">
        <v>6</v>
      </c>
      <c r="D296" s="13">
        <f>(2.75*3.5+2.29*2.74+3.04*3.04+3.2*3.5+2.13*1.22+1.22*2.13+1.53*2.75+0.91*3.8+2.13*0.61+1.37*0.61)*10.764</f>
        <v>552.61191959999996</v>
      </c>
      <c r="E296" s="3">
        <v>0</v>
      </c>
      <c r="F296" s="22">
        <f t="shared" si="8"/>
        <v>801.28728341999988</v>
      </c>
      <c r="G296" s="74" t="str">
        <f>A295</f>
        <v>1st to 7th Floor for Residential</v>
      </c>
      <c r="H296" s="74"/>
    </row>
    <row r="297" spans="1:8" x14ac:dyDescent="0.2">
      <c r="A297" s="73">
        <v>2</v>
      </c>
      <c r="B297" s="73"/>
      <c r="C297" s="12" t="s">
        <v>4</v>
      </c>
      <c r="D297" s="13">
        <f>(2.75*3.5+1.53*2.75+2.29*1.99+2.74*3.05+2.13*1.22+1.22*2.13+0.91*2.29+1.53*0.61+1.17*0.61)*10.764</f>
        <v>384.00247080000008</v>
      </c>
      <c r="E297" s="3">
        <v>0</v>
      </c>
      <c r="F297" s="22">
        <f t="shared" si="8"/>
        <v>556.80358266000007</v>
      </c>
      <c r="G297" s="74"/>
      <c r="H297" s="74"/>
    </row>
    <row r="298" spans="1:8" x14ac:dyDescent="0.2">
      <c r="A298" s="73">
        <v>3</v>
      </c>
      <c r="B298" s="73"/>
      <c r="C298" s="12" t="s">
        <v>4</v>
      </c>
      <c r="D298" s="13">
        <f>(2.75*3.5+1.53*2.75+2.29*1.99+2.74*3.05+2.13*1.22+1.22*2.13+0.91*2.29+1.53*0.61+1.17*0.61)*10.764</f>
        <v>384.00247080000008</v>
      </c>
      <c r="E298" s="3">
        <v>0</v>
      </c>
      <c r="F298" s="22">
        <f t="shared" si="8"/>
        <v>556.80358266000007</v>
      </c>
      <c r="G298" s="74"/>
      <c r="H298" s="74"/>
    </row>
    <row r="299" spans="1:8" x14ac:dyDescent="0.2">
      <c r="A299" s="73">
        <v>4</v>
      </c>
      <c r="B299" s="73"/>
      <c r="C299" s="12" t="s">
        <v>6</v>
      </c>
      <c r="D299" s="13">
        <f>(2.75*3.5+2.29*2.74+3.04*3.04+3.2*3.5+2.13*1.22+1.22*2.13+1.53*2.75+0.91*3.8+2.13*0.61+1.37*0.61)*10.764</f>
        <v>552.61191959999996</v>
      </c>
      <c r="E299" s="3">
        <v>0</v>
      </c>
      <c r="F299" s="22">
        <f t="shared" si="8"/>
        <v>801.28728341999988</v>
      </c>
      <c r="G299" s="74"/>
      <c r="H299" s="74"/>
    </row>
    <row r="300" spans="1:8" ht="15" customHeight="1" x14ac:dyDescent="0.2">
      <c r="A300" s="84" t="s">
        <v>16</v>
      </c>
      <c r="B300" s="84"/>
      <c r="C300" s="84"/>
      <c r="D300" s="84"/>
      <c r="E300" s="84"/>
      <c r="F300" s="84"/>
      <c r="G300" s="84"/>
      <c r="H300" s="84"/>
    </row>
    <row r="301" spans="1:8" ht="15" customHeight="1" x14ac:dyDescent="0.2">
      <c r="A301" s="84" t="s">
        <v>12</v>
      </c>
      <c r="B301" s="84"/>
      <c r="C301" s="84"/>
      <c r="D301" s="84"/>
      <c r="E301" s="84"/>
      <c r="F301" s="84"/>
      <c r="G301" s="84"/>
      <c r="H301" s="84"/>
    </row>
    <row r="302" spans="1:8" ht="15" customHeight="1" x14ac:dyDescent="0.2">
      <c r="A302" s="73">
        <v>1</v>
      </c>
      <c r="B302" s="73"/>
      <c r="C302" s="12" t="s">
        <v>6</v>
      </c>
      <c r="D302" s="13">
        <f>(2.75*4.88+2.29*2.74+3.04*3.04+3.2*3.5+2.13*1.22+1.22*2.13+0.91*3.8+1.37*0.61+2.13*0.61)*10.764</f>
        <v>548.17176959999995</v>
      </c>
      <c r="E302" s="3">
        <v>0</v>
      </c>
      <c r="F302" s="22">
        <f t="shared" ref="F302:F308" si="9">D302*1.45+E302</f>
        <v>794.84906591999993</v>
      </c>
      <c r="G302" s="75" t="s">
        <v>13</v>
      </c>
      <c r="H302" s="75"/>
    </row>
    <row r="303" spans="1:8" x14ac:dyDescent="0.2">
      <c r="A303" s="73">
        <v>2</v>
      </c>
      <c r="B303" s="73"/>
      <c r="C303" s="12" t="s">
        <v>4</v>
      </c>
      <c r="D303" s="13">
        <f>(2.75*4.88+2.29*1.99+2.74*3.05+2.13*1.22+1.22*2.13+0.91*2.29+1.17*0.61+1.53*0.61)*10.764</f>
        <v>379.56232080000007</v>
      </c>
      <c r="E303" s="3">
        <v>0</v>
      </c>
      <c r="F303" s="22">
        <f t="shared" si="9"/>
        <v>550.36536516000012</v>
      </c>
      <c r="G303" s="75"/>
      <c r="H303" s="75"/>
    </row>
    <row r="304" spans="1:8" ht="15" customHeight="1" x14ac:dyDescent="0.2">
      <c r="A304" s="85" t="s">
        <v>218</v>
      </c>
      <c r="B304" s="84"/>
      <c r="C304" s="84"/>
      <c r="D304" s="84"/>
      <c r="E304" s="84"/>
      <c r="F304" s="84"/>
      <c r="G304" s="84"/>
      <c r="H304" s="84"/>
    </row>
    <row r="305" spans="1:8" ht="15" customHeight="1" x14ac:dyDescent="0.2">
      <c r="A305" s="73">
        <v>1</v>
      </c>
      <c r="B305" s="73"/>
      <c r="C305" s="12" t="s">
        <v>6</v>
      </c>
      <c r="D305" s="13">
        <f>(2.75*3.5+2.29*2.74+3.04*3.04+3.2*3.5+2.13*1.22+1.22*2.13+1.53*2.75+0.91*3.8+2.13*0.61+1.37*0.61)*10.764</f>
        <v>552.61191959999996</v>
      </c>
      <c r="E305" s="3">
        <v>0</v>
      </c>
      <c r="F305" s="22">
        <f t="shared" si="9"/>
        <v>801.28728341999988</v>
      </c>
      <c r="G305" s="74" t="str">
        <f>A304</f>
        <v>1st to 7th Floor for Residential</v>
      </c>
      <c r="H305" s="74"/>
    </row>
    <row r="306" spans="1:8" x14ac:dyDescent="0.2">
      <c r="A306" s="73">
        <v>2</v>
      </c>
      <c r="B306" s="73"/>
      <c r="C306" s="12" t="s">
        <v>4</v>
      </c>
      <c r="D306" s="13">
        <f>(2.75*3.5+1.53*2.75+2.29*1.99+2.74*3.05+2.13*1.22+1.22*2.13+0.91*2.29+1.53*0.61+1.17*0.61)*10.764</f>
        <v>384.00247080000008</v>
      </c>
      <c r="E306" s="3">
        <v>0</v>
      </c>
      <c r="F306" s="22">
        <f t="shared" si="9"/>
        <v>556.80358266000007</v>
      </c>
      <c r="G306" s="74"/>
      <c r="H306" s="74"/>
    </row>
    <row r="307" spans="1:8" x14ac:dyDescent="0.2">
      <c r="A307" s="73">
        <v>3</v>
      </c>
      <c r="B307" s="73"/>
      <c r="C307" s="12" t="s">
        <v>4</v>
      </c>
      <c r="D307" s="13">
        <f>(2.75*3.5+1.53*2.75+2.29*1.99+2.74*3.05+2.13*1.22+1.22*2.13+0.91*2.29+1.53*0.61+1.17*0.61)*10.764</f>
        <v>384.00247080000008</v>
      </c>
      <c r="E307" s="3">
        <v>0</v>
      </c>
      <c r="F307" s="22">
        <f t="shared" si="9"/>
        <v>556.80358266000007</v>
      </c>
      <c r="G307" s="74"/>
      <c r="H307" s="74"/>
    </row>
    <row r="308" spans="1:8" x14ac:dyDescent="0.2">
      <c r="A308" s="73">
        <v>4</v>
      </c>
      <c r="B308" s="73"/>
      <c r="C308" s="12" t="s">
        <v>6</v>
      </c>
      <c r="D308" s="13">
        <f>(2.75*3.5+2.29*2.74+3.04*3.04+3.2*3.5+2.13*1.22+1.22*2.13+1.53*2.75+0.91*3.8+2.13*0.61+1.37*0.61)*10.764</f>
        <v>552.61191959999996</v>
      </c>
      <c r="E308" s="3">
        <v>0</v>
      </c>
      <c r="F308" s="22">
        <f t="shared" si="9"/>
        <v>801.28728341999988</v>
      </c>
      <c r="G308" s="74"/>
      <c r="H308" s="74"/>
    </row>
    <row r="309" spans="1:8" ht="15" customHeight="1" x14ac:dyDescent="0.2">
      <c r="A309" s="84" t="s">
        <v>219</v>
      </c>
      <c r="B309" s="84"/>
      <c r="C309" s="84"/>
      <c r="D309" s="84"/>
      <c r="E309" s="84"/>
      <c r="F309" s="84"/>
      <c r="G309" s="84"/>
      <c r="H309" s="84"/>
    </row>
    <row r="310" spans="1:8" ht="15" customHeight="1" x14ac:dyDescent="0.2">
      <c r="A310" s="84" t="s">
        <v>17</v>
      </c>
      <c r="B310" s="84"/>
      <c r="C310" s="84"/>
      <c r="D310" s="84"/>
      <c r="E310" s="84"/>
      <c r="F310" s="84"/>
      <c r="G310" s="84"/>
      <c r="H310" s="84"/>
    </row>
    <row r="311" spans="1:8" ht="15" customHeight="1" x14ac:dyDescent="0.2">
      <c r="A311" s="85" t="s">
        <v>218</v>
      </c>
      <c r="B311" s="84"/>
      <c r="C311" s="84"/>
      <c r="D311" s="84"/>
      <c r="E311" s="84"/>
      <c r="F311" s="84"/>
      <c r="G311" s="84"/>
      <c r="H311" s="84"/>
    </row>
    <row r="312" spans="1:8" ht="15" customHeight="1" x14ac:dyDescent="0.2">
      <c r="A312" s="73">
        <v>1</v>
      </c>
      <c r="B312" s="73"/>
      <c r="C312" s="12" t="s">
        <v>6</v>
      </c>
      <c r="D312" s="13">
        <f>(2.75*3.56+1.46*2.75+2.29*2.13+2.75*2.75+3.2*3.2+2.13*1.22+1.22*2.13+0.91*3.8+1.37*0.61+2.13*0.61)*10.764</f>
        <v>508.87240560000004</v>
      </c>
      <c r="E312" s="3">
        <v>0</v>
      </c>
      <c r="F312" s="22">
        <f t="shared" ref="F312:F315" si="10">D312*1.45+E312</f>
        <v>737.86498812000002</v>
      </c>
      <c r="G312" s="74" t="str">
        <f>A311</f>
        <v>1st to 7th Floor for Residential</v>
      </c>
      <c r="H312" s="74"/>
    </row>
    <row r="313" spans="1:8" x14ac:dyDescent="0.2">
      <c r="A313" s="73">
        <v>2</v>
      </c>
      <c r="B313" s="73"/>
      <c r="C313" s="12" t="s">
        <v>4</v>
      </c>
      <c r="D313" s="13">
        <f>(2.75*3.12+1.3*2.75+2.29*2.74+2.74*2.74+1.22*0.91+1.22*1.83+1.17*0.61+2.13*0.61)*10.764</f>
        <v>336.837852</v>
      </c>
      <c r="E313" s="3">
        <v>0</v>
      </c>
      <c r="F313" s="22">
        <f t="shared" si="10"/>
        <v>488.4148854</v>
      </c>
      <c r="G313" s="74"/>
      <c r="H313" s="74"/>
    </row>
    <row r="314" spans="1:8" x14ac:dyDescent="0.2">
      <c r="A314" s="73">
        <v>3</v>
      </c>
      <c r="B314" s="73"/>
      <c r="C314" s="12" t="s">
        <v>4</v>
      </c>
      <c r="D314" s="13">
        <f>(2.75*3.12+1.3*2.75+2.29*2.74+2.74*2.74+1.22*0.91+1.22*1.83+1.17*0.61+2.13*0.61)*10.764</f>
        <v>336.837852</v>
      </c>
      <c r="E314" s="3">
        <v>0</v>
      </c>
      <c r="F314" s="22">
        <f t="shared" si="10"/>
        <v>488.4148854</v>
      </c>
      <c r="G314" s="74"/>
      <c r="H314" s="74"/>
    </row>
    <row r="315" spans="1:8" x14ac:dyDescent="0.2">
      <c r="A315" s="73">
        <v>4</v>
      </c>
      <c r="B315" s="73"/>
      <c r="C315" s="12" t="s">
        <v>6</v>
      </c>
      <c r="D315" s="13">
        <f>(2.75*3.56+1.46*2.75+2.29*2.13+2.75*2.75+3.2*3.2+2.13*1.22+1.22*2.13+0.91*3.8+1.37*0.61+2.13*0.61)*10.764</f>
        <v>508.87240560000004</v>
      </c>
      <c r="E315" s="3">
        <v>0</v>
      </c>
      <c r="F315" s="22">
        <f t="shared" si="10"/>
        <v>737.86498812000002</v>
      </c>
      <c r="G315" s="74"/>
      <c r="H315" s="74"/>
    </row>
    <row r="316" spans="1:8" ht="15" customHeight="1" x14ac:dyDescent="0.2">
      <c r="A316" s="84" t="s">
        <v>18</v>
      </c>
      <c r="B316" s="84"/>
      <c r="C316" s="84"/>
      <c r="D316" s="84"/>
      <c r="E316" s="84"/>
      <c r="F316" s="84"/>
      <c r="G316" s="84"/>
      <c r="H316" s="84"/>
    </row>
    <row r="317" spans="1:8" ht="15" customHeight="1" x14ac:dyDescent="0.2">
      <c r="A317" s="84" t="s">
        <v>17</v>
      </c>
      <c r="B317" s="84"/>
      <c r="C317" s="84"/>
      <c r="D317" s="84"/>
      <c r="E317" s="84"/>
      <c r="F317" s="84"/>
      <c r="G317" s="84"/>
      <c r="H317" s="84"/>
    </row>
    <row r="318" spans="1:8" ht="15" customHeight="1" x14ac:dyDescent="0.2">
      <c r="A318" s="85" t="s">
        <v>218</v>
      </c>
      <c r="B318" s="84"/>
      <c r="C318" s="84"/>
      <c r="D318" s="84"/>
      <c r="E318" s="84"/>
      <c r="F318" s="84"/>
      <c r="G318" s="84"/>
      <c r="H318" s="84"/>
    </row>
    <row r="319" spans="1:8" ht="15" customHeight="1" x14ac:dyDescent="0.2">
      <c r="A319" s="73">
        <v>1</v>
      </c>
      <c r="B319" s="73"/>
      <c r="C319" s="12" t="s">
        <v>4</v>
      </c>
      <c r="D319" s="48">
        <f>(2.75*3.37+1.05*2.75+2.29*2.74+2.74*2.74+1.22*0.91+1.22*1.83+1.17*0.61+2.13*0.61)*10.764</f>
        <v>336.837852</v>
      </c>
      <c r="E319" s="3">
        <v>0</v>
      </c>
      <c r="F319" s="51">
        <f t="shared" ref="F319:F322" si="11">D319*1.45+E319</f>
        <v>488.4148854</v>
      </c>
      <c r="G319" s="74" t="str">
        <f>A318</f>
        <v>1st to 7th Floor for Residential</v>
      </c>
      <c r="H319" s="74"/>
    </row>
    <row r="320" spans="1:8" x14ac:dyDescent="0.2">
      <c r="A320" s="73">
        <v>2</v>
      </c>
      <c r="B320" s="73"/>
      <c r="C320" s="12" t="s">
        <v>4</v>
      </c>
      <c r="D320" s="48">
        <f>(2.75*3.37+1.05*2.75+2.29*2.74+2.74*2.74+1.22*0.91+1.22*1.83+1.17*0.61+2.13*0.61)*10.764</f>
        <v>336.837852</v>
      </c>
      <c r="E320" s="3">
        <v>0</v>
      </c>
      <c r="F320" s="51">
        <f t="shared" si="11"/>
        <v>488.4148854</v>
      </c>
      <c r="G320" s="74"/>
      <c r="H320" s="74"/>
    </row>
    <row r="321" spans="1:8" x14ac:dyDescent="0.2">
      <c r="A321" s="73">
        <v>3</v>
      </c>
      <c r="B321" s="73"/>
      <c r="C321" s="12" t="s">
        <v>4</v>
      </c>
      <c r="D321" s="48">
        <f t="shared" ref="D321:D322" si="12">(2.75*3.37+1.05*2.75+2.29*2.74+2.74*2.74+1.22*0.91+1.22*1.83+1.17*0.61+2.13*0.61)*10.764</f>
        <v>336.837852</v>
      </c>
      <c r="E321" s="3">
        <v>0</v>
      </c>
      <c r="F321" s="51">
        <f t="shared" si="11"/>
        <v>488.4148854</v>
      </c>
      <c r="G321" s="74"/>
      <c r="H321" s="74"/>
    </row>
    <row r="322" spans="1:8" x14ac:dyDescent="0.2">
      <c r="A322" s="73">
        <v>4</v>
      </c>
      <c r="B322" s="73"/>
      <c r="C322" s="12" t="s">
        <v>4</v>
      </c>
      <c r="D322" s="48">
        <f t="shared" si="12"/>
        <v>336.837852</v>
      </c>
      <c r="E322" s="3">
        <v>0</v>
      </c>
      <c r="F322" s="51">
        <f t="shared" si="11"/>
        <v>488.4148854</v>
      </c>
      <c r="G322" s="74"/>
      <c r="H322" s="74"/>
    </row>
    <row r="323" spans="1:8" ht="15" customHeight="1" x14ac:dyDescent="0.2">
      <c r="A323" s="84" t="s">
        <v>19</v>
      </c>
      <c r="B323" s="84"/>
      <c r="C323" s="84"/>
      <c r="D323" s="84"/>
      <c r="E323" s="84"/>
      <c r="F323" s="84"/>
      <c r="G323" s="84"/>
      <c r="H323" s="84"/>
    </row>
    <row r="324" spans="1:8" ht="15" customHeight="1" x14ac:dyDescent="0.2">
      <c r="A324" s="84" t="s">
        <v>17</v>
      </c>
      <c r="B324" s="84"/>
      <c r="C324" s="84"/>
      <c r="D324" s="84"/>
      <c r="E324" s="84"/>
      <c r="F324" s="84"/>
      <c r="G324" s="84"/>
      <c r="H324" s="84"/>
    </row>
    <row r="325" spans="1:8" ht="15" customHeight="1" x14ac:dyDescent="0.2">
      <c r="A325" s="85" t="s">
        <v>218</v>
      </c>
      <c r="B325" s="84"/>
      <c r="C325" s="84"/>
      <c r="D325" s="84"/>
      <c r="E325" s="84"/>
      <c r="F325" s="84"/>
      <c r="G325" s="84"/>
      <c r="H325" s="84"/>
    </row>
    <row r="326" spans="1:8" ht="15" customHeight="1" x14ac:dyDescent="0.2">
      <c r="A326" s="73">
        <v>1</v>
      </c>
      <c r="B326" s="73"/>
      <c r="C326" s="12" t="s">
        <v>6</v>
      </c>
      <c r="D326" s="13">
        <f>(2.75*3.66+1.46*2.75+2.29*2.13+2.75*2.75+3.2*3.2+2.13*1.22+1.22*2.13+0.91*3.8+1.37*0.61+2.13*0.61)*10.764</f>
        <v>511.83250559999999</v>
      </c>
      <c r="E326" s="3">
        <v>0</v>
      </c>
      <c r="F326" s="22">
        <f t="shared" ref="F326:F329" si="13">D326*1.45+E326</f>
        <v>742.15713311999991</v>
      </c>
      <c r="G326" s="74" t="str">
        <f>A325</f>
        <v>1st to 7th Floor for Residential</v>
      </c>
      <c r="H326" s="74"/>
    </row>
    <row r="327" spans="1:8" x14ac:dyDescent="0.2">
      <c r="A327" s="73">
        <v>2</v>
      </c>
      <c r="B327" s="73"/>
      <c r="C327" s="12" t="s">
        <v>6</v>
      </c>
      <c r="D327" s="13">
        <f>(2.75*3.66+1.46*2.75+2.29*2.13+2.75*2.75+3.2*3.2+2.13*1.22+1.22*2.13+0.91*3.8+1.37*0.61+2.13*0.61)*10.764</f>
        <v>511.83250559999999</v>
      </c>
      <c r="E327" s="3">
        <v>0</v>
      </c>
      <c r="F327" s="22">
        <f t="shared" si="13"/>
        <v>742.15713311999991</v>
      </c>
      <c r="G327" s="74"/>
      <c r="H327" s="74"/>
    </row>
    <row r="328" spans="1:8" x14ac:dyDescent="0.2">
      <c r="A328" s="73">
        <v>3</v>
      </c>
      <c r="B328" s="73"/>
      <c r="C328" s="12" t="s">
        <v>4</v>
      </c>
      <c r="D328" s="13">
        <f>(2.75*3.12+2.29*2.74+2.74*2.74+1.22*0.91+1.22*1.83+2.13*0.61+1.17*0.61)*10.764</f>
        <v>298.35655199999997</v>
      </c>
      <c r="E328" s="3">
        <v>0</v>
      </c>
      <c r="F328" s="22">
        <f t="shared" si="13"/>
        <v>432.61700039999994</v>
      </c>
      <c r="G328" s="74"/>
      <c r="H328" s="74"/>
    </row>
    <row r="329" spans="1:8" x14ac:dyDescent="0.2">
      <c r="A329" s="73">
        <v>4</v>
      </c>
      <c r="B329" s="73"/>
      <c r="C329" s="12" t="s">
        <v>4</v>
      </c>
      <c r="D329" s="13">
        <f>(2.75*3.12+2.29*2.74+2.74*2.74+1.22*0.91+1.22*1.83+2.13*0.61+1.17*0.61)*10.764</f>
        <v>298.35655199999997</v>
      </c>
      <c r="E329" s="3">
        <v>0</v>
      </c>
      <c r="F329" s="22">
        <f t="shared" si="13"/>
        <v>432.61700039999994</v>
      </c>
      <c r="G329" s="74"/>
      <c r="H329" s="74"/>
    </row>
    <row r="330" spans="1:8" ht="15" customHeight="1" x14ac:dyDescent="0.2">
      <c r="A330" s="84" t="s">
        <v>20</v>
      </c>
      <c r="B330" s="84"/>
      <c r="C330" s="84"/>
      <c r="D330" s="84"/>
      <c r="E330" s="84"/>
      <c r="F330" s="84"/>
      <c r="G330" s="84"/>
      <c r="H330" s="84"/>
    </row>
    <row r="331" spans="1:8" ht="15" customHeight="1" x14ac:dyDescent="0.2">
      <c r="A331" s="84" t="s">
        <v>17</v>
      </c>
      <c r="B331" s="84"/>
      <c r="C331" s="84"/>
      <c r="D331" s="84"/>
      <c r="E331" s="84"/>
      <c r="F331" s="84"/>
      <c r="G331" s="84"/>
      <c r="H331" s="84"/>
    </row>
    <row r="332" spans="1:8" ht="15" customHeight="1" x14ac:dyDescent="0.2">
      <c r="A332" s="85" t="s">
        <v>218</v>
      </c>
      <c r="B332" s="84"/>
      <c r="C332" s="84"/>
      <c r="D332" s="84"/>
      <c r="E332" s="84"/>
      <c r="F332" s="84"/>
      <c r="G332" s="84"/>
      <c r="H332" s="84"/>
    </row>
    <row r="333" spans="1:8" ht="15" customHeight="1" x14ac:dyDescent="0.2">
      <c r="A333" s="73">
        <v>1</v>
      </c>
      <c r="B333" s="73"/>
      <c r="C333" s="12" t="s">
        <v>6</v>
      </c>
      <c r="D333" s="13">
        <f>(2.75*3.56+2.29*2.13+2.74*2.74+3.2*3.2+2.13*1.22+1.22*2.13+1.46*2.75+1.37*0.61+2.13*0.61+0.91*3.8)*10.764</f>
        <v>508.28146199999998</v>
      </c>
      <c r="E333" s="3">
        <v>0</v>
      </c>
      <c r="F333" s="22">
        <f t="shared" ref="F333:F336" si="14">D333*1.45+E333</f>
        <v>737.0081199</v>
      </c>
      <c r="G333" s="74" t="str">
        <f>A332</f>
        <v>1st to 7th Floor for Residential</v>
      </c>
      <c r="H333" s="74"/>
    </row>
    <row r="334" spans="1:8" x14ac:dyDescent="0.2">
      <c r="A334" s="73">
        <v>2</v>
      </c>
      <c r="B334" s="73"/>
      <c r="C334" s="12" t="s">
        <v>4</v>
      </c>
      <c r="D334" s="13">
        <f>(2.75*3.12+1.3*2.75+2.29*2.74+2.74*2.74+1.22*0.91+1.22*1.83+1.17*0.61+2.13*0.61)*10.764</f>
        <v>336.837852</v>
      </c>
      <c r="E334" s="3">
        <v>0</v>
      </c>
      <c r="F334" s="22">
        <f t="shared" si="14"/>
        <v>488.4148854</v>
      </c>
      <c r="G334" s="74"/>
      <c r="H334" s="74"/>
    </row>
    <row r="335" spans="1:8" x14ac:dyDescent="0.2">
      <c r="A335" s="73">
        <v>3</v>
      </c>
      <c r="B335" s="73"/>
      <c r="C335" s="12" t="s">
        <v>4</v>
      </c>
      <c r="D335" s="13">
        <f>(2.75*3.12+1.3*2.75+2.29*2.74+2.74*2.74+1.22*0.91+1.22*1.83+1.17*0.61+2.13*0.61)*10.764</f>
        <v>336.837852</v>
      </c>
      <c r="E335" s="3">
        <v>0</v>
      </c>
      <c r="F335" s="22">
        <f t="shared" si="14"/>
        <v>488.4148854</v>
      </c>
      <c r="G335" s="74"/>
      <c r="H335" s="74"/>
    </row>
    <row r="336" spans="1:8" x14ac:dyDescent="0.2">
      <c r="A336" s="73">
        <v>4</v>
      </c>
      <c r="B336" s="73"/>
      <c r="C336" s="12" t="s">
        <v>6</v>
      </c>
      <c r="D336" s="13">
        <f>(2.75*3.56+2.29*2.13+2.74*2.74+3.2*3.2+2.13*1.22+1.22*2.13+1.46*2.75+1.37*0.61+2.13*0.61+0.91*3.8)*10.764</f>
        <v>508.28146199999998</v>
      </c>
      <c r="E336" s="3">
        <v>0</v>
      </c>
      <c r="F336" s="22">
        <f t="shared" si="14"/>
        <v>737.0081199</v>
      </c>
      <c r="G336" s="74"/>
      <c r="H336" s="74"/>
    </row>
    <row r="337" spans="1:8" ht="15" customHeight="1" x14ac:dyDescent="0.2">
      <c r="A337" s="84" t="s">
        <v>21</v>
      </c>
      <c r="B337" s="84"/>
      <c r="C337" s="84"/>
      <c r="D337" s="84"/>
      <c r="E337" s="84"/>
      <c r="F337" s="84"/>
      <c r="G337" s="84"/>
      <c r="H337" s="84"/>
    </row>
    <row r="338" spans="1:8" ht="15" customHeight="1" x14ac:dyDescent="0.2">
      <c r="A338" s="84" t="s">
        <v>22</v>
      </c>
      <c r="B338" s="84"/>
      <c r="C338" s="84"/>
      <c r="D338" s="84"/>
      <c r="E338" s="84"/>
      <c r="F338" s="84"/>
      <c r="G338" s="84"/>
      <c r="H338" s="84"/>
    </row>
    <row r="339" spans="1:8" ht="15" customHeight="1" x14ac:dyDescent="0.2">
      <c r="A339" s="85" t="s">
        <v>218</v>
      </c>
      <c r="B339" s="84"/>
      <c r="C339" s="84"/>
      <c r="D339" s="84"/>
      <c r="E339" s="84"/>
      <c r="F339" s="84"/>
      <c r="G339" s="84"/>
      <c r="H339" s="84"/>
    </row>
    <row r="340" spans="1:8" ht="15" customHeight="1" x14ac:dyDescent="0.2">
      <c r="A340" s="73">
        <v>1</v>
      </c>
      <c r="B340" s="73"/>
      <c r="C340" s="12" t="s">
        <v>6</v>
      </c>
      <c r="D340" s="13">
        <f>(2.75*4.88+2.29*2.13+2.75*2.74+3.2*3.19+2.13*1.22+1.22*2.13+0.91*3.8+1.37*0.61+2.13*0.61)*10.764</f>
        <v>504.08780759999996</v>
      </c>
      <c r="E340" s="3">
        <v>0</v>
      </c>
      <c r="F340" s="22">
        <f t="shared" ref="F340:F345" si="15">D340*1.45+E340</f>
        <v>730.92732101999991</v>
      </c>
      <c r="G340" s="74" t="str">
        <f>A339</f>
        <v>1st to 7th Floor for Residential</v>
      </c>
      <c r="H340" s="74"/>
    </row>
    <row r="341" spans="1:8" x14ac:dyDescent="0.2">
      <c r="A341" s="73">
        <v>2</v>
      </c>
      <c r="B341" s="73"/>
      <c r="C341" s="12" t="s">
        <v>4</v>
      </c>
      <c r="D341" s="13">
        <f>(2.75*4.88+2.29*2.74+2.74*3.05+2.13*1.22+1.22*2.13+1.53*0.61+1.24*0.61+0.91*2.29)*10.764</f>
        <v>398.50911360000003</v>
      </c>
      <c r="E341" s="3">
        <v>0</v>
      </c>
      <c r="F341" s="22">
        <f t="shared" si="15"/>
        <v>577.83821472</v>
      </c>
      <c r="G341" s="74"/>
      <c r="H341" s="74"/>
    </row>
    <row r="342" spans="1:8" x14ac:dyDescent="0.2">
      <c r="A342" s="73">
        <v>3</v>
      </c>
      <c r="B342" s="73"/>
      <c r="C342" s="12" t="s">
        <v>6</v>
      </c>
      <c r="D342" s="13">
        <f>(2.75*4.88+2.29*2.13+2.75*2.74+3.2*3.19+2.13*1.22+1.22*2.13+0.91*3.8+1.37*0.61+2.13*0.61)*10.764</f>
        <v>504.08780759999996</v>
      </c>
      <c r="E342" s="3">
        <v>0</v>
      </c>
      <c r="F342" s="22">
        <f t="shared" si="15"/>
        <v>730.92732101999991</v>
      </c>
      <c r="G342" s="74"/>
      <c r="H342" s="74"/>
    </row>
    <row r="343" spans="1:8" x14ac:dyDescent="0.2">
      <c r="A343" s="73">
        <v>4</v>
      </c>
      <c r="B343" s="73"/>
      <c r="C343" s="12" t="s">
        <v>6</v>
      </c>
      <c r="D343" s="13">
        <f>(2.75*4.88+2.29*2.13+2.75*2.74+3.2*3.19+2.13*1.22+1.22*2.13+0.91*3.8+1.37*0.61+2.13*0.61)*10.764</f>
        <v>504.08780759999996</v>
      </c>
      <c r="E343" s="3">
        <v>0</v>
      </c>
      <c r="F343" s="22">
        <f t="shared" si="15"/>
        <v>730.92732101999991</v>
      </c>
      <c r="G343" s="74"/>
      <c r="H343" s="74"/>
    </row>
    <row r="344" spans="1:8" x14ac:dyDescent="0.2">
      <c r="A344" s="73">
        <v>5</v>
      </c>
      <c r="B344" s="73"/>
      <c r="C344" s="12" t="s">
        <v>4</v>
      </c>
      <c r="D344" s="13">
        <f>(2.75*4.88+2.29*2.74+2.74*3.05+2.13*1.22+1.22*2.13+1.53*0.61+1.24*0.61+0.91*2.29)*10.764</f>
        <v>398.50911360000003</v>
      </c>
      <c r="E344" s="3">
        <v>0</v>
      </c>
      <c r="F344" s="22">
        <f t="shared" si="15"/>
        <v>577.83821472</v>
      </c>
      <c r="G344" s="74"/>
      <c r="H344" s="74"/>
    </row>
    <row r="345" spans="1:8" x14ac:dyDescent="0.2">
      <c r="A345" s="73">
        <v>6</v>
      </c>
      <c r="B345" s="73"/>
      <c r="C345" s="12" t="s">
        <v>6</v>
      </c>
      <c r="D345" s="13">
        <f>(2.75*4.88+1.56*2.75+2.29*2.13+2.75*2.74+3.2*3.19+2.13*1.22+1.22*2.13+0.91*3.8+1.37*0.61+2.13*0.61)*10.764</f>
        <v>550.26536759999999</v>
      </c>
      <c r="E345" s="3">
        <v>0</v>
      </c>
      <c r="F345" s="22">
        <f t="shared" si="15"/>
        <v>797.88478301999999</v>
      </c>
      <c r="G345" s="74"/>
      <c r="H345" s="74"/>
    </row>
    <row r="346" spans="1:8" ht="15" customHeight="1" x14ac:dyDescent="0.2">
      <c r="A346" s="84" t="s">
        <v>23</v>
      </c>
      <c r="B346" s="84"/>
      <c r="C346" s="84"/>
      <c r="D346" s="84"/>
      <c r="E346" s="84"/>
      <c r="F346" s="84"/>
      <c r="G346" s="84"/>
      <c r="H346" s="84"/>
    </row>
    <row r="347" spans="1:8" ht="15" customHeight="1" x14ac:dyDescent="0.2">
      <c r="A347" s="84" t="s">
        <v>22</v>
      </c>
      <c r="B347" s="84"/>
      <c r="C347" s="84"/>
      <c r="D347" s="84"/>
      <c r="E347" s="84"/>
      <c r="F347" s="84"/>
      <c r="G347" s="84"/>
      <c r="H347" s="84"/>
    </row>
    <row r="348" spans="1:8" ht="15" customHeight="1" x14ac:dyDescent="0.2">
      <c r="A348" s="71">
        <v>1</v>
      </c>
      <c r="B348" s="72"/>
      <c r="C348" s="12" t="s">
        <v>4</v>
      </c>
      <c r="D348" s="13">
        <f>(2.75*4.27+2.29*2.74+2.74*2.74+1.22*0.91+1.22*1.83+1.17*0.61+2.13*0.61)*10.764</f>
        <v>332.39770199999998</v>
      </c>
      <c r="E348" s="3">
        <v>0</v>
      </c>
      <c r="F348" s="22">
        <f t="shared" ref="F348:F357" si="16">D348*1.45+E348</f>
        <v>481.97666789999994</v>
      </c>
      <c r="G348" s="74" t="s">
        <v>24</v>
      </c>
      <c r="H348" s="74"/>
    </row>
    <row r="349" spans="1:8" x14ac:dyDescent="0.2">
      <c r="A349" s="71">
        <v>2</v>
      </c>
      <c r="B349" s="72"/>
      <c r="C349" s="12" t="s">
        <v>4</v>
      </c>
      <c r="D349" s="13">
        <f t="shared" ref="D349:D350" si="17">(2.75*4.27+2.29*2.74+2.74*2.74+1.22*0.91+1.22*1.83+1.17*0.61+2.13*0.61)*10.764</f>
        <v>332.39770199999998</v>
      </c>
      <c r="E349" s="3">
        <v>0</v>
      </c>
      <c r="F349" s="22">
        <f t="shared" si="16"/>
        <v>481.97666789999994</v>
      </c>
      <c r="G349" s="74"/>
      <c r="H349" s="74"/>
    </row>
    <row r="350" spans="1:8" x14ac:dyDescent="0.2">
      <c r="A350" s="71">
        <v>3</v>
      </c>
      <c r="B350" s="72"/>
      <c r="C350" s="12" t="s">
        <v>4</v>
      </c>
      <c r="D350" s="13">
        <f t="shared" si="17"/>
        <v>332.39770199999998</v>
      </c>
      <c r="E350" s="3">
        <v>0</v>
      </c>
      <c r="F350" s="22">
        <f t="shared" si="16"/>
        <v>481.97666789999994</v>
      </c>
      <c r="G350" s="74"/>
      <c r="H350" s="74"/>
    </row>
    <row r="351" spans="1:8" ht="15" customHeight="1" x14ac:dyDescent="0.2">
      <c r="A351" s="85" t="s">
        <v>218</v>
      </c>
      <c r="B351" s="84"/>
      <c r="C351" s="84"/>
      <c r="D351" s="84"/>
      <c r="E351" s="84"/>
      <c r="F351" s="84"/>
      <c r="G351" s="84"/>
      <c r="H351" s="84"/>
    </row>
    <row r="352" spans="1:8" x14ac:dyDescent="0.2">
      <c r="A352" s="73">
        <v>1</v>
      </c>
      <c r="B352" s="73"/>
      <c r="C352" s="12" t="s">
        <v>4</v>
      </c>
      <c r="D352" s="13">
        <f>(2.75*4.27+2.29*2.74+2.74*2.74+1.22*0.91+1.22*1.83+1.17*0.61+2.13*0.61)*10.764</f>
        <v>332.39770199999998</v>
      </c>
      <c r="E352" s="3">
        <v>0</v>
      </c>
      <c r="F352" s="22">
        <f t="shared" si="16"/>
        <v>481.97666789999994</v>
      </c>
      <c r="G352" s="74" t="str">
        <f>A351</f>
        <v>1st to 7th Floor for Residential</v>
      </c>
      <c r="H352" s="74"/>
    </row>
    <row r="353" spans="1:9" ht="15" customHeight="1" x14ac:dyDescent="0.2">
      <c r="A353" s="73">
        <v>2</v>
      </c>
      <c r="B353" s="73"/>
      <c r="C353" s="12" t="s">
        <v>4</v>
      </c>
      <c r="D353" s="13">
        <f t="shared" ref="D353:D357" si="18">(2.75*4.27+2.29*2.74+2.74*2.74+1.22*0.91+1.22*1.83+1.17*0.61+2.13*0.61)*10.764</f>
        <v>332.39770199999998</v>
      </c>
      <c r="E353" s="3">
        <v>0</v>
      </c>
      <c r="F353" s="22">
        <f t="shared" si="16"/>
        <v>481.97666789999994</v>
      </c>
      <c r="G353" s="74"/>
      <c r="H353" s="74"/>
    </row>
    <row r="354" spans="1:9" x14ac:dyDescent="0.2">
      <c r="A354" s="73">
        <v>3</v>
      </c>
      <c r="B354" s="73"/>
      <c r="C354" s="12" t="s">
        <v>4</v>
      </c>
      <c r="D354" s="13">
        <f t="shared" si="18"/>
        <v>332.39770199999998</v>
      </c>
      <c r="E354" s="3">
        <v>0</v>
      </c>
      <c r="F354" s="22">
        <f t="shared" si="16"/>
        <v>481.97666789999994</v>
      </c>
      <c r="G354" s="74"/>
      <c r="H354" s="74"/>
    </row>
    <row r="355" spans="1:9" x14ac:dyDescent="0.2">
      <c r="A355" s="73">
        <v>4</v>
      </c>
      <c r="B355" s="73"/>
      <c r="C355" s="12" t="s">
        <v>4</v>
      </c>
      <c r="D355" s="13">
        <f t="shared" si="18"/>
        <v>332.39770199999998</v>
      </c>
      <c r="E355" s="3">
        <v>0</v>
      </c>
      <c r="F355" s="22">
        <f t="shared" si="16"/>
        <v>481.97666789999994</v>
      </c>
      <c r="G355" s="74"/>
      <c r="H355" s="74"/>
    </row>
    <row r="356" spans="1:9" x14ac:dyDescent="0.2">
      <c r="A356" s="73">
        <v>5</v>
      </c>
      <c r="B356" s="73"/>
      <c r="C356" s="12" t="s">
        <v>4</v>
      </c>
      <c r="D356" s="13">
        <f t="shared" si="18"/>
        <v>332.39770199999998</v>
      </c>
      <c r="E356" s="3">
        <v>0</v>
      </c>
      <c r="F356" s="22">
        <f t="shared" si="16"/>
        <v>481.97666789999994</v>
      </c>
      <c r="G356" s="74"/>
      <c r="H356" s="74"/>
    </row>
    <row r="357" spans="1:9" x14ac:dyDescent="0.2">
      <c r="A357" s="73">
        <v>6</v>
      </c>
      <c r="B357" s="73"/>
      <c r="C357" s="12" t="s">
        <v>4</v>
      </c>
      <c r="D357" s="13">
        <f t="shared" si="18"/>
        <v>332.39770199999998</v>
      </c>
      <c r="E357" s="3">
        <v>0</v>
      </c>
      <c r="F357" s="22">
        <f t="shared" si="16"/>
        <v>481.97666789999994</v>
      </c>
      <c r="G357" s="74"/>
      <c r="H357" s="74"/>
    </row>
    <row r="358" spans="1:9" ht="15" customHeight="1" x14ac:dyDescent="0.2">
      <c r="A358" s="84" t="s">
        <v>25</v>
      </c>
      <c r="B358" s="84"/>
      <c r="C358" s="84"/>
      <c r="D358" s="84"/>
      <c r="E358" s="84"/>
      <c r="F358" s="84"/>
      <c r="G358" s="84"/>
      <c r="H358" s="84"/>
    </row>
    <row r="359" spans="1:9" ht="15" customHeight="1" x14ac:dyDescent="0.2">
      <c r="A359" s="84" t="s">
        <v>12</v>
      </c>
      <c r="B359" s="84"/>
      <c r="C359" s="84"/>
      <c r="D359" s="84"/>
      <c r="E359" s="84"/>
      <c r="F359" s="84"/>
      <c r="G359" s="84"/>
      <c r="H359" s="84"/>
    </row>
    <row r="360" spans="1:9" ht="15" customHeight="1" x14ac:dyDescent="0.2">
      <c r="A360" s="73">
        <v>1</v>
      </c>
      <c r="B360" s="73"/>
      <c r="C360" s="12" t="s">
        <v>6</v>
      </c>
      <c r="D360" s="13">
        <f>(2.75*4.88+2.29*2.13+2.74*2.74+3.2*3.2+2.13*1.22+1.22*2.13+0.91*3.8+1.37*0.61+2.13*0.61)*10.764</f>
        <v>504.13732199999993</v>
      </c>
      <c r="E360" s="3">
        <v>0</v>
      </c>
      <c r="F360" s="22">
        <f t="shared" ref="F360:F366" si="19">D360*1.45+E360</f>
        <v>730.99911689999988</v>
      </c>
      <c r="G360" s="75" t="s">
        <v>13</v>
      </c>
      <c r="H360" s="75"/>
    </row>
    <row r="361" spans="1:9" x14ac:dyDescent="0.2">
      <c r="A361" s="73">
        <v>2</v>
      </c>
      <c r="B361" s="73"/>
      <c r="C361" s="12" t="s">
        <v>4</v>
      </c>
      <c r="D361" s="13">
        <f>(2.75*4.27+2.29*2.74+2.74*2.74+1.22*0.91+1.22*1.83+1.17*0.61+2.13*0.61)*10.764</f>
        <v>332.39770199999998</v>
      </c>
      <c r="E361" s="3">
        <v>0</v>
      </c>
      <c r="F361" s="22">
        <f t="shared" si="19"/>
        <v>481.97666789999994</v>
      </c>
      <c r="G361" s="75"/>
      <c r="H361" s="75"/>
    </row>
    <row r="362" spans="1:9" ht="15" customHeight="1" x14ac:dyDescent="0.2">
      <c r="A362" s="85" t="s">
        <v>218</v>
      </c>
      <c r="B362" s="84"/>
      <c r="C362" s="84"/>
      <c r="D362" s="84"/>
      <c r="E362" s="84"/>
      <c r="F362" s="84"/>
      <c r="G362" s="84"/>
      <c r="H362" s="84"/>
    </row>
    <row r="363" spans="1:9" ht="15" customHeight="1" x14ac:dyDescent="0.2">
      <c r="A363" s="73">
        <v>1</v>
      </c>
      <c r="B363" s="73"/>
      <c r="C363" s="12" t="s">
        <v>6</v>
      </c>
      <c r="D363" s="13">
        <f>(2.75*4.88+2.29*2.13+2.74*2.74+3.2*3.2+2.13*1.22+1.22*2.13+0.91*3.8+1.37*0.61+2.13*0.61)*10.764</f>
        <v>504.13732199999993</v>
      </c>
      <c r="E363" s="3">
        <v>0</v>
      </c>
      <c r="F363" s="22">
        <f t="shared" si="19"/>
        <v>730.99911689999988</v>
      </c>
      <c r="G363" s="74" t="str">
        <f>A362</f>
        <v>1st to 7th Floor for Residential</v>
      </c>
      <c r="H363" s="74"/>
    </row>
    <row r="364" spans="1:9" x14ac:dyDescent="0.2">
      <c r="A364" s="73">
        <v>2</v>
      </c>
      <c r="B364" s="73"/>
      <c r="C364" s="12" t="s">
        <v>4</v>
      </c>
      <c r="D364" s="13">
        <f>(2.75*4.27+2.29*2.74+2.74*2.74+1.22*0.91+1.22*1.83+1.17*0.61+2.13*0.61)*10.764</f>
        <v>332.39770199999998</v>
      </c>
      <c r="E364" s="3">
        <v>0</v>
      </c>
      <c r="F364" s="22">
        <f t="shared" si="19"/>
        <v>481.97666789999994</v>
      </c>
      <c r="G364" s="74"/>
      <c r="H364" s="74"/>
    </row>
    <row r="365" spans="1:9" x14ac:dyDescent="0.2">
      <c r="A365" s="73">
        <v>3</v>
      </c>
      <c r="B365" s="73"/>
      <c r="C365" s="12" t="s">
        <v>4</v>
      </c>
      <c r="D365" s="13">
        <f>(2.75*4.27+2.29*2.74+2.74*2.74+1.22*0.91+1.22*1.83+1.17*0.61+2.13*0.61)*10.764</f>
        <v>332.39770199999998</v>
      </c>
      <c r="E365" s="3">
        <v>0</v>
      </c>
      <c r="F365" s="22">
        <f t="shared" si="19"/>
        <v>481.97666789999994</v>
      </c>
      <c r="G365" s="74"/>
      <c r="H365" s="74"/>
    </row>
    <row r="366" spans="1:9" x14ac:dyDescent="0.2">
      <c r="A366" s="73">
        <v>4</v>
      </c>
      <c r="B366" s="73"/>
      <c r="C366" s="12" t="s">
        <v>6</v>
      </c>
      <c r="D366" s="13">
        <f>(2.75*4.88+2.29*2.13+2.74*2.74+3.2*3.2+2.13*1.22+1.22*2.13+0.91*3.8+1.37*0.61+2.13*0.61)*10.764</f>
        <v>504.13732199999993</v>
      </c>
      <c r="E366" s="3">
        <v>0</v>
      </c>
      <c r="F366" s="22">
        <f t="shared" si="19"/>
        <v>730.99911689999988</v>
      </c>
      <c r="G366" s="74"/>
      <c r="H366" s="74"/>
    </row>
    <row r="367" spans="1:9" ht="15" customHeight="1" x14ac:dyDescent="0.2">
      <c r="A367" s="84" t="s">
        <v>26</v>
      </c>
      <c r="B367" s="84"/>
      <c r="C367" s="84"/>
      <c r="D367" s="84"/>
      <c r="E367" s="84"/>
      <c r="F367" s="84"/>
      <c r="G367" s="84"/>
      <c r="H367" s="84"/>
      <c r="I367" s="10">
        <f>COUNT(D369:D370)+COUNT(D372:D375)*2+COUNT(D377:D379)+COUNT(D388:D389)+COUNT(D391:D394)*7</f>
        <v>43</v>
      </c>
    </row>
    <row r="368" spans="1:9" ht="15" customHeight="1" x14ac:dyDescent="0.2">
      <c r="A368" s="84" t="s">
        <v>12</v>
      </c>
      <c r="B368" s="84"/>
      <c r="C368" s="84"/>
      <c r="D368" s="84"/>
      <c r="E368" s="84"/>
      <c r="F368" s="84"/>
      <c r="G368" s="84"/>
      <c r="H368" s="84"/>
    </row>
    <row r="369" spans="1:8" ht="15" customHeight="1" x14ac:dyDescent="0.2">
      <c r="A369" s="13">
        <v>1</v>
      </c>
      <c r="B369" s="12" t="s">
        <v>27</v>
      </c>
      <c r="C369" s="12" t="s">
        <v>6</v>
      </c>
      <c r="D369" s="13">
        <f>(2.75*4.88+2.29*2.13+2.74*2.74+3.2*3.19+2.13*1.22+1.22*2.13+0.91*3.8+1.37*0.6+2.13*0.6)*10.764</f>
        <v>503.41613399999994</v>
      </c>
      <c r="E369" s="3">
        <v>0</v>
      </c>
      <c r="F369" s="22">
        <f t="shared" ref="F369:F385" si="20">D369*1.45+E369</f>
        <v>729.9533942999999</v>
      </c>
      <c r="G369" s="75" t="s">
        <v>13</v>
      </c>
      <c r="H369" s="75"/>
    </row>
    <row r="370" spans="1:8" x14ac:dyDescent="0.2">
      <c r="A370" s="13">
        <v>2</v>
      </c>
      <c r="B370" s="12" t="s">
        <v>27</v>
      </c>
      <c r="C370" s="12" t="s">
        <v>6</v>
      </c>
      <c r="D370" s="13">
        <f>(2.75*4.88+2.29*2.13+2.74*2.74+3.2*3.19+2.13*1.22+1.22*2.13+0.91*3.8+1.37*0.6+2.13*0.6)*10.764</f>
        <v>503.41613399999994</v>
      </c>
      <c r="E370" s="3">
        <v>0</v>
      </c>
      <c r="F370" s="22">
        <f t="shared" si="20"/>
        <v>729.9533942999999</v>
      </c>
      <c r="G370" s="75"/>
      <c r="H370" s="75"/>
    </row>
    <row r="371" spans="1:8" ht="15" customHeight="1" x14ac:dyDescent="0.2">
      <c r="A371" s="85" t="s">
        <v>220</v>
      </c>
      <c r="B371" s="84"/>
      <c r="C371" s="84"/>
      <c r="D371" s="84"/>
      <c r="E371" s="84"/>
      <c r="F371" s="84"/>
      <c r="G371" s="84"/>
      <c r="H371" s="84"/>
    </row>
    <row r="372" spans="1:8" ht="15" customHeight="1" x14ac:dyDescent="0.2">
      <c r="A372" s="48">
        <v>1</v>
      </c>
      <c r="B372" s="12" t="s">
        <v>27</v>
      </c>
      <c r="C372" s="12" t="s">
        <v>6</v>
      </c>
      <c r="D372" s="48">
        <f>(2.75*4.88+2.29*2.13+2.74*2.74+3.2*3.19+2.13*1.22+1.22*2.13+0.91*3.8+1.37*0.6+2.13*0.6)*10.764</f>
        <v>503.41613399999994</v>
      </c>
      <c r="E372" s="3">
        <v>0</v>
      </c>
      <c r="F372" s="51">
        <f t="shared" si="20"/>
        <v>729.9533942999999</v>
      </c>
      <c r="G372" s="74" t="str">
        <f>A371</f>
        <v>1st &amp; 7th Floor for Residential</v>
      </c>
      <c r="H372" s="74"/>
    </row>
    <row r="373" spans="1:8" x14ac:dyDescent="0.2">
      <c r="A373" s="48">
        <v>2</v>
      </c>
      <c r="B373" s="12" t="s">
        <v>27</v>
      </c>
      <c r="C373" s="12" t="s">
        <v>6</v>
      </c>
      <c r="D373" s="48">
        <f t="shared" ref="D373:D375" si="21">(2.75*4.88+2.29*2.13+2.74*2.74+3.2*3.19+2.13*1.22+1.22*2.13+0.91*3.8+1.37*0.6+2.13*0.6)*10.764</f>
        <v>503.41613399999994</v>
      </c>
      <c r="E373" s="3">
        <v>0</v>
      </c>
      <c r="F373" s="51">
        <f t="shared" si="20"/>
        <v>729.9533942999999</v>
      </c>
      <c r="G373" s="74"/>
      <c r="H373" s="74"/>
    </row>
    <row r="374" spans="1:8" x14ac:dyDescent="0.2">
      <c r="A374" s="48">
        <v>3</v>
      </c>
      <c r="B374" s="12" t="s">
        <v>27</v>
      </c>
      <c r="C374" s="12" t="s">
        <v>6</v>
      </c>
      <c r="D374" s="48">
        <f t="shared" si="21"/>
        <v>503.41613399999994</v>
      </c>
      <c r="E374" s="3">
        <v>0</v>
      </c>
      <c r="F374" s="51">
        <f t="shared" si="20"/>
        <v>729.9533942999999</v>
      </c>
      <c r="G374" s="74"/>
      <c r="H374" s="74"/>
    </row>
    <row r="375" spans="1:8" x14ac:dyDescent="0.2">
      <c r="A375" s="48">
        <v>4</v>
      </c>
      <c r="B375" s="12" t="s">
        <v>27</v>
      </c>
      <c r="C375" s="12" t="s">
        <v>6</v>
      </c>
      <c r="D375" s="48">
        <f t="shared" si="21"/>
        <v>503.41613399999994</v>
      </c>
      <c r="E375" s="3">
        <v>0</v>
      </c>
      <c r="F375" s="51">
        <f t="shared" si="20"/>
        <v>729.9533942999999</v>
      </c>
      <c r="G375" s="74"/>
      <c r="H375" s="74"/>
    </row>
    <row r="376" spans="1:8" ht="15" customHeight="1" x14ac:dyDescent="0.2">
      <c r="A376" s="85" t="s">
        <v>221</v>
      </c>
      <c r="B376" s="84"/>
      <c r="C376" s="84"/>
      <c r="D376" s="84"/>
      <c r="E376" s="84"/>
      <c r="F376" s="84"/>
      <c r="G376" s="84"/>
      <c r="H376" s="84"/>
    </row>
    <row r="377" spans="1:8" ht="15" customHeight="1" x14ac:dyDescent="0.2">
      <c r="A377" s="48">
        <v>1</v>
      </c>
      <c r="B377" s="12" t="s">
        <v>27</v>
      </c>
      <c r="C377" s="12" t="s">
        <v>6</v>
      </c>
      <c r="D377" s="48">
        <f>(2.75*4.88+2.29*2.13+2.74*2.74+3.2*3.19+2.13*1.22+1.22*2.13+0.91*3.8+1.37*0.6+2.13*0.6)*10.764</f>
        <v>503.41613399999994</v>
      </c>
      <c r="E377" s="3">
        <v>0</v>
      </c>
      <c r="F377" s="51">
        <f t="shared" si="20"/>
        <v>729.9533942999999</v>
      </c>
      <c r="G377" s="74" t="str">
        <f>A376</f>
        <v>2nd Floor</v>
      </c>
      <c r="H377" s="74"/>
    </row>
    <row r="378" spans="1:8" x14ac:dyDescent="0.2">
      <c r="A378" s="48">
        <v>2</v>
      </c>
      <c r="B378" s="12" t="s">
        <v>27</v>
      </c>
      <c r="C378" s="12" t="s">
        <v>6</v>
      </c>
      <c r="D378" s="48">
        <f t="shared" ref="D378:D380" si="22">(2.75*4.88+2.29*2.13+2.74*2.74+3.2*3.19+2.13*1.22+1.22*2.13+0.91*3.8+1.37*0.6+2.13*0.6)*10.764</f>
        <v>503.41613399999994</v>
      </c>
      <c r="E378" s="3">
        <v>0</v>
      </c>
      <c r="F378" s="51">
        <f t="shared" si="20"/>
        <v>729.9533942999999</v>
      </c>
      <c r="G378" s="74"/>
      <c r="H378" s="74"/>
    </row>
    <row r="379" spans="1:8" x14ac:dyDescent="0.2">
      <c r="A379" s="48">
        <v>3</v>
      </c>
      <c r="B379" s="12" t="s">
        <v>27</v>
      </c>
      <c r="C379" s="12" t="s">
        <v>6</v>
      </c>
      <c r="D379" s="48">
        <f t="shared" si="22"/>
        <v>503.41613399999994</v>
      </c>
      <c r="E379" s="3">
        <v>0</v>
      </c>
      <c r="F379" s="51">
        <f t="shared" si="20"/>
        <v>729.9533942999999</v>
      </c>
      <c r="G379" s="74"/>
      <c r="H379" s="74"/>
    </row>
    <row r="380" spans="1:8" x14ac:dyDescent="0.2">
      <c r="A380" s="48">
        <v>4</v>
      </c>
      <c r="B380" s="12" t="s">
        <v>222</v>
      </c>
      <c r="C380" s="12" t="s">
        <v>6</v>
      </c>
      <c r="D380" s="48">
        <f t="shared" si="22"/>
        <v>503.41613399999994</v>
      </c>
      <c r="E380" s="3">
        <v>0</v>
      </c>
      <c r="F380" s="51">
        <f t="shared" si="20"/>
        <v>729.9533942999999</v>
      </c>
      <c r="G380" s="74"/>
      <c r="H380" s="74"/>
    </row>
    <row r="381" spans="1:8" ht="15" customHeight="1" x14ac:dyDescent="0.2">
      <c r="A381" s="85" t="s">
        <v>223</v>
      </c>
      <c r="B381" s="84"/>
      <c r="C381" s="84"/>
      <c r="D381" s="84"/>
      <c r="E381" s="84"/>
      <c r="F381" s="84"/>
      <c r="G381" s="84"/>
      <c r="H381" s="84"/>
    </row>
    <row r="382" spans="1:8" ht="15" customHeight="1" x14ac:dyDescent="0.2">
      <c r="A382" s="13">
        <v>1</v>
      </c>
      <c r="B382" s="12" t="s">
        <v>222</v>
      </c>
      <c r="C382" s="12" t="s">
        <v>6</v>
      </c>
      <c r="D382" s="13">
        <f>(2.75*4.88+2.29*2.13+2.74*2.74+3.2*3.19+2.13*1.22+1.22*2.13+0.91*3.8+1.37*0.6+2.13*0.6)*10.764</f>
        <v>503.41613399999994</v>
      </c>
      <c r="E382" s="3">
        <v>0</v>
      </c>
      <c r="F382" s="22">
        <f t="shared" si="20"/>
        <v>729.9533942999999</v>
      </c>
      <c r="G382" s="74" t="str">
        <f>A381</f>
        <v>3rd to 6th Floor</v>
      </c>
      <c r="H382" s="74"/>
    </row>
    <row r="383" spans="1:8" x14ac:dyDescent="0.2">
      <c r="A383" s="13">
        <v>2</v>
      </c>
      <c r="B383" s="12" t="s">
        <v>222</v>
      </c>
      <c r="C383" s="12" t="s">
        <v>6</v>
      </c>
      <c r="D383" s="13">
        <f t="shared" ref="D383:D385" si="23">(2.75*4.88+2.29*2.13+2.74*2.74+3.2*3.19+2.13*1.22+1.22*2.13+0.91*3.8+1.37*0.6+2.13*0.6)*10.764</f>
        <v>503.41613399999994</v>
      </c>
      <c r="E383" s="3">
        <v>0</v>
      </c>
      <c r="F383" s="22">
        <f t="shared" si="20"/>
        <v>729.9533942999999</v>
      </c>
      <c r="G383" s="74"/>
      <c r="H383" s="74"/>
    </row>
    <row r="384" spans="1:8" x14ac:dyDescent="0.2">
      <c r="A384" s="13">
        <v>3</v>
      </c>
      <c r="B384" s="12" t="s">
        <v>222</v>
      </c>
      <c r="C384" s="12" t="s">
        <v>6</v>
      </c>
      <c r="D384" s="13">
        <f t="shared" si="23"/>
        <v>503.41613399999994</v>
      </c>
      <c r="E384" s="3">
        <v>0</v>
      </c>
      <c r="F384" s="22">
        <f t="shared" si="20"/>
        <v>729.9533942999999</v>
      </c>
      <c r="G384" s="74"/>
      <c r="H384" s="74"/>
    </row>
    <row r="385" spans="1:8" x14ac:dyDescent="0.2">
      <c r="A385" s="13">
        <v>4</v>
      </c>
      <c r="B385" s="12" t="s">
        <v>222</v>
      </c>
      <c r="C385" s="12" t="s">
        <v>6</v>
      </c>
      <c r="D385" s="13">
        <f t="shared" si="23"/>
        <v>503.41613399999994</v>
      </c>
      <c r="E385" s="3">
        <v>0</v>
      </c>
      <c r="F385" s="22">
        <f t="shared" si="20"/>
        <v>729.9533942999999</v>
      </c>
      <c r="G385" s="74"/>
      <c r="H385" s="74"/>
    </row>
    <row r="386" spans="1:8" ht="15" customHeight="1" x14ac:dyDescent="0.2">
      <c r="A386" s="84" t="s">
        <v>28</v>
      </c>
      <c r="B386" s="84"/>
      <c r="C386" s="84"/>
      <c r="D386" s="84"/>
      <c r="E386" s="84"/>
      <c r="F386" s="84"/>
      <c r="G386" s="84"/>
      <c r="H386" s="84"/>
    </row>
    <row r="387" spans="1:8" ht="15" customHeight="1" x14ac:dyDescent="0.2">
      <c r="A387" s="84" t="s">
        <v>12</v>
      </c>
      <c r="B387" s="84"/>
      <c r="C387" s="84"/>
      <c r="D387" s="84"/>
      <c r="E387" s="84"/>
      <c r="F387" s="84"/>
      <c r="G387" s="84"/>
      <c r="H387" s="84"/>
    </row>
    <row r="388" spans="1:8" ht="15" customHeight="1" x14ac:dyDescent="0.2">
      <c r="A388" s="13">
        <v>1</v>
      </c>
      <c r="B388" s="12" t="s">
        <v>27</v>
      </c>
      <c r="C388" s="12" t="s">
        <v>6</v>
      </c>
      <c r="D388" s="13">
        <f t="shared" ref="D388:D394" si="24">(2.75*4.88+2.29*2.13+2.74*2.74+3.2*3.19+2.13*1.22+1.22*2.13+0.91*3.8+1.37*0.6+2.13*0.6)*10.764</f>
        <v>503.41613399999994</v>
      </c>
      <c r="E388" s="3">
        <v>0</v>
      </c>
      <c r="F388" s="22">
        <f t="shared" ref="F388:F394" si="25">D388*1.45+E388</f>
        <v>729.9533942999999</v>
      </c>
      <c r="G388" s="75" t="s">
        <v>13</v>
      </c>
      <c r="H388" s="75"/>
    </row>
    <row r="389" spans="1:8" x14ac:dyDescent="0.2">
      <c r="A389" s="13">
        <v>2</v>
      </c>
      <c r="B389" s="12" t="s">
        <v>27</v>
      </c>
      <c r="C389" s="12" t="s">
        <v>6</v>
      </c>
      <c r="D389" s="13">
        <f t="shared" si="24"/>
        <v>503.41613399999994</v>
      </c>
      <c r="E389" s="3">
        <v>0</v>
      </c>
      <c r="F389" s="22">
        <f t="shared" si="25"/>
        <v>729.9533942999999</v>
      </c>
      <c r="G389" s="75"/>
      <c r="H389" s="75"/>
    </row>
    <row r="390" spans="1:8" ht="15" customHeight="1" x14ac:dyDescent="0.2">
      <c r="A390" s="85" t="s">
        <v>218</v>
      </c>
      <c r="B390" s="84"/>
      <c r="C390" s="84"/>
      <c r="D390" s="84"/>
      <c r="E390" s="84"/>
      <c r="F390" s="84"/>
      <c r="G390" s="84"/>
      <c r="H390" s="84"/>
    </row>
    <row r="391" spans="1:8" ht="15" customHeight="1" x14ac:dyDescent="0.2">
      <c r="A391" s="13">
        <v>1</v>
      </c>
      <c r="B391" s="12" t="s">
        <v>27</v>
      </c>
      <c r="C391" s="12" t="s">
        <v>6</v>
      </c>
      <c r="D391" s="13">
        <f t="shared" si="24"/>
        <v>503.41613399999994</v>
      </c>
      <c r="E391" s="3">
        <v>0</v>
      </c>
      <c r="F391" s="22">
        <f t="shared" si="25"/>
        <v>729.9533942999999</v>
      </c>
      <c r="G391" s="74" t="str">
        <f>A390</f>
        <v>1st to 7th Floor for Residential</v>
      </c>
      <c r="H391" s="74"/>
    </row>
    <row r="392" spans="1:8" x14ac:dyDescent="0.2">
      <c r="A392" s="13">
        <v>2</v>
      </c>
      <c r="B392" s="12" t="s">
        <v>27</v>
      </c>
      <c r="C392" s="12" t="s">
        <v>6</v>
      </c>
      <c r="D392" s="13">
        <f t="shared" si="24"/>
        <v>503.41613399999994</v>
      </c>
      <c r="E392" s="3">
        <v>0</v>
      </c>
      <c r="F392" s="22">
        <f t="shared" si="25"/>
        <v>729.9533942999999</v>
      </c>
      <c r="G392" s="74"/>
      <c r="H392" s="74"/>
    </row>
    <row r="393" spans="1:8" x14ac:dyDescent="0.2">
      <c r="A393" s="13">
        <v>3</v>
      </c>
      <c r="B393" s="12" t="s">
        <v>27</v>
      </c>
      <c r="C393" s="12" t="s">
        <v>6</v>
      </c>
      <c r="D393" s="13">
        <f t="shared" si="24"/>
        <v>503.41613399999994</v>
      </c>
      <c r="E393" s="3">
        <v>0</v>
      </c>
      <c r="F393" s="22">
        <f t="shared" si="25"/>
        <v>729.9533942999999</v>
      </c>
      <c r="G393" s="74"/>
      <c r="H393" s="74"/>
    </row>
    <row r="394" spans="1:8" x14ac:dyDescent="0.2">
      <c r="A394" s="13">
        <v>4</v>
      </c>
      <c r="B394" s="12" t="s">
        <v>27</v>
      </c>
      <c r="C394" s="12" t="s">
        <v>6</v>
      </c>
      <c r="D394" s="13">
        <f t="shared" si="24"/>
        <v>503.41613399999994</v>
      </c>
      <c r="E394" s="3">
        <v>0</v>
      </c>
      <c r="F394" s="22">
        <f t="shared" si="25"/>
        <v>729.9533942999999</v>
      </c>
      <c r="G394" s="74"/>
      <c r="H394" s="74"/>
    </row>
    <row r="395" spans="1:8" x14ac:dyDescent="0.2">
      <c r="A395" s="93" t="s">
        <v>29</v>
      </c>
      <c r="B395" s="93"/>
      <c r="C395" s="93"/>
      <c r="D395" s="93"/>
      <c r="E395" s="93"/>
      <c r="F395" s="93"/>
      <c r="G395" s="93"/>
      <c r="H395" s="93"/>
    </row>
    <row r="396" spans="1:8" ht="130.5" customHeight="1" x14ac:dyDescent="0.2">
      <c r="A396" s="119" t="s">
        <v>245</v>
      </c>
      <c r="B396" s="93"/>
      <c r="C396" s="93"/>
      <c r="D396" s="93"/>
      <c r="E396" s="93"/>
      <c r="F396" s="93"/>
      <c r="G396" s="93"/>
      <c r="H396" s="93"/>
    </row>
    <row r="397" spans="1:8" ht="15" customHeight="1" x14ac:dyDescent="0.2">
      <c r="A397" s="120" t="s">
        <v>30</v>
      </c>
      <c r="B397" s="120"/>
      <c r="C397" s="120"/>
      <c r="D397" s="120"/>
      <c r="E397" s="120"/>
      <c r="F397" s="120"/>
      <c r="G397" s="120"/>
      <c r="H397" s="120"/>
    </row>
    <row r="398" spans="1:8" ht="15" customHeight="1" x14ac:dyDescent="0.2">
      <c r="A398" s="120" t="s">
        <v>31</v>
      </c>
      <c r="B398" s="120"/>
      <c r="C398" s="120"/>
      <c r="D398" s="120"/>
      <c r="E398" s="120"/>
      <c r="F398" s="120"/>
      <c r="G398" s="120"/>
      <c r="H398" s="120"/>
    </row>
    <row r="399" spans="1:8" ht="15" customHeight="1" x14ac:dyDescent="0.2">
      <c r="A399" s="120" t="s">
        <v>32</v>
      </c>
      <c r="B399" s="120"/>
      <c r="C399" s="120"/>
      <c r="D399" s="120"/>
      <c r="E399" s="120"/>
      <c r="F399" s="120"/>
      <c r="G399" s="120"/>
      <c r="H399" s="120"/>
    </row>
    <row r="400" spans="1:8" ht="15" customHeight="1" x14ac:dyDescent="0.2">
      <c r="A400" s="120" t="s">
        <v>33</v>
      </c>
      <c r="B400" s="120"/>
      <c r="C400" s="120"/>
      <c r="D400" s="120"/>
      <c r="E400" s="120"/>
      <c r="F400" s="120"/>
      <c r="G400" s="120"/>
      <c r="H400" s="120"/>
    </row>
    <row r="401" spans="1:12" ht="15" customHeight="1" x14ac:dyDescent="0.2">
      <c r="A401" s="120" t="s">
        <v>34</v>
      </c>
      <c r="B401" s="120"/>
      <c r="C401" s="120"/>
      <c r="D401" s="120"/>
      <c r="E401" s="120"/>
      <c r="F401" s="120"/>
      <c r="G401" s="120"/>
      <c r="H401" s="120"/>
    </row>
    <row r="402" spans="1:12" ht="15" hidden="1" customHeight="1" x14ac:dyDescent="0.2">
      <c r="A402" s="120" t="s">
        <v>35</v>
      </c>
      <c r="B402" s="120"/>
      <c r="C402" s="120"/>
      <c r="D402" s="120"/>
      <c r="E402" s="120"/>
      <c r="F402" s="120"/>
      <c r="G402" s="120"/>
      <c r="H402" s="120"/>
    </row>
    <row r="403" spans="1:12" ht="15" hidden="1" customHeight="1" x14ac:dyDescent="0.2">
      <c r="A403" s="120" t="s">
        <v>36</v>
      </c>
      <c r="B403" s="120"/>
      <c r="C403" s="120"/>
      <c r="D403" s="120"/>
      <c r="E403" s="120"/>
      <c r="F403" s="120"/>
      <c r="G403" s="120"/>
      <c r="H403" s="120"/>
    </row>
    <row r="404" spans="1:12" x14ac:dyDescent="0.2">
      <c r="A404" s="116" t="s">
        <v>37</v>
      </c>
      <c r="B404" s="116"/>
      <c r="C404" s="117" t="s">
        <v>240</v>
      </c>
      <c r="D404" s="117"/>
      <c r="E404" s="118" t="s">
        <v>38</v>
      </c>
      <c r="F404" s="118"/>
      <c r="G404" s="117" t="s">
        <v>246</v>
      </c>
      <c r="H404" s="117"/>
    </row>
    <row r="405" spans="1:12" ht="62.25" customHeight="1" x14ac:dyDescent="0.2">
      <c r="A405" s="85" t="s">
        <v>182</v>
      </c>
      <c r="B405" s="75"/>
      <c r="C405" s="75"/>
      <c r="D405" s="75"/>
      <c r="E405" s="75"/>
      <c r="F405" s="75"/>
      <c r="G405" s="75"/>
      <c r="H405" s="75"/>
      <c r="I405" s="62" t="s">
        <v>225</v>
      </c>
      <c r="J405" s="63"/>
      <c r="K405" s="63"/>
      <c r="L405" s="63"/>
    </row>
    <row r="406" spans="1:12" x14ac:dyDescent="0.2">
      <c r="A406" s="4" t="s">
        <v>183</v>
      </c>
    </row>
    <row r="458" spans="1:1" x14ac:dyDescent="0.2">
      <c r="A458" s="4"/>
    </row>
    <row r="503" spans="1:1" x14ac:dyDescent="0.2">
      <c r="A503" s="4"/>
    </row>
    <row r="506" spans="1:1" x14ac:dyDescent="0.2">
      <c r="A506" s="4" t="s">
        <v>184</v>
      </c>
    </row>
  </sheetData>
  <mergeCells count="583">
    <mergeCell ref="A35:B35"/>
    <mergeCell ref="C35:H35"/>
    <mergeCell ref="A128:B128"/>
    <mergeCell ref="C128:H128"/>
    <mergeCell ref="A130:B130"/>
    <mergeCell ref="C130:H130"/>
    <mergeCell ref="A131:B131"/>
    <mergeCell ref="E131:F131"/>
    <mergeCell ref="G131:H131"/>
    <mergeCell ref="A86:B86"/>
    <mergeCell ref="C86:H86"/>
    <mergeCell ref="A88:B88"/>
    <mergeCell ref="C88:H88"/>
    <mergeCell ref="A89:B89"/>
    <mergeCell ref="E89:F89"/>
    <mergeCell ref="G89:H89"/>
    <mergeCell ref="A90:B90"/>
    <mergeCell ref="E90:F99"/>
    <mergeCell ref="G90:H99"/>
    <mergeCell ref="A91:B91"/>
    <mergeCell ref="A92:B92"/>
    <mergeCell ref="A93:B93"/>
    <mergeCell ref="A94:B94"/>
    <mergeCell ref="A95:B95"/>
    <mergeCell ref="A132:B132"/>
    <mergeCell ref="E132:F141"/>
    <mergeCell ref="G132:H141"/>
    <mergeCell ref="A133:B133"/>
    <mergeCell ref="A134:B134"/>
    <mergeCell ref="A135:B135"/>
    <mergeCell ref="A136:B136"/>
    <mergeCell ref="A137:B137"/>
    <mergeCell ref="A138:B138"/>
    <mergeCell ref="A139:B139"/>
    <mergeCell ref="A140:B140"/>
    <mergeCell ref="A141:B141"/>
    <mergeCell ref="A96:B96"/>
    <mergeCell ref="A97:B97"/>
    <mergeCell ref="A98:B98"/>
    <mergeCell ref="A99:B99"/>
    <mergeCell ref="A156:B156"/>
    <mergeCell ref="C156:H156"/>
    <mergeCell ref="A158:B158"/>
    <mergeCell ref="C158:H158"/>
    <mergeCell ref="A159:B159"/>
    <mergeCell ref="E159:F159"/>
    <mergeCell ref="G159:H159"/>
    <mergeCell ref="A142:B142"/>
    <mergeCell ref="C142:H142"/>
    <mergeCell ref="A144:B144"/>
    <mergeCell ref="C144:H144"/>
    <mergeCell ref="A145:B145"/>
    <mergeCell ref="E145:F145"/>
    <mergeCell ref="G145:H145"/>
    <mergeCell ref="A146:B146"/>
    <mergeCell ref="E146:F155"/>
    <mergeCell ref="G146:H155"/>
    <mergeCell ref="A147:B147"/>
    <mergeCell ref="A148:B148"/>
    <mergeCell ref="A149:B149"/>
    <mergeCell ref="A160:B160"/>
    <mergeCell ref="E160:F169"/>
    <mergeCell ref="G160:H169"/>
    <mergeCell ref="A161:B161"/>
    <mergeCell ref="A162:B162"/>
    <mergeCell ref="A163:B163"/>
    <mergeCell ref="A164:B164"/>
    <mergeCell ref="A165:B165"/>
    <mergeCell ref="A166:B166"/>
    <mergeCell ref="A167:B167"/>
    <mergeCell ref="A168:B168"/>
    <mergeCell ref="A169:B169"/>
    <mergeCell ref="A150:B150"/>
    <mergeCell ref="A151:B151"/>
    <mergeCell ref="A152:B152"/>
    <mergeCell ref="A153:B153"/>
    <mergeCell ref="A154:B154"/>
    <mergeCell ref="A155:B155"/>
    <mergeCell ref="A309:H309"/>
    <mergeCell ref="A310:H310"/>
    <mergeCell ref="A311:H311"/>
    <mergeCell ref="A239:B239"/>
    <mergeCell ref="A240:B240"/>
    <mergeCell ref="A241:B241"/>
    <mergeCell ref="A242:B242"/>
    <mergeCell ref="A216:B216"/>
    <mergeCell ref="A217:B217"/>
    <mergeCell ref="A218:B218"/>
    <mergeCell ref="A219:B219"/>
    <mergeCell ref="A221:B221"/>
    <mergeCell ref="A222:B222"/>
    <mergeCell ref="A223:B223"/>
    <mergeCell ref="A224:B224"/>
    <mergeCell ref="A225:H225"/>
    <mergeCell ref="A226:B226"/>
    <mergeCell ref="G226:H229"/>
    <mergeCell ref="A316:H316"/>
    <mergeCell ref="A317:H317"/>
    <mergeCell ref="A318:H318"/>
    <mergeCell ref="A323:H323"/>
    <mergeCell ref="A324:H324"/>
    <mergeCell ref="A312:B312"/>
    <mergeCell ref="A313:B313"/>
    <mergeCell ref="A314:B314"/>
    <mergeCell ref="A315:B315"/>
    <mergeCell ref="G312:H315"/>
    <mergeCell ref="A325:H325"/>
    <mergeCell ref="A330:H330"/>
    <mergeCell ref="A331:H331"/>
    <mergeCell ref="A332:H332"/>
    <mergeCell ref="A319:B319"/>
    <mergeCell ref="A320:B320"/>
    <mergeCell ref="A321:B321"/>
    <mergeCell ref="A322:B322"/>
    <mergeCell ref="G319:H322"/>
    <mergeCell ref="G333:H336"/>
    <mergeCell ref="G340:H345"/>
    <mergeCell ref="A337:H337"/>
    <mergeCell ref="A338:H338"/>
    <mergeCell ref="A339:H339"/>
    <mergeCell ref="A326:B326"/>
    <mergeCell ref="A327:B327"/>
    <mergeCell ref="A328:B328"/>
    <mergeCell ref="A329:B329"/>
    <mergeCell ref="G326:H329"/>
    <mergeCell ref="A333:B333"/>
    <mergeCell ref="A334:B334"/>
    <mergeCell ref="A335:B335"/>
    <mergeCell ref="A336:B336"/>
    <mergeCell ref="A340:B340"/>
    <mergeCell ref="A341:B341"/>
    <mergeCell ref="A342:B342"/>
    <mergeCell ref="A343:B343"/>
    <mergeCell ref="A344:B344"/>
    <mergeCell ref="G348:H350"/>
    <mergeCell ref="G352:H357"/>
    <mergeCell ref="A346:H346"/>
    <mergeCell ref="A347:H347"/>
    <mergeCell ref="A351:H351"/>
    <mergeCell ref="A348:B348"/>
    <mergeCell ref="A349:B349"/>
    <mergeCell ref="A350:B350"/>
    <mergeCell ref="A345:B345"/>
    <mergeCell ref="A358:H358"/>
    <mergeCell ref="A359:H359"/>
    <mergeCell ref="A362:H362"/>
    <mergeCell ref="A352:B352"/>
    <mergeCell ref="A353:B353"/>
    <mergeCell ref="A354:B354"/>
    <mergeCell ref="A355:B355"/>
    <mergeCell ref="A356:B356"/>
    <mergeCell ref="A357:B357"/>
    <mergeCell ref="A368:H368"/>
    <mergeCell ref="A371:H371"/>
    <mergeCell ref="A381:H381"/>
    <mergeCell ref="A376:H376"/>
    <mergeCell ref="G377:H380"/>
    <mergeCell ref="A360:B360"/>
    <mergeCell ref="A361:B361"/>
    <mergeCell ref="A363:B363"/>
    <mergeCell ref="A364:B364"/>
    <mergeCell ref="A365:B365"/>
    <mergeCell ref="A366:B366"/>
    <mergeCell ref="G360:H361"/>
    <mergeCell ref="G363:H366"/>
    <mergeCell ref="A237:B237"/>
    <mergeCell ref="A405:H405"/>
    <mergeCell ref="G388:H389"/>
    <mergeCell ref="G391:H394"/>
    <mergeCell ref="A386:H386"/>
    <mergeCell ref="A387:H387"/>
    <mergeCell ref="A390:H390"/>
    <mergeCell ref="A404:B404"/>
    <mergeCell ref="C404:D404"/>
    <mergeCell ref="E404:F404"/>
    <mergeCell ref="G404:H404"/>
    <mergeCell ref="A395:H395"/>
    <mergeCell ref="A396:H396"/>
    <mergeCell ref="A397:H397"/>
    <mergeCell ref="A398:H398"/>
    <mergeCell ref="A399:H399"/>
    <mergeCell ref="A400:H400"/>
    <mergeCell ref="A401:H401"/>
    <mergeCell ref="A402:H402"/>
    <mergeCell ref="A403:H403"/>
    <mergeCell ref="G369:H370"/>
    <mergeCell ref="G372:H375"/>
    <mergeCell ref="G382:H385"/>
    <mergeCell ref="A367:H367"/>
    <mergeCell ref="A215:H215"/>
    <mergeCell ref="G209:H214"/>
    <mergeCell ref="A213:B213"/>
    <mergeCell ref="A214:B214"/>
    <mergeCell ref="G239:H242"/>
    <mergeCell ref="G244:H247"/>
    <mergeCell ref="G250:H258"/>
    <mergeCell ref="G260:H265"/>
    <mergeCell ref="A238:H238"/>
    <mergeCell ref="A244:B244"/>
    <mergeCell ref="A245:B245"/>
    <mergeCell ref="A246:B246"/>
    <mergeCell ref="A247:B247"/>
    <mergeCell ref="A243:H243"/>
    <mergeCell ref="A248:H248"/>
    <mergeCell ref="A249:H249"/>
    <mergeCell ref="A227:B227"/>
    <mergeCell ref="A228:B228"/>
    <mergeCell ref="A229:B229"/>
    <mergeCell ref="A232:B232"/>
    <mergeCell ref="A233:B233"/>
    <mergeCell ref="A234:B234"/>
    <mergeCell ref="A235:B235"/>
    <mergeCell ref="A236:B236"/>
    <mergeCell ref="A176:E176"/>
    <mergeCell ref="A177:E177"/>
    <mergeCell ref="A178:E178"/>
    <mergeCell ref="F176:H176"/>
    <mergeCell ref="F177:H177"/>
    <mergeCell ref="F178:H178"/>
    <mergeCell ref="A180:B180"/>
    <mergeCell ref="D180:E180"/>
    <mergeCell ref="A181:B181"/>
    <mergeCell ref="D181:E181"/>
    <mergeCell ref="A179:H179"/>
    <mergeCell ref="F180:H180"/>
    <mergeCell ref="F181:H181"/>
    <mergeCell ref="A182:B182"/>
    <mergeCell ref="D182:E182"/>
    <mergeCell ref="A183:B183"/>
    <mergeCell ref="D183:E183"/>
    <mergeCell ref="F182:H182"/>
    <mergeCell ref="F183:H183"/>
    <mergeCell ref="A184:B184"/>
    <mergeCell ref="D184:E184"/>
    <mergeCell ref="A186:B186"/>
    <mergeCell ref="D186:E186"/>
    <mergeCell ref="F184:H184"/>
    <mergeCell ref="F186:H186"/>
    <mergeCell ref="A185:H185"/>
    <mergeCell ref="A187:B187"/>
    <mergeCell ref="D187:E187"/>
    <mergeCell ref="A188:B188"/>
    <mergeCell ref="D188:E188"/>
    <mergeCell ref="A189:B189"/>
    <mergeCell ref="D189:E189"/>
    <mergeCell ref="A190:B190"/>
    <mergeCell ref="D190:E190"/>
    <mergeCell ref="F187:H187"/>
    <mergeCell ref="F188:H188"/>
    <mergeCell ref="F189:H189"/>
    <mergeCell ref="F190:H190"/>
    <mergeCell ref="A191:B191"/>
    <mergeCell ref="D191:E191"/>
    <mergeCell ref="A192:B192"/>
    <mergeCell ref="D192:E192"/>
    <mergeCell ref="A193:B193"/>
    <mergeCell ref="D193:E193"/>
    <mergeCell ref="A194:B194"/>
    <mergeCell ref="D194:E194"/>
    <mergeCell ref="F191:H191"/>
    <mergeCell ref="F192:H192"/>
    <mergeCell ref="F193:H193"/>
    <mergeCell ref="F194:H194"/>
    <mergeCell ref="A195:B195"/>
    <mergeCell ref="D195:E195"/>
    <mergeCell ref="A196:B196"/>
    <mergeCell ref="D196:E196"/>
    <mergeCell ref="A197:B197"/>
    <mergeCell ref="D197:E197"/>
    <mergeCell ref="A198:B198"/>
    <mergeCell ref="D198:E198"/>
    <mergeCell ref="F195:H195"/>
    <mergeCell ref="F196:H196"/>
    <mergeCell ref="F197:H197"/>
    <mergeCell ref="F198:H198"/>
    <mergeCell ref="A199:B199"/>
    <mergeCell ref="D199:E199"/>
    <mergeCell ref="A200:B200"/>
    <mergeCell ref="D200:E200"/>
    <mergeCell ref="A201:B201"/>
    <mergeCell ref="D201:E201"/>
    <mergeCell ref="A202:B202"/>
    <mergeCell ref="D202:E202"/>
    <mergeCell ref="F199:H199"/>
    <mergeCell ref="F200:H200"/>
    <mergeCell ref="F201:H201"/>
    <mergeCell ref="F202:H202"/>
    <mergeCell ref="A203:B203"/>
    <mergeCell ref="D203:E203"/>
    <mergeCell ref="F203:H203"/>
    <mergeCell ref="A204:H204"/>
    <mergeCell ref="A205:H205"/>
    <mergeCell ref="A209:B209"/>
    <mergeCell ref="A210:B210"/>
    <mergeCell ref="A211:B211"/>
    <mergeCell ref="A212:B212"/>
    <mergeCell ref="G206:H206"/>
    <mergeCell ref="A207:H207"/>
    <mergeCell ref="A208:H208"/>
    <mergeCell ref="A71:B71"/>
    <mergeCell ref="A48:B48"/>
    <mergeCell ref="C48:E48"/>
    <mergeCell ref="G48:H48"/>
    <mergeCell ref="A49:H49"/>
    <mergeCell ref="A50:C50"/>
    <mergeCell ref="D50:H50"/>
    <mergeCell ref="A51:C51"/>
    <mergeCell ref="D51:H51"/>
    <mergeCell ref="A57:C57"/>
    <mergeCell ref="D57:H57"/>
    <mergeCell ref="A52:C52"/>
    <mergeCell ref="A67:B67"/>
    <mergeCell ref="D54:H54"/>
    <mergeCell ref="A55:C55"/>
    <mergeCell ref="A174:E174"/>
    <mergeCell ref="F174:H174"/>
    <mergeCell ref="A175:E175"/>
    <mergeCell ref="F175:H175"/>
    <mergeCell ref="A170:H170"/>
    <mergeCell ref="A171:H171"/>
    <mergeCell ref="A172:B172"/>
    <mergeCell ref="C172:H172"/>
    <mergeCell ref="A173:H173"/>
    <mergeCell ref="E39:H39"/>
    <mergeCell ref="A40:D40"/>
    <mergeCell ref="E40:H40"/>
    <mergeCell ref="A36:H36"/>
    <mergeCell ref="A37:D37"/>
    <mergeCell ref="E37:H37"/>
    <mergeCell ref="A42:D42"/>
    <mergeCell ref="E42:H42"/>
    <mergeCell ref="A43:H43"/>
    <mergeCell ref="A41:D41"/>
    <mergeCell ref="E41:H41"/>
    <mergeCell ref="A22:D22"/>
    <mergeCell ref="E22:H22"/>
    <mergeCell ref="A23:D23"/>
    <mergeCell ref="E23:H23"/>
    <mergeCell ref="A24:D24"/>
    <mergeCell ref="E24:H24"/>
    <mergeCell ref="A19:D19"/>
    <mergeCell ref="G17:H17"/>
    <mergeCell ref="E18:F18"/>
    <mergeCell ref="G18:H18"/>
    <mergeCell ref="E19:H19"/>
    <mergeCell ref="A20:D20"/>
    <mergeCell ref="E20:H20"/>
    <mergeCell ref="A21:D21"/>
    <mergeCell ref="E21:H21"/>
    <mergeCell ref="C18:D18"/>
    <mergeCell ref="A34:B34"/>
    <mergeCell ref="C34:D34"/>
    <mergeCell ref="G34:H34"/>
    <mergeCell ref="E34:F34"/>
    <mergeCell ref="A38:D38"/>
    <mergeCell ref="E38:H38"/>
    <mergeCell ref="A39:D39"/>
    <mergeCell ref="D55:H55"/>
    <mergeCell ref="A56:C56"/>
    <mergeCell ref="D56:H56"/>
    <mergeCell ref="A44:B44"/>
    <mergeCell ref="C44:E44"/>
    <mergeCell ref="G44:H44"/>
    <mergeCell ref="A45:B45"/>
    <mergeCell ref="C45:E45"/>
    <mergeCell ref="G45:H45"/>
    <mergeCell ref="A46:B47"/>
    <mergeCell ref="C46:E46"/>
    <mergeCell ref="G46:H46"/>
    <mergeCell ref="C47:H47"/>
    <mergeCell ref="D52:H52"/>
    <mergeCell ref="A53:C53"/>
    <mergeCell ref="D53:H53"/>
    <mergeCell ref="A54:C54"/>
    <mergeCell ref="A33:H33"/>
    <mergeCell ref="A32:B32"/>
    <mergeCell ref="C32:E32"/>
    <mergeCell ref="F32:H32"/>
    <mergeCell ref="A25:D25"/>
    <mergeCell ref="E25:H25"/>
    <mergeCell ref="A26:D26"/>
    <mergeCell ref="E26:H26"/>
    <mergeCell ref="A27:D27"/>
    <mergeCell ref="E27:H27"/>
    <mergeCell ref="A30:B30"/>
    <mergeCell ref="C30:E30"/>
    <mergeCell ref="F30:H30"/>
    <mergeCell ref="A31:B31"/>
    <mergeCell ref="C31:E31"/>
    <mergeCell ref="F31:H31"/>
    <mergeCell ref="A28:B28"/>
    <mergeCell ref="A29:B29"/>
    <mergeCell ref="C28:E28"/>
    <mergeCell ref="F28:H28"/>
    <mergeCell ref="C29:E29"/>
    <mergeCell ref="F29:H29"/>
    <mergeCell ref="C15:D15"/>
    <mergeCell ref="C16:D16"/>
    <mergeCell ref="C17:D17"/>
    <mergeCell ref="A15:B15"/>
    <mergeCell ref="A16:B16"/>
    <mergeCell ref="A17:B17"/>
    <mergeCell ref="A18:B18"/>
    <mergeCell ref="C14:H14"/>
    <mergeCell ref="E15:F15"/>
    <mergeCell ref="G15:H15"/>
    <mergeCell ref="E16:F16"/>
    <mergeCell ref="G16:H16"/>
    <mergeCell ref="E17:F17"/>
    <mergeCell ref="A11:D11"/>
    <mergeCell ref="E11:H11"/>
    <mergeCell ref="A12:D12"/>
    <mergeCell ref="E12:H12"/>
    <mergeCell ref="A13:B13"/>
    <mergeCell ref="C13:H13"/>
    <mergeCell ref="A14:B14"/>
    <mergeCell ref="A8:D8"/>
    <mergeCell ref="E8:H8"/>
    <mergeCell ref="A9:D9"/>
    <mergeCell ref="E9:H9"/>
    <mergeCell ref="A10:D10"/>
    <mergeCell ref="E10:H10"/>
    <mergeCell ref="A5:D5"/>
    <mergeCell ref="E5:H5"/>
    <mergeCell ref="A6:D6"/>
    <mergeCell ref="E6:H6"/>
    <mergeCell ref="A7:D7"/>
    <mergeCell ref="E7:H7"/>
    <mergeCell ref="A1:H1"/>
    <mergeCell ref="A2:H2"/>
    <mergeCell ref="A3:D3"/>
    <mergeCell ref="E3:H3"/>
    <mergeCell ref="A4:D4"/>
    <mergeCell ref="E4:H4"/>
    <mergeCell ref="G216:H219"/>
    <mergeCell ref="G221:H224"/>
    <mergeCell ref="G232:H237"/>
    <mergeCell ref="A220:H220"/>
    <mergeCell ref="A230:H230"/>
    <mergeCell ref="A231:H231"/>
    <mergeCell ref="A58:B58"/>
    <mergeCell ref="C58:H58"/>
    <mergeCell ref="A60:B60"/>
    <mergeCell ref="C60:H60"/>
    <mergeCell ref="A61:B61"/>
    <mergeCell ref="E61:F61"/>
    <mergeCell ref="G61:H61"/>
    <mergeCell ref="A62:B62"/>
    <mergeCell ref="E62:F71"/>
    <mergeCell ref="G62:H71"/>
    <mergeCell ref="A63:B63"/>
    <mergeCell ref="A64:B64"/>
    <mergeCell ref="A127:B127"/>
    <mergeCell ref="A68:B68"/>
    <mergeCell ref="A69:B69"/>
    <mergeCell ref="A70:B70"/>
    <mergeCell ref="A65:B65"/>
    <mergeCell ref="A66:B66"/>
    <mergeCell ref="G296:H299"/>
    <mergeCell ref="G302:H303"/>
    <mergeCell ref="G305:H308"/>
    <mergeCell ref="A292:H292"/>
    <mergeCell ref="A295:H295"/>
    <mergeCell ref="A300:H300"/>
    <mergeCell ref="A301:H301"/>
    <mergeCell ref="A304:H304"/>
    <mergeCell ref="A279:B279"/>
    <mergeCell ref="A280:B280"/>
    <mergeCell ref="A296:B296"/>
    <mergeCell ref="A297:B297"/>
    <mergeCell ref="A298:B298"/>
    <mergeCell ref="A299:B299"/>
    <mergeCell ref="A302:B302"/>
    <mergeCell ref="A303:B303"/>
    <mergeCell ref="A305:B305"/>
    <mergeCell ref="A306:B306"/>
    <mergeCell ref="A307:B307"/>
    <mergeCell ref="A308:B308"/>
    <mergeCell ref="A281:B281"/>
    <mergeCell ref="G293:H294"/>
    <mergeCell ref="A284:B284"/>
    <mergeCell ref="A285:B285"/>
    <mergeCell ref="A293:B293"/>
    <mergeCell ref="A294:B294"/>
    <mergeCell ref="A259:H259"/>
    <mergeCell ref="A266:H266"/>
    <mergeCell ref="A273:H273"/>
    <mergeCell ref="A274:H274"/>
    <mergeCell ref="A277:H277"/>
    <mergeCell ref="A282:H282"/>
    <mergeCell ref="A283:H283"/>
    <mergeCell ref="A286:H286"/>
    <mergeCell ref="A291:H291"/>
    <mergeCell ref="A265:B265"/>
    <mergeCell ref="A267:B267"/>
    <mergeCell ref="A268:B268"/>
    <mergeCell ref="A269:B269"/>
    <mergeCell ref="A270:B270"/>
    <mergeCell ref="A271:B271"/>
    <mergeCell ref="A272:B272"/>
    <mergeCell ref="A275:B275"/>
    <mergeCell ref="A276:B276"/>
    <mergeCell ref="A260:B260"/>
    <mergeCell ref="A261:B261"/>
    <mergeCell ref="A262:B262"/>
    <mergeCell ref="A263:B263"/>
    <mergeCell ref="G284:H285"/>
    <mergeCell ref="G287:H290"/>
    <mergeCell ref="A114:B114"/>
    <mergeCell ref="C114:H114"/>
    <mergeCell ref="A116:B116"/>
    <mergeCell ref="C116:H116"/>
    <mergeCell ref="A117:B117"/>
    <mergeCell ref="E117:F117"/>
    <mergeCell ref="G117:H117"/>
    <mergeCell ref="A118:B118"/>
    <mergeCell ref="E118:F127"/>
    <mergeCell ref="G118:H127"/>
    <mergeCell ref="A119:B119"/>
    <mergeCell ref="A120:B120"/>
    <mergeCell ref="A121:B121"/>
    <mergeCell ref="A122:B122"/>
    <mergeCell ref="A123:B123"/>
    <mergeCell ref="A124:B124"/>
    <mergeCell ref="A125:B125"/>
    <mergeCell ref="A126:B126"/>
    <mergeCell ref="A287:B287"/>
    <mergeCell ref="A288:B288"/>
    <mergeCell ref="A289:B289"/>
    <mergeCell ref="A290:B290"/>
    <mergeCell ref="A254:B254"/>
    <mergeCell ref="A255:B255"/>
    <mergeCell ref="A256:B256"/>
    <mergeCell ref="A257:B257"/>
    <mergeCell ref="A258:B258"/>
    <mergeCell ref="A278:B278"/>
    <mergeCell ref="G267:H272"/>
    <mergeCell ref="G275:H276"/>
    <mergeCell ref="G278:H281"/>
    <mergeCell ref="A264:B264"/>
    <mergeCell ref="I405:L405"/>
    <mergeCell ref="A72:B72"/>
    <mergeCell ref="C72:H72"/>
    <mergeCell ref="A74:B74"/>
    <mergeCell ref="C74:H74"/>
    <mergeCell ref="A75:B75"/>
    <mergeCell ref="E75:F75"/>
    <mergeCell ref="G75:H75"/>
    <mergeCell ref="A76:B76"/>
    <mergeCell ref="E76:F85"/>
    <mergeCell ref="G76:H85"/>
    <mergeCell ref="A77:B77"/>
    <mergeCell ref="A78:B78"/>
    <mergeCell ref="A79:B79"/>
    <mergeCell ref="A80:B80"/>
    <mergeCell ref="A81:B81"/>
    <mergeCell ref="A82:B82"/>
    <mergeCell ref="A83:B83"/>
    <mergeCell ref="A84:B84"/>
    <mergeCell ref="A85:B85"/>
    <mergeCell ref="A250:B250"/>
    <mergeCell ref="A251:B251"/>
    <mergeCell ref="A252:B252"/>
    <mergeCell ref="A253:B253"/>
    <mergeCell ref="A100:B100"/>
    <mergeCell ref="C100:H100"/>
    <mergeCell ref="A102:B102"/>
    <mergeCell ref="C102:H102"/>
    <mergeCell ref="A103:B103"/>
    <mergeCell ref="E103:F103"/>
    <mergeCell ref="G103:H103"/>
    <mergeCell ref="A104:B104"/>
    <mergeCell ref="E104:F113"/>
    <mergeCell ref="G104:H113"/>
    <mergeCell ref="A105:B105"/>
    <mergeCell ref="A106:B106"/>
    <mergeCell ref="A107:B107"/>
    <mergeCell ref="A108:B108"/>
    <mergeCell ref="A109:B109"/>
    <mergeCell ref="A110:B110"/>
    <mergeCell ref="A111:B111"/>
    <mergeCell ref="A112:B112"/>
    <mergeCell ref="A113:B113"/>
  </mergeCells>
  <hyperlinks>
    <hyperlink ref="C35" r:id="rId1" xr:uid="{00000000-0004-0000-0000-000000000000}"/>
  </hyperlinks>
  <printOptions horizontalCentered="1"/>
  <pageMargins left="0.39370078740157499" right="0.39370078740157499" top="0.78740157480314998" bottom="0.78740157480314998" header="0.196850393700787" footer="0.196850393700787"/>
  <pageSetup paperSize="2" scale="90" fitToHeight="0" orientation="portrait" r:id="rId2"/>
  <headerFooter>
    <oddHeader>&amp;C&amp;G</oddHeader>
    <oddFooter>&amp;L&amp;"Times New Roman,Bold"&amp;F&amp;C&amp;G&amp;R&amp;"Times New Roman,Bold"&amp;P</oddFooter>
  </headerFooter>
  <rowBreaks count="5" manualBreakCount="5">
    <brk id="71" max="7" man="1"/>
    <brk id="113" max="16383" man="1"/>
    <brk id="405" max="16383" man="1"/>
    <brk id="455" max="7" man="1"/>
    <brk id="505" max="16383" man="1"/>
  </rowBreaks>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madhurapanchal77@gmail.com</cp:lastModifiedBy>
  <cp:lastPrinted>2025-07-13T08:45:33Z</cp:lastPrinted>
  <dcterms:created xsi:type="dcterms:W3CDTF">2021-09-16T14:13:49Z</dcterms:created>
  <dcterms:modified xsi:type="dcterms:W3CDTF">2025-07-13T08:45:50Z</dcterms:modified>
</cp:coreProperties>
</file>