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-51\Downloads\"/>
    </mc:Choice>
  </mc:AlternateContent>
  <bookViews>
    <workbookView xWindow="0" yWindow="0" windowWidth="20490" windowHeight="6555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Report!$A$1:$H$294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1" l="1"/>
  <c r="D143" i="1" l="1"/>
  <c r="F143" i="1" s="1"/>
  <c r="D142" i="1"/>
  <c r="F142" i="1" s="1"/>
  <c r="D141" i="1"/>
  <c r="L142" i="1" s="1"/>
  <c r="D140" i="1"/>
  <c r="F140" i="1" s="1"/>
  <c r="D139" i="1"/>
  <c r="L140" i="1" s="1"/>
  <c r="D138" i="1"/>
  <c r="F138" i="1" s="1"/>
  <c r="D137" i="1"/>
  <c r="F137" i="1" s="1"/>
  <c r="A137" i="1"/>
  <c r="A138" i="1" s="1"/>
  <c r="A139" i="1" s="1"/>
  <c r="A140" i="1" s="1"/>
  <c r="A141" i="1" s="1"/>
  <c r="A142" i="1" s="1"/>
  <c r="A143" i="1" s="1"/>
  <c r="J136" i="1"/>
  <c r="I136" i="1"/>
  <c r="G136" i="1"/>
  <c r="G137" i="1" s="1"/>
  <c r="G138" i="1" s="1"/>
  <c r="G139" i="1" s="1"/>
  <c r="G140" i="1" s="1"/>
  <c r="G141" i="1" s="1"/>
  <c r="G142" i="1" s="1"/>
  <c r="G143" i="1" s="1"/>
  <c r="D136" i="1"/>
  <c r="L137" i="1" s="1"/>
  <c r="F136" i="1" l="1"/>
  <c r="F139" i="1"/>
  <c r="F141" i="1"/>
  <c r="L139" i="1"/>
  <c r="L141" i="1"/>
  <c r="L138" i="1"/>
  <c r="L143" i="1"/>
  <c r="I119" i="1"/>
  <c r="K125" i="1"/>
  <c r="K124" i="1"/>
  <c r="K123" i="1"/>
  <c r="K122" i="1"/>
  <c r="K121" i="1"/>
  <c r="K120" i="1"/>
  <c r="K119" i="1"/>
  <c r="K118" i="1"/>
  <c r="D134" i="1"/>
  <c r="F134" i="1" s="1"/>
  <c r="D133" i="1"/>
  <c r="D132" i="1"/>
  <c r="D131" i="1"/>
  <c r="D130" i="1"/>
  <c r="D129" i="1"/>
  <c r="D128" i="1"/>
  <c r="A128" i="1"/>
  <c r="A129" i="1" s="1"/>
  <c r="A130" i="1" s="1"/>
  <c r="A131" i="1" s="1"/>
  <c r="A132" i="1" s="1"/>
  <c r="A133" i="1" s="1"/>
  <c r="A134" i="1" s="1"/>
  <c r="G127" i="1"/>
  <c r="G128" i="1" s="1"/>
  <c r="G129" i="1" s="1"/>
  <c r="G130" i="1" s="1"/>
  <c r="G131" i="1" s="1"/>
  <c r="G132" i="1" s="1"/>
  <c r="G133" i="1" s="1"/>
  <c r="G134" i="1" s="1"/>
  <c r="D127" i="1"/>
  <c r="F127" i="1" s="1"/>
  <c r="N127" i="1" s="1"/>
  <c r="D125" i="1"/>
  <c r="F125" i="1" s="1"/>
  <c r="N125" i="1" s="1"/>
  <c r="O125" i="1" s="1"/>
  <c r="D124" i="1"/>
  <c r="F124" i="1" s="1"/>
  <c r="N124" i="1" s="1"/>
  <c r="O124" i="1" s="1"/>
  <c r="D123" i="1"/>
  <c r="F123" i="1" s="1"/>
  <c r="N123" i="1" s="1"/>
  <c r="O123" i="1" s="1"/>
  <c r="D122" i="1"/>
  <c r="F122" i="1" s="1"/>
  <c r="N122" i="1" s="1"/>
  <c r="O122" i="1" s="1"/>
  <c r="D121" i="1"/>
  <c r="D120" i="1"/>
  <c r="D119" i="1"/>
  <c r="D118" i="1"/>
  <c r="I118" i="1"/>
  <c r="I41" i="1"/>
  <c r="C100" i="1" l="1"/>
  <c r="C102" i="1" s="1"/>
  <c r="L120" i="1"/>
  <c r="L121" i="1"/>
  <c r="L119" i="1"/>
  <c r="E100" i="1"/>
  <c r="E102" i="1" s="1"/>
  <c r="L122" i="1"/>
  <c r="L123" i="1"/>
  <c r="L124" i="1"/>
  <c r="L118" i="1"/>
  <c r="F130" i="1"/>
  <c r="L131" i="1"/>
  <c r="F128" i="1"/>
  <c r="L129" i="1"/>
  <c r="F131" i="1"/>
  <c r="L132" i="1"/>
  <c r="L128" i="1"/>
  <c r="F132" i="1"/>
  <c r="L133" i="1"/>
  <c r="L125" i="1"/>
  <c r="F129" i="1"/>
  <c r="L130" i="1"/>
  <c r="F133" i="1"/>
  <c r="L134" i="1"/>
  <c r="Z12" i="1"/>
  <c r="I14" i="1"/>
  <c r="F118" i="1" l="1"/>
  <c r="F109" i="1"/>
  <c r="N118" i="1" l="1"/>
  <c r="O118" i="1" s="1"/>
  <c r="E103" i="1"/>
  <c r="C103" i="1"/>
  <c r="E43" i="1" l="1"/>
  <c r="E44" i="1" s="1"/>
  <c r="C15" i="1" l="1"/>
  <c r="E30" i="1" l="1"/>
  <c r="F119" i="1" l="1"/>
  <c r="F120" i="1"/>
  <c r="N120" i="1" s="1"/>
  <c r="O120" i="1" s="1"/>
  <c r="F121" i="1"/>
  <c r="N121" i="1" s="1"/>
  <c r="O121" i="1" s="1"/>
  <c r="A119" i="1"/>
  <c r="A120" i="1" s="1"/>
  <c r="A121" i="1" s="1"/>
  <c r="A122" i="1" s="1"/>
  <c r="A123" i="1" s="1"/>
  <c r="A124" i="1" s="1"/>
  <c r="A125" i="1" s="1"/>
  <c r="G118" i="1"/>
  <c r="G119" i="1" s="1"/>
  <c r="G120" i="1" s="1"/>
  <c r="G121" i="1" s="1"/>
  <c r="G122" i="1" s="1"/>
  <c r="G123" i="1" s="1"/>
  <c r="G124" i="1" s="1"/>
  <c r="G125" i="1" s="1"/>
  <c r="N119" i="1" l="1"/>
  <c r="O119" i="1" s="1"/>
  <c r="G100" i="1"/>
  <c r="G102" i="1" s="1"/>
  <c r="G103" i="1" s="1"/>
  <c r="F92" i="1"/>
  <c r="F110" i="1" l="1"/>
  <c r="F111" i="1"/>
  <c r="F112" i="1"/>
  <c r="B146" i="1" l="1"/>
  <c r="B147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69" i="1"/>
  <c r="A110" i="1"/>
  <c r="A111" i="1" s="1"/>
  <c r="A112" i="1" s="1"/>
  <c r="G109" i="1"/>
  <c r="G110" i="1" s="1"/>
  <c r="G111" i="1" s="1"/>
  <c r="G112" i="1" s="1"/>
  <c r="C66" i="1"/>
  <c r="B67" i="1" s="1"/>
  <c r="G51" i="1"/>
  <c r="C50" i="1"/>
  <c r="C51" i="1" s="1"/>
  <c r="E27" i="1"/>
  <c r="E25" i="1"/>
  <c r="E7" i="1"/>
  <c r="E3" i="1"/>
  <c r="D60" i="1" l="1"/>
  <c r="H67" i="1"/>
  <c r="D79" i="1" l="1"/>
  <c r="D77" i="1"/>
  <c r="D76" i="1"/>
  <c r="D73" i="1"/>
  <c r="D75" i="1"/>
  <c r="J72" i="1"/>
  <c r="J73" i="1" s="1"/>
  <c r="J78" i="1" s="1"/>
  <c r="D78" i="1"/>
  <c r="J66" i="1"/>
  <c r="J68" i="1" s="1"/>
  <c r="D74" i="1"/>
  <c r="J70" i="1"/>
  <c r="J71" i="1"/>
  <c r="C70" i="1" s="1"/>
  <c r="D70" i="1" s="1"/>
  <c r="J69" i="1"/>
  <c r="J74" i="1"/>
  <c r="J75" i="1" s="1"/>
  <c r="J76" i="1" s="1"/>
  <c r="J77" i="1" s="1"/>
  <c r="D72" i="1"/>
  <c r="J79" i="1" l="1"/>
  <c r="C71" i="1" l="1"/>
  <c r="G70" i="1" s="1"/>
  <c r="D64" i="1" s="1"/>
  <c r="D65" i="1" s="1"/>
  <c r="E70" i="1" l="1"/>
  <c r="D71" i="1"/>
  <c r="I67" i="1" s="1"/>
  <c r="I68" i="1" s="1"/>
  <c r="J67" i="1"/>
  <c r="F65" i="1"/>
  <c r="I66" i="1" l="1"/>
  <c r="C68" i="1" s="1"/>
</calcChain>
</file>

<file path=xl/comments1.xml><?xml version="1.0" encoding="utf-8"?>
<comments xmlns="http://schemas.openxmlformats.org/spreadsheetml/2006/main">
  <authors>
    <author>Sachin</author>
  </authors>
  <commentList>
    <comment ref="E9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<sst xmlns="http://schemas.openxmlformats.org/spreadsheetml/2006/main" count="406" uniqueCount="280">
  <si>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</si>
  <si>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</si>
  <si>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</si>
  <si>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</si>
  <si>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</si>
  <si>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</si>
  <si>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</si>
  <si>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</si>
  <si>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</si>
  <si>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</si>
  <si>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</si>
  <si>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</si>
  <si>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</si>
  <si>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</si>
  <si>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</si>
  <si>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</si>
  <si>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</si>
  <si>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</si>
  <si>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</si>
  <si>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</si>
  <si>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</si>
  <si>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</si>
  <si>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</si>
  <si>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</si>
  <si>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</si>
  <si>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</si>
  <si>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</si>
  <si>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</si>
  <si>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</si>
  <si>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</si>
  <si>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</si>
  <si>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</si>
  <si>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</si>
  <si>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</si>
  <si>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</si>
  <si>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</si>
  <si>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</si>
  <si>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</si>
  <si>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</si>
  <si>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</si>
  <si>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</si>
  <si>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</si>
  <si>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</si>
  <si>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</si>
  <si>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</si>
  <si>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</si>
  <si>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</si>
  <si>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</si>
  <si>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</si>
  <si>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</si>
  <si>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</si>
  <si>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</si>
  <si>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</si>
  <si>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</si>
  <si>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</si>
  <si>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</si>
  <si>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</si>
  <si>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</si>
  <si>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</si>
  <si>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</si>
  <si>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</si>
  <si>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</si>
  <si>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</si>
  <si>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</si>
  <si>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</si>
  <si>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</si>
  <si>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</si>
  <si>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</si>
  <si>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</si>
  <si>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</si>
  <si>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</si>
  <si>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</si>
  <si>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</si>
  <si>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</si>
  <si>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</si>
  <si>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</si>
  <si>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</si>
  <si>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</si>
  <si>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</si>
  <si>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</si>
  <si>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</si>
  <si>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</si>
  <si>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</si>
  <si>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</si>
  <si>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</si>
  <si>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</si>
  <si>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</si>
  <si>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</si>
  <si>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</si>
  <si>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</si>
  <si>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</si>
  <si>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</si>
  <si>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</si>
  <si>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</si>
  <si>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</si>
  <si>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</si>
  <si>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</si>
  <si>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</si>
  <si>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</si>
  <si>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</si>
  <si>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</si>
  <si>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</si>
  <si>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</si>
  <si>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</si>
  <si>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</si>
  <si>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</si>
  <si>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</si>
  <si>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</si>
  <si>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</si>
  <si>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</si>
  <si>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</si>
  <si>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</si>
  <si>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</si>
  <si>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</si>
  <si>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</si>
  <si>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</si>
  <si>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</si>
  <si>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</si>
  <si>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</si>
  <si>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</si>
  <si>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</si>
  <si>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</si>
  <si>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</si>
  <si>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</si>
  <si>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</si>
  <si>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</si>
  <si>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</si>
  <si>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</si>
  <si>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</si>
  <si>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</si>
  <si>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</si>
  <si>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</si>
  <si>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</si>
  <si>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</si>
  <si>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</si>
  <si>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</si>
  <si>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</si>
  <si>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</si>
  <si>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</si>
  <si>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</si>
  <si>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</si>
  <si>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</si>
  <si>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</si>
  <si>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</si>
  <si>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</si>
  <si>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</si>
  <si>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</si>
  <si>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</si>
  <si>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</si>
  <si>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</si>
  <si>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</si>
  <si>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</si>
  <si>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</si>
  <si>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</si>
  <si>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</si>
  <si>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</si>
  <si>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</si>
  <si>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</si>
  <si>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</si>
  <si>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</si>
  <si>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</si>
  <si>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</si>
  <si>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</si>
  <si>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</si>
  <si>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</si>
  <si>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Layout :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</si>
  <si>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</si>
  <si>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</si>
  <si>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</si>
  <si>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</si>
  <si>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</si>
  <si>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Axis Goregaon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</si>
  <si>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</si>
  <si>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</si>
  <si>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</si>
  <si>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</si>
  <si>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</si>
  <si>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Shop No. (Sale Plan)</t>
  </si>
  <si>
    <t>Flat No. (Sale Plan)</t>
  </si>
  <si>
    <t xml:space="preserve">As the project is redevelopement project but rehab statement or rehab flats is not mentioned approved layout plan &amp; floor plan.
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</si>
  <si>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</si>
  <si>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</si>
  <si>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</si>
  <si>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</si>
  <si>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</si>
  <si>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</si>
  <si>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</si>
  <si>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</si>
  <si>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</si>
  <si>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</si>
  <si>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</si>
  <si>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</si>
  <si>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</si>
  <si>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</si>
  <si>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</si>
  <si>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</si>
  <si>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</si>
  <si>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</si>
  <si>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</si>
  <si>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</si>
  <si>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</si>
  <si>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</si>
  <si>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</si>
  <si>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</si>
  <si>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</si>
  <si>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</si>
  <si>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</si>
  <si>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</si>
  <si>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</si>
  <si>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</si>
  <si>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</si>
  <si>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</si>
  <si>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</si>
  <si>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</si>
  <si>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</si>
  <si>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</si>
  <si>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</si>
  <si>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</si>
  <si>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</si>
  <si>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</si>
  <si>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</si>
  <si>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</si>
  <si>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</si>
  <si>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</si>
  <si>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</si>
  <si>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</si>
  <si>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</si>
  <si>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</si>
  <si>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</si>
  <si>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</si>
  <si>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</si>
  <si>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</si>
  <si>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</si>
  <si>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Ananta Developers</t>
  </si>
  <si>
    <t>Anant Divya</t>
  </si>
  <si>
    <t>Approved Plans, CC, Sale Plans, Cost Sheet.</t>
  </si>
  <si>
    <t>P99000051503</t>
  </si>
  <si>
    <t>Gut No</t>
  </si>
  <si>
    <t>30/2 &amp; 31</t>
  </si>
  <si>
    <t>Dhansar</t>
  </si>
  <si>
    <t>https://goo.gl/maps/XbAuB4qe8wmMZfGu7</t>
  </si>
  <si>
    <t>Crystal realty</t>
  </si>
  <si>
    <t>Palghar West</t>
  </si>
  <si>
    <t>Internal Road</t>
  </si>
  <si>
    <t>4.8KM from Palghar Railway Station</t>
  </si>
  <si>
    <t>Pawade home</t>
  </si>
  <si>
    <t>House</t>
  </si>
  <si>
    <t>Mangalmurti Niwas/Satpati - Palghar Rd</t>
  </si>
  <si>
    <t>Bldg No. 3 Type D/Open Space</t>
  </si>
  <si>
    <t>Other Plot</t>
  </si>
  <si>
    <t>Bldg No. 2 Type B</t>
  </si>
  <si>
    <t>Collector Of Palghar</t>
  </si>
  <si>
    <t>As per RERA - 31/12/2027</t>
  </si>
  <si>
    <t>Ground Floor For Residential</t>
  </si>
  <si>
    <t>Building No. 3 (Type C)</t>
  </si>
  <si>
    <t>Building No. 3 (Type C) = Gr + 1st to 4th Floor</t>
  </si>
  <si>
    <t xml:space="preserve">Building No. 3 (Type C)
</t>
  </si>
  <si>
    <t>1BHK</t>
  </si>
  <si>
    <t>2BHK</t>
  </si>
  <si>
    <t>We considered Gross carpet area = Net carpet + Enclose balcony + C.B Area.</t>
  </si>
  <si>
    <t>Flats - 40</t>
  </si>
  <si>
    <t>3800-4500</t>
  </si>
  <si>
    <t>19.700859,72.730790</t>
  </si>
  <si>
    <t>Approved area of
Building No. 3 (Type C) (Sq.Mt)</t>
  </si>
  <si>
    <t>Well-designed entrance lobby, Modular Switches, Garden view, and Road View from both sides.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</si>
  <si>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</rPr>
      <t xml:space="preserve">                                               </t>
    </r>
  </si>
  <si>
    <t>1st  Floor</t>
  </si>
  <si>
    <t>2nd to 4th Floor</t>
  </si>
  <si>
    <t>loading is change from 45% to 50%</t>
  </si>
  <si>
    <t>Nikhil</t>
  </si>
  <si>
    <t>Flat no. 101 is loading is change from 45% to 50%</t>
  </si>
  <si>
    <t>Office No. 1031, Wing J, Akshar Business Park, Plot No. 03 Sector 25, Near APMC Market, Vashi, 
Navi Mumbai, Maharashtra 400703 TEL: 022-46090378/79/80                                                                       
E mail : vsjcapf@gmail.com. Web site : www.vsjadon.com</t>
  </si>
  <si>
    <t>Mahasul/K-1/MJ1/B.S.P/S.R/C.R/
116/2018</t>
  </si>
  <si>
    <t>Construction work is in process at the time of visit (Labour found).</t>
  </si>
  <si>
    <t>Mr. Avinash Pandey 8707513058</t>
  </si>
  <si>
    <t>Since the project has received first CC on 23/08/2018, But construction work of Building No.3 (Type C) is under construction.</t>
  </si>
  <si>
    <t>Mr. Avinash Rai (Builder)  8237410994</t>
  </si>
  <si>
    <t>Gaurav Panchal</t>
  </si>
  <si>
    <t>Mr. Yadnyesh Patil</t>
  </si>
  <si>
    <t>As checked on RERA portal on date 10/07/2025, we have observed that above project      "Anant Divya" is kept under abeyance. Please check from your end.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</si>
</sst>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0.0000"/>
    <numFmt numFmtId="169" formatCode="0.000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210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18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9" xfId="1" applyFont="1" applyBorder="1"/>
    <xf numFmtId="0" fontId="18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5" fillId="2" borderId="29" xfId="0" applyFont="1" applyFill="1" applyBorder="1"/>
    <xf numFmtId="0" fontId="26" fillId="0" borderId="30" xfId="0" applyFont="1" applyBorder="1"/>
    <xf numFmtId="0" fontId="26" fillId="0" borderId="1" xfId="0" applyFont="1" applyBorder="1"/>
    <xf numFmtId="0" fontId="26" fillId="0" borderId="4" xfId="0" applyFont="1" applyBorder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8" fontId="7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 applyProtection="1">
      <alignment horizontal="center" vertical="top"/>
      <protection locked="0"/>
    </xf>
    <xf numFmtId="14" fontId="7" fillId="0" borderId="0" xfId="1" applyNumberFormat="1" applyFont="1" applyAlignment="1">
      <alignment horizontal="center" vertical="center"/>
    </xf>
    <xf numFmtId="169" fontId="7" fillId="0" borderId="0" xfId="1" applyNumberFormat="1" applyFont="1" applyAlignment="1">
      <alignment horizontal="center" vertical="center"/>
    </xf>
    <xf numFmtId="0" fontId="7" fillId="2" borderId="0" xfId="1" applyFont="1" applyFill="1"/>
    <xf numFmtId="14" fontId="7" fillId="2" borderId="0" xfId="1" applyNumberFormat="1" applyFont="1" applyFill="1"/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10" fillId="0" borderId="2" xfId="0" applyNumberFormat="1" applyFont="1" applyBorder="1" applyAlignment="1" applyProtection="1">
      <alignment horizontal="center" vertical="top" wrapText="1"/>
      <protection locked="0"/>
    </xf>
    <xf numFmtId="0" fontId="10" fillId="0" borderId="2" xfId="0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10" fillId="0" borderId="7" xfId="1" applyFont="1" applyBorder="1" applyAlignment="1" applyProtection="1">
      <alignment horizontal="left" vertical="top"/>
      <protection locked="0"/>
    </xf>
    <xf numFmtId="0" fontId="10" fillId="0" borderId="20" xfId="1" applyFont="1" applyBorder="1" applyAlignment="1" applyProtection="1">
      <alignment horizontal="left" vertical="top"/>
      <protection locked="0"/>
    </xf>
    <xf numFmtId="0" fontId="10" fillId="0" borderId="8" xfId="1" applyFont="1" applyBorder="1" applyAlignment="1" applyProtection="1">
      <alignment horizontal="left" vertical="top"/>
      <protection locked="0"/>
    </xf>
    <xf numFmtId="1" fontId="8" fillId="0" borderId="2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0" xfId="1" applyNumberFormat="1" applyFont="1" applyAlignment="1">
      <alignment horizontal="center" vertical="center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12" fillId="0" borderId="7" xfId="1" applyFont="1" applyBorder="1" applyAlignment="1" applyProtection="1">
      <alignment horizontal="center" vertical="center"/>
      <protection locked="0"/>
    </xf>
    <xf numFmtId="0" fontId="12" fillId="0" borderId="20" xfId="1" applyFont="1" applyBorder="1" applyAlignment="1" applyProtection="1">
      <alignment horizontal="center" vertical="center"/>
      <protection locked="0"/>
    </xf>
    <xf numFmtId="0" fontId="12" fillId="0" borderId="8" xfId="1" applyFont="1" applyBorder="1" applyAlignment="1" applyProtection="1">
      <alignment horizontal="center" vertic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7" xfId="1" applyFont="1" applyBorder="1" applyAlignment="1" applyProtection="1">
      <alignment horizontal="center" vertical="center" wrapText="1"/>
      <protection locked="0"/>
    </xf>
    <xf numFmtId="0" fontId="12" fillId="0" borderId="20" xfId="1" applyFont="1" applyBorder="1" applyAlignment="1" applyProtection="1">
      <alignment horizontal="center" vertical="center" wrapText="1"/>
      <protection locked="0"/>
    </xf>
    <xf numFmtId="0" fontId="12" fillId="0" borderId="8" xfId="1" applyFont="1" applyBorder="1" applyAlignment="1" applyProtection="1">
      <alignment horizontal="center" vertical="center" wrapText="1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7" fillId="0" borderId="16" xfId="1" applyFont="1" applyBorder="1" applyAlignment="1" applyProtection="1">
      <alignment horizontal="left" vertical="top" wrapText="1"/>
      <protection locked="0"/>
    </xf>
    <xf numFmtId="0" fontId="7" fillId="0" borderId="23" xfId="1" applyFont="1" applyBorder="1" applyAlignment="1" applyProtection="1">
      <alignment horizontal="left" vertical="top" wrapText="1"/>
      <protection locked="0"/>
    </xf>
    <xf numFmtId="0" fontId="7" fillId="0" borderId="17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7" xfId="1" applyFont="1" applyBorder="1" applyAlignment="1" applyProtection="1">
      <alignment horizontal="center" vertical="top"/>
      <protection locked="0"/>
    </xf>
    <xf numFmtId="0" fontId="13" fillId="0" borderId="20" xfId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4" fontId="7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6" fillId="0" borderId="1" xfId="1" applyFont="1" applyBorder="1" applyAlignment="1" applyProtection="1">
      <alignment horizontal="center" vertical="top" wrapText="1"/>
      <protection locked="0"/>
    </xf>
    <xf numFmtId="167" fontId="7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" fontId="17" fillId="0" borderId="7" xfId="0" applyNumberFormat="1" applyFont="1" applyBorder="1" applyAlignment="1" applyProtection="1">
      <alignment vertical="top" wrapText="1"/>
      <protection locked="0"/>
    </xf>
    <xf numFmtId="1" fontId="17" fillId="0" borderId="20" xfId="0" applyNumberFormat="1" applyFont="1" applyBorder="1" applyAlignment="1" applyProtection="1">
      <alignment vertical="top" wrapText="1"/>
      <protection locked="0"/>
    </xf>
    <xf numFmtId="1" fontId="17" fillId="0" borderId="8" xfId="0" applyNumberFormat="1" applyFont="1" applyBorder="1" applyAlignment="1" applyProtection="1">
      <alignment vertical="top" wrapText="1"/>
      <protection locked="0"/>
    </xf>
    <xf numFmtId="1" fontId="8" fillId="0" borderId="31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1" fontId="10" fillId="0" borderId="32" xfId="0" applyNumberFormat="1" applyFont="1" applyBorder="1" applyAlignment="1" applyProtection="1">
      <alignment horizontal="center" vertical="top" wrapText="1"/>
      <protection locked="0"/>
    </xf>
    <xf numFmtId="1" fontId="8" fillId="0" borderId="32" xfId="0" applyNumberFormat="1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" fontId="10" fillId="0" borderId="7" xfId="0" applyNumberFormat="1" applyFont="1" applyBorder="1" applyAlignment="1" applyProtection="1">
      <alignment vertical="top" wrapText="1"/>
      <protection locked="0"/>
    </xf>
    <xf numFmtId="1" fontId="10" fillId="0" borderId="20" xfId="0" applyNumberFormat="1" applyFont="1" applyBorder="1" applyAlignment="1" applyProtection="1">
      <alignment vertical="top" wrapText="1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0" fontId="6" fillId="0" borderId="20" xfId="1" applyFont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1" fontId="7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24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313768</xdr:colOff>
      <xdr:row>212</xdr:row>
      <xdr:rowOff>11208</xdr:rowOff>
    </xdr:from>
    <xdr:to>
      <xdr:col>7</xdr:col>
      <xdr:colOff>433589</xdr:colOff>
      <xdr:row>240</xdr:row>
      <xdr:rowOff>123443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3768" y="41327296"/>
          <a:ext cx="6227027" cy="57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369794</xdr:colOff>
      <xdr:row>218</xdr:row>
      <xdr:rowOff>134470</xdr:rowOff>
    </xdr:from>
    <xdr:to>
      <xdr:col>1</xdr:col>
      <xdr:colOff>280148</xdr:colOff>
      <xdr:row>223</xdr:row>
      <xdr:rowOff>190500</xdr:rowOff>
    </xdr:to>
    <xdr:sp macro="" textlink="">
      <xdr:nvSpPr>
        <xdr:cNvPr id="8" name="Freeform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369794" y="42660794"/>
          <a:ext cx="728383" cy="1064559"/>
        </a:xfrm>
        <a:custGeom>
          <a:avLst/>
          <a:gdLst>
            <a:gd name="connsiteX0" fmla="*/ 0 w 728383"/>
            <a:gd name="connsiteY0" fmla="*/ 201706 h 1064559"/>
            <a:gd name="connsiteX1" fmla="*/ 593912 w 728383"/>
            <a:gd name="connsiteY1" fmla="*/ 0 h 1064559"/>
            <a:gd name="connsiteX2" fmla="*/ 728383 w 728383"/>
            <a:gd name="connsiteY2" fmla="*/ 425824 h 1064559"/>
            <a:gd name="connsiteX3" fmla="*/ 448236 w 728383"/>
            <a:gd name="connsiteY3" fmla="*/ 493059 h 1064559"/>
            <a:gd name="connsiteX4" fmla="*/ 638736 w 728383"/>
            <a:gd name="connsiteY4" fmla="*/ 974912 h 1064559"/>
            <a:gd name="connsiteX5" fmla="*/ 291353 w 728383"/>
            <a:gd name="connsiteY5" fmla="*/ 1064559 h 1064559"/>
            <a:gd name="connsiteX6" fmla="*/ 0 w 728383"/>
            <a:gd name="connsiteY6" fmla="*/ 201706 h 106455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728383" h="1064559">
              <a:moveTo>
                <a:pt x="0" y="201706"/>
              </a:moveTo>
              <a:lnTo>
                <a:pt x="593912" y="0"/>
              </a:lnTo>
              <a:lnTo>
                <a:pt x="728383" y="425824"/>
              </a:lnTo>
              <a:lnTo>
                <a:pt x="448236" y="493059"/>
              </a:lnTo>
              <a:lnTo>
                <a:pt x="638736" y="974912"/>
              </a:lnTo>
              <a:lnTo>
                <a:pt x="291353" y="1064559"/>
              </a:lnTo>
              <a:lnTo>
                <a:pt x="0" y="201706"/>
              </a:lnTo>
              <a:close/>
            </a:path>
          </a:pathLst>
        </a:cu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0</xdr:col>
      <xdr:colOff>302559</xdr:colOff>
      <xdr:row>214</xdr:row>
      <xdr:rowOff>112060</xdr:rowOff>
    </xdr:from>
    <xdr:to>
      <xdr:col>2</xdr:col>
      <xdr:colOff>224118</xdr:colOff>
      <xdr:row>219</xdr:row>
      <xdr:rowOff>22413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/>
      </xdr:nvSpPr>
      <xdr:spPr>
        <a:xfrm>
          <a:off x="302559" y="41831560"/>
          <a:ext cx="1602441" cy="91888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solidFill>
                <a:srgbClr val="C00000"/>
              </a:solidFill>
            </a:rPr>
            <a:t>Bldg No. 3 (Type C)</a:t>
          </a:r>
        </a:p>
      </xdr:txBody>
    </xdr:sp>
    <xdr:clientData/>
  </xdr:twoCellAnchor>
  <xdr:twoCellAnchor>
    <xdr:from>
      <xdr:col>0</xdr:col>
      <xdr:colOff>762000</xdr:colOff>
      <xdr:row>217</xdr:row>
      <xdr:rowOff>89647</xdr:rowOff>
    </xdr:from>
    <xdr:to>
      <xdr:col>1</xdr:col>
      <xdr:colOff>67236</xdr:colOff>
      <xdr:row>219</xdr:row>
      <xdr:rowOff>134471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CxnSpPr/>
      </xdr:nvCxnSpPr>
      <xdr:spPr>
        <a:xfrm flipH="1">
          <a:off x="762000" y="42414265"/>
          <a:ext cx="123265" cy="448235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313767</xdr:colOff>
      <xdr:row>254</xdr:row>
      <xdr:rowOff>0</xdr:rowOff>
    </xdr:from>
    <xdr:to>
      <xdr:col>7</xdr:col>
      <xdr:colOff>463112</xdr:colOff>
      <xdr:row>275</xdr:row>
      <xdr:rowOff>84177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3767" y="50191147"/>
          <a:ext cx="6256551" cy="43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759767</xdr:colOff>
      <xdr:row>276</xdr:row>
      <xdr:rowOff>48207</xdr:rowOff>
    </xdr:from>
    <xdr:to>
      <xdr:col>7</xdr:col>
      <xdr:colOff>17110</xdr:colOff>
      <xdr:row>288</xdr:row>
      <xdr:rowOff>147737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59767" y="54676883"/>
          <a:ext cx="5364549" cy="25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605118</xdr:colOff>
      <xdr:row>256</xdr:row>
      <xdr:rowOff>134470</xdr:rowOff>
    </xdr:from>
    <xdr:to>
      <xdr:col>6</xdr:col>
      <xdr:colOff>358589</xdr:colOff>
      <xdr:row>270</xdr:row>
      <xdr:rowOff>22412</xdr:rowOff>
    </xdr:to>
    <xdr:sp macro="" textlink="">
      <xdr:nvSpPr>
        <xdr:cNvPr id="15" name="Freeform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/>
      </xdr:nvSpPr>
      <xdr:spPr>
        <a:xfrm>
          <a:off x="1423147" y="50729029"/>
          <a:ext cx="4224618" cy="2711824"/>
        </a:xfrm>
        <a:custGeom>
          <a:avLst/>
          <a:gdLst>
            <a:gd name="connsiteX0" fmla="*/ 0 w 4224618"/>
            <a:gd name="connsiteY0" fmla="*/ 829236 h 2711824"/>
            <a:gd name="connsiteX1" fmla="*/ 1086971 w 4224618"/>
            <a:gd name="connsiteY1" fmla="*/ 593912 h 2711824"/>
            <a:gd name="connsiteX2" fmla="*/ 1199029 w 4224618"/>
            <a:gd name="connsiteY2" fmla="*/ 806824 h 2711824"/>
            <a:gd name="connsiteX3" fmla="*/ 1826559 w 4224618"/>
            <a:gd name="connsiteY3" fmla="*/ 672353 h 2711824"/>
            <a:gd name="connsiteX4" fmla="*/ 1848971 w 4224618"/>
            <a:gd name="connsiteY4" fmla="*/ 997324 h 2711824"/>
            <a:gd name="connsiteX5" fmla="*/ 2162735 w 4224618"/>
            <a:gd name="connsiteY5" fmla="*/ 862853 h 2711824"/>
            <a:gd name="connsiteX6" fmla="*/ 2252382 w 4224618"/>
            <a:gd name="connsiteY6" fmla="*/ 571500 h 2711824"/>
            <a:gd name="connsiteX7" fmla="*/ 3664324 w 4224618"/>
            <a:gd name="connsiteY7" fmla="*/ 0 h 2711824"/>
            <a:gd name="connsiteX8" fmla="*/ 3742765 w 4224618"/>
            <a:gd name="connsiteY8" fmla="*/ 762000 h 2711824"/>
            <a:gd name="connsiteX9" fmla="*/ 4224618 w 4224618"/>
            <a:gd name="connsiteY9" fmla="*/ 1008530 h 2711824"/>
            <a:gd name="connsiteX10" fmla="*/ 3798794 w 4224618"/>
            <a:gd name="connsiteY10" fmla="*/ 1187824 h 2711824"/>
            <a:gd name="connsiteX11" fmla="*/ 3810000 w 4224618"/>
            <a:gd name="connsiteY11" fmla="*/ 1916206 h 2711824"/>
            <a:gd name="connsiteX12" fmla="*/ 3081618 w 4224618"/>
            <a:gd name="connsiteY12" fmla="*/ 1949824 h 2711824"/>
            <a:gd name="connsiteX13" fmla="*/ 2835088 w 4224618"/>
            <a:gd name="connsiteY13" fmla="*/ 1602442 h 2711824"/>
            <a:gd name="connsiteX14" fmla="*/ 2566147 w 4224618"/>
            <a:gd name="connsiteY14" fmla="*/ 1714500 h 2711824"/>
            <a:gd name="connsiteX15" fmla="*/ 2543735 w 4224618"/>
            <a:gd name="connsiteY15" fmla="*/ 1927412 h 2711824"/>
            <a:gd name="connsiteX16" fmla="*/ 2476500 w 4224618"/>
            <a:gd name="connsiteY16" fmla="*/ 2173942 h 2711824"/>
            <a:gd name="connsiteX17" fmla="*/ 2588559 w 4224618"/>
            <a:gd name="connsiteY17" fmla="*/ 2599765 h 2711824"/>
            <a:gd name="connsiteX18" fmla="*/ 2286000 w 4224618"/>
            <a:gd name="connsiteY18" fmla="*/ 2599765 h 2711824"/>
            <a:gd name="connsiteX19" fmla="*/ 2229971 w 4224618"/>
            <a:gd name="connsiteY19" fmla="*/ 2711824 h 2711824"/>
            <a:gd name="connsiteX20" fmla="*/ 1479177 w 4224618"/>
            <a:gd name="connsiteY20" fmla="*/ 2510118 h 2711824"/>
            <a:gd name="connsiteX21" fmla="*/ 1512794 w 4224618"/>
            <a:gd name="connsiteY21" fmla="*/ 1938618 h 2711824"/>
            <a:gd name="connsiteX22" fmla="*/ 336177 w 4224618"/>
            <a:gd name="connsiteY22" fmla="*/ 2140324 h 2711824"/>
            <a:gd name="connsiteX23" fmla="*/ 0 w 4224618"/>
            <a:gd name="connsiteY23" fmla="*/ 829236 h 271182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</a:cxnLst>
          <a:rect l="l" t="t" r="r" b="b"/>
          <a:pathLst>
            <a:path w="4224618" h="2711824">
              <a:moveTo>
                <a:pt x="0" y="829236"/>
              </a:moveTo>
              <a:lnTo>
                <a:pt x="1086971" y="593912"/>
              </a:lnTo>
              <a:lnTo>
                <a:pt x="1199029" y="806824"/>
              </a:lnTo>
              <a:lnTo>
                <a:pt x="1826559" y="672353"/>
              </a:lnTo>
              <a:lnTo>
                <a:pt x="1848971" y="997324"/>
              </a:lnTo>
              <a:lnTo>
                <a:pt x="2162735" y="862853"/>
              </a:lnTo>
              <a:lnTo>
                <a:pt x="2252382" y="571500"/>
              </a:lnTo>
              <a:lnTo>
                <a:pt x="3664324" y="0"/>
              </a:lnTo>
              <a:lnTo>
                <a:pt x="3742765" y="762000"/>
              </a:lnTo>
              <a:lnTo>
                <a:pt x="4224618" y="1008530"/>
              </a:lnTo>
              <a:lnTo>
                <a:pt x="3798794" y="1187824"/>
              </a:lnTo>
              <a:lnTo>
                <a:pt x="3810000" y="1916206"/>
              </a:lnTo>
              <a:lnTo>
                <a:pt x="3081618" y="1949824"/>
              </a:lnTo>
              <a:lnTo>
                <a:pt x="2835088" y="1602442"/>
              </a:lnTo>
              <a:lnTo>
                <a:pt x="2566147" y="1714500"/>
              </a:lnTo>
              <a:lnTo>
                <a:pt x="2543735" y="1927412"/>
              </a:lnTo>
              <a:lnTo>
                <a:pt x="2476500" y="2173942"/>
              </a:lnTo>
              <a:lnTo>
                <a:pt x="2588559" y="2599765"/>
              </a:lnTo>
              <a:lnTo>
                <a:pt x="2286000" y="2599765"/>
              </a:lnTo>
              <a:lnTo>
                <a:pt x="2229971" y="2711824"/>
              </a:lnTo>
              <a:lnTo>
                <a:pt x="1479177" y="2510118"/>
              </a:lnTo>
              <a:lnTo>
                <a:pt x="1512794" y="1938618"/>
              </a:lnTo>
              <a:lnTo>
                <a:pt x="336177" y="2140324"/>
              </a:lnTo>
              <a:lnTo>
                <a:pt x="0" y="829236"/>
              </a:lnTo>
              <a:close/>
            </a:path>
          </a:pathLst>
        </a:cu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1</xdr:col>
      <xdr:colOff>644000</xdr:colOff>
      <xdr:row>260</xdr:row>
      <xdr:rowOff>100517</xdr:rowOff>
    </xdr:from>
    <xdr:to>
      <xdr:col>2</xdr:col>
      <xdr:colOff>206882</xdr:colOff>
      <xdr:row>263</xdr:row>
      <xdr:rowOff>163233</xdr:rowOff>
    </xdr:to>
    <xdr:sp macro="" textlink="">
      <xdr:nvSpPr>
        <xdr:cNvPr id="16" name="Freeform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/>
      </xdr:nvSpPr>
      <xdr:spPr>
        <a:xfrm rot="277209">
          <a:off x="1462029" y="51501899"/>
          <a:ext cx="425735" cy="667834"/>
        </a:xfrm>
        <a:custGeom>
          <a:avLst/>
          <a:gdLst>
            <a:gd name="connsiteX0" fmla="*/ 0 w 728383"/>
            <a:gd name="connsiteY0" fmla="*/ 201706 h 1064559"/>
            <a:gd name="connsiteX1" fmla="*/ 593912 w 728383"/>
            <a:gd name="connsiteY1" fmla="*/ 0 h 1064559"/>
            <a:gd name="connsiteX2" fmla="*/ 728383 w 728383"/>
            <a:gd name="connsiteY2" fmla="*/ 425824 h 1064559"/>
            <a:gd name="connsiteX3" fmla="*/ 448236 w 728383"/>
            <a:gd name="connsiteY3" fmla="*/ 493059 h 1064559"/>
            <a:gd name="connsiteX4" fmla="*/ 638736 w 728383"/>
            <a:gd name="connsiteY4" fmla="*/ 974912 h 1064559"/>
            <a:gd name="connsiteX5" fmla="*/ 291353 w 728383"/>
            <a:gd name="connsiteY5" fmla="*/ 1064559 h 1064559"/>
            <a:gd name="connsiteX6" fmla="*/ 0 w 728383"/>
            <a:gd name="connsiteY6" fmla="*/ 201706 h 106455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728383" h="1064559">
              <a:moveTo>
                <a:pt x="0" y="201706"/>
              </a:moveTo>
              <a:lnTo>
                <a:pt x="593912" y="0"/>
              </a:lnTo>
              <a:lnTo>
                <a:pt x="728383" y="425824"/>
              </a:lnTo>
              <a:lnTo>
                <a:pt x="448236" y="493059"/>
              </a:lnTo>
              <a:lnTo>
                <a:pt x="638736" y="974912"/>
              </a:lnTo>
              <a:lnTo>
                <a:pt x="291353" y="1064559"/>
              </a:lnTo>
              <a:lnTo>
                <a:pt x="0" y="201706"/>
              </a:lnTo>
              <a:close/>
            </a:path>
          </a:pathLst>
        </a:custGeom>
        <a:noFill/>
        <a:ln w="381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solidFill>
              <a:srgbClr val="00B050"/>
            </a:solidFill>
          </a:endParaRPr>
        </a:p>
      </xdr:txBody>
    </xdr:sp>
    <xdr:clientData/>
  </xdr:twoCellAnchor>
  <xdr:twoCellAnchor editAs="oneCell">
    <xdr:from>
      <xdr:col>8</xdr:col>
      <xdr:colOff>1009650</xdr:colOff>
      <xdr:row>84</xdr:row>
      <xdr:rowOff>114300</xdr:rowOff>
    </xdr:from>
    <xdr:to>
      <xdr:col>15</xdr:col>
      <xdr:colOff>240635</xdr:colOff>
      <xdr:row>119</xdr:row>
      <xdr:rowOff>113850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391400" y="18259425"/>
          <a:ext cx="4898360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304800</xdr:colOff>
      <xdr:row>168</xdr:row>
      <xdr:rowOff>123825</xdr:rowOff>
    </xdr:from>
    <xdr:to>
      <xdr:col>15</xdr:col>
      <xdr:colOff>64030</xdr:colOff>
      <xdr:row>206</xdr:row>
      <xdr:rowOff>178063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pSpPr/>
      </xdr:nvGrpSpPr>
      <xdr:grpSpPr>
        <a:xfrm>
          <a:off x="6819900" y="32956500"/>
          <a:ext cx="5426605" cy="7645663"/>
          <a:chOff x="495300" y="32680275"/>
          <a:chExt cx="5426605" cy="7645663"/>
        </a:xfrm>
      </xdr:grpSpPr>
      <xdr:pic>
        <xdr:nvPicPr>
          <xdr:cNvPr id="17" name="Picture 16">
            <a:extLst>
              <a:ext uri="{FF2B5EF4-FFF2-40B4-BE49-F238E27FC236}">
                <a16:creationId xmlns:a16="http://schemas.microsoft.com/office/drawing/2014/main" xmlns="" id="{00000000-0008-0000-00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21905" y="32680275"/>
            <a:ext cx="5400000" cy="405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xmlns="" id="{00000000-0008-0000-00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21905" y="36896671"/>
            <a:ext cx="2400000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xmlns="" id="{00000000-0008-0000-00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5300" y="36919542"/>
            <a:ext cx="1350000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xmlns="" id="{00000000-0008-0000-00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19027" y="36919542"/>
            <a:ext cx="1350000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>
            <a:extLst>
              <a:ext uri="{FF2B5EF4-FFF2-40B4-BE49-F238E27FC236}">
                <a16:creationId xmlns:a16="http://schemas.microsoft.com/office/drawing/2014/main" xmlns="" id="{00000000-0008-0000-0000-00001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69034" y="38885938"/>
            <a:ext cx="1080000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xmlns="" id="{00000000-0008-0000-00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05295" y="38885938"/>
            <a:ext cx="1920000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8</xdr:col>
      <xdr:colOff>666942</xdr:colOff>
      <xdr:row>169</xdr:row>
      <xdr:rowOff>85725</xdr:rowOff>
    </xdr:from>
    <xdr:to>
      <xdr:col>15</xdr:col>
      <xdr:colOff>626629</xdr:colOff>
      <xdr:row>199</xdr:row>
      <xdr:rowOff>4845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pSpPr/>
      </xdr:nvGrpSpPr>
      <xdr:grpSpPr>
        <a:xfrm>
          <a:off x="7182042" y="33118425"/>
          <a:ext cx="5627062" cy="5910345"/>
          <a:chOff x="371667" y="32708850"/>
          <a:chExt cx="5627062" cy="5910345"/>
        </a:xfrm>
      </xdr:grpSpPr>
      <xdr:pic>
        <xdr:nvPicPr>
          <xdr:cNvPr id="38" name="Picture 37" descr="https://vsjcllp.vsjadon.com/upload/insp-225879-843.jpg">
            <a:extLst>
              <a:ext uri="{FF2B5EF4-FFF2-40B4-BE49-F238E27FC236}">
                <a16:creationId xmlns:a16="http://schemas.microsoft.com/office/drawing/2014/main" xmlns="" id="{00000000-0008-0000-0000-00002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71667" y="32708850"/>
            <a:ext cx="5595958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9" name="Picture 38" descr="https://vsjcllp.vsjadon.com/upload/insp-225879-1525.jpg">
            <a:extLst>
              <a:ext uri="{FF2B5EF4-FFF2-40B4-BE49-F238E27FC236}">
                <a16:creationId xmlns:a16="http://schemas.microsoft.com/office/drawing/2014/main" xmlns="" id="{00000000-0008-0000-0000-00002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083156" y="37539195"/>
            <a:ext cx="2398268" cy="108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0" name="Picture 39" descr="https://vsjcllp.vsjadon.com/upload/insp-225879-862.jpg">
            <a:extLst>
              <a:ext uri="{FF2B5EF4-FFF2-40B4-BE49-F238E27FC236}">
                <a16:creationId xmlns:a16="http://schemas.microsoft.com/office/drawing/2014/main" xmlns="" id="{00000000-0008-0000-0000-00002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00050" y="35328809"/>
            <a:ext cx="923960" cy="205681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1" name="Picture 40" descr="https://vsjcllp.vsjadon.com/upload/insp-225879-880.jpg">
            <a:extLst>
              <a:ext uri="{FF2B5EF4-FFF2-40B4-BE49-F238E27FC236}">
                <a16:creationId xmlns:a16="http://schemas.microsoft.com/office/drawing/2014/main" xmlns="" id="{00000000-0008-0000-0000-00002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431329" y="35328809"/>
            <a:ext cx="4567400" cy="205681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2" name="Picture 41" descr="https://vsjcllp.vsjadon.com/upload/insp-225879-883.jpg">
            <a:extLst>
              <a:ext uri="{FF2B5EF4-FFF2-40B4-BE49-F238E27FC236}">
                <a16:creationId xmlns:a16="http://schemas.microsoft.com/office/drawing/2014/main" xmlns="" id="{00000000-0008-0000-0000-00002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609600" y="37529670"/>
            <a:ext cx="2392853" cy="108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638175</xdr:colOff>
      <xdr:row>169</xdr:row>
      <xdr:rowOff>114300</xdr:rowOff>
    </xdr:from>
    <xdr:to>
      <xdr:col>6</xdr:col>
      <xdr:colOff>759763</xdr:colOff>
      <xdr:row>200</xdr:row>
      <xdr:rowOff>41517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xmlns="" id="{AA9B18F8-61F5-44C9-9D5F-51F40E5CFEFE}"/>
            </a:ext>
          </a:extLst>
        </xdr:cNvPr>
        <xdr:cNvGrpSpPr/>
      </xdr:nvGrpSpPr>
      <xdr:grpSpPr>
        <a:xfrm>
          <a:off x="638175" y="33147000"/>
          <a:ext cx="5036488" cy="6118467"/>
          <a:chOff x="839316" y="348668"/>
          <a:chExt cx="5036488" cy="6118467"/>
        </a:xfrm>
      </xdr:grpSpPr>
      <xdr:pic>
        <xdr:nvPicPr>
          <xdr:cNvPr id="25" name="Picture 24">
            <a:extLst>
              <a:ext uri="{FF2B5EF4-FFF2-40B4-BE49-F238E27FC236}">
                <a16:creationId xmlns:a16="http://schemas.microsoft.com/office/drawing/2014/main" xmlns="" id="{90671486-4D48-4B7B-AF0E-907EFAE2A4E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39316" y="348668"/>
            <a:ext cx="5035935" cy="37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xmlns="" id="{ADB99C18-EB2F-41EF-9540-8AD90E9AF4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52413" y="4307135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xmlns="" id="{DD757E9B-8002-44FD-8552-A836788AA8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47333" y="4307135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xmlns="" id="{13B75D2F-0DE7-4ABC-952B-139C5DBC096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57492" y="4307135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 editAs="oneCell">
    <xdr:from>
      <xdr:col>8</xdr:col>
      <xdr:colOff>571500</xdr:colOff>
      <xdr:row>145</xdr:row>
      <xdr:rowOff>142875</xdr:rowOff>
    </xdr:from>
    <xdr:to>
      <xdr:col>26</xdr:col>
      <xdr:colOff>535146</xdr:colOff>
      <xdr:row>174</xdr:row>
      <xdr:rowOff>191411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3F801A63-3A20-4F0B-95DE-CFDFF15A9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086600" y="27689175"/>
          <a:ext cx="12508071" cy="65255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XbAuB4qe8wmMZfGu7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253"/>
  <sheetViews>
    <sheetView tabSelected="1" showWhiteSpace="0" view="pageBreakPreview" topLeftCell="A153" zoomScaleNormal="100" zoomScaleSheetLayoutView="100" workbookViewId="0">
      <selection activeCell="B155" sqref="B155:H155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7109375" style="40" customWidth="1"/>
    <col min="4" max="4" width="14.140625" style="40" customWidth="1"/>
    <col min="5" max="6" width="11.7109375" style="40" customWidth="1"/>
    <col min="7" max="7" width="11.42578125" style="40" customWidth="1"/>
    <col min="8" max="8" width="12.5703125" style="40" customWidth="1"/>
    <col min="9" max="9" width="17.42578125" style="21" customWidth="1"/>
    <col min="10" max="10" width="11.42578125" style="21" customWidth="1"/>
    <col min="11" max="11" width="11.28515625" style="21" bestFit="1" customWidth="1"/>
    <col min="12" max="12" width="10.5703125" style="2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7109375" style="21" customWidth="1"/>
    <col min="17" max="247" width="9.140625" style="21"/>
    <col min="248" max="248" width="8.7109375" style="21" customWidth="1"/>
    <col min="249" max="249" width="9.855468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7109375" style="21" customWidth="1"/>
    <col min="505" max="505" width="9.855468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7109375" style="21" customWidth="1"/>
    <col min="761" max="761" width="9.855468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7109375" style="21" customWidth="1"/>
    <col min="1017" max="1017" width="9.855468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7109375" style="21" customWidth="1"/>
    <col min="1273" max="1273" width="9.855468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7109375" style="21" customWidth="1"/>
    <col min="1529" max="1529" width="9.855468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7109375" style="21" customWidth="1"/>
    <col min="1785" max="1785" width="9.855468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7109375" style="21" customWidth="1"/>
    <col min="2041" max="2041" width="9.855468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7109375" style="21" customWidth="1"/>
    <col min="2297" max="2297" width="9.855468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7109375" style="21" customWidth="1"/>
    <col min="2553" max="2553" width="9.855468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7109375" style="21" customWidth="1"/>
    <col min="2809" max="2809" width="9.855468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7109375" style="21" customWidth="1"/>
    <col min="3065" max="3065" width="9.855468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7109375" style="21" customWidth="1"/>
    <col min="3321" max="3321" width="9.855468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7109375" style="21" customWidth="1"/>
    <col min="3577" max="3577" width="9.855468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7109375" style="21" customWidth="1"/>
    <col min="3833" max="3833" width="9.855468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7109375" style="21" customWidth="1"/>
    <col min="4089" max="4089" width="9.855468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7109375" style="21" customWidth="1"/>
    <col min="4345" max="4345" width="9.855468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7109375" style="21" customWidth="1"/>
    <col min="4601" max="4601" width="9.855468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7109375" style="21" customWidth="1"/>
    <col min="4857" max="4857" width="9.855468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7109375" style="21" customWidth="1"/>
    <col min="5113" max="5113" width="9.855468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7109375" style="21" customWidth="1"/>
    <col min="5369" max="5369" width="9.855468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7109375" style="21" customWidth="1"/>
    <col min="5625" max="5625" width="9.855468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7109375" style="21" customWidth="1"/>
    <col min="5881" max="5881" width="9.855468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7109375" style="21" customWidth="1"/>
    <col min="6137" max="6137" width="9.855468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7109375" style="21" customWidth="1"/>
    <col min="6393" max="6393" width="9.855468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7109375" style="21" customWidth="1"/>
    <col min="6649" max="6649" width="9.855468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7109375" style="21" customWidth="1"/>
    <col min="6905" max="6905" width="9.855468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7109375" style="21" customWidth="1"/>
    <col min="7161" max="7161" width="9.855468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7109375" style="21" customWidth="1"/>
    <col min="7417" max="7417" width="9.855468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7109375" style="21" customWidth="1"/>
    <col min="7673" max="7673" width="9.855468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7109375" style="21" customWidth="1"/>
    <col min="7929" max="7929" width="9.855468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7109375" style="21" customWidth="1"/>
    <col min="8185" max="8185" width="9.855468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7109375" style="21" customWidth="1"/>
    <col min="8441" max="8441" width="9.855468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7109375" style="21" customWidth="1"/>
    <col min="8697" max="8697" width="9.855468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7109375" style="21" customWidth="1"/>
    <col min="8953" max="8953" width="9.855468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7109375" style="21" customWidth="1"/>
    <col min="9209" max="9209" width="9.855468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7109375" style="21" customWidth="1"/>
    <col min="9465" max="9465" width="9.855468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7109375" style="21" customWidth="1"/>
    <col min="9721" max="9721" width="9.855468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7109375" style="21" customWidth="1"/>
    <col min="9977" max="9977" width="9.855468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7109375" style="21" customWidth="1"/>
    <col min="10233" max="10233" width="9.855468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7109375" style="21" customWidth="1"/>
    <col min="10489" max="10489" width="9.855468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7109375" style="21" customWidth="1"/>
    <col min="10745" max="10745" width="9.855468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7109375" style="21" customWidth="1"/>
    <col min="11001" max="11001" width="9.855468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7109375" style="21" customWidth="1"/>
    <col min="11257" max="11257" width="9.855468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7109375" style="21" customWidth="1"/>
    <col min="11513" max="11513" width="9.855468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7109375" style="21" customWidth="1"/>
    <col min="11769" max="11769" width="9.855468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7109375" style="21" customWidth="1"/>
    <col min="12025" max="12025" width="9.855468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7109375" style="21" customWidth="1"/>
    <col min="12281" max="12281" width="9.855468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7109375" style="21" customWidth="1"/>
    <col min="12537" max="12537" width="9.855468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7109375" style="21" customWidth="1"/>
    <col min="12793" max="12793" width="9.855468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7109375" style="21" customWidth="1"/>
    <col min="13049" max="13049" width="9.855468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7109375" style="21" customWidth="1"/>
    <col min="13305" max="13305" width="9.855468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7109375" style="21" customWidth="1"/>
    <col min="13561" max="13561" width="9.855468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7109375" style="21" customWidth="1"/>
    <col min="13817" max="13817" width="9.855468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7109375" style="21" customWidth="1"/>
    <col min="14073" max="14073" width="9.855468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7109375" style="21" customWidth="1"/>
    <col min="14329" max="14329" width="9.855468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7109375" style="21" customWidth="1"/>
    <col min="14585" max="14585" width="9.855468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7109375" style="21" customWidth="1"/>
    <col min="14841" max="14841" width="9.855468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7109375" style="21" customWidth="1"/>
    <col min="15097" max="15097" width="9.855468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7109375" style="21" customWidth="1"/>
    <col min="15353" max="15353" width="9.855468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7109375" style="21" customWidth="1"/>
    <col min="15609" max="15609" width="9.855468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7109375" style="21" customWidth="1"/>
    <col min="15865" max="15865" width="9.855468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7109375" style="21" customWidth="1"/>
    <col min="16121" max="16121" width="9.855468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26" ht="46.5" customHeight="1" x14ac:dyDescent="0.25">
      <c r="A1" s="156" t="s">
        <v>271</v>
      </c>
      <c r="B1" s="156"/>
      <c r="C1" s="156"/>
      <c r="D1" s="156"/>
      <c r="E1" s="156"/>
      <c r="F1" s="156"/>
      <c r="G1" s="156"/>
      <c r="H1" s="156"/>
    </row>
    <row r="2" spans="1:26" ht="16.5" customHeight="1" x14ac:dyDescent="0.25">
      <c r="A2" s="157" t="s">
        <v>0</v>
      </c>
      <c r="B2" s="157"/>
      <c r="C2" s="157"/>
      <c r="D2" s="157"/>
      <c r="E2" s="157"/>
      <c r="F2" s="157"/>
      <c r="G2" s="157"/>
      <c r="H2" s="157"/>
    </row>
    <row r="3" spans="1:26" x14ac:dyDescent="0.25">
      <c r="A3" s="158" t="s">
        <v>1</v>
      </c>
      <c r="B3" s="158"/>
      <c r="C3" s="158"/>
      <c r="D3" s="158"/>
      <c r="E3" s="158" t="str">
        <f ca="1">TEXT(TODAY(),"DD/MM/YYYY")</f>
        <v>10/07/2025</v>
      </c>
      <c r="F3" s="158"/>
      <c r="G3" s="158"/>
      <c r="H3" s="158"/>
    </row>
    <row r="4" spans="1:26" ht="15" customHeight="1" x14ac:dyDescent="0.25">
      <c r="A4" s="66" t="s">
        <v>2</v>
      </c>
      <c r="B4" s="66"/>
      <c r="C4" s="66"/>
      <c r="D4" s="66"/>
      <c r="E4" s="66" t="s">
        <v>171</v>
      </c>
      <c r="F4" s="66"/>
      <c r="G4" s="66"/>
      <c r="H4" s="66"/>
    </row>
    <row r="5" spans="1:26" x14ac:dyDescent="0.25">
      <c r="A5" s="66" t="s">
        <v>3</v>
      </c>
      <c r="B5" s="66"/>
      <c r="C5" s="66"/>
      <c r="D5" s="66"/>
      <c r="E5" s="159">
        <v>45846</v>
      </c>
      <c r="F5" s="66"/>
      <c r="G5" s="66"/>
      <c r="H5" s="66"/>
    </row>
    <row r="6" spans="1:26" ht="16.5" customHeight="1" x14ac:dyDescent="0.25">
      <c r="A6" s="66" t="s">
        <v>4</v>
      </c>
      <c r="B6" s="66"/>
      <c r="C6" s="66"/>
      <c r="D6" s="66"/>
      <c r="E6" s="66" t="s">
        <v>233</v>
      </c>
      <c r="F6" s="66"/>
      <c r="G6" s="66"/>
      <c r="H6" s="66"/>
    </row>
    <row r="7" spans="1:26" ht="15" customHeight="1" x14ac:dyDescent="0.25">
      <c r="A7" s="66" t="s">
        <v>5</v>
      </c>
      <c r="B7" s="66"/>
      <c r="C7" s="66"/>
      <c r="D7" s="66"/>
      <c r="E7" s="66" t="str">
        <f>E6</f>
        <v>Ananta Developers</v>
      </c>
      <c r="F7" s="66"/>
      <c r="G7" s="66"/>
      <c r="H7" s="66"/>
    </row>
    <row r="8" spans="1:26" x14ac:dyDescent="0.25">
      <c r="A8" s="66" t="s">
        <v>6</v>
      </c>
      <c r="B8" s="66"/>
      <c r="C8" s="66"/>
      <c r="D8" s="66"/>
      <c r="E8" s="132" t="s">
        <v>234</v>
      </c>
      <c r="F8" s="132"/>
      <c r="G8" s="132"/>
      <c r="H8" s="132"/>
    </row>
    <row r="9" spans="1:26" x14ac:dyDescent="0.25">
      <c r="A9" s="66" t="s">
        <v>168</v>
      </c>
      <c r="B9" s="66"/>
      <c r="C9" s="66"/>
      <c r="D9" s="66"/>
      <c r="E9" s="66" t="s">
        <v>276</v>
      </c>
      <c r="F9" s="66"/>
      <c r="G9" s="66"/>
      <c r="H9" s="66"/>
    </row>
    <row r="10" spans="1:26" x14ac:dyDescent="0.25">
      <c r="A10" s="66" t="s">
        <v>169</v>
      </c>
      <c r="B10" s="66"/>
      <c r="C10" s="66"/>
      <c r="D10" s="66"/>
      <c r="E10" s="66" t="s">
        <v>29</v>
      </c>
      <c r="F10" s="66"/>
      <c r="G10" s="66"/>
      <c r="H10" s="66"/>
      <c r="I10" s="66" t="s">
        <v>274</v>
      </c>
      <c r="J10" s="66"/>
      <c r="K10" s="66"/>
      <c r="L10" s="66"/>
    </row>
    <row r="11" spans="1:26" x14ac:dyDescent="0.25">
      <c r="A11" s="66" t="s">
        <v>7</v>
      </c>
      <c r="B11" s="66"/>
      <c r="C11" s="66"/>
      <c r="D11" s="66"/>
      <c r="E11" s="76" t="s">
        <v>256</v>
      </c>
      <c r="F11" s="66"/>
      <c r="G11" s="66"/>
      <c r="H11" s="66"/>
    </row>
    <row r="12" spans="1:26" x14ac:dyDescent="0.25">
      <c r="A12" s="66" t="s">
        <v>172</v>
      </c>
      <c r="B12" s="66"/>
      <c r="C12" s="66"/>
      <c r="D12" s="66"/>
      <c r="E12" s="66" t="s">
        <v>276</v>
      </c>
      <c r="F12" s="66"/>
      <c r="G12" s="66"/>
      <c r="H12" s="66"/>
      <c r="S12" s="56" t="s">
        <v>180</v>
      </c>
      <c r="T12" s="56" t="s">
        <v>190</v>
      </c>
      <c r="U12" s="56" t="s">
        <v>173</v>
      </c>
      <c r="V12" s="56" t="s">
        <v>195</v>
      </c>
      <c r="W12" s="56" t="s">
        <v>213</v>
      </c>
      <c r="X12"/>
      <c r="Y12" t="s">
        <v>195</v>
      </c>
      <c r="Z12" t="e">
        <f ca="1">OFFSET($S$12,1,MATCH($G19,$S$12:$W$12,0)-1,15,1)</f>
        <v>#VALUE!</v>
      </c>
    </row>
    <row r="13" spans="1:26" x14ac:dyDescent="0.25">
      <c r="A13" s="66" t="s">
        <v>8</v>
      </c>
      <c r="B13" s="66"/>
      <c r="C13" s="66"/>
      <c r="D13" s="66"/>
      <c r="E13" s="76" t="s">
        <v>235</v>
      </c>
      <c r="F13" s="76"/>
      <c r="G13" s="76"/>
      <c r="H13" s="76"/>
      <c r="S13" s="56" t="s">
        <v>181</v>
      </c>
      <c r="T13" s="56" t="s">
        <v>188</v>
      </c>
      <c r="U13" s="56" t="s">
        <v>210</v>
      </c>
      <c r="V13" s="56" t="s">
        <v>196</v>
      </c>
      <c r="W13" s="56" t="s">
        <v>214</v>
      </c>
      <c r="X13"/>
      <c r="Y13"/>
      <c r="Z13"/>
    </row>
    <row r="14" spans="1:26" x14ac:dyDescent="0.25">
      <c r="A14" s="66" t="s">
        <v>9</v>
      </c>
      <c r="B14" s="66"/>
      <c r="C14" s="66"/>
      <c r="D14" s="66"/>
      <c r="E14" s="76" t="s">
        <v>236</v>
      </c>
      <c r="F14" s="66"/>
      <c r="G14" s="66"/>
      <c r="H14" s="66"/>
      <c r="I14" s="192" t="e">
        <f ca="1">OFFSET($D$4,1,MATCH($J12,$D$4:$H$4,0)-1,15,1)</f>
        <v>#N/A</v>
      </c>
      <c r="J14" s="193"/>
      <c r="K14" s="193"/>
      <c r="L14" s="193"/>
      <c r="M14" s="193"/>
      <c r="N14" s="193"/>
      <c r="O14" s="193"/>
      <c r="P14" s="193"/>
      <c r="S14" s="56" t="s">
        <v>182</v>
      </c>
      <c r="T14" s="56" t="s">
        <v>189</v>
      </c>
      <c r="U14" s="56" t="s">
        <v>211</v>
      </c>
      <c r="V14" s="56" t="s">
        <v>197</v>
      </c>
      <c r="W14" s="56" t="s">
        <v>227</v>
      </c>
      <c r="X14"/>
      <c r="Y14"/>
      <c r="Z14"/>
    </row>
    <row r="15" spans="1:26" ht="34.5" customHeight="1" x14ac:dyDescent="0.25">
      <c r="A15" s="76" t="s">
        <v>10</v>
      </c>
      <c r="B15" s="76"/>
      <c r="C15" s="76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Anant Divya, Gut No.30/2 &amp; 31, near Crystal realty, Internal Road, Dhansar, Dhansar, Palghar West, Palghar, Palghar - 401404.</v>
      </c>
      <c r="D15" s="76"/>
      <c r="E15" s="76"/>
      <c r="F15" s="76"/>
      <c r="G15" s="76"/>
      <c r="H15" s="76"/>
      <c r="S15" s="56" t="s">
        <v>183</v>
      </c>
      <c r="T15" s="56" t="s">
        <v>191</v>
      </c>
      <c r="U15" s="56" t="s">
        <v>212</v>
      </c>
      <c r="V15" s="56" t="s">
        <v>198</v>
      </c>
      <c r="W15" s="56" t="s">
        <v>215</v>
      </c>
      <c r="X15"/>
      <c r="Y15"/>
      <c r="Z15"/>
    </row>
    <row r="16" spans="1:26" x14ac:dyDescent="0.25">
      <c r="A16" s="76" t="s">
        <v>237</v>
      </c>
      <c r="B16" s="76"/>
      <c r="C16" s="76" t="s">
        <v>238</v>
      </c>
      <c r="D16" s="76"/>
      <c r="E16" s="76"/>
      <c r="F16" s="76"/>
      <c r="G16" s="76"/>
      <c r="H16" s="76"/>
      <c r="S16" s="56" t="s">
        <v>184</v>
      </c>
      <c r="T16" s="56" t="s">
        <v>192</v>
      </c>
      <c r="U16" s="56"/>
      <c r="V16" s="56" t="s">
        <v>199</v>
      </c>
      <c r="W16" s="56" t="s">
        <v>216</v>
      </c>
      <c r="X16"/>
      <c r="Y16"/>
      <c r="Z16"/>
    </row>
    <row r="17" spans="1:26" ht="15.75" customHeight="1" x14ac:dyDescent="0.25">
      <c r="A17" s="76" t="s">
        <v>164</v>
      </c>
      <c r="B17" s="76"/>
      <c r="C17" s="76" t="s">
        <v>239</v>
      </c>
      <c r="D17" s="76"/>
      <c r="E17" s="76"/>
      <c r="F17" s="76"/>
      <c r="G17" s="76"/>
      <c r="H17" s="76"/>
      <c r="S17" s="56" t="s">
        <v>185</v>
      </c>
      <c r="T17" s="56" t="s">
        <v>190</v>
      </c>
      <c r="U17" s="56"/>
      <c r="V17" s="56" t="s">
        <v>200</v>
      </c>
      <c r="W17" s="56" t="s">
        <v>217</v>
      </c>
      <c r="X17"/>
      <c r="Y17"/>
      <c r="Z17"/>
    </row>
    <row r="18" spans="1:26" ht="15.75" customHeight="1" x14ac:dyDescent="0.25">
      <c r="A18" s="76" t="s">
        <v>11</v>
      </c>
      <c r="B18" s="76"/>
      <c r="C18" s="66" t="s">
        <v>243</v>
      </c>
      <c r="D18" s="66"/>
      <c r="E18" s="76" t="s">
        <v>73</v>
      </c>
      <c r="F18" s="76"/>
      <c r="G18" s="76" t="s">
        <v>239</v>
      </c>
      <c r="H18" s="76"/>
      <c r="S18" s="56" t="s">
        <v>186</v>
      </c>
      <c r="T18" s="56" t="s">
        <v>193</v>
      </c>
      <c r="U18" s="56"/>
      <c r="V18" s="56" t="s">
        <v>201</v>
      </c>
      <c r="W18" s="56" t="s">
        <v>218</v>
      </c>
      <c r="X18"/>
      <c r="Y18"/>
      <c r="Z18"/>
    </row>
    <row r="19" spans="1:26" x14ac:dyDescent="0.25">
      <c r="A19" s="66" t="s">
        <v>13</v>
      </c>
      <c r="B19" s="66"/>
      <c r="C19" s="76" t="s">
        <v>242</v>
      </c>
      <c r="D19" s="76"/>
      <c r="E19" s="76" t="s">
        <v>12</v>
      </c>
      <c r="F19" s="76"/>
      <c r="G19" s="155" t="s">
        <v>190</v>
      </c>
      <c r="H19" s="155"/>
      <c r="S19" s="56" t="s">
        <v>187</v>
      </c>
      <c r="T19" s="56" t="s">
        <v>194</v>
      </c>
      <c r="U19" s="56"/>
      <c r="V19" s="56" t="s">
        <v>202</v>
      </c>
      <c r="W19" s="56" t="s">
        <v>219</v>
      </c>
      <c r="X19"/>
      <c r="Y19"/>
      <c r="Z19"/>
    </row>
    <row r="20" spans="1:26" x14ac:dyDescent="0.25">
      <c r="A20" s="66" t="s">
        <v>74</v>
      </c>
      <c r="B20" s="66"/>
      <c r="C20" s="76" t="s">
        <v>190</v>
      </c>
      <c r="D20" s="76"/>
      <c r="E20" s="76" t="s">
        <v>14</v>
      </c>
      <c r="F20" s="76"/>
      <c r="G20" s="76">
        <v>401404</v>
      </c>
      <c r="H20" s="76"/>
      <c r="S20" s="56"/>
      <c r="T20" s="56"/>
      <c r="U20" s="56"/>
      <c r="V20" s="56" t="s">
        <v>203</v>
      </c>
      <c r="W20" s="56" t="s">
        <v>220</v>
      </c>
      <c r="X20"/>
      <c r="Y20"/>
      <c r="Z20"/>
    </row>
    <row r="21" spans="1:26" ht="32.25" customHeight="1" x14ac:dyDescent="0.25">
      <c r="A21" s="66" t="s">
        <v>123</v>
      </c>
      <c r="B21" s="66"/>
      <c r="C21" s="76" t="s">
        <v>241</v>
      </c>
      <c r="D21" s="76"/>
      <c r="E21" s="76" t="s">
        <v>15</v>
      </c>
      <c r="F21" s="76"/>
      <c r="G21" s="76" t="s">
        <v>244</v>
      </c>
      <c r="H21" s="76"/>
      <c r="S21" s="56"/>
      <c r="T21" s="56"/>
      <c r="U21" s="56"/>
      <c r="V21" s="56" t="s">
        <v>204</v>
      </c>
      <c r="W21" s="56" t="s">
        <v>221</v>
      </c>
      <c r="X21"/>
      <c r="Y21"/>
      <c r="Z21"/>
    </row>
    <row r="22" spans="1:26" ht="15" customHeight="1" x14ac:dyDescent="0.25">
      <c r="A22" s="76" t="s">
        <v>76</v>
      </c>
      <c r="B22" s="76"/>
      <c r="C22" s="76"/>
      <c r="D22" s="76"/>
      <c r="E22" s="66" t="s">
        <v>16</v>
      </c>
      <c r="F22" s="66"/>
      <c r="G22" s="66"/>
      <c r="H22" s="66"/>
      <c r="S22" s="56"/>
      <c r="T22" s="56"/>
      <c r="U22" s="56"/>
      <c r="V22" s="56" t="s">
        <v>205</v>
      </c>
      <c r="W22" s="56" t="s">
        <v>222</v>
      </c>
      <c r="X22"/>
      <c r="Y22"/>
      <c r="Z22"/>
    </row>
    <row r="23" spans="1:26" ht="18.75" customHeight="1" x14ac:dyDescent="0.25">
      <c r="A23" s="76"/>
      <c r="B23" s="76"/>
      <c r="C23" s="76"/>
      <c r="D23" s="76"/>
      <c r="E23" s="66"/>
      <c r="F23" s="66"/>
      <c r="G23" s="66"/>
      <c r="H23" s="66"/>
      <c r="S23" s="56"/>
      <c r="T23" s="56"/>
      <c r="U23" s="56"/>
      <c r="V23" s="56" t="s">
        <v>206</v>
      </c>
      <c r="W23" s="56" t="s">
        <v>223</v>
      </c>
      <c r="X23"/>
      <c r="Y23"/>
      <c r="Z23"/>
    </row>
    <row r="24" spans="1:26" ht="15" customHeight="1" x14ac:dyDescent="0.25">
      <c r="A24" s="154" t="s">
        <v>17</v>
      </c>
      <c r="B24" s="154"/>
      <c r="C24" s="154"/>
      <c r="D24" s="154"/>
      <c r="E24" s="97" t="s">
        <v>18</v>
      </c>
      <c r="F24" s="97"/>
      <c r="G24" s="97"/>
      <c r="H24" s="97"/>
      <c r="S24" s="56"/>
      <c r="T24" s="56"/>
      <c r="U24" s="56"/>
      <c r="V24" s="56" t="s">
        <v>207</v>
      </c>
      <c r="W24" s="56" t="s">
        <v>224</v>
      </c>
      <c r="X24"/>
      <c r="Y24"/>
      <c r="Z24"/>
    </row>
    <row r="25" spans="1:26" ht="15" customHeight="1" x14ac:dyDescent="0.25">
      <c r="A25" s="73" t="s">
        <v>19</v>
      </c>
      <c r="B25" s="73"/>
      <c r="C25" s="73"/>
      <c r="D25" s="73"/>
      <c r="E25" s="97" t="str">
        <f>IF(AND(G19="Mumbai"),"Upper Class","Middle Class")</f>
        <v>Middle Class</v>
      </c>
      <c r="F25" s="97"/>
      <c r="G25" s="97"/>
      <c r="H25" s="97"/>
      <c r="S25" s="56"/>
      <c r="T25" s="56"/>
      <c r="U25" s="56"/>
      <c r="V25" s="56" t="s">
        <v>208</v>
      </c>
      <c r="W25" s="56" t="s">
        <v>225</v>
      </c>
      <c r="X25"/>
      <c r="Y25"/>
      <c r="Z25"/>
    </row>
    <row r="26" spans="1:26" x14ac:dyDescent="0.25">
      <c r="A26" s="73" t="s">
        <v>20</v>
      </c>
      <c r="B26" s="73"/>
      <c r="C26" s="73"/>
      <c r="D26" s="73"/>
      <c r="E26" s="97" t="s">
        <v>21</v>
      </c>
      <c r="F26" s="97"/>
      <c r="G26" s="97"/>
      <c r="H26" s="97"/>
      <c r="S26" s="56"/>
      <c r="T26" s="56"/>
      <c r="U26" s="56"/>
      <c r="V26" s="56" t="s">
        <v>209</v>
      </c>
      <c r="W26" s="56" t="s">
        <v>226</v>
      </c>
      <c r="X26"/>
      <c r="Y26"/>
      <c r="Z26"/>
    </row>
    <row r="27" spans="1:26" ht="15.75" customHeight="1" x14ac:dyDescent="0.25">
      <c r="A27" s="73" t="s">
        <v>22</v>
      </c>
      <c r="B27" s="73"/>
      <c r="C27" s="73"/>
      <c r="D27" s="73"/>
      <c r="E27" s="97" t="str">
        <f>IF(AND(G19="Mumbai"),"Developed","Developing")</f>
        <v>Developing</v>
      </c>
      <c r="F27" s="97"/>
      <c r="G27" s="97"/>
      <c r="H27" s="97"/>
    </row>
    <row r="28" spans="1:26" x14ac:dyDescent="0.25">
      <c r="A28" s="73" t="s">
        <v>23</v>
      </c>
      <c r="B28" s="73"/>
      <c r="C28" s="73"/>
      <c r="D28" s="73"/>
      <c r="E28" s="97" t="s">
        <v>24</v>
      </c>
      <c r="F28" s="97"/>
      <c r="G28" s="97"/>
      <c r="H28" s="97"/>
    </row>
    <row r="29" spans="1:26" ht="15.75" customHeight="1" x14ac:dyDescent="0.25">
      <c r="A29" s="73" t="s">
        <v>81</v>
      </c>
      <c r="B29" s="73"/>
      <c r="C29" s="73"/>
      <c r="D29" s="73"/>
      <c r="E29" s="97" t="s">
        <v>82</v>
      </c>
      <c r="F29" s="97"/>
      <c r="G29" s="97"/>
      <c r="H29" s="97"/>
    </row>
    <row r="30" spans="1:26" ht="15" customHeight="1" x14ac:dyDescent="0.25">
      <c r="A30" s="73" t="s">
        <v>32</v>
      </c>
      <c r="B30" s="73"/>
      <c r="C30" s="73"/>
      <c r="D30" s="73"/>
      <c r="E30" s="97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30" s="97"/>
      <c r="G30" s="97"/>
      <c r="H30" s="97"/>
    </row>
    <row r="31" spans="1:26" ht="15.75" customHeight="1" x14ac:dyDescent="0.25">
      <c r="A31" s="73" t="s">
        <v>92</v>
      </c>
      <c r="B31" s="73"/>
      <c r="C31" s="73"/>
      <c r="D31" s="73"/>
      <c r="E31" s="97" t="s">
        <v>33</v>
      </c>
      <c r="F31" s="97"/>
      <c r="G31" s="97"/>
      <c r="H31" s="97"/>
    </row>
    <row r="32" spans="1:26" s="22" customFormat="1" x14ac:dyDescent="0.25">
      <c r="A32" s="153" t="s">
        <v>93</v>
      </c>
      <c r="B32" s="153"/>
      <c r="C32" s="150" t="s">
        <v>174</v>
      </c>
      <c r="D32" s="151"/>
      <c r="E32" s="152"/>
      <c r="F32" s="150" t="s">
        <v>30</v>
      </c>
      <c r="G32" s="151"/>
      <c r="H32" s="152"/>
    </row>
    <row r="33" spans="1:10" s="22" customFormat="1" x14ac:dyDescent="0.25">
      <c r="A33" s="149" t="s">
        <v>25</v>
      </c>
      <c r="B33" s="149" t="s">
        <v>29</v>
      </c>
      <c r="C33" s="124" t="s">
        <v>248</v>
      </c>
      <c r="D33" s="125"/>
      <c r="E33" s="126"/>
      <c r="F33" s="124" t="s">
        <v>241</v>
      </c>
      <c r="G33" s="125"/>
      <c r="H33" s="126"/>
    </row>
    <row r="34" spans="1:10" x14ac:dyDescent="0.25">
      <c r="A34" s="149" t="s">
        <v>26</v>
      </c>
      <c r="B34" s="149" t="s">
        <v>29</v>
      </c>
      <c r="C34" s="124" t="s">
        <v>249</v>
      </c>
      <c r="D34" s="125"/>
      <c r="E34" s="126"/>
      <c r="F34" s="124" t="s">
        <v>245</v>
      </c>
      <c r="G34" s="125"/>
      <c r="H34" s="126"/>
    </row>
    <row r="35" spans="1:10" s="22" customFormat="1" x14ac:dyDescent="0.25">
      <c r="A35" s="149" t="s">
        <v>28</v>
      </c>
      <c r="B35" s="149" t="s">
        <v>29</v>
      </c>
      <c r="C35" s="124" t="s">
        <v>249</v>
      </c>
      <c r="D35" s="125"/>
      <c r="E35" s="126"/>
      <c r="F35" s="124" t="s">
        <v>246</v>
      </c>
      <c r="G35" s="125"/>
      <c r="H35" s="126"/>
    </row>
    <row r="36" spans="1:10" ht="32.25" customHeight="1" x14ac:dyDescent="0.25">
      <c r="A36" s="123" t="s">
        <v>27</v>
      </c>
      <c r="B36" s="123" t="s">
        <v>29</v>
      </c>
      <c r="C36" s="124" t="s">
        <v>250</v>
      </c>
      <c r="D36" s="125"/>
      <c r="E36" s="126"/>
      <c r="F36" s="129" t="s">
        <v>247</v>
      </c>
      <c r="G36" s="130"/>
      <c r="H36" s="131"/>
    </row>
    <row r="37" spans="1:10" x14ac:dyDescent="0.25">
      <c r="A37" s="73" t="s">
        <v>31</v>
      </c>
      <c r="B37" s="73"/>
      <c r="C37" s="73"/>
      <c r="D37" s="73"/>
      <c r="E37" s="73"/>
      <c r="F37" s="73"/>
      <c r="G37" s="73"/>
      <c r="H37" s="73"/>
    </row>
    <row r="38" spans="1:10" ht="15.75" customHeight="1" x14ac:dyDescent="0.25">
      <c r="A38" s="73" t="s">
        <v>166</v>
      </c>
      <c r="B38" s="73"/>
      <c r="C38" s="128" t="s">
        <v>262</v>
      </c>
      <c r="D38" s="128"/>
      <c r="E38" s="128"/>
      <c r="F38" s="128"/>
      <c r="G38" s="128"/>
      <c r="H38" s="128"/>
    </row>
    <row r="39" spans="1:10" x14ac:dyDescent="0.25">
      <c r="A39" s="73" t="s">
        <v>163</v>
      </c>
      <c r="B39" s="73"/>
      <c r="C39" s="96" t="s">
        <v>240</v>
      </c>
      <c r="D39" s="97"/>
      <c r="E39" s="97"/>
      <c r="F39" s="97"/>
      <c r="G39" s="97"/>
      <c r="H39" s="97"/>
    </row>
    <row r="40" spans="1:10" x14ac:dyDescent="0.25">
      <c r="A40" s="128" t="s">
        <v>34</v>
      </c>
      <c r="B40" s="128"/>
      <c r="C40" s="128"/>
      <c r="D40" s="128"/>
      <c r="E40" s="128"/>
      <c r="F40" s="128"/>
      <c r="G40" s="128"/>
      <c r="H40" s="128"/>
    </row>
    <row r="41" spans="1:10" x14ac:dyDescent="0.25">
      <c r="A41" s="73" t="s">
        <v>35</v>
      </c>
      <c r="B41" s="73"/>
      <c r="C41" s="73"/>
      <c r="D41" s="73"/>
      <c r="E41" s="127">
        <v>14426.18</v>
      </c>
      <c r="F41" s="127"/>
      <c r="G41" s="127"/>
      <c r="H41" s="127"/>
      <c r="I41" s="21">
        <f>E45/E41</f>
        <v>0.89984112218203294</v>
      </c>
      <c r="J41" s="21">
        <v>14426.18</v>
      </c>
    </row>
    <row r="42" spans="1:10" x14ac:dyDescent="0.25">
      <c r="A42" s="73" t="s">
        <v>36</v>
      </c>
      <c r="B42" s="73"/>
      <c r="C42" s="73"/>
      <c r="D42" s="73"/>
      <c r="E42" s="147">
        <v>0.9</v>
      </c>
      <c r="F42" s="147"/>
      <c r="G42" s="147"/>
      <c r="H42" s="147"/>
      <c r="J42" s="21">
        <v>0.9</v>
      </c>
    </row>
    <row r="43" spans="1:10" x14ac:dyDescent="0.25">
      <c r="A43" s="73" t="s">
        <v>37</v>
      </c>
      <c r="B43" s="73"/>
      <c r="C43" s="73"/>
      <c r="D43" s="73"/>
      <c r="E43" s="147">
        <f>E45/E41-E42</f>
        <v>-1.5887781796708467E-4</v>
      </c>
      <c r="F43" s="147"/>
      <c r="G43" s="147"/>
      <c r="H43" s="147"/>
    </row>
    <row r="44" spans="1:10" x14ac:dyDescent="0.25">
      <c r="A44" s="73" t="s">
        <v>38</v>
      </c>
      <c r="B44" s="73"/>
      <c r="C44" s="73"/>
      <c r="D44" s="73"/>
      <c r="E44" s="147">
        <f>E42+E43</f>
        <v>0.89984112218203294</v>
      </c>
      <c r="F44" s="147"/>
      <c r="G44" s="147"/>
      <c r="H44" s="147"/>
    </row>
    <row r="45" spans="1:10" x14ac:dyDescent="0.25">
      <c r="A45" s="73" t="s">
        <v>91</v>
      </c>
      <c r="B45" s="73"/>
      <c r="C45" s="73"/>
      <c r="D45" s="73"/>
      <c r="E45" s="148">
        <v>12981.27</v>
      </c>
      <c r="F45" s="148"/>
      <c r="G45" s="148"/>
      <c r="H45" s="148"/>
    </row>
    <row r="46" spans="1:10" x14ac:dyDescent="0.25">
      <c r="A46" s="66" t="s">
        <v>39</v>
      </c>
      <c r="B46" s="66"/>
      <c r="C46" s="66"/>
      <c r="D46" s="66"/>
      <c r="E46" s="66" t="s">
        <v>122</v>
      </c>
      <c r="F46" s="66"/>
      <c r="G46" s="66"/>
      <c r="H46" s="66"/>
    </row>
    <row r="47" spans="1:10" x14ac:dyDescent="0.25">
      <c r="A47" s="132" t="s">
        <v>40</v>
      </c>
      <c r="B47" s="132"/>
      <c r="C47" s="132"/>
      <c r="D47" s="132"/>
      <c r="E47" s="132"/>
      <c r="F47" s="132"/>
      <c r="G47" s="132"/>
      <c r="H47" s="132"/>
    </row>
    <row r="48" spans="1:10" ht="33.75" customHeight="1" x14ac:dyDescent="0.25">
      <c r="A48" s="98" t="s">
        <v>152</v>
      </c>
      <c r="B48" s="99"/>
      <c r="C48" s="100" t="s">
        <v>251</v>
      </c>
      <c r="D48" s="101"/>
      <c r="E48" s="101"/>
      <c r="F48" s="101"/>
      <c r="G48" s="101"/>
      <c r="H48" s="102"/>
    </row>
    <row r="49" spans="1:14" ht="31.15" customHeight="1" x14ac:dyDescent="0.25">
      <c r="A49" s="144" t="s">
        <v>41</v>
      </c>
      <c r="B49" s="146"/>
      <c r="C49" s="144" t="s">
        <v>272</v>
      </c>
      <c r="D49" s="185"/>
      <c r="E49" s="186"/>
      <c r="F49" s="18" t="s">
        <v>42</v>
      </c>
      <c r="G49" s="138">
        <v>43335</v>
      </c>
      <c r="H49" s="146"/>
    </row>
    <row r="50" spans="1:14" ht="31.15" customHeight="1" x14ac:dyDescent="0.25">
      <c r="A50" s="144" t="s">
        <v>43</v>
      </c>
      <c r="B50" s="146"/>
      <c r="C50" s="144" t="str">
        <f>C49</f>
        <v>Mahasul/K-1/MJ1/B.S.P/S.R/C.R/
116/2018</v>
      </c>
      <c r="D50" s="145"/>
      <c r="E50" s="146"/>
      <c r="F50" s="18" t="s">
        <v>42</v>
      </c>
      <c r="G50" s="138">
        <f>G49</f>
        <v>43335</v>
      </c>
      <c r="H50" s="139"/>
    </row>
    <row r="51" spans="1:14" s="23" customFormat="1" ht="33.6" customHeight="1" x14ac:dyDescent="0.25">
      <c r="A51" s="140" t="s">
        <v>156</v>
      </c>
      <c r="B51" s="141"/>
      <c r="C51" s="144" t="str">
        <f>C50</f>
        <v>Mahasul/K-1/MJ1/B.S.P/S.R/C.R/
116/2018</v>
      </c>
      <c r="D51" s="145"/>
      <c r="E51" s="146"/>
      <c r="F51" s="18" t="s">
        <v>42</v>
      </c>
      <c r="G51" s="138">
        <f>G50</f>
        <v>43335</v>
      </c>
      <c r="H51" s="139"/>
    </row>
    <row r="52" spans="1:14" s="23" customFormat="1" ht="17.25" customHeight="1" x14ac:dyDescent="0.25">
      <c r="A52" s="142"/>
      <c r="B52" s="143"/>
      <c r="C52" s="144" t="s">
        <v>255</v>
      </c>
      <c r="D52" s="145"/>
      <c r="E52" s="145"/>
      <c r="F52" s="145"/>
      <c r="G52" s="145"/>
      <c r="H52" s="146"/>
    </row>
    <row r="53" spans="1:14" x14ac:dyDescent="0.25">
      <c r="A53" s="194" t="s">
        <v>44</v>
      </c>
      <c r="B53" s="195"/>
      <c r="C53" s="194" t="s">
        <v>105</v>
      </c>
      <c r="D53" s="196"/>
      <c r="E53" s="195"/>
      <c r="F53" s="46" t="s">
        <v>42</v>
      </c>
      <c r="G53" s="187" t="s">
        <v>29</v>
      </c>
      <c r="H53" s="188"/>
    </row>
    <row r="54" spans="1:14" x14ac:dyDescent="0.25">
      <c r="A54" s="164" t="s">
        <v>46</v>
      </c>
      <c r="B54" s="164"/>
      <c r="C54" s="164"/>
      <c r="D54" s="164"/>
      <c r="E54" s="164"/>
      <c r="F54" s="164"/>
      <c r="G54" s="164"/>
      <c r="H54" s="164"/>
    </row>
    <row r="55" spans="1:14" ht="34.5" customHeight="1" x14ac:dyDescent="0.25">
      <c r="A55" s="76" t="s">
        <v>263</v>
      </c>
      <c r="B55" s="76"/>
      <c r="C55" s="76"/>
      <c r="D55" s="66">
        <v>1604.63</v>
      </c>
      <c r="E55" s="66"/>
      <c r="F55" s="66"/>
      <c r="G55" s="66"/>
      <c r="H55" s="66"/>
    </row>
    <row r="56" spans="1:14" x14ac:dyDescent="0.25">
      <c r="A56" s="76" t="s">
        <v>47</v>
      </c>
      <c r="B56" s="66"/>
      <c r="C56" s="66"/>
      <c r="D56" s="66" t="s">
        <v>260</v>
      </c>
      <c r="E56" s="66"/>
      <c r="F56" s="66"/>
      <c r="G56" s="66"/>
      <c r="H56" s="66"/>
      <c r="I56" s="24"/>
    </row>
    <row r="57" spans="1:14" x14ac:dyDescent="0.25">
      <c r="A57" s="135" t="s">
        <v>48</v>
      </c>
      <c r="B57" s="136"/>
      <c r="C57" s="137"/>
      <c r="D57" s="133" t="s">
        <v>255</v>
      </c>
      <c r="E57" s="134"/>
      <c r="F57" s="134"/>
      <c r="G57" s="134"/>
      <c r="H57" s="134"/>
    </row>
    <row r="58" spans="1:14" ht="15.75" customHeight="1" x14ac:dyDescent="0.25">
      <c r="A58" s="135" t="s">
        <v>89</v>
      </c>
      <c r="B58" s="136"/>
      <c r="C58" s="136"/>
      <c r="D58" s="66" t="s">
        <v>255</v>
      </c>
      <c r="E58" s="66"/>
      <c r="F58" s="66"/>
      <c r="G58" s="66"/>
      <c r="H58" s="66"/>
    </row>
    <row r="59" spans="1:14" ht="15.75" customHeight="1" x14ac:dyDescent="0.25">
      <c r="A59" s="66" t="s">
        <v>45</v>
      </c>
      <c r="B59" s="66"/>
      <c r="C59" s="66"/>
      <c r="D59" s="76" t="s">
        <v>252</v>
      </c>
      <c r="E59" s="76"/>
      <c r="F59" s="76"/>
      <c r="G59" s="76"/>
      <c r="H59" s="76"/>
      <c r="J59" s="25"/>
      <c r="K59" s="24"/>
      <c r="N59" s="24"/>
    </row>
    <row r="60" spans="1:14" ht="15.75" customHeight="1" x14ac:dyDescent="0.25">
      <c r="A60" s="66" t="s">
        <v>87</v>
      </c>
      <c r="B60" s="66"/>
      <c r="C60" s="66"/>
      <c r="D60" s="191" t="str">
        <f>(IF(G53="NA","60 Years After Completion",IF(G53&lt;&gt;"NA",""&amp;60-ROUNDDOWN((E3-G53)/360,0)&amp;" Years"," ")))</f>
        <v>60 Years After Completion</v>
      </c>
      <c r="E60" s="191"/>
      <c r="F60" s="191"/>
      <c r="G60" s="191"/>
      <c r="H60" s="191"/>
      <c r="N60" s="24"/>
    </row>
    <row r="61" spans="1:14" ht="15.75" customHeight="1" x14ac:dyDescent="0.25">
      <c r="A61" s="66" t="s">
        <v>88</v>
      </c>
      <c r="B61" s="66"/>
      <c r="C61" s="66"/>
      <c r="D61" s="76" t="s">
        <v>24</v>
      </c>
      <c r="E61" s="76"/>
      <c r="F61" s="76"/>
      <c r="G61" s="76"/>
      <c r="H61" s="76"/>
      <c r="J61" s="26"/>
      <c r="K61" s="26"/>
    </row>
    <row r="62" spans="1:14" ht="30" customHeight="1" x14ac:dyDescent="0.25">
      <c r="A62" s="66" t="s">
        <v>265</v>
      </c>
      <c r="B62" s="66"/>
      <c r="C62" s="66"/>
      <c r="D62" s="76" t="s">
        <v>264</v>
      </c>
      <c r="E62" s="76"/>
      <c r="F62" s="76"/>
      <c r="G62" s="76"/>
      <c r="H62" s="76"/>
    </row>
    <row r="63" spans="1:14" x14ac:dyDescent="0.25">
      <c r="A63" s="154" t="s">
        <v>149</v>
      </c>
      <c r="B63" s="154"/>
      <c r="C63" s="154"/>
      <c r="D63" s="154" t="s">
        <v>29</v>
      </c>
      <c r="E63" s="154"/>
      <c r="F63" s="154"/>
      <c r="G63" s="154"/>
      <c r="H63" s="154"/>
      <c r="I63" s="27"/>
      <c r="J63" s="27"/>
      <c r="K63" s="27"/>
      <c r="L63" s="27"/>
      <c r="M63" s="27"/>
      <c r="N63" s="27"/>
    </row>
    <row r="64" spans="1:14" ht="15.75" customHeight="1" x14ac:dyDescent="0.25">
      <c r="A64" s="197" t="s">
        <v>86</v>
      </c>
      <c r="B64" s="197"/>
      <c r="C64" s="197"/>
      <c r="D64" s="189" t="str">
        <f ca="1">(IF(G70&gt;95%,"Nothing",IF(G70&gt;0%,"Cement, Aggregate, Steel, etc",IF(G70=0%,"Work not yet Started"))))</f>
        <v>Cement, Aggregate, Steel, etc</v>
      </c>
      <c r="E64" s="189"/>
      <c r="F64" s="189"/>
      <c r="G64" s="189"/>
      <c r="H64" s="189"/>
      <c r="J64" s="26"/>
    </row>
    <row r="65" spans="1:10" ht="33.75" customHeight="1" thickBot="1" x14ac:dyDescent="0.3">
      <c r="A65" s="190" t="s">
        <v>118</v>
      </c>
      <c r="B65" s="190"/>
      <c r="C65" s="190"/>
      <c r="D65" s="189" t="str">
        <f ca="1">(IF(D64="Nothing","Yes",IF(D64="Cement, Aggregate, Steel, etc","Under Construction",IF(D64="Work not yet Started","Work not yet Started"))))</f>
        <v>Under Construction</v>
      </c>
      <c r="E65" s="189"/>
      <c r="F65" s="189" t="str">
        <f ca="1">(IF(D64="Nothing","Yes",IF(D64="Cement, Aggregate, Steel, etc","Under Construction",IF(D64="Work not yet Started","Work not yet Started"))))</f>
        <v>Under Construction</v>
      </c>
      <c r="G65" s="189"/>
      <c r="H65" s="189"/>
    </row>
    <row r="66" spans="1:10" ht="15.75" customHeight="1" x14ac:dyDescent="0.25">
      <c r="A66" s="116" t="s">
        <v>141</v>
      </c>
      <c r="B66" s="117"/>
      <c r="C66" s="118" t="str">
        <f>D58</f>
        <v>Building No. 3 (Type C) = Gr + 1st to 4th Floor</v>
      </c>
      <c r="D66" s="119"/>
      <c r="E66" s="119"/>
      <c r="F66" s="119"/>
      <c r="G66" s="119"/>
      <c r="H66" s="120"/>
      <c r="I66" s="50" t="str">
        <f ca="1">IF(D79=100%,"All work Completed. Possession granted to the Building.",IF(D78=100%,"All work Completed, Waiting for OC",I67&amp;""&amp;I68&amp;""&amp;J67&amp;""&amp;J66&amp;" "&amp;J68))</f>
        <v xml:space="preserve">Excavation, Plinth, RCC Slab, Brickwork Completed </v>
      </c>
      <c r="J66" s="51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/>
      </c>
    </row>
    <row r="67" spans="1:10" x14ac:dyDescent="0.25">
      <c r="A67" s="16" t="s">
        <v>143</v>
      </c>
      <c r="B67" s="48">
        <f>IF(AND(ISNUMBER(SEARCH("1B",C66))),1,IF(AND(ISNUMBER(SEARCH("2B",C66))),2,IF(AND(ISNUMBER(SEARCH("3B",C66))),3,IF(AND(ISNUMBER(SEARCH("4B",C66))),4,IF(ISNUMBER(SEARCH("5B",C66)),5,0)))))</f>
        <v>0</v>
      </c>
      <c r="C67" s="48" t="s">
        <v>72</v>
      </c>
      <c r="D67" s="48">
        <v>1</v>
      </c>
      <c r="E67" s="48" t="s">
        <v>71</v>
      </c>
      <c r="F67" s="59">
        <v>0</v>
      </c>
      <c r="G67" s="49" t="s">
        <v>80</v>
      </c>
      <c r="H67" s="17">
        <f ca="1">--TRIM(RIGHT(SUBSTITUTE(LEFT(C66,_xlfn.AGGREGATE(16,6,FIND({0,1,2,3,4,5,6,7,8,9},C66,ROW(INDIRECT("1:"&amp;LEN(C66)))),1))," ",REPT(" ",LEN(C66))),LEN(C66)))</f>
        <v>4</v>
      </c>
      <c r="I67" s="52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</v>
      </c>
      <c r="J67" s="53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x14ac:dyDescent="0.25">
      <c r="A68" s="114" t="s">
        <v>90</v>
      </c>
      <c r="B68" s="115"/>
      <c r="C68" s="77" t="str">
        <f ca="1">I66</f>
        <v xml:space="preserve">Excavation, Plinth, RCC Slab, Brickwork Completed </v>
      </c>
      <c r="D68" s="77"/>
      <c r="E68" s="77"/>
      <c r="F68" s="77"/>
      <c r="G68" s="77"/>
      <c r="H68" s="78"/>
      <c r="I68" s="52" t="str">
        <f ca="1">IF(I67&lt;&gt;""," Completed","")</f>
        <v xml:space="preserve"> Completed</v>
      </c>
      <c r="J68" s="53" t="str">
        <f ca="1">IF(J66&lt;&gt;"","Completed","")</f>
        <v/>
      </c>
    </row>
    <row r="69" spans="1:10" ht="15.75" customHeight="1" x14ac:dyDescent="0.25">
      <c r="A69" s="74" t="s">
        <v>49</v>
      </c>
      <c r="B69" s="75"/>
      <c r="C69" s="44" t="s">
        <v>140</v>
      </c>
      <c r="D69" s="44" t="s">
        <v>83</v>
      </c>
      <c r="E69" s="75" t="s">
        <v>85</v>
      </c>
      <c r="F69" s="75"/>
      <c r="G69" s="75" t="s">
        <v>84</v>
      </c>
      <c r="H69" s="198"/>
      <c r="I69" s="14" t="s">
        <v>142</v>
      </c>
      <c r="J69" s="28">
        <f ca="1">H67*25%</f>
        <v>1</v>
      </c>
    </row>
    <row r="70" spans="1:10" x14ac:dyDescent="0.25">
      <c r="A70" s="74" t="s">
        <v>129</v>
      </c>
      <c r="B70" s="75"/>
      <c r="C70" s="44">
        <f ca="1">J71</f>
        <v>4</v>
      </c>
      <c r="D70" s="19">
        <f ca="1">((100/H67)*C70)/100</f>
        <v>1</v>
      </c>
      <c r="E70" s="200">
        <f ca="1">(((C71/H67*10)+(40/(D67+F67+H67)*C72)+(7.5/(H67)*C73)+(7.5/(H67)*C74)+(10/H67*C75)+(10/H67*C76)+(5/H67*C77)+(5/H67*C78)+(5/H67*C79))/100)</f>
        <v>0.57499999999999996</v>
      </c>
      <c r="F70" s="201"/>
      <c r="G70" s="200">
        <f ca="1">((((C70/H67)*20)+((C71/H67)*25)+(30/(H67+F67+D67)*C72)+(5/H67*C73)+(5/H67*C74)+(5/H67*C75)+(5/H67*C76)+(0/H67*C77)+(0/H67*C78)+(5/H67*C79))/100)</f>
        <v>0.8</v>
      </c>
      <c r="H70" s="206"/>
      <c r="I70" s="14" t="s">
        <v>100</v>
      </c>
      <c r="J70" s="29">
        <f ca="1">H67*50%</f>
        <v>2</v>
      </c>
    </row>
    <row r="71" spans="1:10" x14ac:dyDescent="0.25">
      <c r="A71" s="74" t="s">
        <v>50</v>
      </c>
      <c r="B71" s="75"/>
      <c r="C71" s="54">
        <f ca="1">J79</f>
        <v>4</v>
      </c>
      <c r="D71" s="19">
        <f ca="1">((100/H67)*C71)/100</f>
        <v>1</v>
      </c>
      <c r="E71" s="202"/>
      <c r="F71" s="203"/>
      <c r="G71" s="202"/>
      <c r="H71" s="207"/>
      <c r="I71" s="14" t="s">
        <v>101</v>
      </c>
      <c r="J71" s="29">
        <f ca="1">H67</f>
        <v>4</v>
      </c>
    </row>
    <row r="72" spans="1:10" ht="15.75" customHeight="1" x14ac:dyDescent="0.25">
      <c r="A72" s="74" t="s">
        <v>130</v>
      </c>
      <c r="B72" s="75"/>
      <c r="C72" s="44">
        <v>5</v>
      </c>
      <c r="D72" s="19">
        <f ca="1">((100/(D67+F67+H67))*C72)/100</f>
        <v>1</v>
      </c>
      <c r="E72" s="202"/>
      <c r="F72" s="203"/>
      <c r="G72" s="202"/>
      <c r="H72" s="207"/>
      <c r="I72" s="14" t="s">
        <v>102</v>
      </c>
      <c r="J72" s="30">
        <f ca="1">(IF(B67&gt;1,(H67/(B67+2)),H67/4))</f>
        <v>1</v>
      </c>
    </row>
    <row r="73" spans="1:10" ht="15.75" customHeight="1" x14ac:dyDescent="0.25">
      <c r="A73" s="74" t="s">
        <v>137</v>
      </c>
      <c r="B73" s="75" t="s">
        <v>131</v>
      </c>
      <c r="C73" s="44">
        <v>4</v>
      </c>
      <c r="D73" s="19">
        <f ca="1">((100/H67)*C73)/100</f>
        <v>1</v>
      </c>
      <c r="E73" s="202"/>
      <c r="F73" s="203"/>
      <c r="G73" s="202"/>
      <c r="H73" s="207"/>
      <c r="I73" s="14" t="s">
        <v>103</v>
      </c>
      <c r="J73" s="30">
        <f ca="1">(IF(B67&gt;1,(H67/(B67+2)+J72),H67/4+J72))</f>
        <v>2</v>
      </c>
    </row>
    <row r="74" spans="1:10" ht="15.75" customHeight="1" x14ac:dyDescent="0.25">
      <c r="A74" s="74" t="s">
        <v>138</v>
      </c>
      <c r="B74" s="75" t="s">
        <v>131</v>
      </c>
      <c r="C74" s="44">
        <v>0</v>
      </c>
      <c r="D74" s="19">
        <f ca="1">((100/H67)*C74)/100</f>
        <v>0</v>
      </c>
      <c r="E74" s="202"/>
      <c r="F74" s="203"/>
      <c r="G74" s="202"/>
      <c r="H74" s="207"/>
      <c r="I74" s="14" t="s">
        <v>147</v>
      </c>
      <c r="J74" s="30">
        <f>(IF(B67&gt;1,(H67/(B67+2)+J73),0))</f>
        <v>0</v>
      </c>
    </row>
    <row r="75" spans="1:10" ht="15" customHeight="1" x14ac:dyDescent="0.25">
      <c r="A75" s="74" t="s">
        <v>136</v>
      </c>
      <c r="B75" s="75" t="s">
        <v>133</v>
      </c>
      <c r="C75" s="44">
        <v>0</v>
      </c>
      <c r="D75" s="19">
        <f ca="1">((100/(H67))*C75)/100</f>
        <v>0</v>
      </c>
      <c r="E75" s="202"/>
      <c r="F75" s="203"/>
      <c r="G75" s="202"/>
      <c r="H75" s="207"/>
      <c r="I75" s="14" t="s">
        <v>144</v>
      </c>
      <c r="J75" s="30">
        <f>(IF(B67&gt;2,(H67/(B67+2)+J74),0))</f>
        <v>0</v>
      </c>
    </row>
    <row r="76" spans="1:10" ht="15.75" customHeight="1" x14ac:dyDescent="0.25">
      <c r="A76" s="74" t="s">
        <v>132</v>
      </c>
      <c r="B76" s="75" t="s">
        <v>132</v>
      </c>
      <c r="C76" s="44">
        <v>0</v>
      </c>
      <c r="D76" s="19">
        <f ca="1">((100/H67)*C76)/100</f>
        <v>0</v>
      </c>
      <c r="E76" s="202"/>
      <c r="F76" s="203"/>
      <c r="G76" s="202"/>
      <c r="H76" s="207"/>
      <c r="I76" s="14" t="s">
        <v>145</v>
      </c>
      <c r="J76" s="31">
        <f>(IF(B67&gt;3,(H67/(B67+2)+J75),0))</f>
        <v>0</v>
      </c>
    </row>
    <row r="77" spans="1:10" ht="15.75" customHeight="1" x14ac:dyDescent="0.25">
      <c r="A77" s="74" t="s">
        <v>139</v>
      </c>
      <c r="B77" s="75"/>
      <c r="C77" s="44">
        <v>0</v>
      </c>
      <c r="D77" s="19">
        <f ca="1">((100/H67)*C77)/100</f>
        <v>0</v>
      </c>
      <c r="E77" s="202"/>
      <c r="F77" s="203"/>
      <c r="G77" s="202"/>
      <c r="H77" s="207"/>
      <c r="I77" s="14" t="s">
        <v>146</v>
      </c>
      <c r="J77" s="30">
        <f>(IF(B67&gt;4,(H67/(B67+2)+J76),0))</f>
        <v>0</v>
      </c>
    </row>
    <row r="78" spans="1:10" ht="15.75" customHeight="1" x14ac:dyDescent="0.25">
      <c r="A78" s="74" t="s">
        <v>134</v>
      </c>
      <c r="B78" s="75" t="s">
        <v>134</v>
      </c>
      <c r="C78" s="44">
        <v>0</v>
      </c>
      <c r="D78" s="19">
        <f ca="1">((100/(H67))*C78)/100</f>
        <v>0</v>
      </c>
      <c r="E78" s="202"/>
      <c r="F78" s="203"/>
      <c r="G78" s="202"/>
      <c r="H78" s="207"/>
      <c r="I78" s="14" t="s">
        <v>148</v>
      </c>
      <c r="J78" s="30">
        <f ca="1">(IF(B67=1,(H67/(B67+3)+J73),IF(B67=0,(H67/4+J73),IF(B67&gt;1,0))))</f>
        <v>3</v>
      </c>
    </row>
    <row r="79" spans="1:10" ht="16.5" thickBot="1" x14ac:dyDescent="0.3">
      <c r="A79" s="121" t="s">
        <v>135</v>
      </c>
      <c r="B79" s="122"/>
      <c r="C79" s="45">
        <v>0</v>
      </c>
      <c r="D79" s="20">
        <f ca="1">((100/(H67))*C79)/100</f>
        <v>0</v>
      </c>
      <c r="E79" s="204"/>
      <c r="F79" s="205"/>
      <c r="G79" s="204"/>
      <c r="H79" s="208"/>
      <c r="I79" s="15" t="s">
        <v>104</v>
      </c>
      <c r="J79" s="32">
        <f ca="1">(IF(B67&gt;1.5,(H67/(B67+2)+J73+MAX(0,J74-J73)+MAX(0,J75-J74)+MAX(0,J76-J75)+MAX(0,J77-J76)+MAX(0,J78-J77)),IF(B67=1,(H67/(B67+3)+J78),IF(B67=0,H67/4+J78))))</f>
        <v>4</v>
      </c>
    </row>
    <row r="80" spans="1:10" x14ac:dyDescent="0.25">
      <c r="A80" s="82" t="s">
        <v>158</v>
      </c>
      <c r="B80" s="82"/>
      <c r="C80" s="82"/>
      <c r="D80" s="82"/>
      <c r="E80" s="82"/>
      <c r="F80" s="172" t="s">
        <v>162</v>
      </c>
      <c r="G80" s="172"/>
      <c r="H80" s="172"/>
    </row>
    <row r="81" spans="1:15" x14ac:dyDescent="0.25">
      <c r="A81" s="73" t="s">
        <v>160</v>
      </c>
      <c r="B81" s="73"/>
      <c r="C81" s="73"/>
      <c r="D81" s="73"/>
      <c r="E81" s="73"/>
      <c r="F81" s="83">
        <v>4100</v>
      </c>
      <c r="G81" s="83"/>
      <c r="H81" s="83"/>
      <c r="I81" s="21" t="s">
        <v>261</v>
      </c>
      <c r="J81" s="62" t="s">
        <v>270</v>
      </c>
      <c r="K81" s="62"/>
      <c r="L81" s="62"/>
      <c r="M81" s="62"/>
      <c r="N81" s="63">
        <v>45330</v>
      </c>
      <c r="O81" s="62" t="s">
        <v>269</v>
      </c>
    </row>
    <row r="82" spans="1:15" hidden="1" x14ac:dyDescent="0.25">
      <c r="A82" s="73" t="s">
        <v>159</v>
      </c>
      <c r="B82" s="73"/>
      <c r="C82" s="73"/>
      <c r="D82" s="73"/>
      <c r="E82" s="73"/>
      <c r="F82" s="83"/>
      <c r="G82" s="83"/>
      <c r="H82" s="83"/>
    </row>
    <row r="83" spans="1:15" hidden="1" x14ac:dyDescent="0.25">
      <c r="A83" s="73" t="s">
        <v>161</v>
      </c>
      <c r="B83" s="73"/>
      <c r="C83" s="73"/>
      <c r="D83" s="73"/>
      <c r="E83" s="73"/>
      <c r="F83" s="83"/>
      <c r="G83" s="83"/>
      <c r="H83" s="83"/>
    </row>
    <row r="84" spans="1:15" s="33" customFormat="1" hidden="1" x14ac:dyDescent="0.25">
      <c r="A84" s="73" t="s">
        <v>176</v>
      </c>
      <c r="B84" s="73"/>
      <c r="C84" s="73"/>
      <c r="D84" s="73"/>
      <c r="E84" s="73"/>
      <c r="F84" s="83"/>
      <c r="G84" s="83"/>
      <c r="H84" s="83"/>
    </row>
    <row r="85" spans="1:15" s="33" customFormat="1" x14ac:dyDescent="0.25">
      <c r="A85" s="73" t="s">
        <v>94</v>
      </c>
      <c r="B85" s="73"/>
      <c r="C85" s="73"/>
      <c r="D85" s="73"/>
      <c r="E85" s="73"/>
      <c r="F85" s="83">
        <v>125000</v>
      </c>
      <c r="G85" s="83"/>
      <c r="H85" s="83"/>
    </row>
    <row r="86" spans="1:15" s="33" customFormat="1" hidden="1" x14ac:dyDescent="0.25">
      <c r="A86" s="73" t="s">
        <v>95</v>
      </c>
      <c r="B86" s="73"/>
      <c r="C86" s="73"/>
      <c r="D86" s="73"/>
      <c r="E86" s="73"/>
      <c r="F86" s="83"/>
      <c r="G86" s="83"/>
      <c r="H86" s="83"/>
    </row>
    <row r="87" spans="1:15" s="33" customFormat="1" hidden="1" x14ac:dyDescent="0.25">
      <c r="A87" s="73" t="s">
        <v>96</v>
      </c>
      <c r="B87" s="73"/>
      <c r="C87" s="73"/>
      <c r="D87" s="73"/>
      <c r="E87" s="73"/>
      <c r="F87" s="83"/>
      <c r="G87" s="83"/>
      <c r="H87" s="83"/>
    </row>
    <row r="88" spans="1:15" s="33" customFormat="1" hidden="1" x14ac:dyDescent="0.25">
      <c r="A88" s="73" t="s">
        <v>97</v>
      </c>
      <c r="B88" s="73"/>
      <c r="C88" s="73"/>
      <c r="D88" s="73"/>
      <c r="E88" s="73"/>
      <c r="F88" s="83"/>
      <c r="G88" s="83"/>
      <c r="H88" s="83"/>
    </row>
    <row r="89" spans="1:15" s="33" customFormat="1" x14ac:dyDescent="0.25">
      <c r="A89" s="73" t="s">
        <v>98</v>
      </c>
      <c r="B89" s="73"/>
      <c r="C89" s="73"/>
      <c r="D89" s="73"/>
      <c r="E89" s="73"/>
      <c r="F89" s="83">
        <v>40000</v>
      </c>
      <c r="G89" s="83"/>
      <c r="H89" s="83"/>
    </row>
    <row r="90" spans="1:15" s="33" customFormat="1" x14ac:dyDescent="0.25">
      <c r="A90" s="73" t="s">
        <v>99</v>
      </c>
      <c r="B90" s="73"/>
      <c r="C90" s="73"/>
      <c r="D90" s="73"/>
      <c r="E90" s="73"/>
      <c r="F90" s="163">
        <v>50000</v>
      </c>
      <c r="G90" s="163"/>
      <c r="H90" s="163"/>
    </row>
    <row r="91" spans="1:15" x14ac:dyDescent="0.25">
      <c r="A91" s="73" t="s">
        <v>51</v>
      </c>
      <c r="B91" s="73"/>
      <c r="C91" s="73"/>
      <c r="D91" s="73"/>
      <c r="E91" s="73"/>
      <c r="F91" s="163">
        <v>100000</v>
      </c>
      <c r="G91" s="163"/>
      <c r="H91" s="163"/>
    </row>
    <row r="92" spans="1:15" s="34" customFormat="1" x14ac:dyDescent="0.25">
      <c r="A92" s="128" t="s">
        <v>52</v>
      </c>
      <c r="B92" s="128"/>
      <c r="C92" s="128"/>
      <c r="D92" s="128"/>
      <c r="E92" s="128"/>
      <c r="F92" s="83">
        <f>F81*0.8</f>
        <v>3280</v>
      </c>
      <c r="G92" s="83"/>
      <c r="H92" s="83"/>
    </row>
    <row r="93" spans="1:15" s="35" customFormat="1" ht="15.75" hidden="1" customHeight="1" x14ac:dyDescent="0.25">
      <c r="A93" s="106" t="s">
        <v>75</v>
      </c>
      <c r="B93" s="106"/>
      <c r="C93" s="106"/>
      <c r="D93" s="106"/>
      <c r="E93" s="106"/>
      <c r="F93" s="106"/>
      <c r="G93" s="106"/>
      <c r="H93" s="106"/>
    </row>
    <row r="94" spans="1:15" s="35" customFormat="1" ht="15.75" hidden="1" customHeight="1" x14ac:dyDescent="0.25">
      <c r="A94" s="109" t="s">
        <v>53</v>
      </c>
      <c r="B94" s="109"/>
      <c r="C94" s="107" t="s">
        <v>78</v>
      </c>
      <c r="D94" s="107"/>
      <c r="E94" s="108" t="s">
        <v>54</v>
      </c>
      <c r="F94" s="108"/>
      <c r="G94" s="109" t="s">
        <v>55</v>
      </c>
      <c r="H94" s="109"/>
    </row>
    <row r="95" spans="1:15" s="35" customFormat="1" hidden="1" x14ac:dyDescent="0.25">
      <c r="A95" s="110"/>
      <c r="B95" s="110"/>
      <c r="C95" s="104"/>
      <c r="D95" s="104"/>
      <c r="E95" s="105"/>
      <c r="F95" s="105"/>
      <c r="G95" s="95"/>
      <c r="H95" s="95"/>
    </row>
    <row r="96" spans="1:15" s="35" customFormat="1" hidden="1" x14ac:dyDescent="0.25">
      <c r="A96" s="110"/>
      <c r="B96" s="110"/>
      <c r="C96" s="104"/>
      <c r="D96" s="104"/>
      <c r="E96" s="105"/>
      <c r="F96" s="105"/>
      <c r="G96" s="95"/>
      <c r="H96" s="95"/>
    </row>
    <row r="97" spans="1:14" s="35" customFormat="1" hidden="1" x14ac:dyDescent="0.25">
      <c r="A97" s="106" t="s">
        <v>151</v>
      </c>
      <c r="B97" s="106"/>
      <c r="C97" s="107"/>
      <c r="D97" s="107"/>
      <c r="E97" s="108"/>
      <c r="F97" s="108"/>
      <c r="G97" s="109"/>
      <c r="H97" s="109"/>
    </row>
    <row r="98" spans="1:14" s="35" customFormat="1" x14ac:dyDescent="0.25">
      <c r="A98" s="106" t="s">
        <v>70</v>
      </c>
      <c r="B98" s="106"/>
      <c r="C98" s="106"/>
      <c r="D98" s="106"/>
      <c r="E98" s="106"/>
      <c r="F98" s="106"/>
      <c r="G98" s="106"/>
      <c r="H98" s="106"/>
    </row>
    <row r="99" spans="1:14" s="35" customFormat="1" ht="15.75" customHeight="1" x14ac:dyDescent="0.25">
      <c r="A99" s="109" t="s">
        <v>53</v>
      </c>
      <c r="B99" s="109"/>
      <c r="C99" s="107" t="s">
        <v>78</v>
      </c>
      <c r="D99" s="107"/>
      <c r="E99" s="108" t="s">
        <v>54</v>
      </c>
      <c r="F99" s="108"/>
      <c r="G99" s="109" t="s">
        <v>55</v>
      </c>
      <c r="H99" s="109"/>
    </row>
    <row r="100" spans="1:14" s="35" customFormat="1" x14ac:dyDescent="0.25">
      <c r="A100" s="110" t="s">
        <v>254</v>
      </c>
      <c r="B100" s="110"/>
      <c r="C100" s="112">
        <f>COUNT(D118:D125)+COUNT(D127:D134)*4</f>
        <v>40</v>
      </c>
      <c r="D100" s="112"/>
      <c r="E100" s="113">
        <f>SUM(D118:D125)+SUM(D127:D134)*4</f>
        <v>12664.384199999997</v>
      </c>
      <c r="F100" s="113"/>
      <c r="G100" s="113">
        <f>SUM(F118:F125)+SUM(F127:F134)*4</f>
        <v>18422.063946000002</v>
      </c>
      <c r="H100" s="113"/>
    </row>
    <row r="101" spans="1:14" s="35" customFormat="1" hidden="1" x14ac:dyDescent="0.25">
      <c r="A101" s="110"/>
      <c r="B101" s="110"/>
      <c r="C101" s="104"/>
      <c r="D101" s="104"/>
      <c r="E101" s="105"/>
      <c r="F101" s="105"/>
      <c r="G101" s="95"/>
      <c r="H101" s="95"/>
    </row>
    <row r="102" spans="1:14" s="35" customFormat="1" ht="16.5" hidden="1" thickBot="1" x14ac:dyDescent="0.3">
      <c r="A102" s="84" t="s">
        <v>151</v>
      </c>
      <c r="B102" s="84"/>
      <c r="C102" s="170">
        <f>SUM(C100:C101)</f>
        <v>40</v>
      </c>
      <c r="D102" s="171"/>
      <c r="E102" s="85">
        <f>SUM(E100:E101)</f>
        <v>12664.384199999997</v>
      </c>
      <c r="F102" s="86"/>
      <c r="G102" s="103">
        <f>SUM(G100:G101)</f>
        <v>18422.063946000002</v>
      </c>
      <c r="H102" s="103"/>
    </row>
    <row r="103" spans="1:14" s="35" customFormat="1" ht="16.5" hidden="1" thickBot="1" x14ac:dyDescent="0.3">
      <c r="A103" s="176" t="s">
        <v>167</v>
      </c>
      <c r="B103" s="177"/>
      <c r="C103" s="178">
        <f>C97+C102</f>
        <v>40</v>
      </c>
      <c r="D103" s="178"/>
      <c r="E103" s="179">
        <f>E97+E102</f>
        <v>12664.384199999997</v>
      </c>
      <c r="F103" s="179"/>
      <c r="G103" s="180">
        <f>G97+G102</f>
        <v>18422.063946000002</v>
      </c>
      <c r="H103" s="181"/>
    </row>
    <row r="104" spans="1:14" s="34" customFormat="1" x14ac:dyDescent="0.25">
      <c r="A104" s="172" t="s">
        <v>56</v>
      </c>
      <c r="B104" s="172"/>
      <c r="C104" s="172"/>
      <c r="D104" s="172"/>
      <c r="E104" s="172"/>
      <c r="F104" s="172"/>
      <c r="G104" s="172"/>
      <c r="H104" s="172"/>
    </row>
    <row r="105" spans="1:14" x14ac:dyDescent="0.25">
      <c r="A105" s="157" t="s">
        <v>175</v>
      </c>
      <c r="B105" s="157"/>
      <c r="C105" s="157"/>
      <c r="D105" s="157"/>
      <c r="E105" s="157"/>
      <c r="F105" s="157"/>
      <c r="G105" s="157"/>
      <c r="H105" s="157"/>
    </row>
    <row r="106" spans="1:14" ht="47.25" hidden="1" customHeight="1" x14ac:dyDescent="0.25">
      <c r="A106" s="87" t="s">
        <v>120</v>
      </c>
      <c r="B106" s="87" t="s">
        <v>177</v>
      </c>
      <c r="C106" s="87" t="s">
        <v>57</v>
      </c>
      <c r="D106" s="87" t="s">
        <v>58</v>
      </c>
      <c r="E106" s="89" t="s">
        <v>157</v>
      </c>
      <c r="F106" s="43" t="s">
        <v>150</v>
      </c>
      <c r="G106" s="91" t="s">
        <v>60</v>
      </c>
      <c r="H106" s="92"/>
    </row>
    <row r="107" spans="1:14" s="37" customFormat="1" hidden="1" x14ac:dyDescent="0.25">
      <c r="A107" s="88"/>
      <c r="B107" s="88"/>
      <c r="C107" s="88"/>
      <c r="D107" s="88"/>
      <c r="E107" s="90"/>
      <c r="F107" s="13">
        <v>0.45</v>
      </c>
      <c r="G107" s="93"/>
      <c r="H107" s="94"/>
    </row>
    <row r="108" spans="1:14" s="37" customFormat="1" hidden="1" x14ac:dyDescent="0.25">
      <c r="A108" s="79" t="s">
        <v>119</v>
      </c>
      <c r="B108" s="80"/>
      <c r="C108" s="80"/>
      <c r="D108" s="80"/>
      <c r="E108" s="80"/>
      <c r="F108" s="80"/>
      <c r="G108" s="80"/>
      <c r="H108" s="81"/>
      <c r="J108" s="36"/>
    </row>
    <row r="109" spans="1:14" s="37" customFormat="1" hidden="1" x14ac:dyDescent="0.25">
      <c r="A109" s="71">
        <v>1</v>
      </c>
      <c r="B109" s="72"/>
      <c r="C109" s="42"/>
      <c r="D109" s="42"/>
      <c r="E109" s="42">
        <v>0</v>
      </c>
      <c r="F109" s="42">
        <f>(D109+E109)*(($F$107)+1)</f>
        <v>0</v>
      </c>
      <c r="G109" s="71" t="str">
        <f>A108</f>
        <v>Ground Floor</v>
      </c>
      <c r="H109" s="72"/>
      <c r="I109" s="36"/>
      <c r="L109" s="70"/>
      <c r="M109" s="70"/>
      <c r="N109" s="36"/>
    </row>
    <row r="110" spans="1:14" s="37" customFormat="1" hidden="1" x14ac:dyDescent="0.25">
      <c r="A110" s="71">
        <f t="shared" ref="A110:A112" si="0">A109+1</f>
        <v>2</v>
      </c>
      <c r="B110" s="72"/>
      <c r="C110" s="42"/>
      <c r="D110" s="42"/>
      <c r="E110" s="42">
        <v>0</v>
      </c>
      <c r="F110" s="42">
        <f t="shared" ref="F110:F112" si="1">(D110+E110)*(($F$107)+1)</f>
        <v>0</v>
      </c>
      <c r="G110" s="71" t="str">
        <f t="shared" ref="G110:G112" si="2">G109</f>
        <v>Ground Floor</v>
      </c>
      <c r="H110" s="72"/>
      <c r="I110" s="36"/>
      <c r="L110" s="70"/>
      <c r="M110" s="70"/>
      <c r="N110" s="36"/>
    </row>
    <row r="111" spans="1:14" s="37" customFormat="1" hidden="1" x14ac:dyDescent="0.25">
      <c r="A111" s="71">
        <f t="shared" si="0"/>
        <v>3</v>
      </c>
      <c r="B111" s="72"/>
      <c r="C111" s="42"/>
      <c r="D111" s="42"/>
      <c r="E111" s="42">
        <v>0</v>
      </c>
      <c r="F111" s="42">
        <f t="shared" si="1"/>
        <v>0</v>
      </c>
      <c r="G111" s="71" t="str">
        <f t="shared" si="2"/>
        <v>Ground Floor</v>
      </c>
      <c r="H111" s="72"/>
      <c r="I111" s="36"/>
      <c r="L111" s="70"/>
      <c r="M111" s="70"/>
      <c r="N111" s="36"/>
    </row>
    <row r="112" spans="1:14" s="37" customFormat="1" hidden="1" x14ac:dyDescent="0.25">
      <c r="A112" s="71">
        <f t="shared" si="0"/>
        <v>4</v>
      </c>
      <c r="B112" s="72"/>
      <c r="C112" s="42"/>
      <c r="D112" s="42"/>
      <c r="E112" s="42">
        <v>0</v>
      </c>
      <c r="F112" s="42">
        <f t="shared" si="1"/>
        <v>0</v>
      </c>
      <c r="G112" s="71" t="str">
        <f t="shared" si="2"/>
        <v>Ground Floor</v>
      </c>
      <c r="H112" s="72"/>
      <c r="I112" s="36"/>
      <c r="L112" s="70"/>
      <c r="M112" s="70"/>
      <c r="N112" s="36"/>
    </row>
    <row r="113" spans="1:15" s="37" customFormat="1" hidden="1" x14ac:dyDescent="0.25">
      <c r="A113" s="71"/>
      <c r="B113" s="199"/>
      <c r="C113" s="199"/>
      <c r="D113" s="199"/>
      <c r="E113" s="199"/>
      <c r="F113" s="199"/>
      <c r="G113" s="199"/>
      <c r="H113" s="72"/>
      <c r="I113" s="36"/>
      <c r="N113" s="36"/>
    </row>
    <row r="114" spans="1:15" ht="47.25" customHeight="1" x14ac:dyDescent="0.25">
      <c r="A114" s="91" t="s">
        <v>121</v>
      </c>
      <c r="B114" s="87" t="s">
        <v>178</v>
      </c>
      <c r="C114" s="87" t="s">
        <v>57</v>
      </c>
      <c r="D114" s="87" t="s">
        <v>58</v>
      </c>
      <c r="E114" s="89" t="s">
        <v>59</v>
      </c>
      <c r="F114" s="43" t="s">
        <v>150</v>
      </c>
      <c r="G114" s="91" t="s">
        <v>60</v>
      </c>
      <c r="H114" s="92"/>
      <c r="I114" s="36"/>
    </row>
    <row r="115" spans="1:15" s="37" customFormat="1" x14ac:dyDescent="0.25">
      <c r="A115" s="93"/>
      <c r="B115" s="88"/>
      <c r="C115" s="88"/>
      <c r="D115" s="88"/>
      <c r="E115" s="90"/>
      <c r="F115" s="13">
        <v>0.45</v>
      </c>
      <c r="G115" s="93"/>
      <c r="H115" s="94"/>
      <c r="I115" s="36"/>
    </row>
    <row r="116" spans="1:15" s="37" customFormat="1" x14ac:dyDescent="0.25">
      <c r="A116" s="79" t="s">
        <v>254</v>
      </c>
      <c r="B116" s="80"/>
      <c r="C116" s="80"/>
      <c r="D116" s="80"/>
      <c r="E116" s="80"/>
      <c r="F116" s="80"/>
      <c r="G116" s="80"/>
      <c r="H116" s="81"/>
      <c r="J116" s="36"/>
    </row>
    <row r="117" spans="1:15" s="37" customFormat="1" x14ac:dyDescent="0.25">
      <c r="A117" s="79" t="s">
        <v>253</v>
      </c>
      <c r="B117" s="80"/>
      <c r="C117" s="80"/>
      <c r="D117" s="80"/>
      <c r="E117" s="80"/>
      <c r="F117" s="80"/>
      <c r="G117" s="80"/>
      <c r="H117" s="81"/>
      <c r="J117" s="58">
        <v>10.763999999999999</v>
      </c>
    </row>
    <row r="118" spans="1:15" s="37" customFormat="1" x14ac:dyDescent="0.25">
      <c r="A118" s="71">
        <v>1</v>
      </c>
      <c r="B118" s="72"/>
      <c r="C118" s="42" t="s">
        <v>257</v>
      </c>
      <c r="D118" s="58">
        <f>(27.27)*10.764</f>
        <v>293.53427999999997</v>
      </c>
      <c r="E118" s="42">
        <v>0</v>
      </c>
      <c r="F118" s="42">
        <f t="shared" ref="F118:F125" si="3">D118*(($F$115)+1)+(IF(E118&lt;101,E118,IF(E118&lt;201,E118/2,IF(E118&lt;=301,E118/3,E118/4))))</f>
        <v>425.62470599999995</v>
      </c>
      <c r="G118" s="71" t="str">
        <f>A117</f>
        <v>Ground Floor For Residential</v>
      </c>
      <c r="H118" s="72"/>
      <c r="I118" s="36">
        <f>4.3*2.75+2.75*2.1+2.7*2.45+1.2*2.1</f>
        <v>26.735000000000003</v>
      </c>
      <c r="K118" s="58">
        <f>(28.13)*10.764</f>
        <v>302.79131999999998</v>
      </c>
      <c r="L118" s="111">
        <f>K118-D118</f>
        <v>9.2570400000000177</v>
      </c>
      <c r="M118" s="70"/>
      <c r="N118" s="36">
        <f>3900*F118</f>
        <v>1659936.3533999999</v>
      </c>
      <c r="O118" s="36">
        <f>300000+N118</f>
        <v>1959936.3533999999</v>
      </c>
    </row>
    <row r="119" spans="1:15" s="37" customFormat="1" x14ac:dyDescent="0.25">
      <c r="A119" s="71">
        <f t="shared" ref="A119:A125" si="4">A118+1</f>
        <v>2</v>
      </c>
      <c r="B119" s="72"/>
      <c r="C119" s="42" t="s">
        <v>257</v>
      </c>
      <c r="D119" s="58">
        <f>(28.39)*10.764</f>
        <v>305.58995999999996</v>
      </c>
      <c r="E119" s="42">
        <v>0</v>
      </c>
      <c r="F119" s="42">
        <f t="shared" si="3"/>
        <v>443.10544199999993</v>
      </c>
      <c r="G119" s="71" t="str">
        <f t="shared" ref="G119:G125" si="5">G118</f>
        <v>Ground Floor For Residential</v>
      </c>
      <c r="H119" s="72"/>
      <c r="I119" s="57">
        <f>4.3*2.75+2.65*2.1+3.05*2.45+1.5*1.2+0.9*1.2+2*0.45</f>
        <v>28.642499999999998</v>
      </c>
      <c r="K119" s="58">
        <f>(29.45+0.9)*10.764</f>
        <v>326.68739999999997</v>
      </c>
      <c r="L119" s="111">
        <f t="shared" ref="L119:L125" si="6">K119-D119</f>
        <v>21.097440000000006</v>
      </c>
      <c r="M119" s="70"/>
      <c r="N119" s="36">
        <f t="shared" ref="N119:N125" si="7">3900*F119</f>
        <v>1728111.2237999998</v>
      </c>
      <c r="O119" s="36">
        <f t="shared" ref="O119:O125" si="8">300000+N119</f>
        <v>2028111.2237999998</v>
      </c>
    </row>
    <row r="120" spans="1:15" s="37" customFormat="1" x14ac:dyDescent="0.25">
      <c r="A120" s="71">
        <f t="shared" si="4"/>
        <v>3</v>
      </c>
      <c r="B120" s="72"/>
      <c r="C120" s="42" t="s">
        <v>257</v>
      </c>
      <c r="D120" s="58">
        <f>(28.39)*10.764</f>
        <v>305.58995999999996</v>
      </c>
      <c r="E120" s="42">
        <v>0</v>
      </c>
      <c r="F120" s="42">
        <f t="shared" si="3"/>
        <v>443.10544199999993</v>
      </c>
      <c r="G120" s="71" t="str">
        <f t="shared" si="5"/>
        <v>Ground Floor For Residential</v>
      </c>
      <c r="H120" s="72"/>
      <c r="I120" s="36"/>
      <c r="K120" s="58">
        <f>(29.45+0.9)*10.764</f>
        <v>326.68739999999997</v>
      </c>
      <c r="L120" s="111">
        <f t="shared" si="6"/>
        <v>21.097440000000006</v>
      </c>
      <c r="M120" s="70"/>
      <c r="N120" s="36">
        <f t="shared" si="7"/>
        <v>1728111.2237999998</v>
      </c>
      <c r="O120" s="36">
        <f t="shared" si="8"/>
        <v>2028111.2237999998</v>
      </c>
    </row>
    <row r="121" spans="1:15" s="37" customFormat="1" x14ac:dyDescent="0.25">
      <c r="A121" s="71">
        <f t="shared" si="4"/>
        <v>4</v>
      </c>
      <c r="B121" s="72"/>
      <c r="C121" s="42" t="s">
        <v>257</v>
      </c>
      <c r="D121" s="58">
        <f>(27.27)*10.764</f>
        <v>293.53427999999997</v>
      </c>
      <c r="E121" s="42">
        <v>0</v>
      </c>
      <c r="F121" s="42">
        <f t="shared" si="3"/>
        <v>425.62470599999995</v>
      </c>
      <c r="G121" s="71" t="str">
        <f t="shared" si="5"/>
        <v>Ground Floor For Residential</v>
      </c>
      <c r="H121" s="72"/>
      <c r="I121" s="36"/>
      <c r="K121" s="58">
        <f>(28.13)*10.764</f>
        <v>302.79131999999998</v>
      </c>
      <c r="L121" s="111">
        <f t="shared" si="6"/>
        <v>9.2570400000000177</v>
      </c>
      <c r="M121" s="70"/>
      <c r="N121" s="36">
        <f t="shared" si="7"/>
        <v>1659936.3533999999</v>
      </c>
      <c r="O121" s="36">
        <f t="shared" si="8"/>
        <v>1959936.3533999999</v>
      </c>
    </row>
    <row r="122" spans="1:15" s="37" customFormat="1" x14ac:dyDescent="0.25">
      <c r="A122" s="71">
        <f t="shared" si="4"/>
        <v>5</v>
      </c>
      <c r="B122" s="72"/>
      <c r="C122" s="42" t="s">
        <v>257</v>
      </c>
      <c r="D122" s="58">
        <f>(28.39)*10.764</f>
        <v>305.58995999999996</v>
      </c>
      <c r="E122" s="42">
        <v>0</v>
      </c>
      <c r="F122" s="42">
        <f t="shared" si="3"/>
        <v>443.10544199999993</v>
      </c>
      <c r="G122" s="71" t="str">
        <f t="shared" si="5"/>
        <v>Ground Floor For Residential</v>
      </c>
      <c r="H122" s="72"/>
      <c r="I122" s="36"/>
      <c r="K122" s="58">
        <f>(29.45+0.61)*10.764</f>
        <v>323.56583999999998</v>
      </c>
      <c r="L122" s="111">
        <f t="shared" si="6"/>
        <v>17.975880000000018</v>
      </c>
      <c r="M122" s="70"/>
      <c r="N122" s="36">
        <f t="shared" si="7"/>
        <v>1728111.2237999998</v>
      </c>
      <c r="O122" s="36">
        <f t="shared" si="8"/>
        <v>2028111.2237999998</v>
      </c>
    </row>
    <row r="123" spans="1:15" s="37" customFormat="1" x14ac:dyDescent="0.25">
      <c r="A123" s="71">
        <f t="shared" si="4"/>
        <v>6</v>
      </c>
      <c r="B123" s="72"/>
      <c r="C123" s="42" t="s">
        <v>257</v>
      </c>
      <c r="D123" s="58">
        <f>(29.93)*10.764</f>
        <v>322.16651999999999</v>
      </c>
      <c r="E123" s="42">
        <v>0</v>
      </c>
      <c r="F123" s="42">
        <f t="shared" si="3"/>
        <v>467.14145399999995</v>
      </c>
      <c r="G123" s="71" t="str">
        <f t="shared" si="5"/>
        <v>Ground Floor For Residential</v>
      </c>
      <c r="H123" s="72"/>
      <c r="I123" s="36"/>
      <c r="K123" s="58">
        <f>(31.13)*10.764</f>
        <v>335.08331999999996</v>
      </c>
      <c r="L123" s="111">
        <f t="shared" si="6"/>
        <v>12.916799999999967</v>
      </c>
      <c r="M123" s="70"/>
      <c r="N123" s="36">
        <f t="shared" si="7"/>
        <v>1821851.6705999998</v>
      </c>
      <c r="O123" s="36">
        <f t="shared" si="8"/>
        <v>2121851.6705999998</v>
      </c>
    </row>
    <row r="124" spans="1:15" s="37" customFormat="1" x14ac:dyDescent="0.25">
      <c r="A124" s="71">
        <f t="shared" si="4"/>
        <v>7</v>
      </c>
      <c r="B124" s="72"/>
      <c r="C124" s="42" t="s">
        <v>258</v>
      </c>
      <c r="D124" s="58">
        <f>(37.28)*10.764</f>
        <v>401.28192000000001</v>
      </c>
      <c r="E124" s="42">
        <v>0</v>
      </c>
      <c r="F124" s="42">
        <f t="shared" si="3"/>
        <v>581.85878400000001</v>
      </c>
      <c r="G124" s="71" t="str">
        <f t="shared" si="5"/>
        <v>Ground Floor For Residential</v>
      </c>
      <c r="H124" s="72"/>
      <c r="I124" s="36"/>
      <c r="K124" s="58">
        <f>(38.75+0.63)*10.764</f>
        <v>423.88632000000001</v>
      </c>
      <c r="L124" s="111">
        <f t="shared" si="6"/>
        <v>22.604399999999998</v>
      </c>
      <c r="M124" s="70"/>
      <c r="N124" s="36">
        <f t="shared" si="7"/>
        <v>2269249.2576000001</v>
      </c>
      <c r="O124" s="36">
        <f t="shared" si="8"/>
        <v>2569249.2576000001</v>
      </c>
    </row>
    <row r="125" spans="1:15" s="37" customFormat="1" x14ac:dyDescent="0.25">
      <c r="A125" s="71">
        <f t="shared" si="4"/>
        <v>8</v>
      </c>
      <c r="B125" s="72"/>
      <c r="C125" s="42" t="s">
        <v>257</v>
      </c>
      <c r="D125" s="58">
        <f>(28.39)*10.764</f>
        <v>305.58995999999996</v>
      </c>
      <c r="E125" s="42">
        <v>0</v>
      </c>
      <c r="F125" s="42">
        <f t="shared" si="3"/>
        <v>443.10544199999993</v>
      </c>
      <c r="G125" s="71" t="str">
        <f t="shared" si="5"/>
        <v>Ground Floor For Residential</v>
      </c>
      <c r="H125" s="72"/>
      <c r="I125" s="36"/>
      <c r="K125" s="58">
        <f>(29.35+0.9)*10.764</f>
        <v>325.61099999999999</v>
      </c>
      <c r="L125" s="111">
        <f t="shared" si="6"/>
        <v>20.021040000000028</v>
      </c>
      <c r="M125" s="70"/>
      <c r="N125" s="36">
        <f t="shared" si="7"/>
        <v>1728111.2237999998</v>
      </c>
      <c r="O125" s="36">
        <f t="shared" si="8"/>
        <v>2028111.2237999998</v>
      </c>
    </row>
    <row r="126" spans="1:15" s="37" customFormat="1" x14ac:dyDescent="0.25">
      <c r="A126" s="79" t="s">
        <v>266</v>
      </c>
      <c r="B126" s="80"/>
      <c r="C126" s="80"/>
      <c r="D126" s="80"/>
      <c r="E126" s="80"/>
      <c r="F126" s="80"/>
      <c r="G126" s="80"/>
      <c r="H126" s="81"/>
      <c r="J126" s="58">
        <v>10.763999999999999</v>
      </c>
    </row>
    <row r="127" spans="1:15" s="37" customFormat="1" x14ac:dyDescent="0.25">
      <c r="A127" s="71">
        <v>1</v>
      </c>
      <c r="B127" s="72"/>
      <c r="C127" s="42" t="s">
        <v>257</v>
      </c>
      <c r="D127" s="58">
        <f>(27.27)*10.764</f>
        <v>293.53427999999997</v>
      </c>
      <c r="E127" s="42">
        <v>0</v>
      </c>
      <c r="F127" s="42">
        <f>D127*1.5</f>
        <v>440.30141999999995</v>
      </c>
      <c r="G127" s="71" t="str">
        <f>A126</f>
        <v>1st  Floor</v>
      </c>
      <c r="H127" s="72"/>
      <c r="I127" s="58" t="s">
        <v>268</v>
      </c>
      <c r="K127" s="60">
        <v>45330</v>
      </c>
      <c r="L127" s="70" t="s">
        <v>269</v>
      </c>
      <c r="M127" s="70"/>
      <c r="N127" s="61">
        <f>F127/D127</f>
        <v>1.5</v>
      </c>
    </row>
    <row r="128" spans="1:15" s="37" customFormat="1" x14ac:dyDescent="0.25">
      <c r="A128" s="71">
        <f t="shared" ref="A128:A134" si="9">A127+1</f>
        <v>2</v>
      </c>
      <c r="B128" s="72"/>
      <c r="C128" s="42" t="s">
        <v>257</v>
      </c>
      <c r="D128" s="58">
        <f>(28.39)*10.764</f>
        <v>305.58995999999996</v>
      </c>
      <c r="E128" s="42">
        <v>0</v>
      </c>
      <c r="F128" s="42">
        <f t="shared" ref="F128:F134" si="10">D128*(($F$115)+1)+(IF(E128&lt;101,E128,IF(E128&lt;201,E128/2,IF(E128&lt;=301,E128/3,E128/4))))</f>
        <v>443.10544199999993</v>
      </c>
      <c r="G128" s="71" t="str">
        <f t="shared" ref="G128:G134" si="11">G127</f>
        <v>1st  Floor</v>
      </c>
      <c r="H128" s="72"/>
      <c r="I128" s="57"/>
      <c r="K128" s="37">
        <v>580</v>
      </c>
      <c r="L128" s="70">
        <f>K128/D127</f>
        <v>1.9759191328522177</v>
      </c>
      <c r="M128" s="70"/>
      <c r="N128" s="36"/>
    </row>
    <row r="129" spans="1:14" s="37" customFormat="1" x14ac:dyDescent="0.25">
      <c r="A129" s="71">
        <f t="shared" si="9"/>
        <v>3</v>
      </c>
      <c r="B129" s="72"/>
      <c r="C129" s="42" t="s">
        <v>257</v>
      </c>
      <c r="D129" s="58">
        <f>(28.39)*10.764</f>
        <v>305.58995999999996</v>
      </c>
      <c r="E129" s="42">
        <v>0</v>
      </c>
      <c r="F129" s="42">
        <f t="shared" si="10"/>
        <v>443.10544199999993</v>
      </c>
      <c r="G129" s="71" t="str">
        <f t="shared" si="11"/>
        <v>1st  Floor</v>
      </c>
      <c r="H129" s="72"/>
      <c r="I129" s="36"/>
      <c r="K129" s="37">
        <v>580</v>
      </c>
      <c r="L129" s="70">
        <f t="shared" ref="L129:L134" si="12">K129/D128</f>
        <v>1.8979681138738984</v>
      </c>
      <c r="M129" s="70"/>
      <c r="N129" s="36"/>
    </row>
    <row r="130" spans="1:14" s="37" customFormat="1" x14ac:dyDescent="0.25">
      <c r="A130" s="71">
        <f t="shared" si="9"/>
        <v>4</v>
      </c>
      <c r="B130" s="72"/>
      <c r="C130" s="42" t="s">
        <v>257</v>
      </c>
      <c r="D130" s="58">
        <f>(27.27)*10.764</f>
        <v>293.53427999999997</v>
      </c>
      <c r="E130" s="42">
        <v>0</v>
      </c>
      <c r="F130" s="42">
        <f t="shared" si="10"/>
        <v>425.62470599999995</v>
      </c>
      <c r="G130" s="71" t="str">
        <f t="shared" si="11"/>
        <v>1st  Floor</v>
      </c>
      <c r="H130" s="72"/>
      <c r="I130" s="36"/>
      <c r="K130" s="37">
        <v>580</v>
      </c>
      <c r="L130" s="70">
        <f t="shared" si="12"/>
        <v>1.8979681138738984</v>
      </c>
      <c r="M130" s="70"/>
      <c r="N130" s="36"/>
    </row>
    <row r="131" spans="1:14" s="37" customFormat="1" x14ac:dyDescent="0.25">
      <c r="A131" s="71">
        <f t="shared" si="9"/>
        <v>5</v>
      </c>
      <c r="B131" s="72"/>
      <c r="C131" s="42" t="s">
        <v>257</v>
      </c>
      <c r="D131" s="58">
        <f>(28.39)*10.764</f>
        <v>305.58995999999996</v>
      </c>
      <c r="E131" s="42">
        <v>0</v>
      </c>
      <c r="F131" s="42">
        <f t="shared" si="10"/>
        <v>443.10544199999993</v>
      </c>
      <c r="G131" s="71" t="str">
        <f t="shared" si="11"/>
        <v>1st  Floor</v>
      </c>
      <c r="H131" s="72"/>
      <c r="I131" s="36"/>
      <c r="K131" s="37">
        <v>580</v>
      </c>
      <c r="L131" s="70">
        <f t="shared" si="12"/>
        <v>1.9759191328522177</v>
      </c>
      <c r="M131" s="70"/>
      <c r="N131" s="36"/>
    </row>
    <row r="132" spans="1:14" s="37" customFormat="1" x14ac:dyDescent="0.25">
      <c r="A132" s="71">
        <f t="shared" si="9"/>
        <v>6</v>
      </c>
      <c r="B132" s="72"/>
      <c r="C132" s="42" t="s">
        <v>257</v>
      </c>
      <c r="D132" s="58">
        <f>(29.93)*10.764</f>
        <v>322.16651999999999</v>
      </c>
      <c r="E132" s="42">
        <v>0</v>
      </c>
      <c r="F132" s="42">
        <f t="shared" si="10"/>
        <v>467.14145399999995</v>
      </c>
      <c r="G132" s="71" t="str">
        <f t="shared" si="11"/>
        <v>1st  Floor</v>
      </c>
      <c r="H132" s="72"/>
      <c r="I132" s="36"/>
      <c r="K132" s="37">
        <v>580</v>
      </c>
      <c r="L132" s="70">
        <f t="shared" si="12"/>
        <v>1.8979681138738984</v>
      </c>
      <c r="M132" s="70"/>
      <c r="N132" s="36"/>
    </row>
    <row r="133" spans="1:14" s="37" customFormat="1" x14ac:dyDescent="0.25">
      <c r="A133" s="71">
        <f t="shared" si="9"/>
        <v>7</v>
      </c>
      <c r="B133" s="72"/>
      <c r="C133" s="42" t="s">
        <v>258</v>
      </c>
      <c r="D133" s="58">
        <f>(37.28)*10.764</f>
        <v>401.28192000000001</v>
      </c>
      <c r="E133" s="42">
        <v>0</v>
      </c>
      <c r="F133" s="42">
        <f t="shared" si="10"/>
        <v>581.85878400000001</v>
      </c>
      <c r="G133" s="71" t="str">
        <f t="shared" si="11"/>
        <v>1st  Floor</v>
      </c>
      <c r="H133" s="72"/>
      <c r="I133" s="36"/>
      <c r="K133" s="37">
        <v>810</v>
      </c>
      <c r="L133" s="70">
        <f t="shared" si="12"/>
        <v>2.5142277353959686</v>
      </c>
      <c r="M133" s="70"/>
      <c r="N133" s="36"/>
    </row>
    <row r="134" spans="1:14" s="37" customFormat="1" x14ac:dyDescent="0.25">
      <c r="A134" s="71">
        <f t="shared" si="9"/>
        <v>8</v>
      </c>
      <c r="B134" s="72"/>
      <c r="C134" s="42" t="s">
        <v>257</v>
      </c>
      <c r="D134" s="58">
        <f>(28.39)*10.764</f>
        <v>305.58995999999996</v>
      </c>
      <c r="E134" s="42">
        <v>0</v>
      </c>
      <c r="F134" s="42">
        <f t="shared" si="10"/>
        <v>443.10544199999993</v>
      </c>
      <c r="G134" s="71" t="str">
        <f t="shared" si="11"/>
        <v>1st  Floor</v>
      </c>
      <c r="H134" s="72"/>
      <c r="I134" s="36"/>
      <c r="K134" s="37">
        <v>580</v>
      </c>
      <c r="L134" s="70">
        <f t="shared" si="12"/>
        <v>1.445367885002145</v>
      </c>
      <c r="M134" s="70"/>
      <c r="N134" s="36"/>
    </row>
    <row r="135" spans="1:14" s="37" customFormat="1" x14ac:dyDescent="0.25">
      <c r="A135" s="79" t="s">
        <v>267</v>
      </c>
      <c r="B135" s="80"/>
      <c r="C135" s="80"/>
      <c r="D135" s="80"/>
      <c r="E135" s="80"/>
      <c r="F135" s="80"/>
      <c r="G135" s="80"/>
      <c r="H135" s="81"/>
      <c r="J135" s="58">
        <v>10.763999999999999</v>
      </c>
    </row>
    <row r="136" spans="1:14" s="37" customFormat="1" x14ac:dyDescent="0.25">
      <c r="A136" s="71">
        <v>1</v>
      </c>
      <c r="B136" s="72"/>
      <c r="C136" s="42" t="s">
        <v>257</v>
      </c>
      <c r="D136" s="58">
        <f>(27.27)*10.764</f>
        <v>293.53427999999997</v>
      </c>
      <c r="E136" s="42">
        <v>0</v>
      </c>
      <c r="F136" s="42">
        <f t="shared" ref="F136:F143" si="13">D136*(($F$115)+1)+(IF(E136&lt;101,E136,IF(E136&lt;201,E136/2,IF(E136&lt;=301,E136/3,E136/4))))</f>
        <v>425.62470599999995</v>
      </c>
      <c r="G136" s="71" t="str">
        <f>A135</f>
        <v>2nd to 4th Floor</v>
      </c>
      <c r="H136" s="72"/>
      <c r="I136" s="58">
        <f>(3.3*2.75+1.75*2.1+2.7*2.45+1.2*2.1+(2.75+2.1))*10.764</f>
        <v>287.77553999999998</v>
      </c>
      <c r="J136" s="37">
        <f>22.98+4.85</f>
        <v>27.83</v>
      </c>
      <c r="L136" s="70"/>
      <c r="M136" s="70"/>
      <c r="N136" s="36"/>
    </row>
    <row r="137" spans="1:14" s="37" customFormat="1" x14ac:dyDescent="0.25">
      <c r="A137" s="71">
        <f t="shared" ref="A137:A143" si="14">A136+1</f>
        <v>2</v>
      </c>
      <c r="B137" s="72"/>
      <c r="C137" s="42" t="s">
        <v>257</v>
      </c>
      <c r="D137" s="58">
        <f>(28.39)*10.764</f>
        <v>305.58995999999996</v>
      </c>
      <c r="E137" s="42">
        <v>0</v>
      </c>
      <c r="F137" s="42">
        <f t="shared" si="13"/>
        <v>443.10544199999993</v>
      </c>
      <c r="G137" s="71" t="str">
        <f t="shared" ref="G137:G143" si="15">G136</f>
        <v>2nd to 4th Floor</v>
      </c>
      <c r="H137" s="72"/>
      <c r="I137" s="57"/>
      <c r="K137" s="37">
        <v>580</v>
      </c>
      <c r="L137" s="70">
        <f>K137/D136</f>
        <v>1.9759191328522177</v>
      </c>
      <c r="M137" s="70"/>
      <c r="N137" s="36"/>
    </row>
    <row r="138" spans="1:14" s="37" customFormat="1" x14ac:dyDescent="0.25">
      <c r="A138" s="71">
        <f t="shared" si="14"/>
        <v>3</v>
      </c>
      <c r="B138" s="72"/>
      <c r="C138" s="42" t="s">
        <v>257</v>
      </c>
      <c r="D138" s="58">
        <f>(28.39)*10.764</f>
        <v>305.58995999999996</v>
      </c>
      <c r="E138" s="42">
        <v>0</v>
      </c>
      <c r="F138" s="42">
        <f t="shared" si="13"/>
        <v>443.10544199999993</v>
      </c>
      <c r="G138" s="71" t="str">
        <f t="shared" si="15"/>
        <v>2nd to 4th Floor</v>
      </c>
      <c r="H138" s="72"/>
      <c r="I138" s="36"/>
      <c r="K138" s="37">
        <v>580</v>
      </c>
      <c r="L138" s="70">
        <f t="shared" ref="L138:L143" si="16">K138/D137</f>
        <v>1.8979681138738984</v>
      </c>
      <c r="M138" s="70"/>
      <c r="N138" s="36"/>
    </row>
    <row r="139" spans="1:14" s="37" customFormat="1" x14ac:dyDescent="0.25">
      <c r="A139" s="71">
        <f t="shared" si="14"/>
        <v>4</v>
      </c>
      <c r="B139" s="72"/>
      <c r="C139" s="42" t="s">
        <v>257</v>
      </c>
      <c r="D139" s="58">
        <f>(27.27)*10.764</f>
        <v>293.53427999999997</v>
      </c>
      <c r="E139" s="42">
        <v>0</v>
      </c>
      <c r="F139" s="42">
        <f t="shared" si="13"/>
        <v>425.62470599999995</v>
      </c>
      <c r="G139" s="71" t="str">
        <f t="shared" si="15"/>
        <v>2nd to 4th Floor</v>
      </c>
      <c r="H139" s="72"/>
      <c r="I139" s="36"/>
      <c r="K139" s="37">
        <v>580</v>
      </c>
      <c r="L139" s="70">
        <f t="shared" si="16"/>
        <v>1.8979681138738984</v>
      </c>
      <c r="M139" s="70"/>
      <c r="N139" s="36"/>
    </row>
    <row r="140" spans="1:14" s="37" customFormat="1" x14ac:dyDescent="0.25">
      <c r="A140" s="71">
        <f t="shared" si="14"/>
        <v>5</v>
      </c>
      <c r="B140" s="72"/>
      <c r="C140" s="42" t="s">
        <v>257</v>
      </c>
      <c r="D140" s="58">
        <f>(28.39)*10.764</f>
        <v>305.58995999999996</v>
      </c>
      <c r="E140" s="42">
        <v>0</v>
      </c>
      <c r="F140" s="42">
        <f t="shared" si="13"/>
        <v>443.10544199999993</v>
      </c>
      <c r="G140" s="71" t="str">
        <f t="shared" si="15"/>
        <v>2nd to 4th Floor</v>
      </c>
      <c r="H140" s="72"/>
      <c r="I140" s="36"/>
      <c r="K140" s="37">
        <v>580</v>
      </c>
      <c r="L140" s="70">
        <f t="shared" si="16"/>
        <v>1.9759191328522177</v>
      </c>
      <c r="M140" s="70"/>
      <c r="N140" s="36"/>
    </row>
    <row r="141" spans="1:14" s="37" customFormat="1" x14ac:dyDescent="0.25">
      <c r="A141" s="71">
        <f t="shared" si="14"/>
        <v>6</v>
      </c>
      <c r="B141" s="72"/>
      <c r="C141" s="42" t="s">
        <v>257</v>
      </c>
      <c r="D141" s="58">
        <f>(29.93)*10.764</f>
        <v>322.16651999999999</v>
      </c>
      <c r="E141" s="42">
        <v>0</v>
      </c>
      <c r="F141" s="42">
        <f t="shared" si="13"/>
        <v>467.14145399999995</v>
      </c>
      <c r="G141" s="71" t="str">
        <f t="shared" si="15"/>
        <v>2nd to 4th Floor</v>
      </c>
      <c r="H141" s="72"/>
      <c r="I141" s="36"/>
      <c r="K141" s="37">
        <v>580</v>
      </c>
      <c r="L141" s="70">
        <f t="shared" si="16"/>
        <v>1.8979681138738984</v>
      </c>
      <c r="M141" s="70"/>
      <c r="N141" s="36"/>
    </row>
    <row r="142" spans="1:14" s="37" customFormat="1" x14ac:dyDescent="0.25">
      <c r="A142" s="71">
        <f t="shared" si="14"/>
        <v>7</v>
      </c>
      <c r="B142" s="72"/>
      <c r="C142" s="42" t="s">
        <v>258</v>
      </c>
      <c r="D142" s="58">
        <f>(37.28)*10.764</f>
        <v>401.28192000000001</v>
      </c>
      <c r="E142" s="42">
        <v>0</v>
      </c>
      <c r="F142" s="42">
        <f t="shared" si="13"/>
        <v>581.85878400000001</v>
      </c>
      <c r="G142" s="71" t="str">
        <f t="shared" si="15"/>
        <v>2nd to 4th Floor</v>
      </c>
      <c r="H142" s="72"/>
      <c r="I142" s="36"/>
      <c r="K142" s="37">
        <v>810</v>
      </c>
      <c r="L142" s="70">
        <f t="shared" si="16"/>
        <v>2.5142277353959686</v>
      </c>
      <c r="M142" s="70"/>
      <c r="N142" s="36"/>
    </row>
    <row r="143" spans="1:14" s="37" customFormat="1" x14ac:dyDescent="0.25">
      <c r="A143" s="71">
        <f t="shared" si="14"/>
        <v>8</v>
      </c>
      <c r="B143" s="72"/>
      <c r="C143" s="42" t="s">
        <v>257</v>
      </c>
      <c r="D143" s="58">
        <f>(28.39)*10.764</f>
        <v>305.58995999999996</v>
      </c>
      <c r="E143" s="42">
        <v>0</v>
      </c>
      <c r="F143" s="42">
        <f t="shared" si="13"/>
        <v>443.10544199999993</v>
      </c>
      <c r="G143" s="71" t="str">
        <f t="shared" si="15"/>
        <v>2nd to 4th Floor</v>
      </c>
      <c r="H143" s="72"/>
      <c r="I143" s="36"/>
      <c r="K143" s="37">
        <v>580</v>
      </c>
      <c r="L143" s="70">
        <f t="shared" si="16"/>
        <v>1.445367885002145</v>
      </c>
      <c r="M143" s="70"/>
      <c r="N143" s="36"/>
    </row>
    <row r="144" spans="1:14" s="35" customFormat="1" x14ac:dyDescent="0.25">
      <c r="A144" s="169" t="s">
        <v>68</v>
      </c>
      <c r="B144" s="169"/>
      <c r="C144" s="169"/>
      <c r="D144" s="169"/>
      <c r="E144" s="169"/>
      <c r="F144" s="169"/>
      <c r="G144" s="169"/>
      <c r="H144" s="169"/>
    </row>
    <row r="145" spans="1:8" s="35" customFormat="1" x14ac:dyDescent="0.25">
      <c r="A145" s="47" t="s">
        <v>154</v>
      </c>
      <c r="B145" s="182" t="s">
        <v>273</v>
      </c>
      <c r="C145" s="183"/>
      <c r="D145" s="183"/>
      <c r="E145" s="183"/>
      <c r="F145" s="183"/>
      <c r="G145" s="183"/>
      <c r="H145" s="184"/>
    </row>
    <row r="146" spans="1:8" s="35" customFormat="1" x14ac:dyDescent="0.25">
      <c r="A146" s="47" t="s">
        <v>154</v>
      </c>
      <c r="B146" s="166" t="str">
        <f>(IF(F114="Saleable area Loading :","We have considered Saleable area of Flats as per our Calculation.","We considered Saleable area of Flat as per Builder area Sheet."))</f>
        <v>We have considered Saleable area of Flats as per our Calculation.</v>
      </c>
      <c r="C146" s="167"/>
      <c r="D146" s="167"/>
      <c r="E146" s="167"/>
      <c r="F146" s="167"/>
      <c r="G146" s="167"/>
      <c r="H146" s="168"/>
    </row>
    <row r="147" spans="1:8" s="35" customFormat="1" x14ac:dyDescent="0.25">
      <c r="A147" s="47" t="s">
        <v>154</v>
      </c>
      <c r="B147" s="166" t="str">
        <f>(IF(F106="Saleable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47" s="167"/>
      <c r="D147" s="167"/>
      <c r="E147" s="167"/>
      <c r="F147" s="167"/>
      <c r="G147" s="167"/>
      <c r="H147" s="168"/>
    </row>
    <row r="148" spans="1:8" s="35" customFormat="1" x14ac:dyDescent="0.25">
      <c r="A148" s="47" t="s">
        <v>154</v>
      </c>
      <c r="B148" s="67" t="s">
        <v>124</v>
      </c>
      <c r="C148" s="68"/>
      <c r="D148" s="68"/>
      <c r="E148" s="68"/>
      <c r="F148" s="68"/>
      <c r="G148" s="68"/>
      <c r="H148" s="69"/>
    </row>
    <row r="149" spans="1:8" s="35" customFormat="1" x14ac:dyDescent="0.25">
      <c r="A149" s="47" t="s">
        <v>154</v>
      </c>
      <c r="B149" s="67" t="s">
        <v>259</v>
      </c>
      <c r="C149" s="68"/>
      <c r="D149" s="68"/>
      <c r="E149" s="68"/>
      <c r="F149" s="68"/>
      <c r="G149" s="68"/>
      <c r="H149" s="69"/>
    </row>
    <row r="150" spans="1:8" s="35" customFormat="1" x14ac:dyDescent="0.25">
      <c r="A150" s="47" t="s">
        <v>154</v>
      </c>
      <c r="B150" s="67" t="s">
        <v>153</v>
      </c>
      <c r="C150" s="68"/>
      <c r="D150" s="68"/>
      <c r="E150" s="68"/>
      <c r="F150" s="68"/>
      <c r="G150" s="68"/>
      <c r="H150" s="69"/>
    </row>
    <row r="151" spans="1:8" s="35" customFormat="1" x14ac:dyDescent="0.25">
      <c r="A151" s="47" t="s">
        <v>154</v>
      </c>
      <c r="B151" s="67" t="s">
        <v>125</v>
      </c>
      <c r="C151" s="68"/>
      <c r="D151" s="68"/>
      <c r="E151" s="68"/>
      <c r="F151" s="68"/>
      <c r="G151" s="68"/>
      <c r="H151" s="69"/>
    </row>
    <row r="152" spans="1:8" s="35" customFormat="1" ht="34.5" customHeight="1" x14ac:dyDescent="0.25">
      <c r="A152" s="47" t="s">
        <v>154</v>
      </c>
      <c r="B152" s="67" t="s">
        <v>155</v>
      </c>
      <c r="C152" s="68"/>
      <c r="D152" s="68"/>
      <c r="E152" s="68"/>
      <c r="F152" s="68"/>
      <c r="G152" s="68"/>
      <c r="H152" s="69"/>
    </row>
    <row r="153" spans="1:8" s="35" customFormat="1" x14ac:dyDescent="0.25">
      <c r="A153" s="64" t="s">
        <v>154</v>
      </c>
      <c r="B153" s="67" t="s">
        <v>126</v>
      </c>
      <c r="C153" s="68"/>
      <c r="D153" s="68"/>
      <c r="E153" s="68"/>
      <c r="F153" s="68"/>
      <c r="G153" s="68"/>
      <c r="H153" s="69"/>
    </row>
    <row r="154" spans="1:8" s="35" customFormat="1" ht="32.25" customHeight="1" x14ac:dyDescent="0.25">
      <c r="A154" s="65" t="s">
        <v>154</v>
      </c>
      <c r="B154" s="67" t="s">
        <v>275</v>
      </c>
      <c r="C154" s="68"/>
      <c r="D154" s="68"/>
      <c r="E154" s="68"/>
      <c r="F154" s="68"/>
      <c r="G154" s="68"/>
      <c r="H154" s="69"/>
    </row>
    <row r="155" spans="1:8" s="35" customFormat="1" ht="32.25" customHeight="1" x14ac:dyDescent="0.25">
      <c r="A155" s="47" t="s">
        <v>154</v>
      </c>
      <c r="B155" s="67" t="s">
        <v>279</v>
      </c>
      <c r="C155" s="68"/>
      <c r="D155" s="68"/>
      <c r="E155" s="68"/>
      <c r="F155" s="68"/>
      <c r="G155" s="68"/>
      <c r="H155" s="69"/>
    </row>
    <row r="156" spans="1:8" s="35" customFormat="1" ht="32.25" hidden="1" customHeight="1" x14ac:dyDescent="0.25">
      <c r="A156" s="47" t="s">
        <v>154</v>
      </c>
      <c r="B156" s="173" t="s">
        <v>179</v>
      </c>
      <c r="C156" s="174"/>
      <c r="D156" s="174"/>
      <c r="E156" s="174"/>
      <c r="F156" s="174"/>
      <c r="G156" s="174"/>
      <c r="H156" s="175"/>
    </row>
    <row r="157" spans="1:8" x14ac:dyDescent="0.25">
      <c r="A157" s="164" t="s">
        <v>61</v>
      </c>
      <c r="B157" s="164"/>
      <c r="C157" s="164"/>
      <c r="D157" s="164"/>
      <c r="E157" s="164"/>
      <c r="F157" s="164"/>
      <c r="G157" s="164"/>
      <c r="H157" s="164"/>
    </row>
    <row r="158" spans="1:8" x14ac:dyDescent="0.25">
      <c r="A158" s="73" t="s">
        <v>62</v>
      </c>
      <c r="B158" s="73"/>
      <c r="C158" s="73"/>
      <c r="D158" s="73"/>
      <c r="E158" s="73"/>
      <c r="F158" s="73"/>
      <c r="G158" s="73"/>
      <c r="H158" s="73"/>
    </row>
    <row r="159" spans="1:8" ht="15.75" customHeight="1" x14ac:dyDescent="0.25">
      <c r="A159" s="165" t="s">
        <v>63</v>
      </c>
      <c r="B159" s="165"/>
      <c r="C159" s="165"/>
      <c r="D159" s="165"/>
      <c r="E159" s="165"/>
      <c r="F159" s="165"/>
      <c r="G159" s="165"/>
      <c r="H159" s="165"/>
    </row>
    <row r="160" spans="1:8" x14ac:dyDescent="0.25">
      <c r="A160" s="73" t="s">
        <v>64</v>
      </c>
      <c r="B160" s="73"/>
      <c r="C160" s="73"/>
      <c r="D160" s="73"/>
      <c r="E160" s="73"/>
      <c r="F160" s="73"/>
      <c r="G160" s="73"/>
      <c r="H160" s="73"/>
    </row>
    <row r="161" spans="1:8" x14ac:dyDescent="0.25">
      <c r="A161" s="73" t="s">
        <v>65</v>
      </c>
      <c r="B161" s="73"/>
      <c r="C161" s="73"/>
      <c r="D161" s="73"/>
      <c r="E161" s="73"/>
      <c r="F161" s="73"/>
      <c r="G161" s="73"/>
      <c r="H161" s="73"/>
    </row>
    <row r="162" spans="1:8" x14ac:dyDescent="0.25">
      <c r="A162" s="73" t="s">
        <v>127</v>
      </c>
      <c r="B162" s="73"/>
      <c r="C162" s="73"/>
      <c r="D162" s="73"/>
      <c r="E162" s="73"/>
      <c r="F162" s="73"/>
      <c r="G162" s="73"/>
      <c r="H162" s="73"/>
    </row>
    <row r="163" spans="1:8" ht="33.950000000000003" customHeight="1" x14ac:dyDescent="0.25">
      <c r="A163" s="154" t="s">
        <v>128</v>
      </c>
      <c r="B163" s="154"/>
      <c r="C163" s="154"/>
      <c r="D163" s="154"/>
      <c r="E163" s="154"/>
      <c r="F163" s="154"/>
      <c r="G163" s="154"/>
      <c r="H163" s="154"/>
    </row>
    <row r="164" spans="1:8" x14ac:dyDescent="0.25">
      <c r="A164" s="161" t="s">
        <v>77</v>
      </c>
      <c r="B164" s="161"/>
      <c r="C164" s="162" t="s">
        <v>278</v>
      </c>
      <c r="D164" s="162"/>
      <c r="E164" s="161" t="s">
        <v>106</v>
      </c>
      <c r="F164" s="161"/>
      <c r="G164" s="162" t="s">
        <v>277</v>
      </c>
      <c r="H164" s="162"/>
    </row>
    <row r="165" spans="1:8" x14ac:dyDescent="0.25">
      <c r="A165" s="160" t="s">
        <v>79</v>
      </c>
      <c r="B165" s="160"/>
      <c r="C165" s="160"/>
      <c r="D165" s="160"/>
      <c r="E165" s="160"/>
      <c r="F165" s="160"/>
      <c r="G165" s="160"/>
      <c r="H165" s="160"/>
    </row>
    <row r="166" spans="1:8" x14ac:dyDescent="0.25">
      <c r="A166" s="160"/>
      <c r="B166" s="160"/>
      <c r="C166" s="160"/>
      <c r="D166" s="160"/>
      <c r="E166" s="160"/>
      <c r="F166" s="160"/>
      <c r="G166" s="160"/>
      <c r="H166" s="160"/>
    </row>
    <row r="167" spans="1:8" x14ac:dyDescent="0.25">
      <c r="A167" s="160"/>
      <c r="B167" s="160"/>
      <c r="C167" s="160"/>
      <c r="D167" s="160"/>
      <c r="E167" s="160"/>
      <c r="F167" s="160"/>
      <c r="G167" s="160"/>
      <c r="H167" s="160"/>
    </row>
    <row r="168" spans="1:8" x14ac:dyDescent="0.25">
      <c r="A168" s="160"/>
      <c r="B168" s="160"/>
      <c r="C168" s="160"/>
      <c r="D168" s="160"/>
      <c r="E168" s="160"/>
      <c r="F168" s="160"/>
      <c r="G168" s="160"/>
      <c r="H168" s="160"/>
    </row>
    <row r="169" spans="1:8" x14ac:dyDescent="0.25">
      <c r="A169" s="38" t="s">
        <v>66</v>
      </c>
      <c r="B169" s="39"/>
      <c r="C169" s="39"/>
      <c r="D169" s="38" t="str">
        <f>E8</f>
        <v>Anant Divya</v>
      </c>
      <c r="F169" s="39"/>
      <c r="G169" s="39"/>
      <c r="H169" s="39"/>
    </row>
    <row r="170" spans="1:8" x14ac:dyDescent="0.25">
      <c r="A170" s="39"/>
      <c r="B170" s="39"/>
      <c r="C170" s="39"/>
      <c r="D170" s="39"/>
      <c r="E170" s="39"/>
      <c r="F170" s="39"/>
      <c r="G170" s="39"/>
      <c r="H170" s="39"/>
    </row>
    <row r="171" spans="1:8" x14ac:dyDescent="0.25">
      <c r="A171" s="39"/>
      <c r="B171" s="39"/>
      <c r="C171" s="39"/>
      <c r="D171" s="39"/>
      <c r="E171" s="39"/>
      <c r="F171" s="39"/>
      <c r="G171" s="39"/>
      <c r="H171" s="39"/>
    </row>
    <row r="172" spans="1:8" ht="15" customHeight="1" x14ac:dyDescent="0.25"/>
    <row r="211" spans="1:1" x14ac:dyDescent="0.25">
      <c r="A211" s="41" t="s">
        <v>165</v>
      </c>
    </row>
    <row r="253" spans="1:1" x14ac:dyDescent="0.25">
      <c r="A253" s="41" t="s">
        <v>67</v>
      </c>
    </row>
  </sheetData>
  <mergeCells count="352">
    <mergeCell ref="L128:M128"/>
    <mergeCell ref="A129:B129"/>
    <mergeCell ref="G129:H129"/>
    <mergeCell ref="L129:M129"/>
    <mergeCell ref="A133:B133"/>
    <mergeCell ref="G133:H133"/>
    <mergeCell ref="L133:M133"/>
    <mergeCell ref="A134:B134"/>
    <mergeCell ref="G134:H134"/>
    <mergeCell ref="L134:M134"/>
    <mergeCell ref="A130:B130"/>
    <mergeCell ref="G130:H130"/>
    <mergeCell ref="L130:M130"/>
    <mergeCell ref="A131:B131"/>
    <mergeCell ref="G131:H131"/>
    <mergeCell ref="L131:M131"/>
    <mergeCell ref="A132:B132"/>
    <mergeCell ref="G132:H132"/>
    <mergeCell ref="L132:M132"/>
    <mergeCell ref="F83:H83"/>
    <mergeCell ref="A87:E87"/>
    <mergeCell ref="A113:H113"/>
    <mergeCell ref="E70:F79"/>
    <mergeCell ref="G70:H79"/>
    <mergeCell ref="A78:B78"/>
    <mergeCell ref="L125:M125"/>
    <mergeCell ref="A126:H126"/>
    <mergeCell ref="A127:B127"/>
    <mergeCell ref="G127:H127"/>
    <mergeCell ref="L127:M127"/>
    <mergeCell ref="G122:H122"/>
    <mergeCell ref="L122:M122"/>
    <mergeCell ref="A123:B123"/>
    <mergeCell ref="G123:H123"/>
    <mergeCell ref="L123:M123"/>
    <mergeCell ref="A124:B124"/>
    <mergeCell ref="G124:H124"/>
    <mergeCell ref="L124:M124"/>
    <mergeCell ref="A110:B110"/>
    <mergeCell ref="A118:B118"/>
    <mergeCell ref="A112:B112"/>
    <mergeCell ref="A111:B111"/>
    <mergeCell ref="L120:M120"/>
    <mergeCell ref="I14:P14"/>
    <mergeCell ref="F90:H90"/>
    <mergeCell ref="F88:H88"/>
    <mergeCell ref="A105:H105"/>
    <mergeCell ref="G94:H94"/>
    <mergeCell ref="A89:E89"/>
    <mergeCell ref="A53:B53"/>
    <mergeCell ref="C53:E53"/>
    <mergeCell ref="D55:H55"/>
    <mergeCell ref="F89:H89"/>
    <mergeCell ref="E94:F94"/>
    <mergeCell ref="A94:B94"/>
    <mergeCell ref="A96:B96"/>
    <mergeCell ref="C99:D99"/>
    <mergeCell ref="D63:H63"/>
    <mergeCell ref="A64:C64"/>
    <mergeCell ref="G69:H69"/>
    <mergeCell ref="F80:H80"/>
    <mergeCell ref="F85:H85"/>
    <mergeCell ref="A86:E86"/>
    <mergeCell ref="C52:H52"/>
    <mergeCell ref="F86:H86"/>
    <mergeCell ref="A88:E88"/>
    <mergeCell ref="E42:H42"/>
    <mergeCell ref="A42:D42"/>
    <mergeCell ref="A75:B75"/>
    <mergeCell ref="A49:B49"/>
    <mergeCell ref="C49:E49"/>
    <mergeCell ref="G49:H49"/>
    <mergeCell ref="G51:H51"/>
    <mergeCell ref="A50:B50"/>
    <mergeCell ref="A54:H54"/>
    <mergeCell ref="A55:C55"/>
    <mergeCell ref="A56:C56"/>
    <mergeCell ref="D56:H56"/>
    <mergeCell ref="G53:H53"/>
    <mergeCell ref="D64:H64"/>
    <mergeCell ref="A70:B70"/>
    <mergeCell ref="E69:F69"/>
    <mergeCell ref="A62:C62"/>
    <mergeCell ref="D62:H62"/>
    <mergeCell ref="A65:C65"/>
    <mergeCell ref="D65:H65"/>
    <mergeCell ref="A63:C63"/>
    <mergeCell ref="D60:H60"/>
    <mergeCell ref="A43:D43"/>
    <mergeCell ref="E43:H43"/>
    <mergeCell ref="E46:H46"/>
    <mergeCell ref="F87:H87"/>
    <mergeCell ref="C94:D94"/>
    <mergeCell ref="C102:D102"/>
    <mergeCell ref="A117:H117"/>
    <mergeCell ref="G121:H121"/>
    <mergeCell ref="A109:B109"/>
    <mergeCell ref="A158:H158"/>
    <mergeCell ref="E99:F99"/>
    <mergeCell ref="G111:H111"/>
    <mergeCell ref="G109:H109"/>
    <mergeCell ref="G110:H110"/>
    <mergeCell ref="G112:H112"/>
    <mergeCell ref="B151:H151"/>
    <mergeCell ref="B147:H147"/>
    <mergeCell ref="A104:H104"/>
    <mergeCell ref="G120:H120"/>
    <mergeCell ref="B156:H156"/>
    <mergeCell ref="A103:B103"/>
    <mergeCell ref="C103:D103"/>
    <mergeCell ref="E103:F103"/>
    <mergeCell ref="G103:H103"/>
    <mergeCell ref="B145:H145"/>
    <mergeCell ref="A162:H162"/>
    <mergeCell ref="A159:H159"/>
    <mergeCell ref="A99:B99"/>
    <mergeCell ref="D114:D115"/>
    <mergeCell ref="E114:E115"/>
    <mergeCell ref="G114:H115"/>
    <mergeCell ref="B146:H146"/>
    <mergeCell ref="A114:A115"/>
    <mergeCell ref="A128:B128"/>
    <mergeCell ref="G128:H128"/>
    <mergeCell ref="B155:H155"/>
    <mergeCell ref="B149:H149"/>
    <mergeCell ref="B148:H148"/>
    <mergeCell ref="A144:H144"/>
    <mergeCell ref="B152:H152"/>
    <mergeCell ref="B150:H150"/>
    <mergeCell ref="B154:H154"/>
    <mergeCell ref="A165:H168"/>
    <mergeCell ref="A164:B164"/>
    <mergeCell ref="E164:F164"/>
    <mergeCell ref="C164:D164"/>
    <mergeCell ref="G164:H164"/>
    <mergeCell ref="A93:H93"/>
    <mergeCell ref="A91:E91"/>
    <mergeCell ref="F91:H91"/>
    <mergeCell ref="A92:E92"/>
    <mergeCell ref="F92:H92"/>
    <mergeCell ref="A100:B100"/>
    <mergeCell ref="A95:B95"/>
    <mergeCell ref="A160:H160"/>
    <mergeCell ref="A98:H98"/>
    <mergeCell ref="A163:H163"/>
    <mergeCell ref="A161:H161"/>
    <mergeCell ref="A157:H157"/>
    <mergeCell ref="G99:H99"/>
    <mergeCell ref="A125:B125"/>
    <mergeCell ref="G125:H125"/>
    <mergeCell ref="A122:B122"/>
    <mergeCell ref="A140:B140"/>
    <mergeCell ref="G140:H140"/>
    <mergeCell ref="C106:C107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26:H26"/>
    <mergeCell ref="A28:D28"/>
    <mergeCell ref="E28:H28"/>
    <mergeCell ref="A25:D25"/>
    <mergeCell ref="E25:H25"/>
    <mergeCell ref="A24:D24"/>
    <mergeCell ref="E24:H24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F33:H33"/>
    <mergeCell ref="F34:H34"/>
    <mergeCell ref="A37:H37"/>
    <mergeCell ref="A36:B36"/>
    <mergeCell ref="C36:E36"/>
    <mergeCell ref="A41:D41"/>
    <mergeCell ref="E41:H41"/>
    <mergeCell ref="A40:H40"/>
    <mergeCell ref="A59:C59"/>
    <mergeCell ref="A60:C60"/>
    <mergeCell ref="D59:H59"/>
    <mergeCell ref="A38:B38"/>
    <mergeCell ref="C38:H38"/>
    <mergeCell ref="F36:H36"/>
    <mergeCell ref="A46:D46"/>
    <mergeCell ref="A47:H47"/>
    <mergeCell ref="D57:H57"/>
    <mergeCell ref="A57:C57"/>
    <mergeCell ref="G50:H50"/>
    <mergeCell ref="A51:B52"/>
    <mergeCell ref="C51:E51"/>
    <mergeCell ref="A58:C58"/>
    <mergeCell ref="D58:H58"/>
    <mergeCell ref="C50:E50"/>
    <mergeCell ref="E44:H44"/>
    <mergeCell ref="E45:H45"/>
    <mergeCell ref="L121:M121"/>
    <mergeCell ref="G118:H118"/>
    <mergeCell ref="L118:M118"/>
    <mergeCell ref="A119:B119"/>
    <mergeCell ref="G119:H119"/>
    <mergeCell ref="A45:D45"/>
    <mergeCell ref="L112:M112"/>
    <mergeCell ref="L111:M111"/>
    <mergeCell ref="L110:M110"/>
    <mergeCell ref="L109:M109"/>
    <mergeCell ref="A77:B77"/>
    <mergeCell ref="C100:D100"/>
    <mergeCell ref="E100:F100"/>
    <mergeCell ref="G100:H100"/>
    <mergeCell ref="A81:E81"/>
    <mergeCell ref="A76:B76"/>
    <mergeCell ref="A69:B69"/>
    <mergeCell ref="A72:B72"/>
    <mergeCell ref="A68:B68"/>
    <mergeCell ref="L119:M119"/>
    <mergeCell ref="A120:B120"/>
    <mergeCell ref="A66:B66"/>
    <mergeCell ref="C66:H66"/>
    <mergeCell ref="A79:B79"/>
    <mergeCell ref="A39:B39"/>
    <mergeCell ref="C39:H39"/>
    <mergeCell ref="A48:B48"/>
    <mergeCell ref="C48:H48"/>
    <mergeCell ref="F82:H82"/>
    <mergeCell ref="A82:E82"/>
    <mergeCell ref="D106:D107"/>
    <mergeCell ref="A84:E84"/>
    <mergeCell ref="A106:A107"/>
    <mergeCell ref="A90:E90"/>
    <mergeCell ref="G102:H102"/>
    <mergeCell ref="C96:D96"/>
    <mergeCell ref="E96:F96"/>
    <mergeCell ref="G96:H96"/>
    <mergeCell ref="A97:B97"/>
    <mergeCell ref="C97:D97"/>
    <mergeCell ref="E97:F97"/>
    <mergeCell ref="G97:H97"/>
    <mergeCell ref="A101:B101"/>
    <mergeCell ref="C101:D101"/>
    <mergeCell ref="E101:F101"/>
    <mergeCell ref="G101:H101"/>
    <mergeCell ref="C95:D95"/>
    <mergeCell ref="E95:F95"/>
    <mergeCell ref="A61:C61"/>
    <mergeCell ref="D61:H61"/>
    <mergeCell ref="C68:H68"/>
    <mergeCell ref="A71:B71"/>
    <mergeCell ref="A73:B73"/>
    <mergeCell ref="A135:H135"/>
    <mergeCell ref="A136:B136"/>
    <mergeCell ref="G136:H136"/>
    <mergeCell ref="A83:E83"/>
    <mergeCell ref="A80:E80"/>
    <mergeCell ref="F84:H84"/>
    <mergeCell ref="A85:E85"/>
    <mergeCell ref="A102:B102"/>
    <mergeCell ref="E102:F102"/>
    <mergeCell ref="C114:C115"/>
    <mergeCell ref="A121:B121"/>
    <mergeCell ref="A116:H116"/>
    <mergeCell ref="B114:B115"/>
    <mergeCell ref="A108:H108"/>
    <mergeCell ref="E106:E107"/>
    <mergeCell ref="G106:H107"/>
    <mergeCell ref="B106:B107"/>
    <mergeCell ref="F81:H81"/>
    <mergeCell ref="G95:H95"/>
    <mergeCell ref="I10:L10"/>
    <mergeCell ref="B153:H153"/>
    <mergeCell ref="L140:M140"/>
    <mergeCell ref="A141:B141"/>
    <mergeCell ref="G141:H141"/>
    <mergeCell ref="L141:M141"/>
    <mergeCell ref="A142:B142"/>
    <mergeCell ref="G142:H142"/>
    <mergeCell ref="L142:M142"/>
    <mergeCell ref="A143:B143"/>
    <mergeCell ref="G143:H143"/>
    <mergeCell ref="L143:M143"/>
    <mergeCell ref="L136:M136"/>
    <mergeCell ref="A137:B137"/>
    <mergeCell ref="G137:H137"/>
    <mergeCell ref="L137:M137"/>
    <mergeCell ref="A138:B138"/>
    <mergeCell ref="G138:H138"/>
    <mergeCell ref="L138:M138"/>
    <mergeCell ref="A139:B139"/>
    <mergeCell ref="G139:H139"/>
    <mergeCell ref="L139:M139"/>
    <mergeCell ref="A44:D44"/>
    <mergeCell ref="A74:B74"/>
  </mergeCells>
  <dataValidations count="13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E106:E107">
      <formula1>"Attached Loft area,Attached Terrace area,Attached Mezzanine area"</formula1>
    </dataValidation>
    <dataValidation type="list" allowBlank="1" showInputMessage="1" showErrorMessage="1" sqref="F107 F115">
      <formula1>"45%,50%,55%,60%"</formula1>
    </dataValidation>
    <dataValidation type="list" allowBlank="1" showInputMessage="1" showErrorMessage="1" sqref="G164:H164">
      <formula1>"Gaurav Panchal,Kunal Kadam,Pranita Mhatre,Shruti Fule,Pooja Kawale,Mansee Mohite,Anjali Kamble, Diptee Gotawade, Sachin Sawant"</formula1>
    </dataValidation>
    <dataValidation type="list" allowBlank="1" showInputMessage="1" showErrorMessage="1" sqref="F80:H80">
      <formula1>"On Saleable Area,On Builtup Area,On Carpet Area,On Plot Area"</formula1>
    </dataValidation>
    <dataValidation type="list" allowBlank="1" showInputMessage="1" showErrorMessage="1" sqref="F91:H91">
      <formula1>"100000,150000,200000,250000,300000,350000,400000,500000,600000,700000,800000,900000,1000000,1200000,1400000,1500000"</formula1>
    </dataValidation>
    <dataValidation type="list" allowBlank="1" showInputMessage="1" showErrorMessage="1" sqref="F106 F114">
      <formula1>"Saleable area Loading :,Builder Saleable area"</formula1>
    </dataValidation>
    <dataValidation type="list" allowBlank="1" showInputMessage="1" showErrorMessage="1" sqref="B106:B107">
      <formula1>"Shop No. (Sale Plan),Sale / Rehab,Sale / Mhada"</formula1>
    </dataValidation>
    <dataValidation type="list" allowBlank="1" showInputMessage="1" showErrorMessage="1" sqref="B114:B115">
      <formula1>"Flat No. (Sale Plan),Sale / Rehab,Sale / Mhada"</formula1>
    </dataValidation>
    <dataValidation type="list" allowBlank="1" showInputMessage="1" showErrorMessage="1" sqref="C20:D20">
      <formula1>OFFSET($S$12,1,MATCH($G19,$S$12:$W$12,0)-1,15,1)</formula1>
    </dataValidation>
    <dataValidation type="list" allowBlank="1" showInputMessage="1" showErrorMessage="1" sqref="Y12">
      <formula1>$D$4:$H$4</formula1>
    </dataValidation>
  </dataValidation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168" max="16383" man="1"/>
    <brk id="210" max="16383" man="1"/>
    <brk id="252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09" t="s">
        <v>107</v>
      </c>
      <c r="C3" s="209"/>
      <c r="D3" s="209"/>
      <c r="E3" s="209"/>
      <c r="F3" s="209"/>
      <c r="G3" s="209"/>
      <c r="H3" s="209"/>
    </row>
    <row r="4" spans="1:9" x14ac:dyDescent="0.25">
      <c r="A4" s="2"/>
      <c r="B4" s="3" t="s">
        <v>108</v>
      </c>
      <c r="C4" s="3" t="s">
        <v>109</v>
      </c>
      <c r="D4" s="3" t="s">
        <v>69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9" ht="15" customHeight="1" x14ac:dyDescent="0.25">
      <c r="A5" s="2"/>
      <c r="B5" s="5" t="s">
        <v>112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115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5" x14ac:dyDescent="0.25"/>
  <cols>
    <col min="4" max="4" width="11" bestFit="1" customWidth="1"/>
    <col min="5" max="5" width="10.42578125" bestFit="1" customWidth="1"/>
    <col min="8" max="8" width="10.5703125" bestFit="1" customWidth="1"/>
  </cols>
  <sheetData>
    <row r="3" spans="2:11" x14ac:dyDescent="0.25">
      <c r="J3">
        <v>1</v>
      </c>
      <c r="K3">
        <v>2</v>
      </c>
    </row>
    <row r="4" spans="2:11" x14ac:dyDescent="0.25">
      <c r="B4" s="55"/>
      <c r="C4" s="55" t="s">
        <v>12</v>
      </c>
      <c r="D4" s="56" t="s">
        <v>180</v>
      </c>
      <c r="E4" s="56" t="s">
        <v>190</v>
      </c>
      <c r="F4" s="56" t="s">
        <v>173</v>
      </c>
      <c r="G4" s="56" t="s">
        <v>195</v>
      </c>
      <c r="H4" s="56" t="s">
        <v>213</v>
      </c>
      <c r="J4" t="s">
        <v>195</v>
      </c>
      <c r="K4" t="s">
        <v>211</v>
      </c>
    </row>
    <row r="5" spans="2:11" x14ac:dyDescent="0.25">
      <c r="B5" s="55"/>
      <c r="C5" s="55"/>
      <c r="D5" s="56" t="s">
        <v>181</v>
      </c>
      <c r="E5" s="56" t="s">
        <v>188</v>
      </c>
      <c r="F5" s="56" t="s">
        <v>210</v>
      </c>
      <c r="G5" s="56" t="s">
        <v>196</v>
      </c>
      <c r="H5" s="56" t="s">
        <v>214</v>
      </c>
    </row>
    <row r="6" spans="2:11" x14ac:dyDescent="0.25">
      <c r="B6" s="55"/>
      <c r="C6" s="55"/>
      <c r="D6" s="56" t="s">
        <v>182</v>
      </c>
      <c r="E6" s="56" t="s">
        <v>189</v>
      </c>
      <c r="F6" s="56" t="s">
        <v>211</v>
      </c>
      <c r="G6" s="56" t="s">
        <v>197</v>
      </c>
      <c r="H6" s="56" t="s">
        <v>227</v>
      </c>
    </row>
    <row r="7" spans="2:11" x14ac:dyDescent="0.25">
      <c r="B7" s="55"/>
      <c r="C7" s="55"/>
      <c r="D7" s="56" t="s">
        <v>183</v>
      </c>
      <c r="E7" s="56" t="s">
        <v>191</v>
      </c>
      <c r="F7" s="56" t="s">
        <v>212</v>
      </c>
      <c r="G7" s="56" t="s">
        <v>198</v>
      </c>
      <c r="H7" s="56" t="s">
        <v>215</v>
      </c>
    </row>
    <row r="8" spans="2:11" x14ac:dyDescent="0.25">
      <c r="B8" s="55"/>
      <c r="C8" s="55"/>
      <c r="D8" s="56" t="s">
        <v>184</v>
      </c>
      <c r="E8" s="56" t="s">
        <v>192</v>
      </c>
      <c r="F8" s="56"/>
      <c r="G8" s="56" t="s">
        <v>199</v>
      </c>
      <c r="H8" s="56" t="s">
        <v>216</v>
      </c>
    </row>
    <row r="9" spans="2:11" x14ac:dyDescent="0.25">
      <c r="B9" s="55"/>
      <c r="C9" s="55"/>
      <c r="D9" s="56" t="s">
        <v>185</v>
      </c>
      <c r="E9" s="56" t="s">
        <v>190</v>
      </c>
      <c r="F9" s="56"/>
      <c r="G9" s="56" t="s">
        <v>200</v>
      </c>
      <c r="H9" s="56" t="s">
        <v>217</v>
      </c>
    </row>
    <row r="10" spans="2:11" x14ac:dyDescent="0.25">
      <c r="B10" s="55"/>
      <c r="C10" s="55"/>
      <c r="D10" s="56" t="s">
        <v>186</v>
      </c>
      <c r="E10" s="56" t="s">
        <v>193</v>
      </c>
      <c r="F10" s="56"/>
      <c r="G10" s="56" t="s">
        <v>201</v>
      </c>
      <c r="H10" s="56" t="s">
        <v>218</v>
      </c>
    </row>
    <row r="11" spans="2:11" x14ac:dyDescent="0.25">
      <c r="B11" s="55"/>
      <c r="C11" s="55"/>
      <c r="D11" s="56" t="s">
        <v>187</v>
      </c>
      <c r="E11" s="56" t="s">
        <v>194</v>
      </c>
      <c r="F11" s="56"/>
      <c r="G11" s="56" t="s">
        <v>202</v>
      </c>
      <c r="H11" s="56" t="s">
        <v>219</v>
      </c>
    </row>
    <row r="12" spans="2:11" x14ac:dyDescent="0.25">
      <c r="B12" s="55"/>
      <c r="C12" s="55"/>
      <c r="D12" s="56"/>
      <c r="E12" s="56"/>
      <c r="F12" s="56"/>
      <c r="G12" s="56" t="s">
        <v>203</v>
      </c>
      <c r="H12" s="56" t="s">
        <v>220</v>
      </c>
    </row>
    <row r="13" spans="2:11" x14ac:dyDescent="0.25">
      <c r="B13" s="55"/>
      <c r="C13" s="55"/>
      <c r="D13" s="56"/>
      <c r="E13" s="56"/>
      <c r="F13" s="56"/>
      <c r="G13" s="56" t="s">
        <v>204</v>
      </c>
      <c r="H13" s="56" t="s">
        <v>221</v>
      </c>
    </row>
    <row r="14" spans="2:11" x14ac:dyDescent="0.25">
      <c r="B14" s="55"/>
      <c r="C14" s="55"/>
      <c r="D14" s="56"/>
      <c r="E14" s="56"/>
      <c r="F14" s="56"/>
      <c r="G14" s="56" t="s">
        <v>205</v>
      </c>
      <c r="H14" s="56" t="s">
        <v>222</v>
      </c>
    </row>
    <row r="15" spans="2:11" x14ac:dyDescent="0.25">
      <c r="B15" s="55"/>
      <c r="C15" s="55"/>
      <c r="D15" s="56"/>
      <c r="E15" s="56"/>
      <c r="F15" s="56"/>
      <c r="G15" s="56" t="s">
        <v>206</v>
      </c>
      <c r="H15" s="56" t="s">
        <v>223</v>
      </c>
    </row>
    <row r="16" spans="2:11" x14ac:dyDescent="0.25">
      <c r="B16" s="55"/>
      <c r="C16" s="55"/>
      <c r="D16" s="56"/>
      <c r="E16" s="56"/>
      <c r="F16" s="56"/>
      <c r="G16" s="56" t="s">
        <v>207</v>
      </c>
      <c r="H16" s="56" t="s">
        <v>224</v>
      </c>
    </row>
    <row r="17" spans="2:8" x14ac:dyDescent="0.25">
      <c r="B17" s="55"/>
      <c r="C17" s="55"/>
      <c r="D17" s="56"/>
      <c r="E17" s="56"/>
      <c r="F17" s="56"/>
      <c r="G17" s="56" t="s">
        <v>208</v>
      </c>
      <c r="H17" s="56" t="s">
        <v>225</v>
      </c>
    </row>
    <row r="18" spans="2:8" x14ac:dyDescent="0.25">
      <c r="B18" s="55"/>
      <c r="C18" s="55"/>
      <c r="D18" s="56"/>
      <c r="E18" s="56"/>
      <c r="F18" s="56"/>
      <c r="G18" s="56" t="s">
        <v>209</v>
      </c>
      <c r="H18" s="56" t="s">
        <v>226</v>
      </c>
    </row>
    <row r="24" spans="2:8" x14ac:dyDescent="0.25">
      <c r="C24" t="s">
        <v>170</v>
      </c>
    </row>
    <row r="25" spans="2:8" x14ac:dyDescent="0.25">
      <c r="C25" t="s">
        <v>228</v>
      </c>
    </row>
    <row r="26" spans="2:8" x14ac:dyDescent="0.25">
      <c r="C26" t="s">
        <v>229</v>
      </c>
    </row>
    <row r="27" spans="2:8" x14ac:dyDescent="0.25">
      <c r="C27" t="s">
        <v>230</v>
      </c>
    </row>
    <row r="28" spans="2:8" x14ac:dyDescent="0.25">
      <c r="C28" t="s">
        <v>231</v>
      </c>
    </row>
    <row r="29" spans="2:8" x14ac:dyDescent="0.25">
      <c r="C29" t="s">
        <v>232</v>
      </c>
    </row>
    <row r="30" spans="2:8" x14ac:dyDescent="0.25">
      <c r="C30" t="s">
        <v>170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PC-51</cp:lastModifiedBy>
  <cp:lastPrinted>2025-07-10T09:02:30Z</cp:lastPrinted>
  <dcterms:created xsi:type="dcterms:W3CDTF">2019-07-16T09:29:46Z</dcterms:created>
  <dcterms:modified xsi:type="dcterms:W3CDTF">2025-07-10T10:21:10Z</dcterms:modified>
</cp:coreProperties>
</file>