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8658CBC3-FC11-466A-B35A-59EC62C39936}"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2" i="1" l="1"/>
  <c r="K72" i="1"/>
  <c r="I153" i="1" l="1"/>
  <c r="E177" i="1"/>
  <c r="D177" i="1"/>
  <c r="E176" i="1"/>
  <c r="D176" i="1"/>
  <c r="E175" i="1"/>
  <c r="D175" i="1"/>
  <c r="E173" i="1"/>
  <c r="D173" i="1"/>
  <c r="E172" i="1"/>
  <c r="D172" i="1"/>
  <c r="E171" i="1"/>
  <c r="D171" i="1"/>
  <c r="E170" i="1"/>
  <c r="D170" i="1"/>
  <c r="E166" i="1"/>
  <c r="D166" i="1"/>
  <c r="E165" i="1"/>
  <c r="D165" i="1"/>
  <c r="E164" i="1"/>
  <c r="D164" i="1"/>
  <c r="E163" i="1"/>
  <c r="D163" i="1"/>
  <c r="E159" i="1"/>
  <c r="D159" i="1"/>
  <c r="E158" i="1"/>
  <c r="D158" i="1"/>
  <c r="E157" i="1"/>
  <c r="D157" i="1"/>
  <c r="E156" i="1"/>
  <c r="D156" i="1"/>
  <c r="E155" i="1"/>
  <c r="D155" i="1"/>
  <c r="E154" i="1"/>
  <c r="D154" i="1"/>
  <c r="D147" i="1"/>
  <c r="F147" i="1" s="1"/>
  <c r="H147" i="1" s="1"/>
  <c r="D146" i="1"/>
  <c r="F146" i="1" s="1"/>
  <c r="H146" i="1" s="1"/>
  <c r="D145" i="1"/>
  <c r="F145" i="1" s="1"/>
  <c r="H145" i="1" s="1"/>
  <c r="A176" i="1"/>
  <c r="A177" i="1" s="1"/>
  <c r="A169" i="1"/>
  <c r="A170" i="1" s="1"/>
  <c r="A171" i="1" s="1"/>
  <c r="A172" i="1" s="1"/>
  <c r="A173" i="1" s="1"/>
  <c r="A162" i="1"/>
  <c r="A163" i="1" s="1"/>
  <c r="A164" i="1" s="1"/>
  <c r="A165" i="1" s="1"/>
  <c r="A166" i="1" s="1"/>
  <c r="C75" i="1"/>
  <c r="B76" i="1" s="1"/>
  <c r="F173" i="1" l="1"/>
  <c r="H173" i="1" s="1"/>
  <c r="F171" i="1"/>
  <c r="H171" i="1" s="1"/>
  <c r="F170" i="1"/>
  <c r="H170" i="1" s="1"/>
  <c r="G132" i="1"/>
  <c r="E132" i="1"/>
  <c r="C132" i="1"/>
  <c r="F177" i="1"/>
  <c r="H177" i="1" s="1"/>
  <c r="F176" i="1"/>
  <c r="H176" i="1" s="1"/>
  <c r="F175" i="1"/>
  <c r="H175" i="1" s="1"/>
  <c r="F172" i="1"/>
  <c r="H172" i="1" s="1"/>
  <c r="F163" i="1"/>
  <c r="H163" i="1" s="1"/>
  <c r="F158" i="1"/>
  <c r="H158" i="1" s="1"/>
  <c r="F165" i="1"/>
  <c r="H165" i="1" s="1"/>
  <c r="F166" i="1"/>
  <c r="H166" i="1" s="1"/>
  <c r="F164" i="1"/>
  <c r="H164" i="1" s="1"/>
  <c r="F159" i="1"/>
  <c r="H159" i="1" s="1"/>
  <c r="B180" i="1"/>
  <c r="G56" i="1" l="1"/>
  <c r="C56" i="1"/>
  <c r="C54" i="1"/>
  <c r="S33" i="1" l="1"/>
  <c r="F11" i="5" l="1"/>
  <c r="G11" i="5" s="1"/>
  <c r="F10" i="5"/>
  <c r="G10" i="5" s="1"/>
  <c r="F9" i="5"/>
  <c r="G9" i="5" s="1"/>
  <c r="F8" i="5"/>
  <c r="G8" i="5" s="1"/>
  <c r="F7" i="5"/>
  <c r="G7" i="5" s="1"/>
  <c r="F6" i="5"/>
  <c r="G6" i="5" s="1"/>
  <c r="F5" i="5"/>
  <c r="G5" i="5" s="1"/>
  <c r="G12" i="5" s="1"/>
  <c r="D203" i="1"/>
  <c r="B181" i="1"/>
  <c r="F157" i="1"/>
  <c r="H157" i="1" s="1"/>
  <c r="F156" i="1"/>
  <c r="H156" i="1" s="1"/>
  <c r="F155" i="1"/>
  <c r="H155" i="1" s="1"/>
  <c r="A155" i="1"/>
  <c r="A156" i="1" s="1"/>
  <c r="A157" i="1" s="1"/>
  <c r="A158" i="1" s="1"/>
  <c r="A159" i="1" s="1"/>
  <c r="F154" i="1"/>
  <c r="A146" i="1"/>
  <c r="A147" i="1" s="1"/>
  <c r="F129" i="1"/>
  <c r="C103" i="1"/>
  <c r="C89" i="1"/>
  <c r="G51" i="1"/>
  <c r="C51" i="1"/>
  <c r="E44" i="1"/>
  <c r="E45" i="1" s="1"/>
  <c r="E31" i="1"/>
  <c r="E28" i="1"/>
  <c r="E26" i="1"/>
  <c r="C16" i="1"/>
  <c r="I15" i="1"/>
  <c r="Z13" i="1"/>
  <c r="E8" i="1"/>
  <c r="E3" i="1"/>
  <c r="D69" i="1" s="1"/>
  <c r="H76" i="1"/>
  <c r="H90" i="1"/>
  <c r="H104" i="1"/>
  <c r="C82" i="1" l="1"/>
  <c r="H154" i="1"/>
  <c r="G135" i="1" s="1"/>
  <c r="G136" i="1" s="1"/>
  <c r="E135" i="1"/>
  <c r="E136" i="1" s="1"/>
  <c r="C135" i="1"/>
  <c r="C136" i="1" s="1"/>
  <c r="J78" i="1"/>
  <c r="J79" i="1"/>
  <c r="J80" i="1"/>
  <c r="C79" i="1" s="1"/>
  <c r="J94" i="1"/>
  <c r="E93" i="1"/>
  <c r="D98" i="1"/>
  <c r="D100" i="1"/>
  <c r="D94" i="1"/>
  <c r="J93" i="1"/>
  <c r="D99" i="1"/>
  <c r="J89" i="1"/>
  <c r="J91" i="1" s="1"/>
  <c r="D97" i="1"/>
  <c r="J92" i="1"/>
  <c r="D96" i="1"/>
  <c r="D102" i="1"/>
  <c r="D101" i="1"/>
  <c r="D95" i="1"/>
  <c r="D83" i="1"/>
  <c r="D85" i="1"/>
  <c r="D84" i="1"/>
  <c r="D88" i="1"/>
  <c r="D82" i="1"/>
  <c r="D87" i="1"/>
  <c r="D86" i="1"/>
  <c r="C109" i="1"/>
  <c r="J103" i="1" s="1"/>
  <c r="J105" i="1" s="1"/>
  <c r="D112" i="1"/>
  <c r="D114" i="1"/>
  <c r="J108" i="1"/>
  <c r="C107" i="1" s="1"/>
  <c r="D107" i="1" s="1"/>
  <c r="D113" i="1"/>
  <c r="J107" i="1"/>
  <c r="D111" i="1"/>
  <c r="J106" i="1"/>
  <c r="D110" i="1"/>
  <c r="D116" i="1"/>
  <c r="D115" i="1"/>
  <c r="B104" i="1"/>
  <c r="B90" i="1"/>
  <c r="J81" i="1"/>
  <c r="D81" i="1" l="1"/>
  <c r="J75" i="1"/>
  <c r="J77" i="1" s="1"/>
  <c r="K83" i="1"/>
  <c r="K84" i="1"/>
  <c r="C93" i="1"/>
  <c r="D93" i="1" s="1"/>
  <c r="I90" i="1" s="1"/>
  <c r="I91" i="1" s="1"/>
  <c r="D79" i="1"/>
  <c r="D109" i="1"/>
  <c r="J114" i="1"/>
  <c r="J111" i="1"/>
  <c r="J113" i="1"/>
  <c r="J112" i="1"/>
  <c r="J109" i="1"/>
  <c r="J110" i="1" s="1"/>
  <c r="J115" i="1" s="1"/>
  <c r="J116" i="1" s="1"/>
  <c r="C108" i="1" s="1"/>
  <c r="J100" i="1"/>
  <c r="J97" i="1"/>
  <c r="J99" i="1"/>
  <c r="J98" i="1"/>
  <c r="J95" i="1"/>
  <c r="J96" i="1" s="1"/>
  <c r="J85" i="1"/>
  <c r="J83" i="1"/>
  <c r="J84" i="1"/>
  <c r="J82" i="1"/>
  <c r="J87" i="1" s="1"/>
  <c r="J88" i="1" s="1"/>
  <c r="C80" i="1" s="1"/>
  <c r="J86" i="1"/>
  <c r="G93" i="1" l="1"/>
  <c r="J76" i="1"/>
  <c r="J101" i="1"/>
  <c r="J102" i="1" s="1"/>
  <c r="J90" i="1" s="1"/>
  <c r="I89" i="1" s="1"/>
  <c r="C91" i="1" s="1"/>
  <c r="E107" i="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kunal kadam</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C83" authorId="2" shapeId="0" xr:uid="{00000000-0006-0000-0000-000007000000}">
      <text>
        <r>
          <rPr>
            <b/>
            <sz val="10"/>
            <color indexed="81"/>
            <rFont val="Tahoma"/>
            <family val="2"/>
          </rPr>
          <t>kunal kadam:</t>
        </r>
        <r>
          <rPr>
            <sz val="10"/>
            <color indexed="81"/>
            <rFont val="Tahoma"/>
            <family val="2"/>
          </rPr>
          <t xml:space="preserve">
mivan</t>
        </r>
      </text>
    </comment>
    <comment ref="F122" authorId="1" shapeId="0" xr:uid="{00000000-0006-0000-0000-000008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0" authorId="1" shapeId="0" xr:uid="{00000000-0006-0000-0000-000009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<sst xmlns="http://schemas.openxmlformats.org/spreadsheetml/2006/main" count="622" uniqueCount="357">
  <si>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</si>
  <si>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</si>
  <si>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</si>
  <si>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</si>
  <si>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</si>
  <si>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</si>
  <si>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</si>
  <si>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</si>
  <si>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</si>
  <si>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</si>
  <si>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</si>
  <si>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</si>
  <si>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</si>
  <si>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</si>
  <si>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</si>
  <si>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</si>
  <si>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</si>
  <si>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</si>
  <si>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</si>
  <si>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</si>
  <si>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</si>
  <si>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</si>
  <si>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</si>
  <si>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</si>
  <si>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</si>
  <si>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</si>
  <si>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</si>
  <si>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</si>
  <si>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</si>
  <si>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</si>
  <si>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</si>
  <si>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</si>
  <si>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</si>
  <si>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</si>
  <si>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</si>
  <si>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</si>
  <si>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</si>
  <si>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</si>
  <si>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</si>
  <si>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</si>
  <si>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</si>
  <si>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</si>
  <si>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</si>
  <si>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</si>
  <si>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</si>
  <si>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</si>
  <si>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</si>
  <si>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</si>
  <si>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</si>
  <si>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</si>
  <si>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</si>
  <si>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</si>
  <si>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</si>
  <si>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</si>
  <si>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</si>
  <si>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</si>
  <si>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</si>
  <si>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</si>
  <si>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</si>
  <si>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</si>
  <si>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</si>
  <si>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</si>
  <si>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</si>
  <si>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</si>
  <si>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</si>
  <si>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</si>
  <si>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</si>
  <si>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</si>
  <si>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</si>
  <si>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</si>
  <si>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</si>
  <si>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</si>
  <si>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</si>
  <si>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</si>
  <si>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</si>
  <si>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</si>
  <si>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</si>
  <si>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</si>
  <si>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</si>
  <si>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</si>
  <si>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</si>
  <si>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</si>
  <si>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</si>
  <si>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</si>
  <si>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</si>
  <si>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</si>
  <si>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</si>
  <si>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</si>
  <si>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</si>
  <si>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</si>
  <si>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</si>
  <si>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</si>
  <si>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</si>
  <si>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</si>
  <si>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</si>
  <si>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</si>
  <si>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</si>
  <si>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</si>
  <si>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</si>
  <si>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</si>
  <si>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</si>
  <si>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</si>
  <si>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</si>
  <si>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</si>
  <si>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</si>
  <si>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</si>
  <si>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</si>
  <si>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</si>
  <si>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</si>
  <si>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</si>
  <si>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</si>
  <si>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</si>
  <si>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</si>
  <si>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</si>
  <si>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</si>
  <si>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</si>
  <si>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</si>
  <si>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</si>
  <si>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</si>
  <si>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</si>
  <si>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</si>
  <si>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</si>
  <si>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</si>
  <si>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</si>
  <si>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</si>
  <si>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</si>
  <si>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</si>
  <si>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</si>
  <si>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</si>
  <si>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</si>
  <si>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</si>
  <si>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</si>
  <si>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</si>
  <si>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</si>
  <si>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</si>
  <si>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</si>
  <si>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</si>
  <si>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</si>
  <si>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</si>
  <si>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</si>
  <si>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</si>
  <si>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</si>
  <si>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</si>
  <si>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</si>
  <si>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</si>
  <si>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</si>
  <si>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</si>
  <si>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</si>
  <si>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</si>
  <si>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</si>
  <si>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</si>
  <si>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</si>
  <si>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</si>
  <si>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</si>
  <si>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</si>
  <si>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</si>
  <si>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</si>
  <si>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</si>
  <si>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</si>
  <si>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</si>
  <si>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</si>
  <si>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</si>
  <si>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</si>
  <si>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</si>
  <si>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</si>
  <si>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</si>
  <si>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</si>
  <si>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</si>
  <si>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</si>
  <si>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</si>
  <si>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</si>
  <si>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</si>
  <si>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</si>
  <si>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</si>
  <si>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</si>
  <si>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</si>
  <si>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</si>
  <si>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</si>
  <si>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</si>
  <si>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</si>
  <si>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</si>
  <si>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</si>
  <si>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</si>
  <si>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</si>
  <si>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</si>
  <si>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</si>
  <si>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</si>
  <si>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</si>
  <si>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</si>
  <si>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</si>
  <si>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</si>
  <si>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</si>
  <si>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</si>
  <si>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</si>
  <si>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</si>
  <si>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</si>
  <si>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</si>
  <si>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</si>
  <si>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</si>
  <si>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</si>
  <si>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</si>
  <si>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</si>
  <si>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</si>
  <si>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</si>
  <si>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</si>
  <si>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</si>
  <si>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</si>
  <si>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</si>
  <si>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</si>
  <si>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</si>
  <si>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</si>
  <si>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</si>
  <si>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</si>
  <si>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</si>
  <si>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</si>
  <si>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</si>
  <si>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</si>
  <si>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</si>
  <si>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</si>
  <si>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</si>
  <si>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</si>
  <si>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</si>
  <si>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</si>
  <si>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</si>
  <si>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</si>
  <si>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</si>
  <si>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</si>
  <si>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</si>
  <si>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</si>
  <si>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</si>
  <si>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</si>
  <si>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</si>
  <si>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</si>
  <si>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</si>
  <si>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</si>
  <si>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</si>
  <si>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</si>
  <si>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</si>
  <si>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</si>
  <si>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</si>
  <si>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</si>
  <si>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</si>
  <si>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</si>
  <si>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</si>
  <si>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</si>
  <si>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</si>
  <si>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</si>
  <si>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</si>
  <si>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</si>
  <si>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</si>
  <si>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</si>
  <si>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</si>
  <si>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</si>
  <si>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</si>
  <si>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</si>
  <si>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</si>
  <si>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</si>
  <si>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</si>
  <si>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</si>
  <si>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</si>
  <si>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</si>
  <si>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</si>
  <si>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</si>
  <si>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</si>
  <si>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</si>
  <si>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</si>
  <si>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</si>
  <si>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</si>
  <si>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</si>
  <si>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</si>
  <si>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</si>
  <si>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</si>
  <si>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</si>
  <si>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</si>
  <si>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</si>
  <si>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</si>
  <si>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</si>
  <si>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</si>
  <si>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</si>
  <si>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</si>
  <si>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</si>
  <si>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</si>
  <si>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</si>
  <si>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</si>
  <si>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</si>
  <si>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</si>
  <si>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</si>
  <si>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</si>
  <si>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</si>
  <si>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</si>
  <si>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</si>
  <si>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</si>
  <si>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</si>
  <si>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Dimple Realtors Private Limited</t>
  </si>
  <si>
    <t>73 East</t>
  </si>
  <si>
    <t>Ms Ankita ( Dimple Group) 9920096818</t>
  </si>
  <si>
    <t>Mr Sunny Dsouza 9920096818</t>
  </si>
  <si>
    <t>Approved Plans &amp; CC.</t>
  </si>
  <si>
    <t>P51800015343</t>
  </si>
  <si>
    <t>692, 693, 694, 710, 711/B, 711/C, 719, 721 &amp; 722</t>
  </si>
  <si>
    <t>Kandivali</t>
  </si>
  <si>
    <t>Kandivali West</t>
  </si>
  <si>
    <t>19.206761,72.832786</t>
  </si>
  <si>
    <t>https://maps.app.goo.gl/E8LysZfk4dMEAVhg9</t>
  </si>
  <si>
    <t>Mahatma Gandi Road</t>
  </si>
  <si>
    <t>Building</t>
  </si>
  <si>
    <t>East Road/Paras The Golden Touch</t>
  </si>
  <si>
    <t>27.45 M. Wide D.P. Road</t>
  </si>
  <si>
    <t>13.40 M. Wide Road</t>
  </si>
  <si>
    <t>Sub Plot A/ Other Plot</t>
  </si>
  <si>
    <t>Internal Road/Parkview By Shreeji Construction</t>
  </si>
  <si>
    <t>SRA/DDPT/3915/RS/PL/AP</t>
  </si>
  <si>
    <t>SRA/DDTP/3915/RS/PL/AP</t>
  </si>
  <si>
    <t>This C.C is further extended for RCC framework from 33rd to 38th (marked as A to H in plan) upper floor and for core area of stairecase, lift &amp; lobby, portion in the form of RCC frame work from 39th floor to 40th upper floor + OHT + LMR(marked as A to F in plan) as per last amended plans dated 08/09/2022</t>
  </si>
  <si>
    <t>As per RERA - 30/12/2025</t>
  </si>
  <si>
    <r>
      <t xml:space="preserve">Proposed Amenities :                                                                                                                                                                                                                         </t>
    </r>
    <r>
      <rPr>
        <b/>
        <sz val="12"/>
        <rFont val="Times New Roman"/>
        <family val="1"/>
      </rPr>
      <t xml:space="preserve">                                               </t>
    </r>
  </si>
  <si>
    <t>Swimming Pool, Kids Play Area, Gymnasium, Jacuzzi/Steam Room, Meditation/Yoga Room, Multipurpose Banquet, Garden, Capes &amp; Podium, Indoor Games, Jogging Space, Senior Citizen Area, etc.</t>
  </si>
  <si>
    <t>https://www.73east.in/</t>
  </si>
  <si>
    <t>RNA Regency Park</t>
  </si>
  <si>
    <t>Sale Building</t>
  </si>
  <si>
    <t xml:space="preserve">Sale Building = 1B + Gr + 1st to 9th Podium + 1st to 40th Floor </t>
  </si>
  <si>
    <t>Basement Floor For Store Room &amp; Parking</t>
  </si>
  <si>
    <t>2nd to 8th Podium Floor For Parking</t>
  </si>
  <si>
    <t>9th Podium Floor (E - Deck) For Swimming Pool, Jacuzzi, 
Kids Play Area, Fitness Centre &amp; Other Amenities</t>
  </si>
  <si>
    <t>2nd to 7th, 9th to 14th, 16th to 21st, 23rd to 28th &amp; 30th to 35th Floor For Residential</t>
  </si>
  <si>
    <t>2BHK</t>
  </si>
  <si>
    <t>3BHK</t>
  </si>
  <si>
    <t>Refuge Area</t>
  </si>
  <si>
    <t>1st, 8th, 15th, 22nd &amp; 29th Floor (Part Refuge Area)</t>
  </si>
  <si>
    <t>36th Floor (Part Refuge Area &amp; Society Office)</t>
  </si>
  <si>
    <t>Refuge Area &amp; Society Office</t>
  </si>
  <si>
    <t>37th to 40th Floor</t>
  </si>
  <si>
    <t>4BHK</t>
  </si>
  <si>
    <t>6BHK</t>
  </si>
  <si>
    <t>We considered Gross carpet area = Net carpet + Balcony + Deck Area.</t>
  </si>
  <si>
    <t>Balcony + Deck Area</t>
  </si>
  <si>
    <t>Sale Building Flats</t>
  </si>
  <si>
    <t>Sale Building Shops</t>
  </si>
  <si>
    <t>Flats - 216, Shops - 03</t>
  </si>
  <si>
    <t>Mahatma Gandi Nagar</t>
  </si>
  <si>
    <t>Sale Building (Sub Plot B)</t>
  </si>
  <si>
    <t>2.6KM from Kandivali Railway Station</t>
  </si>
  <si>
    <t>Approved area of building (Sq.Mt)
Sale Building</t>
  </si>
  <si>
    <t>01 Wing</t>
  </si>
  <si>
    <t>Duplex Shop</t>
  </si>
  <si>
    <t>Ground Floor + 1st Podium Floor For Commercial (Duplex Shop)</t>
  </si>
  <si>
    <t>Ground Floor For Entrance Lobby &amp; Parking</t>
  </si>
  <si>
    <t>Recommended rate of the Shop Per Sq. Ft. (Duplex Shop)</t>
  </si>
  <si>
    <t>Floor Rise Rate from 2nd Floor</t>
  </si>
  <si>
    <t>Construction work is in process at the time of Visit.</t>
  </si>
  <si>
    <t>We have updated part OC from RERA site. (On 13/01/2025)</t>
  </si>
  <si>
    <t xml:space="preserve">Part O. Certificate No.: 
Valid Up to: </t>
  </si>
  <si>
    <t>Gr + 1st commercial &amp; part podium</t>
  </si>
  <si>
    <t xml:space="preserve">O. Certificate No.: </t>
  </si>
  <si>
    <t>Mr. Sanmay 9920096818</t>
  </si>
  <si>
    <t>Gaurav Panchal</t>
  </si>
  <si>
    <t>Mr. Sanket Salvi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</si>
</sst>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0"/>
      <color indexed="81"/>
      <name val="Tahoma"/>
      <family val="2"/>
    </font>
    <font>
      <b/>
      <sz val="10"/>
      <color indexed="81"/>
      <name val="Tahoma"/>
      <family val="2"/>
    </font>
    <font>
      <b/>
      <sz val="1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27" fillId="0" borderId="0" xfId="10"/>
    <xf numFmtId="0" fontId="7" fillId="0" borderId="0" xfId="1" applyFont="1" applyAlignment="1">
      <alignment horizontal="center" vertical="center"/>
    </xf>
    <xf numFmtId="9" fontId="13" fillId="0" borderId="16"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1" fontId="12" fillId="0" borderId="1" xfId="1" applyNumberFormat="1" applyFont="1" applyBorder="1" applyAlignment="1" applyProtection="1">
      <alignment horizontal="center" vertical="top" wrapText="1"/>
      <protection locked="0"/>
    </xf>
    <xf numFmtId="0" fontId="13" fillId="0" borderId="0" xfId="1" applyFont="1"/>
    <xf numFmtId="0" fontId="13" fillId="0" borderId="1" xfId="1" applyFont="1" applyBorder="1" applyAlignment="1" applyProtection="1">
      <alignment vertical="top" wrapText="1"/>
      <protection locked="0"/>
    </xf>
    <xf numFmtId="0" fontId="33" fillId="0" borderId="0" xfId="0" applyFont="1"/>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3" borderId="8" xfId="1" applyFont="1" applyFill="1" applyBorder="1" applyAlignment="1" applyProtection="1">
      <alignment horizontal="left" vertical="top" wrapText="1"/>
      <protection locked="0"/>
    </xf>
    <xf numFmtId="0" fontId="12" fillId="3" borderId="21" xfId="1" applyFont="1" applyFill="1" applyBorder="1" applyAlignment="1" applyProtection="1">
      <alignment horizontal="left" vertical="top" wrapText="1"/>
      <protection locked="0"/>
    </xf>
    <xf numFmtId="0" fontId="12" fillId="3" borderId="9" xfId="1" applyFont="1" applyFill="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14" fontId="13" fillId="0" borderId="8"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7" fillId="0" borderId="8" xfId="1" applyNumberFormat="1" applyFont="1" applyBorder="1" applyAlignment="1" applyProtection="1">
      <alignment horizontal="left" vertical="top"/>
      <protection locked="0"/>
    </xf>
    <xf numFmtId="14" fontId="7" fillId="0" borderId="21"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12" fillId="3" borderId="3" xfId="1" applyFont="1" applyFill="1" applyBorder="1" applyAlignment="1" applyProtection="1">
      <alignment horizontal="left" vertical="top" wrapText="1"/>
      <protection locked="0"/>
    </xf>
    <xf numFmtId="0" fontId="12" fillId="3" borderId="3" xfId="1" applyFont="1" applyFill="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27"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546100</xdr:colOff>
      <xdr:row>12</xdr:row>
      <xdr:rowOff>190500</xdr:rowOff>
    </xdr:from>
    <xdr:to>
      <xdr:col>16</xdr:col>
      <xdr:colOff>72953</xdr:colOff>
      <xdr:row>18</xdr:row>
      <xdr:rowOff>175398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042150" y="2933700"/>
          <a:ext cx="6492803" cy="1585097"/>
        </a:xfrm>
        <a:prstGeom prst="rect">
          <a:avLst/>
        </a:prstGeom>
        <a:ln>
          <a:solidFill>
            <a:sysClr val="windowText" lastClr="000000"/>
          </a:solidFill>
        </a:ln>
      </xdr:spPr>
    </xdr:pic>
    <xdr:clientData/>
  </xdr:twoCellAnchor>
  <xdr:twoCellAnchor editAs="oneCell">
    <xdr:from>
      <xdr:col>8</xdr:col>
      <xdr:colOff>205154</xdr:colOff>
      <xdr:row>45</xdr:row>
      <xdr:rowOff>52753</xdr:rowOff>
    </xdr:from>
    <xdr:to>
      <xdr:col>13</xdr:col>
      <xdr:colOff>46939</xdr:colOff>
      <xdr:row>52</xdr:row>
      <xdr:rowOff>284699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93877" y="10298722"/>
          <a:ext cx="4320000" cy="1855592"/>
        </a:xfrm>
        <a:prstGeom prst="rect">
          <a:avLst/>
        </a:prstGeom>
        <a:ln>
          <a:solidFill>
            <a:sysClr val="windowText" lastClr="000000"/>
          </a:solidFill>
        </a:ln>
      </xdr:spPr>
    </xdr:pic>
    <xdr:clientData/>
  </xdr:twoCellAnchor>
  <xdr:twoCellAnchor editAs="oneCell">
    <xdr:from>
      <xdr:col>8</xdr:col>
      <xdr:colOff>200758</xdr:colOff>
      <xdr:row>52</xdr:row>
      <xdr:rowOff>441570</xdr:rowOff>
    </xdr:from>
    <xdr:to>
      <xdr:col>13</xdr:col>
      <xdr:colOff>42543</xdr:colOff>
      <xdr:row>64</xdr:row>
      <xdr:rowOff>161507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689481" y="12311185"/>
          <a:ext cx="4320000" cy="2172991"/>
        </a:xfrm>
        <a:prstGeom prst="rect">
          <a:avLst/>
        </a:prstGeom>
      </xdr:spPr>
    </xdr:pic>
    <xdr:clientData/>
  </xdr:twoCellAnchor>
  <xdr:twoCellAnchor editAs="oneCell">
    <xdr:from>
      <xdr:col>8</xdr:col>
      <xdr:colOff>977900</xdr:colOff>
      <xdr:row>126</xdr:row>
      <xdr:rowOff>31750</xdr:rowOff>
    </xdr:from>
    <xdr:to>
      <xdr:col>11</xdr:col>
      <xdr:colOff>602592</xdr:colOff>
      <xdr:row>139</xdr:row>
      <xdr:rowOff>102120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473950" y="21221700"/>
          <a:ext cx="2329792" cy="2880000"/>
        </a:xfrm>
        <a:prstGeom prst="rect">
          <a:avLst/>
        </a:prstGeom>
        <a:ln>
          <a:solidFill>
            <a:sysClr val="windowText" lastClr="000000"/>
          </a:solidFill>
        </a:ln>
      </xdr:spPr>
    </xdr:pic>
    <xdr:clientData/>
  </xdr:twoCellAnchor>
  <xdr:twoCellAnchor editAs="oneCell">
    <xdr:from>
      <xdr:col>0</xdr:col>
      <xdr:colOff>164123</xdr:colOff>
      <xdr:row>290</xdr:row>
      <xdr:rowOff>11723</xdr:rowOff>
    </xdr:from>
    <xdr:to>
      <xdr:col>7</xdr:col>
      <xdr:colOff>551538</xdr:colOff>
      <xdr:row>306</xdr:row>
      <xdr:rowOff>193304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4123" y="57988200"/>
          <a:ext cx="6120000" cy="3370258"/>
        </a:xfrm>
        <a:prstGeom prst="rect">
          <a:avLst/>
        </a:prstGeom>
        <a:ln>
          <a:solidFill>
            <a:schemeClr val="tx1"/>
          </a:solidFill>
        </a:ln>
      </xdr:spPr>
    </xdr:pic>
    <xdr:clientData/>
  </xdr:twoCellAnchor>
  <xdr:twoCellAnchor>
    <xdr:from>
      <xdr:col>0</xdr:col>
      <xdr:colOff>164123</xdr:colOff>
      <xdr:row>308</xdr:row>
      <xdr:rowOff>23719</xdr:rowOff>
    </xdr:from>
    <xdr:to>
      <xdr:col>7</xdr:col>
      <xdr:colOff>551538</xdr:colOff>
      <xdr:row>327</xdr:row>
      <xdr:rowOff>67144</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164123" y="57926194"/>
          <a:ext cx="5969065" cy="3843900"/>
          <a:chOff x="369000" y="3793721"/>
          <a:chExt cx="6120000" cy="3829979"/>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369000" y="3793721"/>
            <a:ext cx="6120000" cy="3829979"/>
          </a:xfrm>
          <a:prstGeom prst="rect">
            <a:avLst/>
          </a:prstGeom>
          <a:ln>
            <a:solidFill>
              <a:schemeClr val="tx1"/>
            </a:solidFill>
          </a:ln>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2616200" y="5130400"/>
            <a:ext cx="1333500" cy="1448199"/>
          </a:xfrm>
          <a:prstGeom prst="rect">
            <a:avLst/>
          </a:prstGeom>
          <a:noFill/>
          <a:ln w="571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181710</xdr:colOff>
      <xdr:row>247</xdr:row>
      <xdr:rowOff>23448</xdr:rowOff>
    </xdr:from>
    <xdr:to>
      <xdr:col>7</xdr:col>
      <xdr:colOff>569125</xdr:colOff>
      <xdr:row>271</xdr:row>
      <xdr:rowOff>153473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a:stretch>
          <a:fillRect/>
        </a:stretch>
      </xdr:blipFill>
      <xdr:spPr>
        <a:xfrm>
          <a:off x="181710" y="49231063"/>
          <a:ext cx="6120000" cy="4913040"/>
        </a:xfrm>
        <a:prstGeom prst="rect">
          <a:avLst/>
        </a:prstGeom>
        <a:ln>
          <a:solidFill>
            <a:schemeClr val="tx1"/>
          </a:solidFill>
        </a:ln>
      </xdr:spPr>
    </xdr:pic>
    <xdr:clientData/>
  </xdr:twoCellAnchor>
  <xdr:twoCellAnchor>
    <xdr:from>
      <xdr:col>1</xdr:col>
      <xdr:colOff>615083</xdr:colOff>
      <xdr:row>272</xdr:row>
      <xdr:rowOff>88460</xdr:rowOff>
    </xdr:from>
    <xdr:to>
      <xdr:col>6</xdr:col>
      <xdr:colOff>106445</xdr:colOff>
      <xdr:row>286</xdr:row>
      <xdr:rowOff>178368</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377083" y="50799560"/>
          <a:ext cx="3577587" cy="2890258"/>
          <a:chOff x="1464914" y="5097601"/>
          <a:chExt cx="3682362" cy="2880000"/>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464914" y="5097601"/>
            <a:ext cx="3682362" cy="2880000"/>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id="{00000000-0008-0000-0000-000011000000}"/>
              </a:ext>
            </a:extLst>
          </xdr:cNvPr>
          <xdr:cNvSpPr/>
        </xdr:nvSpPr>
        <xdr:spPr>
          <a:xfrm>
            <a:off x="2032001" y="5455919"/>
            <a:ext cx="1137920" cy="96520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419100</xdr:colOff>
      <xdr:row>202</xdr:row>
      <xdr:rowOff>9525</xdr:rowOff>
    </xdr:from>
    <xdr:to>
      <xdr:col>14</xdr:col>
      <xdr:colOff>807756</xdr:colOff>
      <xdr:row>239</xdr:row>
      <xdr:rowOff>100692</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734175" y="36728400"/>
          <a:ext cx="5570256" cy="7482567"/>
          <a:chOff x="266700" y="36776025"/>
          <a:chExt cx="5570256" cy="7482567"/>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129425" y="36786573"/>
            <a:ext cx="2707531" cy="360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6700" y="36776025"/>
            <a:ext cx="2707531" cy="360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25896" y="40533278"/>
            <a:ext cx="1624519" cy="216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249231" y="40533278"/>
            <a:ext cx="1624519"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967993" y="40514525"/>
            <a:ext cx="1624519"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56898" y="42818592"/>
            <a:ext cx="1917333" cy="144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109233" y="42805892"/>
            <a:ext cx="1910258" cy="1440000"/>
          </a:xfrm>
          <a:prstGeom prst="rect">
            <a:avLst/>
          </a:prstGeom>
          <a:ln>
            <a:solidFill>
              <a:schemeClr val="tx1"/>
            </a:solidFill>
          </a:ln>
        </xdr:spPr>
      </xdr:pic>
    </xdr:grpSp>
    <xdr:clientData/>
  </xdr:twoCellAnchor>
  <xdr:twoCellAnchor>
    <xdr:from>
      <xdr:col>8</xdr:col>
      <xdr:colOff>774058</xdr:colOff>
      <xdr:row>202</xdr:row>
      <xdr:rowOff>142875</xdr:rowOff>
    </xdr:from>
    <xdr:to>
      <xdr:col>15</xdr:col>
      <xdr:colOff>313428</xdr:colOff>
      <xdr:row>243</xdr:row>
      <xdr:rowOff>134939</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7089133" y="36861750"/>
          <a:ext cx="5530595" cy="8183564"/>
          <a:chOff x="307333" y="36728400"/>
          <a:chExt cx="5530595" cy="8183564"/>
        </a:xfrm>
      </xdr:grpSpPr>
      <xdr:pic>
        <xdr:nvPicPr>
          <xdr:cNvPr id="22" name="Picture 21" descr="https://vsjcllp.vsjadon.com/upload/insp-225884-1525.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179223" y="43111964"/>
            <a:ext cx="2387823"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25884-845.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3136054" y="40449836"/>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25884-844.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307333" y="36728400"/>
            <a:ext cx="2707531"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25884-861.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3130397" y="36736336"/>
            <a:ext cx="2707531"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25884-862.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120622" y="40454489"/>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25884-925.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685800" y="43096317"/>
            <a:ext cx="2396666"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361950</xdr:colOff>
      <xdr:row>75</xdr:row>
      <xdr:rowOff>9525</xdr:rowOff>
    </xdr:from>
    <xdr:to>
      <xdr:col>12</xdr:col>
      <xdr:colOff>495814</xdr:colOff>
      <xdr:row>118</xdr:row>
      <xdr:rowOff>162422</xdr:rowOff>
    </xdr:to>
    <xdr:pic>
      <xdr:nvPicPr>
        <xdr:cNvPr id="7" name="Picture 6">
          <a:extLst>
            <a:ext uri="{FF2B5EF4-FFF2-40B4-BE49-F238E27FC236}">
              <a16:creationId xmlns:a16="http://schemas.microsoft.com/office/drawing/2014/main" id="{F613FEE2-AAFD-4CB9-B32D-B8F70724617F}"/>
            </a:ext>
          </a:extLst>
        </xdr:cNvPr>
        <xdr:cNvPicPr>
          <a:picLocks noChangeAspect="1"/>
        </xdr:cNvPicPr>
      </xdr:nvPicPr>
      <xdr:blipFill>
        <a:blip xmlns:r="http://schemas.openxmlformats.org/officeDocument/2006/relationships" r:embed="rId22"/>
        <a:stretch>
          <a:fillRect/>
        </a:stretch>
      </xdr:blipFill>
      <xdr:spPr>
        <a:xfrm>
          <a:off x="6677025" y="16764000"/>
          <a:ext cx="3686689" cy="3562847"/>
        </a:xfrm>
        <a:prstGeom prst="rect">
          <a:avLst/>
        </a:prstGeom>
      </xdr:spPr>
    </xdr:pic>
    <xdr:clientData/>
  </xdr:twoCellAnchor>
  <xdr:twoCellAnchor>
    <xdr:from>
      <xdr:col>0</xdr:col>
      <xdr:colOff>285750</xdr:colOff>
      <xdr:row>204</xdr:row>
      <xdr:rowOff>0</xdr:rowOff>
    </xdr:from>
    <xdr:to>
      <xdr:col>7</xdr:col>
      <xdr:colOff>271776</xdr:colOff>
      <xdr:row>232</xdr:row>
      <xdr:rowOff>155416</xdr:rowOff>
    </xdr:to>
    <xdr:grpSp>
      <xdr:nvGrpSpPr>
        <xdr:cNvPr id="36" name="Group 35">
          <a:extLst>
            <a:ext uri="{FF2B5EF4-FFF2-40B4-BE49-F238E27FC236}">
              <a16:creationId xmlns:a16="http://schemas.microsoft.com/office/drawing/2014/main" id="{DAFADAAE-FE53-44B9-A066-1C75D2BBFBA0}"/>
            </a:ext>
          </a:extLst>
        </xdr:cNvPr>
        <xdr:cNvGrpSpPr/>
      </xdr:nvGrpSpPr>
      <xdr:grpSpPr>
        <a:xfrm>
          <a:off x="285750" y="37118925"/>
          <a:ext cx="5567676" cy="5746591"/>
          <a:chOff x="556422" y="358588"/>
          <a:chExt cx="5567676" cy="5746591"/>
        </a:xfrm>
      </xdr:grpSpPr>
      <xdr:pic>
        <xdr:nvPicPr>
          <xdr:cNvPr id="37" name="Picture 36">
            <a:extLst>
              <a:ext uri="{FF2B5EF4-FFF2-40B4-BE49-F238E27FC236}">
                <a16:creationId xmlns:a16="http://schemas.microsoft.com/office/drawing/2014/main" id="{3DA17CB0-5E6D-4E4F-987C-754EB0F7F7F9}"/>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556422" y="358588"/>
            <a:ext cx="2694193" cy="3240000"/>
          </a:xfrm>
          <a:prstGeom prst="rect">
            <a:avLst/>
          </a:prstGeom>
          <a:ln>
            <a:solidFill>
              <a:schemeClr val="tx1"/>
            </a:solidFill>
          </a:ln>
        </xdr:spPr>
      </xdr:pic>
      <xdr:pic>
        <xdr:nvPicPr>
          <xdr:cNvPr id="38" name="Picture 37">
            <a:extLst>
              <a:ext uri="{FF2B5EF4-FFF2-40B4-BE49-F238E27FC236}">
                <a16:creationId xmlns:a16="http://schemas.microsoft.com/office/drawing/2014/main" id="{1AA8D229-C1E1-40A5-9092-E46D558FBE17}"/>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29000" y="358588"/>
            <a:ext cx="2694193" cy="3240000"/>
          </a:xfrm>
          <a:prstGeom prst="rect">
            <a:avLst/>
          </a:prstGeom>
          <a:ln>
            <a:solidFill>
              <a:schemeClr val="tx1"/>
            </a:solidFill>
          </a:ln>
        </xdr:spPr>
      </xdr:pic>
      <xdr:pic>
        <xdr:nvPicPr>
          <xdr:cNvPr id="39" name="Picture 38">
            <a:extLst>
              <a:ext uri="{FF2B5EF4-FFF2-40B4-BE49-F238E27FC236}">
                <a16:creationId xmlns:a16="http://schemas.microsoft.com/office/drawing/2014/main" id="{CF904855-3DE2-4DAA-84F7-9A142F577A73}"/>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556422" y="3765179"/>
            <a:ext cx="1753172" cy="2340000"/>
          </a:xfrm>
          <a:prstGeom prst="rect">
            <a:avLst/>
          </a:prstGeom>
          <a:ln>
            <a:solidFill>
              <a:schemeClr val="tx1"/>
            </a:solidFill>
          </a:ln>
        </xdr:spPr>
      </xdr:pic>
      <xdr:pic>
        <xdr:nvPicPr>
          <xdr:cNvPr id="40" name="Picture 39">
            <a:extLst>
              <a:ext uri="{FF2B5EF4-FFF2-40B4-BE49-F238E27FC236}">
                <a16:creationId xmlns:a16="http://schemas.microsoft.com/office/drawing/2014/main" id="{7AF0FEA9-3B68-4E23-918D-679135EDB209}"/>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463674" y="3765179"/>
            <a:ext cx="1753172" cy="2340000"/>
          </a:xfrm>
          <a:prstGeom prst="rect">
            <a:avLst/>
          </a:prstGeom>
          <a:ln>
            <a:solidFill>
              <a:schemeClr val="tx1"/>
            </a:solidFill>
          </a:ln>
        </xdr:spPr>
      </xdr:pic>
      <xdr:pic>
        <xdr:nvPicPr>
          <xdr:cNvPr id="41" name="Picture 40">
            <a:extLst>
              <a:ext uri="{FF2B5EF4-FFF2-40B4-BE49-F238E27FC236}">
                <a16:creationId xmlns:a16="http://schemas.microsoft.com/office/drawing/2014/main" id="{DEBD033E-DB1B-4F5A-8E32-D6680E563BC5}"/>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370926" y="3765179"/>
            <a:ext cx="1753172"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73east.in/" TargetMode="External"/><Relationship Id="rId1" Type="http://schemas.openxmlformats.org/officeDocument/2006/relationships/hyperlink" Target="https://maps.app.goo.gl/E8LysZfk4dMEAVhg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89"/>
  <sheetViews>
    <sheetView tabSelected="1" view="pageBreakPreview" topLeftCell="A7" zoomScaleNormal="100" zoomScaleSheetLayoutView="100" zoomScalePageLayoutView="118" workbookViewId="0">
      <selection activeCell="I6" sqref="I6"/>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2" t="s">
        <v>157</v>
      </c>
      <c r="B1" s="182"/>
      <c r="C1" s="182"/>
      <c r="D1" s="182"/>
      <c r="E1" s="182"/>
      <c r="F1" s="182"/>
      <c r="G1" s="182"/>
      <c r="H1" s="182"/>
    </row>
    <row r="2" spans="1:26" ht="16.5" customHeight="1" x14ac:dyDescent="0.25">
      <c r="A2" s="183" t="s">
        <v>0</v>
      </c>
      <c r="B2" s="183"/>
      <c r="C2" s="183"/>
      <c r="D2" s="183"/>
      <c r="E2" s="183"/>
      <c r="F2" s="183"/>
      <c r="G2" s="183"/>
      <c r="H2" s="183"/>
    </row>
    <row r="3" spans="1:26" x14ac:dyDescent="0.25">
      <c r="A3" s="95" t="s">
        <v>1</v>
      </c>
      <c r="B3" s="95"/>
      <c r="C3" s="95"/>
      <c r="D3" s="95"/>
      <c r="E3" s="95" t="str">
        <f ca="1">TEXT(TODAY(),"DD/MM/YYYY")</f>
        <v>10/07/2025</v>
      </c>
      <c r="F3" s="95"/>
      <c r="G3" s="95"/>
      <c r="H3" s="95"/>
      <c r="K3" s="56" t="s">
        <v>231</v>
      </c>
      <c r="L3" s="54" t="s">
        <v>229</v>
      </c>
      <c r="M3" s="54" t="s">
        <v>234</v>
      </c>
      <c r="N3" s="54" t="s">
        <v>232</v>
      </c>
      <c r="O3" s="54" t="s">
        <v>233</v>
      </c>
      <c r="P3" s="54" t="s">
        <v>235</v>
      </c>
    </row>
    <row r="4" spans="1:26" ht="15" customHeight="1" x14ac:dyDescent="0.25">
      <c r="A4" s="95" t="s">
        <v>228</v>
      </c>
      <c r="B4" s="95"/>
      <c r="C4" s="95"/>
      <c r="D4" s="95"/>
      <c r="E4" s="95" t="s">
        <v>229</v>
      </c>
      <c r="F4" s="95"/>
      <c r="G4" s="95"/>
      <c r="H4" s="95"/>
      <c r="K4" s="53" t="s">
        <v>230</v>
      </c>
      <c r="L4" s="54" t="s">
        <v>164</v>
      </c>
      <c r="M4" s="54" t="s">
        <v>239</v>
      </c>
      <c r="N4" s="54" t="s">
        <v>241</v>
      </c>
      <c r="O4" s="54" t="s">
        <v>243</v>
      </c>
      <c r="P4" s="54"/>
    </row>
    <row r="5" spans="1:26" ht="15" customHeight="1" x14ac:dyDescent="0.25">
      <c r="A5" s="95" t="s">
        <v>2</v>
      </c>
      <c r="B5" s="95"/>
      <c r="C5" s="95"/>
      <c r="D5" s="95"/>
      <c r="E5" s="95" t="s">
        <v>164</v>
      </c>
      <c r="F5" s="95"/>
      <c r="G5" s="95"/>
      <c r="H5" s="95"/>
      <c r="K5" s="53"/>
      <c r="L5" s="54" t="s">
        <v>236</v>
      </c>
      <c r="M5" s="54" t="s">
        <v>240</v>
      </c>
      <c r="N5" s="54" t="s">
        <v>242</v>
      </c>
      <c r="O5" s="54" t="s">
        <v>244</v>
      </c>
      <c r="P5" s="54"/>
    </row>
    <row r="6" spans="1:26" x14ac:dyDescent="0.25">
      <c r="A6" s="95" t="s">
        <v>3</v>
      </c>
      <c r="B6" s="95"/>
      <c r="C6" s="95"/>
      <c r="D6" s="95"/>
      <c r="E6" s="184">
        <v>45846</v>
      </c>
      <c r="F6" s="185"/>
      <c r="G6" s="185"/>
      <c r="H6" s="186"/>
      <c r="K6" s="53"/>
      <c r="L6" s="54" t="s">
        <v>237</v>
      </c>
      <c r="M6" s="54"/>
      <c r="N6" s="54"/>
      <c r="O6" s="54" t="s">
        <v>245</v>
      </c>
      <c r="P6" s="54"/>
    </row>
    <row r="7" spans="1:26" ht="16.5" customHeight="1" x14ac:dyDescent="0.25">
      <c r="A7" s="95" t="s">
        <v>4</v>
      </c>
      <c r="B7" s="95"/>
      <c r="C7" s="95"/>
      <c r="D7" s="95"/>
      <c r="E7" s="95" t="s">
        <v>293</v>
      </c>
      <c r="F7" s="95"/>
      <c r="G7" s="95"/>
      <c r="H7" s="95"/>
      <c r="K7" s="53"/>
      <c r="L7" s="54" t="s">
        <v>238</v>
      </c>
      <c r="M7" s="54"/>
      <c r="N7" s="54"/>
      <c r="O7" s="54" t="s">
        <v>245</v>
      </c>
      <c r="P7" s="54"/>
    </row>
    <row r="8" spans="1:26" ht="15" customHeight="1" x14ac:dyDescent="0.25">
      <c r="A8" s="95" t="s">
        <v>5</v>
      </c>
      <c r="B8" s="95"/>
      <c r="C8" s="95"/>
      <c r="D8" s="95"/>
      <c r="E8" s="95" t="str">
        <f>E7</f>
        <v>Dimple Realtors Private Limited</v>
      </c>
      <c r="F8" s="95"/>
      <c r="G8" s="95"/>
      <c r="H8" s="95"/>
      <c r="K8" s="53"/>
      <c r="L8" s="54"/>
      <c r="M8" s="54"/>
      <c r="N8" s="54"/>
      <c r="O8" s="54" t="s">
        <v>246</v>
      </c>
      <c r="P8" s="54"/>
    </row>
    <row r="9" spans="1:26" x14ac:dyDescent="0.25">
      <c r="A9" s="95" t="s">
        <v>6</v>
      </c>
      <c r="B9" s="95"/>
      <c r="C9" s="95"/>
      <c r="D9" s="95"/>
      <c r="E9" s="165" t="s">
        <v>294</v>
      </c>
      <c r="F9" s="165"/>
      <c r="G9" s="165"/>
      <c r="H9" s="165"/>
      <c r="K9" s="53"/>
      <c r="L9" s="54"/>
      <c r="M9" s="54"/>
      <c r="N9" s="54"/>
      <c r="O9" s="54" t="s">
        <v>247</v>
      </c>
      <c r="P9" s="54"/>
    </row>
    <row r="10" spans="1:26" x14ac:dyDescent="0.25">
      <c r="A10" s="95" t="s">
        <v>160</v>
      </c>
      <c r="B10" s="95"/>
      <c r="C10" s="95"/>
      <c r="D10" s="95"/>
      <c r="E10" s="95" t="s">
        <v>295</v>
      </c>
      <c r="F10" s="95"/>
      <c r="G10" s="95"/>
      <c r="H10" s="95"/>
      <c r="K10" s="53"/>
      <c r="L10" s="54"/>
      <c r="M10" s="54"/>
      <c r="N10" s="54"/>
      <c r="O10" s="54"/>
      <c r="P10" s="54"/>
    </row>
    <row r="11" spans="1:26" hidden="1" x14ac:dyDescent="0.25">
      <c r="A11" s="95" t="s">
        <v>161</v>
      </c>
      <c r="B11" s="95"/>
      <c r="C11" s="95"/>
      <c r="D11" s="95"/>
      <c r="E11" s="95" t="s">
        <v>296</v>
      </c>
      <c r="F11" s="95"/>
      <c r="G11" s="95"/>
      <c r="H11" s="95"/>
    </row>
    <row r="12" spans="1:26" x14ac:dyDescent="0.25">
      <c r="A12" s="95" t="s">
        <v>7</v>
      </c>
      <c r="B12" s="95"/>
      <c r="C12" s="95"/>
      <c r="D12" s="95"/>
      <c r="E12" s="95" t="s">
        <v>319</v>
      </c>
      <c r="F12" s="95"/>
      <c r="G12" s="95"/>
      <c r="H12" s="95"/>
    </row>
    <row r="13" spans="1:26" x14ac:dyDescent="0.25">
      <c r="A13" s="95" t="s">
        <v>165</v>
      </c>
      <c r="B13" s="95"/>
      <c r="C13" s="95"/>
      <c r="D13" s="95"/>
      <c r="E13" s="95" t="s">
        <v>354</v>
      </c>
      <c r="F13" s="95"/>
      <c r="G13" s="95"/>
      <c r="H13" s="95"/>
      <c r="S13" s="54" t="s">
        <v>173</v>
      </c>
      <c r="T13" s="54" t="s">
        <v>183</v>
      </c>
      <c r="U13" s="54" t="s">
        <v>166</v>
      </c>
      <c r="V13" s="54" t="s">
        <v>188</v>
      </c>
      <c r="W13" s="54" t="s">
        <v>206</v>
      </c>
      <c r="X13"/>
      <c r="Y13" t="s">
        <v>188</v>
      </c>
      <c r="Z13" t="e">
        <f ca="1">OFFSET($S$13,1,MATCH($G20,$S$13:$W$13,0)-1,15,1)</f>
        <v>#VALUE!</v>
      </c>
    </row>
    <row r="14" spans="1:26" x14ac:dyDescent="0.25">
      <c r="A14" s="97" t="s">
        <v>274</v>
      </c>
      <c r="B14" s="97"/>
      <c r="C14" s="97"/>
      <c r="D14" s="97"/>
      <c r="E14" s="94" t="s">
        <v>297</v>
      </c>
      <c r="F14" s="94"/>
      <c r="G14" s="94"/>
      <c r="H14" s="94"/>
      <c r="S14" s="54" t="s">
        <v>174</v>
      </c>
      <c r="T14" s="54" t="s">
        <v>181</v>
      </c>
      <c r="U14" s="54" t="s">
        <v>203</v>
      </c>
      <c r="V14" s="54" t="s">
        <v>189</v>
      </c>
      <c r="W14" s="54" t="s">
        <v>207</v>
      </c>
      <c r="X14"/>
      <c r="Y14"/>
      <c r="Z14"/>
    </row>
    <row r="15" spans="1:26" x14ac:dyDescent="0.25">
      <c r="A15" s="97" t="s">
        <v>8</v>
      </c>
      <c r="B15" s="97"/>
      <c r="C15" s="97"/>
      <c r="D15" s="97"/>
      <c r="E15" s="94" t="s">
        <v>298</v>
      </c>
      <c r="F15" s="95"/>
      <c r="G15" s="95"/>
      <c r="H15" s="95"/>
      <c r="I15" s="133" t="e">
        <f ca="1">OFFSET($D$5,1,MATCH($J13,$D$5:$H$5,0)-1,15,1)</f>
        <v>#N/A</v>
      </c>
      <c r="J15" s="134"/>
      <c r="K15" s="134"/>
      <c r="L15" s="134"/>
      <c r="M15" s="134"/>
      <c r="N15" s="134"/>
      <c r="O15" s="134"/>
      <c r="P15" s="134"/>
      <c r="S15" s="54" t="s">
        <v>175</v>
      </c>
      <c r="T15" s="54" t="s">
        <v>182</v>
      </c>
      <c r="U15" s="54" t="s">
        <v>204</v>
      </c>
      <c r="V15" s="54" t="s">
        <v>190</v>
      </c>
      <c r="W15" s="54" t="s">
        <v>220</v>
      </c>
      <c r="X15"/>
      <c r="Y15"/>
      <c r="Z15"/>
    </row>
    <row r="16" spans="1:26" ht="48.75" customHeight="1" x14ac:dyDescent="0.25">
      <c r="A16" s="93" t="s">
        <v>9</v>
      </c>
      <c r="B16" s="93"/>
      <c r="C16" s="93" t="str">
        <f>CONCATENATE((IF(OR(E9="",E9="NA"),"",E9)),", ",(IF(OR(A17="",A17="NA"),"",A17)),".",(IF(OR(C17="",C17="NA"),"",C17)),", near ",(IF(OR(C22="",C22="NA"),"",C22)),", ",(IF(OR(C19="",C19="NA"),"",C19)),", ",(IF(OR(C18="",C18="NA"),"",C18)),", ",(IF(OR(G19="",G19="NA"),"",G19)),", ",(IF(OR(C20="",C20="NA"),"",C20)),", ",(IF(OR(C21="",C21="NA"),"",C21)),", ",(IF(OR(G20="",G20="NA"),"",G20))," - ",(IF(OR(G21="",G21="NA"),"",G21)),".")</f>
        <v>73 East, CTS No.692, 693, 694, 710, 711/B, 711/C, 719, 721 &amp; 722, near RNA Regency Park, Mahatma Gandi Road, Mahatma Gandi Nagar, Kandivali, Kandivali West, Borivali, Mumbai - 400067.</v>
      </c>
      <c r="D16" s="93"/>
      <c r="E16" s="93"/>
      <c r="F16" s="93"/>
      <c r="G16" s="93"/>
      <c r="H16" s="93"/>
      <c r="S16" s="54" t="s">
        <v>176</v>
      </c>
      <c r="T16" s="54" t="s">
        <v>184</v>
      </c>
      <c r="U16" s="54" t="s">
        <v>205</v>
      </c>
      <c r="V16" s="54" t="s">
        <v>191</v>
      </c>
      <c r="W16" s="54" t="s">
        <v>208</v>
      </c>
      <c r="X16"/>
      <c r="Y16"/>
      <c r="Z16"/>
    </row>
    <row r="17" spans="1:26" x14ac:dyDescent="0.25">
      <c r="A17" s="94" t="s">
        <v>169</v>
      </c>
      <c r="B17" s="94"/>
      <c r="C17" s="94" t="s">
        <v>299</v>
      </c>
      <c r="D17" s="94"/>
      <c r="E17" s="94"/>
      <c r="F17" s="94"/>
      <c r="G17" s="94"/>
      <c r="H17" s="94"/>
      <c r="S17" s="54" t="s">
        <v>177</v>
      </c>
      <c r="T17" s="54" t="s">
        <v>185</v>
      </c>
      <c r="U17" s="54" t="s">
        <v>166</v>
      </c>
      <c r="V17" s="54" t="s">
        <v>192</v>
      </c>
      <c r="W17" s="54" t="s">
        <v>209</v>
      </c>
      <c r="X17"/>
      <c r="Y17"/>
      <c r="Z17"/>
    </row>
    <row r="18" spans="1:26" ht="15.75" customHeight="1" x14ac:dyDescent="0.25">
      <c r="A18" s="94" t="s">
        <v>155</v>
      </c>
      <c r="B18" s="94"/>
      <c r="C18" s="94" t="s">
        <v>339</v>
      </c>
      <c r="D18" s="94"/>
      <c r="E18" s="94"/>
      <c r="F18" s="94"/>
      <c r="G18" s="94"/>
      <c r="H18" s="94"/>
      <c r="S18" s="54" t="s">
        <v>178</v>
      </c>
      <c r="T18" s="54" t="s">
        <v>183</v>
      </c>
      <c r="U18" s="54"/>
      <c r="V18" s="54" t="s">
        <v>193</v>
      </c>
      <c r="W18" s="54" t="s">
        <v>210</v>
      </c>
      <c r="X18"/>
      <c r="Y18"/>
      <c r="Z18"/>
    </row>
    <row r="19" spans="1:26" ht="15.75" customHeight="1" x14ac:dyDescent="0.25">
      <c r="A19" s="93" t="s">
        <v>10</v>
      </c>
      <c r="B19" s="93"/>
      <c r="C19" s="95" t="s">
        <v>304</v>
      </c>
      <c r="D19" s="95"/>
      <c r="E19" s="93" t="s">
        <v>69</v>
      </c>
      <c r="F19" s="93"/>
      <c r="G19" s="94" t="s">
        <v>300</v>
      </c>
      <c r="H19" s="94"/>
      <c r="S19" s="54" t="s">
        <v>179</v>
      </c>
      <c r="T19" s="54" t="s">
        <v>186</v>
      </c>
      <c r="U19" s="54"/>
      <c r="V19" s="54" t="s">
        <v>194</v>
      </c>
      <c r="W19" s="54" t="s">
        <v>211</v>
      </c>
      <c r="X19"/>
      <c r="Y19"/>
      <c r="Z19"/>
    </row>
    <row r="20" spans="1:26" x14ac:dyDescent="0.25">
      <c r="A20" s="97" t="s">
        <v>12</v>
      </c>
      <c r="B20" s="97"/>
      <c r="C20" s="94" t="s">
        <v>301</v>
      </c>
      <c r="D20" s="94"/>
      <c r="E20" s="94" t="s">
        <v>11</v>
      </c>
      <c r="F20" s="94"/>
      <c r="G20" s="190" t="s">
        <v>166</v>
      </c>
      <c r="H20" s="190"/>
      <c r="S20" s="54" t="s">
        <v>180</v>
      </c>
      <c r="T20" s="54" t="s">
        <v>187</v>
      </c>
      <c r="U20" s="54"/>
      <c r="V20" s="54" t="s">
        <v>195</v>
      </c>
      <c r="W20" s="54" t="s">
        <v>212</v>
      </c>
      <c r="X20"/>
      <c r="Y20"/>
      <c r="Z20"/>
    </row>
    <row r="21" spans="1:26" x14ac:dyDescent="0.25">
      <c r="A21" s="97" t="s">
        <v>70</v>
      </c>
      <c r="B21" s="97"/>
      <c r="C21" s="94" t="s">
        <v>204</v>
      </c>
      <c r="D21" s="94"/>
      <c r="E21" s="94" t="s">
        <v>13</v>
      </c>
      <c r="F21" s="94"/>
      <c r="G21" s="94">
        <v>400067</v>
      </c>
      <c r="H21" s="94"/>
      <c r="S21" s="54"/>
      <c r="T21" s="54"/>
      <c r="U21" s="54"/>
      <c r="V21" s="54" t="s">
        <v>196</v>
      </c>
      <c r="W21" s="54" t="s">
        <v>213</v>
      </c>
      <c r="X21"/>
      <c r="Y21"/>
      <c r="Z21"/>
    </row>
    <row r="22" spans="1:26" ht="32.25" customHeight="1" x14ac:dyDescent="0.25">
      <c r="A22" s="97" t="s">
        <v>116</v>
      </c>
      <c r="B22" s="97"/>
      <c r="C22" s="94" t="s">
        <v>318</v>
      </c>
      <c r="D22" s="94"/>
      <c r="E22" s="94" t="s">
        <v>14</v>
      </c>
      <c r="F22" s="94"/>
      <c r="G22" s="94" t="s">
        <v>341</v>
      </c>
      <c r="H22" s="94"/>
      <c r="S22" s="54"/>
      <c r="T22" s="54"/>
      <c r="U22" s="54"/>
      <c r="V22" s="54" t="s">
        <v>197</v>
      </c>
      <c r="W22" s="54" t="s">
        <v>214</v>
      </c>
      <c r="X22"/>
      <c r="Y22"/>
      <c r="Z22"/>
    </row>
    <row r="23" spans="1:26" ht="15" customHeight="1" x14ac:dyDescent="0.25">
      <c r="A23" s="93" t="s">
        <v>72</v>
      </c>
      <c r="B23" s="93"/>
      <c r="C23" s="93"/>
      <c r="D23" s="93"/>
      <c r="E23" s="95" t="s">
        <v>15</v>
      </c>
      <c r="F23" s="95"/>
      <c r="G23" s="95"/>
      <c r="H23" s="95"/>
      <c r="S23" s="54"/>
      <c r="T23" s="54"/>
      <c r="U23" s="54"/>
      <c r="V23" s="54" t="s">
        <v>198</v>
      </c>
      <c r="W23" s="54" t="s">
        <v>215</v>
      </c>
      <c r="X23"/>
      <c r="Y23"/>
      <c r="Z23"/>
    </row>
    <row r="24" spans="1:26" ht="18.75" customHeight="1" x14ac:dyDescent="0.25">
      <c r="A24" s="93"/>
      <c r="B24" s="93"/>
      <c r="C24" s="93"/>
      <c r="D24" s="93"/>
      <c r="E24" s="95"/>
      <c r="F24" s="95"/>
      <c r="G24" s="95"/>
      <c r="H24" s="95"/>
      <c r="S24" s="54"/>
      <c r="T24" s="54"/>
      <c r="U24" s="54"/>
      <c r="V24" s="54" t="s">
        <v>199</v>
      </c>
      <c r="W24" s="54" t="s">
        <v>216</v>
      </c>
      <c r="X24"/>
      <c r="Y24"/>
      <c r="Z24"/>
    </row>
    <row r="25" spans="1:26" ht="15" customHeight="1" x14ac:dyDescent="0.25">
      <c r="A25" s="93" t="s">
        <v>16</v>
      </c>
      <c r="B25" s="93"/>
      <c r="C25" s="93"/>
      <c r="D25" s="93"/>
      <c r="E25" s="94" t="s">
        <v>17</v>
      </c>
      <c r="F25" s="94"/>
      <c r="G25" s="94"/>
      <c r="H25" s="94"/>
      <c r="S25" s="54"/>
      <c r="T25" s="54"/>
      <c r="U25" s="54"/>
      <c r="V25" s="54" t="s">
        <v>200</v>
      </c>
      <c r="W25" s="54" t="s">
        <v>217</v>
      </c>
      <c r="X25"/>
      <c r="Y25"/>
      <c r="Z25"/>
    </row>
    <row r="26" spans="1:26" ht="15" customHeight="1" x14ac:dyDescent="0.25">
      <c r="A26" s="97" t="s">
        <v>18</v>
      </c>
      <c r="B26" s="97"/>
      <c r="C26" s="97"/>
      <c r="D26" s="97"/>
      <c r="E26" s="94" t="str">
        <f>IF(AND(G20="Mumbai"),"Upper Class","Middle Class")</f>
        <v>Upper Class</v>
      </c>
      <c r="F26" s="94"/>
      <c r="G26" s="94"/>
      <c r="H26" s="94"/>
      <c r="S26" s="54"/>
      <c r="T26" s="54"/>
      <c r="U26" s="54"/>
      <c r="V26" s="54" t="s">
        <v>201</v>
      </c>
      <c r="W26" s="54" t="s">
        <v>218</v>
      </c>
      <c r="X26"/>
      <c r="Y26"/>
      <c r="Z26"/>
    </row>
    <row r="27" spans="1:26" x14ac:dyDescent="0.25">
      <c r="A27" s="97" t="s">
        <v>19</v>
      </c>
      <c r="B27" s="97"/>
      <c r="C27" s="97"/>
      <c r="D27" s="97"/>
      <c r="E27" s="94" t="s">
        <v>20</v>
      </c>
      <c r="F27" s="94"/>
      <c r="G27" s="94"/>
      <c r="H27" s="94"/>
      <c r="S27" s="54"/>
      <c r="T27" s="54"/>
      <c r="U27" s="54"/>
      <c r="V27" s="54" t="s">
        <v>202</v>
      </c>
      <c r="W27" s="54" t="s">
        <v>219</v>
      </c>
      <c r="X27"/>
      <c r="Y27"/>
      <c r="Z27"/>
    </row>
    <row r="28" spans="1:26" ht="15.75" customHeight="1" x14ac:dyDescent="0.25">
      <c r="A28" s="97" t="s">
        <v>21</v>
      </c>
      <c r="B28" s="97"/>
      <c r="C28" s="97"/>
      <c r="D28" s="97"/>
      <c r="E28" s="94" t="str">
        <f>IF(AND(G20="Mumbai"),"Developed","Developing")</f>
        <v>Developed</v>
      </c>
      <c r="F28" s="94"/>
      <c r="G28" s="94"/>
      <c r="H28" s="94"/>
    </row>
    <row r="29" spans="1:26" x14ac:dyDescent="0.25">
      <c r="A29" s="97" t="s">
        <v>22</v>
      </c>
      <c r="B29" s="97"/>
      <c r="C29" s="97"/>
      <c r="D29" s="97"/>
      <c r="E29" s="94" t="s">
        <v>23</v>
      </c>
      <c r="F29" s="94"/>
      <c r="G29" s="94"/>
      <c r="H29" s="94"/>
    </row>
    <row r="30" spans="1:26" ht="15.75" customHeight="1" x14ac:dyDescent="0.25">
      <c r="A30" s="97" t="s">
        <v>77</v>
      </c>
      <c r="B30" s="97"/>
      <c r="C30" s="97"/>
      <c r="D30" s="97"/>
      <c r="E30" s="94" t="s">
        <v>78</v>
      </c>
      <c r="F30" s="94"/>
      <c r="G30" s="94"/>
      <c r="H30" s="94"/>
    </row>
    <row r="31" spans="1:26" ht="15" customHeight="1" x14ac:dyDescent="0.25">
      <c r="A31" s="97" t="s">
        <v>30</v>
      </c>
      <c r="B31" s="97"/>
      <c r="C31" s="97"/>
      <c r="D31" s="97"/>
      <c r="E31" s="9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94"/>
      <c r="G31" s="94"/>
      <c r="H31" s="94"/>
    </row>
    <row r="32" spans="1:26" ht="15.75" customHeight="1" x14ac:dyDescent="0.25">
      <c r="A32" s="97" t="s">
        <v>88</v>
      </c>
      <c r="B32" s="97"/>
      <c r="C32" s="97"/>
      <c r="D32" s="97"/>
      <c r="E32" s="94" t="s">
        <v>31</v>
      </c>
      <c r="F32" s="94"/>
      <c r="G32" s="94"/>
      <c r="H32" s="94"/>
    </row>
    <row r="33" spans="1:19" s="22" customFormat="1" x14ac:dyDescent="0.25">
      <c r="A33" s="198" t="s">
        <v>89</v>
      </c>
      <c r="B33" s="198"/>
      <c r="C33" s="195" t="s">
        <v>167</v>
      </c>
      <c r="D33" s="196"/>
      <c r="E33" s="197"/>
      <c r="F33" s="195" t="s">
        <v>29</v>
      </c>
      <c r="G33" s="196"/>
      <c r="H33" s="197"/>
      <c r="S33" s="22" t="e">
        <f ca="1">OFFSET($S$13,1,MATCH($G20,$S$13:$W$13,0)-1,15,1)</f>
        <v>#VALUE!</v>
      </c>
    </row>
    <row r="34" spans="1:19" s="22" customFormat="1" x14ac:dyDescent="0.25">
      <c r="A34" s="194" t="s">
        <v>24</v>
      </c>
      <c r="B34" s="194" t="s">
        <v>28</v>
      </c>
      <c r="C34" s="187" t="s">
        <v>309</v>
      </c>
      <c r="D34" s="188"/>
      <c r="E34" s="189"/>
      <c r="F34" s="187" t="s">
        <v>305</v>
      </c>
      <c r="G34" s="188"/>
      <c r="H34" s="189"/>
    </row>
    <row r="35" spans="1:19" x14ac:dyDescent="0.25">
      <c r="A35" s="194" t="s">
        <v>25</v>
      </c>
      <c r="B35" s="194" t="s">
        <v>28</v>
      </c>
      <c r="C35" s="187" t="s">
        <v>308</v>
      </c>
      <c r="D35" s="188"/>
      <c r="E35" s="189"/>
      <c r="F35" s="187" t="s">
        <v>306</v>
      </c>
      <c r="G35" s="188"/>
      <c r="H35" s="189"/>
    </row>
    <row r="36" spans="1:19" s="22" customFormat="1" x14ac:dyDescent="0.25">
      <c r="A36" s="194" t="s">
        <v>27</v>
      </c>
      <c r="B36" s="194" t="s">
        <v>28</v>
      </c>
      <c r="C36" s="187" t="s">
        <v>307</v>
      </c>
      <c r="D36" s="188"/>
      <c r="E36" s="189"/>
      <c r="F36" s="187" t="s">
        <v>304</v>
      </c>
      <c r="G36" s="188"/>
      <c r="H36" s="189"/>
    </row>
    <row r="37" spans="1:19" ht="36.6" customHeight="1" x14ac:dyDescent="0.25">
      <c r="A37" s="199" t="s">
        <v>26</v>
      </c>
      <c r="B37" s="199" t="s">
        <v>28</v>
      </c>
      <c r="C37" s="200" t="s">
        <v>308</v>
      </c>
      <c r="D37" s="201"/>
      <c r="E37" s="202"/>
      <c r="F37" s="191" t="s">
        <v>310</v>
      </c>
      <c r="G37" s="192"/>
      <c r="H37" s="193"/>
    </row>
    <row r="38" spans="1:19" x14ac:dyDescent="0.25">
      <c r="A38" s="97" t="s">
        <v>275</v>
      </c>
      <c r="B38" s="97"/>
      <c r="C38" s="97"/>
      <c r="D38" s="97"/>
      <c r="E38" s="97"/>
      <c r="F38" s="97"/>
      <c r="G38" s="97"/>
      <c r="H38" s="97"/>
    </row>
    <row r="39" spans="1:19" ht="15.75" customHeight="1" x14ac:dyDescent="0.25">
      <c r="A39" s="97" t="s">
        <v>158</v>
      </c>
      <c r="B39" s="97"/>
      <c r="C39" s="180" t="s">
        <v>302</v>
      </c>
      <c r="D39" s="180"/>
      <c r="E39" s="180"/>
      <c r="F39" s="180"/>
      <c r="G39" s="180"/>
      <c r="H39" s="180"/>
    </row>
    <row r="40" spans="1:19" x14ac:dyDescent="0.25">
      <c r="A40" s="97" t="s">
        <v>154</v>
      </c>
      <c r="B40" s="97"/>
      <c r="C40" s="219" t="s">
        <v>303</v>
      </c>
      <c r="D40" s="94"/>
      <c r="E40" s="94"/>
      <c r="F40" s="94"/>
      <c r="G40" s="94"/>
      <c r="H40" s="94"/>
    </row>
    <row r="41" spans="1:19" x14ac:dyDescent="0.25">
      <c r="A41" s="180" t="s">
        <v>32</v>
      </c>
      <c r="B41" s="180"/>
      <c r="C41" s="180"/>
      <c r="D41" s="180"/>
      <c r="E41" s="180"/>
      <c r="F41" s="180"/>
      <c r="G41" s="180"/>
      <c r="H41" s="180"/>
    </row>
    <row r="42" spans="1:19" x14ac:dyDescent="0.25">
      <c r="A42" s="97" t="s">
        <v>33</v>
      </c>
      <c r="B42" s="97"/>
      <c r="C42" s="97"/>
      <c r="D42" s="97"/>
      <c r="E42" s="206">
        <v>6398.25</v>
      </c>
      <c r="F42" s="206"/>
      <c r="G42" s="206"/>
      <c r="H42" s="206"/>
    </row>
    <row r="43" spans="1:19" x14ac:dyDescent="0.25">
      <c r="A43" s="97" t="s">
        <v>34</v>
      </c>
      <c r="B43" s="97"/>
      <c r="C43" s="97"/>
      <c r="D43" s="97"/>
      <c r="E43" s="143">
        <v>4</v>
      </c>
      <c r="F43" s="143"/>
      <c r="G43" s="143"/>
      <c r="H43" s="143"/>
    </row>
    <row r="44" spans="1:19" x14ac:dyDescent="0.25">
      <c r="A44" s="97" t="s">
        <v>35</v>
      </c>
      <c r="B44" s="97"/>
      <c r="C44" s="97"/>
      <c r="D44" s="97"/>
      <c r="E44" s="143">
        <f>E46/E42-E43</f>
        <v>2.4042746063376708</v>
      </c>
      <c r="F44" s="143"/>
      <c r="G44" s="143"/>
      <c r="H44" s="143"/>
    </row>
    <row r="45" spans="1:19" x14ac:dyDescent="0.25">
      <c r="A45" s="97" t="s">
        <v>36</v>
      </c>
      <c r="B45" s="97"/>
      <c r="C45" s="97"/>
      <c r="D45" s="97"/>
      <c r="E45" s="143">
        <f>E43+E44</f>
        <v>6.4042746063376708</v>
      </c>
      <c r="F45" s="143"/>
      <c r="G45" s="143"/>
      <c r="H45" s="143"/>
    </row>
    <row r="46" spans="1:19" x14ac:dyDescent="0.25">
      <c r="A46" s="97" t="s">
        <v>87</v>
      </c>
      <c r="B46" s="97"/>
      <c r="C46" s="97"/>
      <c r="D46" s="97"/>
      <c r="E46" s="209">
        <v>40976.15</v>
      </c>
      <c r="F46" s="209"/>
      <c r="G46" s="209"/>
      <c r="H46" s="209"/>
    </row>
    <row r="47" spans="1:19" x14ac:dyDescent="0.25">
      <c r="A47" s="95" t="s">
        <v>37</v>
      </c>
      <c r="B47" s="95"/>
      <c r="C47" s="95"/>
      <c r="D47" s="95"/>
      <c r="E47" s="95" t="s">
        <v>343</v>
      </c>
      <c r="F47" s="95"/>
      <c r="G47" s="95"/>
      <c r="H47" s="95"/>
    </row>
    <row r="48" spans="1:19" x14ac:dyDescent="0.25">
      <c r="A48" s="180" t="s">
        <v>38</v>
      </c>
      <c r="B48" s="180"/>
      <c r="C48" s="180"/>
      <c r="D48" s="180"/>
      <c r="E48" s="180"/>
      <c r="F48" s="180"/>
      <c r="G48" s="180"/>
      <c r="H48" s="180"/>
    </row>
    <row r="49" spans="1:24" ht="33.75" customHeight="1" x14ac:dyDescent="0.25">
      <c r="A49" s="90" t="s">
        <v>144</v>
      </c>
      <c r="B49" s="85"/>
      <c r="C49" s="221" t="s">
        <v>249</v>
      </c>
      <c r="D49" s="222"/>
      <c r="E49" s="222"/>
      <c r="F49" s="222"/>
      <c r="G49" s="222"/>
      <c r="H49" s="223"/>
      <c r="R49" t="s">
        <v>248</v>
      </c>
      <c r="S49" t="s">
        <v>166</v>
      </c>
      <c r="T49" t="s">
        <v>173</v>
      </c>
      <c r="U49" t="s">
        <v>188</v>
      </c>
      <c r="V49" t="s">
        <v>183</v>
      </c>
    </row>
    <row r="50" spans="1:24" ht="15.75" customHeight="1" x14ac:dyDescent="0.25">
      <c r="A50" s="90" t="s">
        <v>39</v>
      </c>
      <c r="B50" s="85"/>
      <c r="C50" s="90" t="s">
        <v>311</v>
      </c>
      <c r="D50" s="91"/>
      <c r="E50" s="85"/>
      <c r="F50" s="18" t="s">
        <v>40</v>
      </c>
      <c r="G50" s="84">
        <v>44812</v>
      </c>
      <c r="H50" s="85"/>
      <c r="R50"/>
      <c r="S50" t="s">
        <v>249</v>
      </c>
      <c r="T50" t="s">
        <v>254</v>
      </c>
      <c r="U50" t="s">
        <v>265</v>
      </c>
      <c r="V50" t="s">
        <v>270</v>
      </c>
    </row>
    <row r="51" spans="1:24" x14ac:dyDescent="0.25">
      <c r="A51" s="90" t="s">
        <v>41</v>
      </c>
      <c r="B51" s="85"/>
      <c r="C51" s="90" t="str">
        <f>C50</f>
        <v>SRA/DDPT/3915/RS/PL/AP</v>
      </c>
      <c r="D51" s="91"/>
      <c r="E51" s="85"/>
      <c r="F51" s="18" t="s">
        <v>40</v>
      </c>
      <c r="G51" s="84">
        <f>G50</f>
        <v>44812</v>
      </c>
      <c r="H51" s="85"/>
      <c r="R51"/>
      <c r="S51" t="s">
        <v>250</v>
      </c>
      <c r="T51" t="s">
        <v>255</v>
      </c>
      <c r="U51" t="s">
        <v>263</v>
      </c>
      <c r="V51" t="s">
        <v>271</v>
      </c>
    </row>
    <row r="52" spans="1:24" s="23" customFormat="1" ht="15.75" customHeight="1" x14ac:dyDescent="0.25">
      <c r="A52" s="86" t="s">
        <v>148</v>
      </c>
      <c r="B52" s="87"/>
      <c r="C52" s="90" t="s">
        <v>312</v>
      </c>
      <c r="D52" s="91"/>
      <c r="E52" s="85"/>
      <c r="F52" s="18" t="s">
        <v>40</v>
      </c>
      <c r="G52" s="84">
        <v>45240</v>
      </c>
      <c r="H52" s="85"/>
      <c r="R52"/>
      <c r="S52" t="s">
        <v>251</v>
      </c>
      <c r="T52" t="s">
        <v>256</v>
      </c>
      <c r="U52" t="s">
        <v>253</v>
      </c>
      <c r="V52" t="s">
        <v>272</v>
      </c>
    </row>
    <row r="53" spans="1:24" s="23" customFormat="1" ht="64.5" customHeight="1" x14ac:dyDescent="0.25">
      <c r="A53" s="88"/>
      <c r="B53" s="89"/>
      <c r="C53" s="90" t="s">
        <v>313</v>
      </c>
      <c r="D53" s="91"/>
      <c r="E53" s="91"/>
      <c r="F53" s="91"/>
      <c r="G53" s="91"/>
      <c r="H53" s="85"/>
      <c r="R53"/>
      <c r="S53" t="s">
        <v>252</v>
      </c>
      <c r="T53" t="s">
        <v>259</v>
      </c>
      <c r="U53" t="s">
        <v>266</v>
      </c>
    </row>
    <row r="54" spans="1:24" s="23" customFormat="1" hidden="1" x14ac:dyDescent="0.25">
      <c r="A54" s="109" t="s">
        <v>276</v>
      </c>
      <c r="B54" s="110"/>
      <c r="C54" s="90" t="str">
        <f>C53</f>
        <v>This C.C is further extended for RCC framework from 33rd to 38th (marked as A to H in plan) upper floor and for core area of stairecase, lift &amp; lobby, portion in the form of RCC frame work from 39th floor to 40th upper floor + OHT + LMR(marked as A to F in plan) as per last amended plans dated 08/09/2022</v>
      </c>
      <c r="D54" s="91"/>
      <c r="E54" s="85"/>
      <c r="F54" s="18" t="s">
        <v>40</v>
      </c>
      <c r="G54" s="90"/>
      <c r="H54" s="85"/>
      <c r="R54"/>
      <c r="S54" t="s">
        <v>251</v>
      </c>
      <c r="T54" t="s">
        <v>256</v>
      </c>
      <c r="U54" t="s">
        <v>253</v>
      </c>
      <c r="V54" t="s">
        <v>272</v>
      </c>
    </row>
    <row r="55" spans="1:24" s="23" customFormat="1" ht="32.25" hidden="1" customHeight="1" x14ac:dyDescent="0.25">
      <c r="A55" s="111"/>
      <c r="B55" s="112"/>
      <c r="C55" s="216"/>
      <c r="D55" s="217"/>
      <c r="E55" s="217"/>
      <c r="F55" s="217"/>
      <c r="G55" s="217"/>
      <c r="H55" s="218"/>
      <c r="R55"/>
      <c r="S55" t="s">
        <v>253</v>
      </c>
      <c r="T55" t="s">
        <v>257</v>
      </c>
      <c r="U55" t="s">
        <v>267</v>
      </c>
      <c r="V55" s="21"/>
      <c r="W55" s="21"/>
      <c r="X55" s="21"/>
    </row>
    <row r="56" spans="1:24" s="23" customFormat="1" ht="34.5" hidden="1" customHeight="1" x14ac:dyDescent="0.25">
      <c r="A56" s="109" t="s">
        <v>277</v>
      </c>
      <c r="B56" s="110"/>
      <c r="C56" s="90">
        <f>C55</f>
        <v>0</v>
      </c>
      <c r="D56" s="91"/>
      <c r="E56" s="85"/>
      <c r="F56" s="18" t="s">
        <v>40</v>
      </c>
      <c r="G56" s="90">
        <f>G55</f>
        <v>0</v>
      </c>
      <c r="H56" s="85"/>
      <c r="R56"/>
      <c r="S56" s="21"/>
      <c r="T56" t="s">
        <v>258</v>
      </c>
      <c r="U56" t="s">
        <v>268</v>
      </c>
      <c r="V56" s="21"/>
      <c r="W56" s="21"/>
      <c r="X56" s="21"/>
    </row>
    <row r="57" spans="1:24" s="23" customFormat="1" ht="41.25" hidden="1" customHeight="1" x14ac:dyDescent="0.25">
      <c r="A57" s="111"/>
      <c r="B57" s="112"/>
      <c r="C57" s="90"/>
      <c r="D57" s="91"/>
      <c r="E57" s="91"/>
      <c r="F57" s="91"/>
      <c r="G57" s="91"/>
      <c r="H57" s="85"/>
      <c r="R57"/>
      <c r="S57" s="21"/>
      <c r="T57" t="s">
        <v>260</v>
      </c>
      <c r="U57" t="s">
        <v>269</v>
      </c>
      <c r="V57" s="21"/>
      <c r="W57" s="21"/>
      <c r="X57" s="21"/>
    </row>
    <row r="58" spans="1:24" s="69" customFormat="1" ht="15.75" customHeight="1" x14ac:dyDescent="0.25">
      <c r="A58" s="169" t="s">
        <v>351</v>
      </c>
      <c r="B58" s="170"/>
      <c r="C58" s="173" t="s">
        <v>312</v>
      </c>
      <c r="D58" s="174"/>
      <c r="E58" s="175"/>
      <c r="F58" s="70" t="s">
        <v>40</v>
      </c>
      <c r="G58" s="176">
        <v>44280</v>
      </c>
      <c r="H58" s="175"/>
      <c r="R58" s="71"/>
      <c r="T58" s="71" t="s">
        <v>261</v>
      </c>
      <c r="U58" s="69" t="s">
        <v>291</v>
      </c>
    </row>
    <row r="59" spans="1:24" s="69" customFormat="1" x14ac:dyDescent="0.25">
      <c r="A59" s="171"/>
      <c r="B59" s="172"/>
      <c r="C59" s="173" t="s">
        <v>352</v>
      </c>
      <c r="D59" s="174"/>
      <c r="E59" s="174"/>
      <c r="F59" s="174"/>
      <c r="G59" s="174"/>
      <c r="H59" s="175"/>
      <c r="R59" s="71"/>
      <c r="T59" s="71" t="s">
        <v>262</v>
      </c>
    </row>
    <row r="60" spans="1:24" x14ac:dyDescent="0.25">
      <c r="A60" s="137" t="s">
        <v>353</v>
      </c>
      <c r="B60" s="138"/>
      <c r="C60" s="137" t="s">
        <v>28</v>
      </c>
      <c r="D60" s="139"/>
      <c r="E60" s="138"/>
      <c r="F60" s="45" t="s">
        <v>40</v>
      </c>
      <c r="G60" s="131" t="s">
        <v>28</v>
      </c>
      <c r="H60" s="132"/>
      <c r="R60"/>
      <c r="T60" t="s">
        <v>264</v>
      </c>
    </row>
    <row r="61" spans="1:24" x14ac:dyDescent="0.25">
      <c r="A61" s="92" t="s">
        <v>43</v>
      </c>
      <c r="B61" s="92"/>
      <c r="C61" s="92"/>
      <c r="D61" s="92"/>
      <c r="E61" s="92"/>
      <c r="F61" s="92"/>
      <c r="G61" s="92"/>
      <c r="H61" s="92"/>
      <c r="T61" t="s">
        <v>273</v>
      </c>
    </row>
    <row r="62" spans="1:24" ht="33" customHeight="1" x14ac:dyDescent="0.25">
      <c r="A62" s="93" t="s">
        <v>342</v>
      </c>
      <c r="B62" s="93"/>
      <c r="C62" s="93"/>
      <c r="D62" s="97">
        <v>26673.5</v>
      </c>
      <c r="E62" s="97"/>
      <c r="F62" s="97"/>
      <c r="G62" s="97"/>
      <c r="H62" s="97"/>
      <c r="R62"/>
    </row>
    <row r="63" spans="1:24" x14ac:dyDescent="0.25">
      <c r="A63" s="94" t="s">
        <v>44</v>
      </c>
      <c r="B63" s="95"/>
      <c r="C63" s="95"/>
      <c r="D63" s="95" t="s">
        <v>338</v>
      </c>
      <c r="E63" s="95"/>
      <c r="F63" s="95"/>
      <c r="G63" s="95"/>
      <c r="H63" s="95"/>
      <c r="I63" s="24"/>
      <c r="R63"/>
    </row>
    <row r="64" spans="1:24" x14ac:dyDescent="0.25">
      <c r="A64" s="119" t="s">
        <v>45</v>
      </c>
      <c r="B64" s="120"/>
      <c r="C64" s="213"/>
      <c r="D64" s="211" t="s">
        <v>320</v>
      </c>
      <c r="E64" s="212"/>
      <c r="F64" s="212"/>
      <c r="G64" s="212"/>
      <c r="H64" s="212"/>
      <c r="R64"/>
    </row>
    <row r="65" spans="1:19" x14ac:dyDescent="0.25">
      <c r="A65" s="119" t="s">
        <v>85</v>
      </c>
      <c r="B65" s="120"/>
      <c r="C65" s="120"/>
      <c r="D65" s="125" t="s">
        <v>320</v>
      </c>
      <c r="E65" s="126"/>
      <c r="F65" s="126"/>
      <c r="G65" s="126"/>
      <c r="H65" s="127"/>
      <c r="R65"/>
    </row>
    <row r="66" spans="1:19" ht="15.75" hidden="1" customHeight="1" x14ac:dyDescent="0.25">
      <c r="A66" s="121"/>
      <c r="B66" s="122"/>
      <c r="C66" s="122"/>
      <c r="D66" s="128" t="s">
        <v>292</v>
      </c>
      <c r="E66" s="129"/>
      <c r="F66" s="129"/>
      <c r="G66" s="129"/>
      <c r="H66" s="130"/>
      <c r="R66"/>
    </row>
    <row r="67" spans="1:19" ht="15.75" hidden="1" customHeight="1" x14ac:dyDescent="0.25">
      <c r="A67" s="123"/>
      <c r="B67" s="124"/>
      <c r="C67" s="124"/>
      <c r="D67" s="147" t="s">
        <v>162</v>
      </c>
      <c r="E67" s="148"/>
      <c r="F67" s="148"/>
      <c r="G67" s="148"/>
      <c r="H67" s="149"/>
      <c r="S67"/>
    </row>
    <row r="68" spans="1:19" ht="15.75" customHeight="1" x14ac:dyDescent="0.25">
      <c r="A68" s="97" t="s">
        <v>42</v>
      </c>
      <c r="B68" s="97"/>
      <c r="C68" s="97"/>
      <c r="D68" s="207" t="s">
        <v>314</v>
      </c>
      <c r="E68" s="207"/>
      <c r="F68" s="207"/>
      <c r="G68" s="207"/>
      <c r="H68" s="207"/>
      <c r="J68" s="25"/>
      <c r="K68" s="24"/>
      <c r="N68" s="24"/>
      <c r="S68"/>
    </row>
    <row r="69" spans="1:19" ht="15.75" customHeight="1" x14ac:dyDescent="0.25">
      <c r="A69" s="97" t="s">
        <v>83</v>
      </c>
      <c r="B69" s="97"/>
      <c r="C69" s="97"/>
      <c r="D69" s="208" t="str">
        <f>(IF(G60="NA","60 Years After Completion",IF(G60&lt;&gt;"NA",""&amp;60-ROUNDDOWN((E3-G60)/360,0)&amp;" Years"," ")))</f>
        <v>60 Years After Completion</v>
      </c>
      <c r="E69" s="208"/>
      <c r="F69" s="208"/>
      <c r="G69" s="208"/>
      <c r="H69" s="208"/>
      <c r="N69" s="24"/>
      <c r="S69"/>
    </row>
    <row r="70" spans="1:19" ht="15.75" customHeight="1" x14ac:dyDescent="0.25">
      <c r="A70" s="97" t="s">
        <v>84</v>
      </c>
      <c r="B70" s="97"/>
      <c r="C70" s="97"/>
      <c r="D70" s="93" t="s">
        <v>23</v>
      </c>
      <c r="E70" s="93"/>
      <c r="F70" s="93"/>
      <c r="G70" s="93"/>
      <c r="H70" s="93"/>
      <c r="J70" s="26"/>
      <c r="K70" s="26"/>
      <c r="S70"/>
    </row>
    <row r="71" spans="1:19" ht="62.45" customHeight="1" x14ac:dyDescent="0.25">
      <c r="A71" s="95" t="s">
        <v>315</v>
      </c>
      <c r="B71" s="95"/>
      <c r="C71" s="95"/>
      <c r="D71" s="94" t="s">
        <v>316</v>
      </c>
      <c r="E71" s="93"/>
      <c r="F71" s="93"/>
      <c r="G71" s="93"/>
      <c r="H71" s="93"/>
      <c r="I71" s="63" t="s">
        <v>317</v>
      </c>
      <c r="S71"/>
    </row>
    <row r="72" spans="1:19" x14ac:dyDescent="0.25">
      <c r="A72" s="93" t="s">
        <v>142</v>
      </c>
      <c r="B72" s="93"/>
      <c r="C72" s="93"/>
      <c r="D72" s="93" t="s">
        <v>28</v>
      </c>
      <c r="E72" s="93"/>
      <c r="F72" s="93"/>
      <c r="G72" s="93"/>
      <c r="H72" s="93"/>
      <c r="I72" s="27"/>
      <c r="J72" s="27"/>
      <c r="K72" s="27">
        <f>38+9</f>
        <v>47</v>
      </c>
      <c r="L72" s="27"/>
      <c r="M72" s="27"/>
      <c r="N72" s="27"/>
    </row>
    <row r="73" spans="1:19" ht="15.75" customHeight="1" x14ac:dyDescent="0.25">
      <c r="A73" s="142" t="s">
        <v>82</v>
      </c>
      <c r="B73" s="142"/>
      <c r="C73" s="142"/>
      <c r="D73" s="225" t="str">
        <f ca="1">(IF(G79&gt;95%,"Nothing",IF(G79&gt;0%,"Cement, Aggregate, Steel, etc",IF(G79=0%,"Work not yet Started"))))</f>
        <v>Cement, Aggregate, Steel, etc</v>
      </c>
      <c r="E73" s="225"/>
      <c r="F73" s="225"/>
      <c r="G73" s="225"/>
      <c r="H73" s="225"/>
      <c r="J73" s="26"/>
      <c r="S73"/>
    </row>
    <row r="74" spans="1:19" ht="33.75" customHeight="1" thickBot="1" x14ac:dyDescent="0.3">
      <c r="A74" s="224" t="s">
        <v>113</v>
      </c>
      <c r="B74" s="224"/>
      <c r="C74" s="224"/>
      <c r="D74" s="225" t="str">
        <f ca="1">(IF(D73="Nothing","Yes",IF(D73="Cement, Aggregate, Steel, etc","Under Construction",IF(D73="Work not yet Started","Work not yet Started"))))</f>
        <v>Under Construction</v>
      </c>
      <c r="E74" s="225"/>
      <c r="F74" s="225" t="str">
        <f ca="1">(IF(D73="Nothing","Yes",IF(D73="Cement, Aggregate, Steel, etc","Under Construction",IF(D73="Work not yet Started","Work not yet Started"))))</f>
        <v>Under Construction</v>
      </c>
      <c r="G74" s="225"/>
      <c r="H74" s="225"/>
      <c r="S74"/>
    </row>
    <row r="75" spans="1:19" ht="15.75" customHeight="1" x14ac:dyDescent="0.25">
      <c r="A75" s="144" t="s">
        <v>134</v>
      </c>
      <c r="B75" s="145"/>
      <c r="C75" s="106" t="str">
        <f>D65</f>
        <v xml:space="preserve">Sale Building = 1B + Gr + 1st to 9th Podium + 1st to 40th Floor </v>
      </c>
      <c r="D75" s="107"/>
      <c r="E75" s="107"/>
      <c r="F75" s="107"/>
      <c r="G75" s="107"/>
      <c r="H75" s="108"/>
      <c r="I75" s="49" t="str">
        <f ca="1">IF(D88=100%,"All work Completed. Possession granted to the Building.",IF(D87=100%,"All work Completed, Waiting for OC",I76&amp;""&amp;I77&amp;""&amp;J76&amp;""&amp;J75&amp;" "&amp;J77))</f>
        <v>Excavation, Plinth, RCC Slab, Brickwork Completed, Internal Plaster upto 36 Floor, External Plaster upto 34 Floor, Flooring upto 32 Floor, Painting upto 23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36 Floor, External Plaster upto 34 Floor, Flooring upto 32 Floor, Painting upto 23 Floor</v>
      </c>
      <c r="S75"/>
    </row>
    <row r="76" spans="1:19" x14ac:dyDescent="0.25">
      <c r="A76" s="16" t="s">
        <v>136</v>
      </c>
      <c r="B76" s="47">
        <f>IF(AND(ISNUMBER(SEARCH("1B",C75))),1,IF(AND(ISNUMBER(SEARCH("2B",C75))),2,IF(AND(ISNUMBER(SEARCH("3B",C75))),3,IF(AND(ISNUMBER(SEARCH("4B",C75))),4,IF(ISNUMBER(SEARCH("5B",C75)),5,0)))))</f>
        <v>1</v>
      </c>
      <c r="C76" s="47" t="s">
        <v>68</v>
      </c>
      <c r="D76" s="47">
        <v>1</v>
      </c>
      <c r="E76" s="47" t="s">
        <v>67</v>
      </c>
      <c r="F76" s="47">
        <v>9</v>
      </c>
      <c r="G76" s="48" t="s">
        <v>76</v>
      </c>
      <c r="H76" s="17">
        <f ca="1">--TRIM(RIGHT(SUBSTITUTE(LEFT(C75,_xlfn.AGGREGATE(16,6,FIND({0,1,2,3,4,5,6,7,8,9},C75,ROW(INDIRECT("1:"&amp;LEN(C75)))),1))," ",REPT(" ",LEN(C75))),LEN(C75)))</f>
        <v>40</v>
      </c>
      <c r="I76" s="51" t="str">
        <f ca="1">IF(D79=100%,"Excavation","")&amp;IF(D80=100%,", Plinth","")&amp;IF(D81=100%,", RCC Slab","")&amp;IF(D82=100%,", Brickwork","")&amp;IF(D83=100%,", Internal Plaster","")&amp;IF(D84=100%,", External Plaster","")&amp;IF(D85=100%,", Flooring","")&amp;IF(D86=100%,", Painting","")&amp;IF(D87=100%,", Building common Amenities","")</f>
        <v>Excavation, Plinth, RCC Slab, Brickwork</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 customHeight="1" x14ac:dyDescent="0.25">
      <c r="A77" s="164" t="s">
        <v>86</v>
      </c>
      <c r="B77" s="165"/>
      <c r="C77" s="214" t="str">
        <f ca="1">I75</f>
        <v>Excavation, Plinth, RCC Slab, Brickwork Completed, Internal Plaster upto 36 Floor, External Plaster upto 34 Floor, Flooring upto 32 Floor, Painting upto 23 Floor Completed</v>
      </c>
      <c r="D77" s="214"/>
      <c r="E77" s="214"/>
      <c r="F77" s="214"/>
      <c r="G77" s="214"/>
      <c r="H77" s="215"/>
      <c r="I77" s="51" t="str">
        <f ca="1">IF(I76&lt;&gt;""," Completed","")</f>
        <v xml:space="preserve"> Completed</v>
      </c>
      <c r="J77" s="52" t="str">
        <f ca="1">IF(J75&lt;&gt;"","Completed","")</f>
        <v>Completed</v>
      </c>
      <c r="S77"/>
    </row>
    <row r="78" spans="1:19" ht="15.75" customHeight="1" x14ac:dyDescent="0.25">
      <c r="A78" s="98" t="s">
        <v>46</v>
      </c>
      <c r="B78" s="99"/>
      <c r="C78" s="43" t="s">
        <v>133</v>
      </c>
      <c r="D78" s="43" t="s">
        <v>79</v>
      </c>
      <c r="E78" s="99" t="s">
        <v>81</v>
      </c>
      <c r="F78" s="99"/>
      <c r="G78" s="99" t="s">
        <v>80</v>
      </c>
      <c r="H78" s="146"/>
      <c r="I78" s="13" t="s">
        <v>135</v>
      </c>
      <c r="J78" s="28">
        <f ca="1">H76*25%</f>
        <v>10</v>
      </c>
      <c r="S78"/>
    </row>
    <row r="79" spans="1:19" x14ac:dyDescent="0.25">
      <c r="A79" s="98" t="s">
        <v>122</v>
      </c>
      <c r="B79" s="99"/>
      <c r="C79" s="62">
        <f ca="1">J80</f>
        <v>40</v>
      </c>
      <c r="D79" s="19">
        <f ca="1">((100/H76)*C79)/100</f>
        <v>1</v>
      </c>
      <c r="E79" s="100">
        <f ca="1">(((C80/H76*10)+(40/(D76+F76+H76)*C81)+(7.5/(H76)*C82)+(7.5/(H76)*C83)+(10/H76*C84)+(10/H76*C85)+(5/H76*C86)+(5/H76*C87)+(5/H76*C88))/100)</f>
        <v>0.83625000000000005</v>
      </c>
      <c r="F79" s="101"/>
      <c r="G79" s="100">
        <f ca="1">((((C79/H76)*20)+((C80/H76)*25)+(30/(H76+F76+D76)*C81)+(5/H76*C82)+(5/H76*C83)+(5/H76*C84)+(5/H76*C85)+(0/H76*C86)+(0/H76*C87)+(5/H76*C88))/100)</f>
        <v>0.92749999999999999</v>
      </c>
      <c r="H79" s="203"/>
      <c r="I79" s="13" t="s">
        <v>96</v>
      </c>
      <c r="J79" s="29">
        <f ca="1">H76*50%</f>
        <v>20</v>
      </c>
    </row>
    <row r="80" spans="1:19" x14ac:dyDescent="0.25">
      <c r="A80" s="98" t="s">
        <v>47</v>
      </c>
      <c r="B80" s="99"/>
      <c r="C80" s="43">
        <f ca="1">J88</f>
        <v>40</v>
      </c>
      <c r="D80" s="19">
        <f ca="1">((100/H76)*C80)/100</f>
        <v>1</v>
      </c>
      <c r="E80" s="102"/>
      <c r="F80" s="103"/>
      <c r="G80" s="102"/>
      <c r="H80" s="204"/>
      <c r="I80" s="13" t="s">
        <v>97</v>
      </c>
      <c r="J80" s="29">
        <f ca="1">H76</f>
        <v>40</v>
      </c>
      <c r="S80"/>
    </row>
    <row r="81" spans="1:19" ht="15.75" customHeight="1" x14ac:dyDescent="0.25">
      <c r="A81" s="98" t="s">
        <v>123</v>
      </c>
      <c r="B81" s="99"/>
      <c r="C81" s="43">
        <v>50</v>
      </c>
      <c r="D81" s="19">
        <f ca="1">((100/(D76+F76+H76))*C81)/100</f>
        <v>1</v>
      </c>
      <c r="E81" s="102"/>
      <c r="F81" s="103"/>
      <c r="G81" s="102"/>
      <c r="H81" s="204"/>
      <c r="I81" s="13" t="s">
        <v>98</v>
      </c>
      <c r="J81" s="30">
        <f ca="1">(IF(B76&gt;1,(H76/(B76+2)),H76/4))</f>
        <v>10</v>
      </c>
      <c r="S81"/>
    </row>
    <row r="82" spans="1:19" ht="15.75" customHeight="1" x14ac:dyDescent="0.25">
      <c r="A82" s="98" t="s">
        <v>130</v>
      </c>
      <c r="B82" s="99" t="s">
        <v>124</v>
      </c>
      <c r="C82" s="62">
        <f>C81-F76-D76</f>
        <v>40</v>
      </c>
      <c r="D82" s="19">
        <f ca="1">((100/H76)*C82)/100</f>
        <v>1</v>
      </c>
      <c r="E82" s="102"/>
      <c r="F82" s="103"/>
      <c r="G82" s="102"/>
      <c r="H82" s="204"/>
      <c r="I82" s="13" t="s">
        <v>99</v>
      </c>
      <c r="J82" s="30">
        <f ca="1">(IF(B76&gt;1,(H76/(B76+2)+J81),H76/4+J81))</f>
        <v>20</v>
      </c>
      <c r="M82" s="21">
        <f>40+9</f>
        <v>49</v>
      </c>
    </row>
    <row r="83" spans="1:19" ht="15.75" customHeight="1" x14ac:dyDescent="0.25">
      <c r="A83" s="98" t="s">
        <v>131</v>
      </c>
      <c r="B83" s="99" t="s">
        <v>124</v>
      </c>
      <c r="C83" s="68">
        <v>36</v>
      </c>
      <c r="D83" s="19">
        <f ca="1">((100/H76)*C83)/100</f>
        <v>0.9</v>
      </c>
      <c r="E83" s="102"/>
      <c r="F83" s="103"/>
      <c r="G83" s="102"/>
      <c r="H83" s="204"/>
      <c r="I83" s="13" t="s">
        <v>140</v>
      </c>
      <c r="J83" s="30">
        <f>(IF(B76&gt;1,(H76/(B76+2)+J82),0))</f>
        <v>0</v>
      </c>
      <c r="K83" s="21">
        <f>C82*0.65</f>
        <v>26</v>
      </c>
    </row>
    <row r="84" spans="1:19" ht="15" customHeight="1" x14ac:dyDescent="0.25">
      <c r="A84" s="98" t="s">
        <v>129</v>
      </c>
      <c r="B84" s="99" t="s">
        <v>126</v>
      </c>
      <c r="C84" s="68">
        <v>34</v>
      </c>
      <c r="D84" s="19">
        <f ca="1">((100/(H76))*C84)/100</f>
        <v>0.85</v>
      </c>
      <c r="E84" s="102"/>
      <c r="F84" s="103"/>
      <c r="G84" s="102"/>
      <c r="H84" s="204"/>
      <c r="I84" s="13" t="s">
        <v>137</v>
      </c>
      <c r="J84" s="30">
        <f>(IF(B76&gt;2,(H76/(B76+2)+J83),0))</f>
        <v>0</v>
      </c>
      <c r="K84" s="21">
        <f>C82*0.65</f>
        <v>26</v>
      </c>
    </row>
    <row r="85" spans="1:19" ht="15.75" customHeight="1" x14ac:dyDescent="0.25">
      <c r="A85" s="98" t="s">
        <v>125</v>
      </c>
      <c r="B85" s="99" t="s">
        <v>125</v>
      </c>
      <c r="C85" s="62">
        <v>32</v>
      </c>
      <c r="D85" s="19">
        <f ca="1">((100/H76)*C85)/100</f>
        <v>0.8</v>
      </c>
      <c r="E85" s="102"/>
      <c r="F85" s="103"/>
      <c r="G85" s="102"/>
      <c r="H85" s="204"/>
      <c r="I85" s="13" t="s">
        <v>138</v>
      </c>
      <c r="J85" s="31">
        <f>(IF(B76&gt;3,(H76/(B76+2)+J84),0))</f>
        <v>0</v>
      </c>
    </row>
    <row r="86" spans="1:19" ht="15.75" customHeight="1" x14ac:dyDescent="0.25">
      <c r="A86" s="98" t="s">
        <v>132</v>
      </c>
      <c r="B86" s="99"/>
      <c r="C86" s="43">
        <v>23</v>
      </c>
      <c r="D86" s="19">
        <f ca="1">((100/H76)*C86)/100</f>
        <v>0.57499999999999996</v>
      </c>
      <c r="E86" s="102"/>
      <c r="F86" s="103"/>
      <c r="G86" s="102"/>
      <c r="H86" s="204"/>
      <c r="I86" s="13" t="s">
        <v>139</v>
      </c>
      <c r="J86" s="30">
        <f>(IF(B76&gt;4,(H76/(B76+2)+J85),0))</f>
        <v>0</v>
      </c>
    </row>
    <row r="87" spans="1:19" ht="15.75" customHeight="1" x14ac:dyDescent="0.25">
      <c r="A87" s="98" t="s">
        <v>127</v>
      </c>
      <c r="B87" s="99" t="s">
        <v>127</v>
      </c>
      <c r="C87" s="43">
        <v>0</v>
      </c>
      <c r="D87" s="19">
        <f ca="1">((100/(H76))*C87)/100</f>
        <v>0</v>
      </c>
      <c r="E87" s="102"/>
      <c r="F87" s="103"/>
      <c r="G87" s="102"/>
      <c r="H87" s="204"/>
      <c r="I87" s="13" t="s">
        <v>141</v>
      </c>
      <c r="J87" s="30">
        <f ca="1">(IF(B76=1,(H76/(B76+3)+J82),IF(B76=0,(H76/4+J82),IF(B76&gt;1,0))))</f>
        <v>30</v>
      </c>
    </row>
    <row r="88" spans="1:19" ht="16.5" thickBot="1" x14ac:dyDescent="0.3">
      <c r="A88" s="155" t="s">
        <v>128</v>
      </c>
      <c r="B88" s="156"/>
      <c r="C88" s="44">
        <v>0</v>
      </c>
      <c r="D88" s="20">
        <f ca="1">((100/(H76))*C88)/100</f>
        <v>0</v>
      </c>
      <c r="E88" s="104"/>
      <c r="F88" s="105"/>
      <c r="G88" s="104"/>
      <c r="H88" s="205"/>
      <c r="I88" s="15" t="s">
        <v>100</v>
      </c>
      <c r="J88" s="32">
        <f ca="1">(IF(B76&gt;1.5,(H76/(B76+2)+J82+MAX(0,J83-J82)+MAX(0,J84-J83)+MAX(0,J85-J84)+MAX(0,J86-J85)+MAX(0,J87-J86)),IF(B76=1,(H76/(B76+3)+J87),IF(B76=0,H76/4+J87))))</f>
        <v>40</v>
      </c>
    </row>
    <row r="89" spans="1:19" ht="15.75" hidden="1" customHeight="1" x14ac:dyDescent="0.25">
      <c r="A89" s="144" t="s">
        <v>134</v>
      </c>
      <c r="B89" s="145"/>
      <c r="C89" s="106" t="str">
        <f>D66</f>
        <v>B Wing = 1B + G + 1st to 19th Floor</v>
      </c>
      <c r="D89" s="107"/>
      <c r="E89" s="107"/>
      <c r="F89" s="107"/>
      <c r="G89" s="107"/>
      <c r="H89" s="108"/>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136</v>
      </c>
      <c r="B90" s="47">
        <f>IF(AND(ISNUMBER(SEARCH("1B",C89))),1,IF(AND(ISNUMBER(SEARCH("2B",C89))),2,IF(AND(ISNUMBER(SEARCH("3B",C89))),3,IF(AND(ISNUMBER(SEARCH("4B",C89))),4,IF(ISNUMBER(SEARCH("5B",C89)),5,0)))))</f>
        <v>1</v>
      </c>
      <c r="C90" s="47" t="s">
        <v>68</v>
      </c>
      <c r="D90" s="47">
        <v>1</v>
      </c>
      <c r="E90" s="47" t="s">
        <v>67</v>
      </c>
      <c r="F90" s="14">
        <v>0</v>
      </c>
      <c r="G90" s="48" t="s">
        <v>76</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25">
      <c r="A91" s="164" t="s">
        <v>86</v>
      </c>
      <c r="B91" s="165"/>
      <c r="C91" s="214" t="str">
        <f ca="1">(IF($G$60="NA",I89,"All work Completed. OC Received."))</f>
        <v xml:space="preserve">Excavation, Plinth Completed </v>
      </c>
      <c r="D91" s="214"/>
      <c r="E91" s="214"/>
      <c r="F91" s="214"/>
      <c r="G91" s="214"/>
      <c r="H91" s="215"/>
      <c r="I91" s="51" t="str">
        <f ca="1">IF(I90&lt;&gt;""," Completed","")</f>
        <v xml:space="preserve"> Completed</v>
      </c>
      <c r="J91" s="52" t="str">
        <f ca="1">IF(J89&lt;&gt;"","Completed","")</f>
        <v/>
      </c>
    </row>
    <row r="92" spans="1:19" ht="15.75" hidden="1" customHeight="1" x14ac:dyDescent="0.25">
      <c r="A92" s="98" t="s">
        <v>46</v>
      </c>
      <c r="B92" s="99"/>
      <c r="C92" s="43" t="s">
        <v>133</v>
      </c>
      <c r="D92" s="43" t="s">
        <v>79</v>
      </c>
      <c r="E92" s="99" t="s">
        <v>81</v>
      </c>
      <c r="F92" s="99"/>
      <c r="G92" s="99" t="s">
        <v>80</v>
      </c>
      <c r="H92" s="146"/>
      <c r="I92" s="13" t="s">
        <v>135</v>
      </c>
      <c r="J92" s="28">
        <f ca="1">H90*25%</f>
        <v>4.75</v>
      </c>
    </row>
    <row r="93" spans="1:19" hidden="1" x14ac:dyDescent="0.25">
      <c r="A93" s="98" t="s">
        <v>122</v>
      </c>
      <c r="B93" s="99"/>
      <c r="C93" s="60">
        <f ca="1">J94</f>
        <v>19</v>
      </c>
      <c r="D93" s="19">
        <f ca="1">((100/H90)*C93)/100</f>
        <v>1</v>
      </c>
      <c r="E93" s="100">
        <f ca="1">(((C94/H90*10)+(40/(D90+F90+H90)*C95)+(7.5/(H90)*C96)+(7.5/(H90)*C97)+(10/H90*C98)+(10/H90*C99)+(5/H90*C100)+(5/H90*C101)+(5/H90*C102))/100)</f>
        <v>0.1</v>
      </c>
      <c r="F93" s="101"/>
      <c r="G93" s="100">
        <f ca="1">((((C93/H90)*20)+((C94/H90)*25)+(30/(H90+F90+D90)*C95)+(5/H90*C96)+(5/H90*C97)+(5/H90*C98)+(5/H90*C99)+(0/H90*C100)+(0/H90*C101)+(5/H90*C102))/100)</f>
        <v>0.45</v>
      </c>
      <c r="H93" s="203"/>
      <c r="I93" s="13" t="s">
        <v>96</v>
      </c>
      <c r="J93" s="29">
        <f ca="1">H90*50%</f>
        <v>9.5</v>
      </c>
    </row>
    <row r="94" spans="1:19" hidden="1" x14ac:dyDescent="0.25">
      <c r="A94" s="98" t="s">
        <v>47</v>
      </c>
      <c r="B94" s="99"/>
      <c r="C94" s="61">
        <v>19</v>
      </c>
      <c r="D94" s="19">
        <f ca="1">((100/H90)*C94)/100</f>
        <v>1</v>
      </c>
      <c r="E94" s="102"/>
      <c r="F94" s="103"/>
      <c r="G94" s="102"/>
      <c r="H94" s="204"/>
      <c r="I94" s="13" t="s">
        <v>97</v>
      </c>
      <c r="J94" s="29">
        <f ca="1">H90</f>
        <v>19</v>
      </c>
    </row>
    <row r="95" spans="1:19" ht="15.75" hidden="1" customHeight="1" x14ac:dyDescent="0.25">
      <c r="A95" s="98" t="s">
        <v>123</v>
      </c>
      <c r="B95" s="99"/>
      <c r="C95" s="43">
        <v>0</v>
      </c>
      <c r="D95" s="19">
        <f ca="1">((100/(D90+F90+H90))*C95)/100</f>
        <v>0</v>
      </c>
      <c r="E95" s="102"/>
      <c r="F95" s="103"/>
      <c r="G95" s="102"/>
      <c r="H95" s="204"/>
      <c r="I95" s="13" t="s">
        <v>98</v>
      </c>
      <c r="J95" s="30">
        <f ca="1">(IF(B90&gt;1,(H90/(B90+2)),H90/4))</f>
        <v>4.75</v>
      </c>
    </row>
    <row r="96" spans="1:19" ht="15.75" hidden="1" customHeight="1" x14ac:dyDescent="0.25">
      <c r="A96" s="98" t="s">
        <v>130</v>
      </c>
      <c r="B96" s="99" t="s">
        <v>124</v>
      </c>
      <c r="C96" s="43">
        <v>0</v>
      </c>
      <c r="D96" s="19">
        <f ca="1">((100/H90)*C96)/100</f>
        <v>0</v>
      </c>
      <c r="E96" s="102"/>
      <c r="F96" s="103"/>
      <c r="G96" s="102"/>
      <c r="H96" s="204"/>
      <c r="I96" s="13" t="s">
        <v>99</v>
      </c>
      <c r="J96" s="30">
        <f ca="1">(IF(B90&gt;1,(H90/(B90+2)+J95),H90/4+J95))</f>
        <v>9.5</v>
      </c>
    </row>
    <row r="97" spans="1:10" ht="15.75" hidden="1" customHeight="1" x14ac:dyDescent="0.25">
      <c r="A97" s="98" t="s">
        <v>131</v>
      </c>
      <c r="B97" s="99" t="s">
        <v>124</v>
      </c>
      <c r="C97" s="43">
        <v>0</v>
      </c>
      <c r="D97" s="19">
        <f ca="1">((100/H90)*C97)/100</f>
        <v>0</v>
      </c>
      <c r="E97" s="102"/>
      <c r="F97" s="103"/>
      <c r="G97" s="102"/>
      <c r="H97" s="204"/>
      <c r="I97" s="13" t="s">
        <v>140</v>
      </c>
      <c r="J97" s="30">
        <f>(IF(B90&gt;1,(H90/(B90+2)+J96),0))</f>
        <v>0</v>
      </c>
    </row>
    <row r="98" spans="1:10" ht="15" hidden="1" customHeight="1" x14ac:dyDescent="0.25">
      <c r="A98" s="98" t="s">
        <v>129</v>
      </c>
      <c r="B98" s="99" t="s">
        <v>126</v>
      </c>
      <c r="C98" s="43">
        <v>0</v>
      </c>
      <c r="D98" s="19">
        <f ca="1">((100/(H90))*C98)/100</f>
        <v>0</v>
      </c>
      <c r="E98" s="102"/>
      <c r="F98" s="103"/>
      <c r="G98" s="102"/>
      <c r="H98" s="204"/>
      <c r="I98" s="13" t="s">
        <v>137</v>
      </c>
      <c r="J98" s="30">
        <f>(IF(B90&gt;2,(H90/(B90+2)+J97),0))</f>
        <v>0</v>
      </c>
    </row>
    <row r="99" spans="1:10" ht="15.75" hidden="1" customHeight="1" x14ac:dyDescent="0.25">
      <c r="A99" s="98" t="s">
        <v>125</v>
      </c>
      <c r="B99" s="99" t="s">
        <v>125</v>
      </c>
      <c r="C99" s="43">
        <v>0</v>
      </c>
      <c r="D99" s="19">
        <f ca="1">((100/H90)*C99)/100</f>
        <v>0</v>
      </c>
      <c r="E99" s="102"/>
      <c r="F99" s="103"/>
      <c r="G99" s="102"/>
      <c r="H99" s="204"/>
      <c r="I99" s="13" t="s">
        <v>138</v>
      </c>
      <c r="J99" s="31">
        <f>(IF(B90&gt;3,(H90/(B90+2)+J98),0))</f>
        <v>0</v>
      </c>
    </row>
    <row r="100" spans="1:10" ht="15.75" hidden="1" customHeight="1" x14ac:dyDescent="0.25">
      <c r="A100" s="98" t="s">
        <v>132</v>
      </c>
      <c r="B100" s="99"/>
      <c r="C100" s="43">
        <v>0</v>
      </c>
      <c r="D100" s="19">
        <f ca="1">((100/H90)*C100)/100</f>
        <v>0</v>
      </c>
      <c r="E100" s="102"/>
      <c r="F100" s="103"/>
      <c r="G100" s="102"/>
      <c r="H100" s="204"/>
      <c r="I100" s="13" t="s">
        <v>139</v>
      </c>
      <c r="J100" s="30">
        <f>(IF(B90&gt;4,(H90/(B90+2)+J99),0))</f>
        <v>0</v>
      </c>
    </row>
    <row r="101" spans="1:10" ht="15.75" hidden="1" customHeight="1" x14ac:dyDescent="0.25">
      <c r="A101" s="98" t="s">
        <v>127</v>
      </c>
      <c r="B101" s="99" t="s">
        <v>127</v>
      </c>
      <c r="C101" s="43">
        <v>0</v>
      </c>
      <c r="D101" s="19">
        <f ca="1">((100/(H90))*C101)/100</f>
        <v>0</v>
      </c>
      <c r="E101" s="102"/>
      <c r="F101" s="103"/>
      <c r="G101" s="102"/>
      <c r="H101" s="204"/>
      <c r="I101" s="13" t="s">
        <v>141</v>
      </c>
      <c r="J101" s="30">
        <f ca="1">(IF(B90=1,(H90/(B90+3)+J96),IF(B90=0,(H90/4+J96),IF(B90&gt;1,0))))</f>
        <v>14.25</v>
      </c>
    </row>
    <row r="102" spans="1:10" ht="16.5" hidden="1" thickBot="1" x14ac:dyDescent="0.3">
      <c r="A102" s="155" t="s">
        <v>128</v>
      </c>
      <c r="B102" s="156"/>
      <c r="C102" s="44">
        <v>0</v>
      </c>
      <c r="D102" s="20">
        <f ca="1">((100/(H90))*C102)/100</f>
        <v>0</v>
      </c>
      <c r="E102" s="104"/>
      <c r="F102" s="105"/>
      <c r="G102" s="104"/>
      <c r="H102" s="205"/>
      <c r="I102" s="15" t="s">
        <v>100</v>
      </c>
      <c r="J102" s="32">
        <f ca="1">(IF(B90&gt;1.5,(H90/(B90+2)+J96+MAX(0,J97-J96)+MAX(0,J98-J97)+MAX(0,J99-J98)+MAX(0,J100-J99)+MAX(0,J101-J100)),IF(B90=1,(H90/(B90+3)+J101),IF(B90=0,H90/4+J101))))</f>
        <v>19</v>
      </c>
    </row>
    <row r="103" spans="1:10" ht="15.75" hidden="1" customHeight="1" x14ac:dyDescent="0.25">
      <c r="A103" s="144" t="s">
        <v>134</v>
      </c>
      <c r="B103" s="145"/>
      <c r="C103" s="106" t="str">
        <f>D67</f>
        <v>C Wing = 1B + G + 1st to 20th Floor</v>
      </c>
      <c r="D103" s="107"/>
      <c r="E103" s="107"/>
      <c r="F103" s="107"/>
      <c r="G103" s="107"/>
      <c r="H103" s="108"/>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25">
      <c r="A104" s="16" t="s">
        <v>136</v>
      </c>
      <c r="B104" s="47">
        <f>IF(AND(ISNUMBER(SEARCH("1B",C103))),1,IF(AND(ISNUMBER(SEARCH("2B",C103))),2,IF(AND(ISNUMBER(SEARCH("3B",C103))),3,IF(AND(ISNUMBER(SEARCH("4B",C103))),4,IF(ISNUMBER(SEARCH("5B",C103)),5,0)))))</f>
        <v>1</v>
      </c>
      <c r="C104" s="47" t="s">
        <v>68</v>
      </c>
      <c r="D104" s="47">
        <v>1</v>
      </c>
      <c r="E104" s="47" t="s">
        <v>67</v>
      </c>
      <c r="F104" s="14">
        <v>0</v>
      </c>
      <c r="G104" s="48" t="s">
        <v>76</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25">
      <c r="A105" s="164" t="s">
        <v>86</v>
      </c>
      <c r="B105" s="165"/>
      <c r="C105" s="214" t="str">
        <f ca="1">(IF($G$60="NA",I103,"All work Completed. OC Received."))</f>
        <v xml:space="preserve">Excavation, Plinth, RCC Slab Completed </v>
      </c>
      <c r="D105" s="214"/>
      <c r="E105" s="214"/>
      <c r="F105" s="214"/>
      <c r="G105" s="214"/>
      <c r="H105" s="215"/>
      <c r="I105" s="51" t="str">
        <f ca="1">IF(I104&lt;&gt;""," Completed","")</f>
        <v xml:space="preserve"> Completed</v>
      </c>
      <c r="J105" s="52" t="str">
        <f ca="1">IF(J103&lt;&gt;"","Completed","")</f>
        <v/>
      </c>
    </row>
    <row r="106" spans="1:10" ht="15.75" hidden="1" customHeight="1" x14ac:dyDescent="0.25">
      <c r="A106" s="98" t="s">
        <v>46</v>
      </c>
      <c r="B106" s="99"/>
      <c r="C106" s="43" t="s">
        <v>133</v>
      </c>
      <c r="D106" s="43" t="s">
        <v>79</v>
      </c>
      <c r="E106" s="99" t="s">
        <v>81</v>
      </c>
      <c r="F106" s="99"/>
      <c r="G106" s="99" t="s">
        <v>80</v>
      </c>
      <c r="H106" s="146"/>
      <c r="I106" s="13" t="s">
        <v>135</v>
      </c>
      <c r="J106" s="28">
        <f ca="1">H104*25%</f>
        <v>5</v>
      </c>
    </row>
    <row r="107" spans="1:10" hidden="1" x14ac:dyDescent="0.25">
      <c r="A107" s="98" t="s">
        <v>122</v>
      </c>
      <c r="B107" s="99"/>
      <c r="C107" s="43">
        <f ca="1">J108</f>
        <v>20</v>
      </c>
      <c r="D107" s="19">
        <f ca="1">((100/H104)*C107)/100</f>
        <v>1</v>
      </c>
      <c r="E107" s="100">
        <f ca="1">(((C108/H104*10)+(40/(D104+F104+H104)*C109)+(7.5/(H104)*C110)+(7.5/(H104)*C111)+(10/H104*C112)+(10/H104*C113)+(5/H104*C114)+(5/H104*C115)+(5/H104*C116))/100)</f>
        <v>0.5</v>
      </c>
      <c r="F107" s="101"/>
      <c r="G107" s="100">
        <f ca="1">((((C107/H104)*20)+((C108/H104)*25)+(30/(H104+F104+D104)*C109)+(5/H104*C110)+(5/H104*C111)+(5/H104*C112)+(5/H104*C113)+(0/H104*C114)+(0/H104*C115)+(5/H104*C116))/100)</f>
        <v>0.75</v>
      </c>
      <c r="H107" s="203"/>
      <c r="I107" s="13" t="s">
        <v>96</v>
      </c>
      <c r="J107" s="29">
        <f ca="1">H104*50%</f>
        <v>10</v>
      </c>
    </row>
    <row r="108" spans="1:10" hidden="1" x14ac:dyDescent="0.25">
      <c r="A108" s="98" t="s">
        <v>47</v>
      </c>
      <c r="B108" s="99"/>
      <c r="C108" s="43">
        <f ca="1">J116</f>
        <v>20</v>
      </c>
      <c r="D108" s="19">
        <f ca="1">((100/H104)*C108)/100</f>
        <v>1</v>
      </c>
      <c r="E108" s="102"/>
      <c r="F108" s="103"/>
      <c r="G108" s="102"/>
      <c r="H108" s="204"/>
      <c r="I108" s="13" t="s">
        <v>97</v>
      </c>
      <c r="J108" s="29">
        <f ca="1">H104</f>
        <v>20</v>
      </c>
    </row>
    <row r="109" spans="1:10" ht="15.75" hidden="1" customHeight="1" x14ac:dyDescent="0.25">
      <c r="A109" s="98" t="s">
        <v>123</v>
      </c>
      <c r="B109" s="99"/>
      <c r="C109" s="43">
        <f ca="1">D104+H104</f>
        <v>21</v>
      </c>
      <c r="D109" s="19">
        <f ca="1">((100/(D104+F104+H104))*C109)/100</f>
        <v>1</v>
      </c>
      <c r="E109" s="102"/>
      <c r="F109" s="103"/>
      <c r="G109" s="102"/>
      <c r="H109" s="204"/>
      <c r="I109" s="13" t="s">
        <v>98</v>
      </c>
      <c r="J109" s="30">
        <f ca="1">(IF(B104&gt;1,(H104/(B104+2)),H104/4))</f>
        <v>5</v>
      </c>
    </row>
    <row r="110" spans="1:10" ht="15.75" hidden="1" customHeight="1" x14ac:dyDescent="0.25">
      <c r="A110" s="98" t="s">
        <v>130</v>
      </c>
      <c r="B110" s="99" t="s">
        <v>124</v>
      </c>
      <c r="C110" s="43">
        <v>0</v>
      </c>
      <c r="D110" s="19">
        <f ca="1">((100/H104)*C110)/100</f>
        <v>0</v>
      </c>
      <c r="E110" s="102"/>
      <c r="F110" s="103"/>
      <c r="G110" s="102"/>
      <c r="H110" s="204"/>
      <c r="I110" s="13" t="s">
        <v>99</v>
      </c>
      <c r="J110" s="30">
        <f ca="1">(IF(B104&gt;1,(H104/(B104+2)+J109),H104/4+J109))</f>
        <v>10</v>
      </c>
    </row>
    <row r="111" spans="1:10" ht="15.75" hidden="1" customHeight="1" x14ac:dyDescent="0.25">
      <c r="A111" s="98" t="s">
        <v>131</v>
      </c>
      <c r="B111" s="99" t="s">
        <v>124</v>
      </c>
      <c r="C111" s="43">
        <v>0</v>
      </c>
      <c r="D111" s="19">
        <f ca="1">((100/H104)*C111)/100</f>
        <v>0</v>
      </c>
      <c r="E111" s="102"/>
      <c r="F111" s="103"/>
      <c r="G111" s="102"/>
      <c r="H111" s="204"/>
      <c r="I111" s="13" t="s">
        <v>140</v>
      </c>
      <c r="J111" s="30">
        <f>(IF(B104&gt;1,(H104/(B104+2)+J110),0))</f>
        <v>0</v>
      </c>
    </row>
    <row r="112" spans="1:10" ht="15" hidden="1" customHeight="1" x14ac:dyDescent="0.25">
      <c r="A112" s="98" t="s">
        <v>129</v>
      </c>
      <c r="B112" s="99" t="s">
        <v>126</v>
      </c>
      <c r="C112" s="43">
        <v>0</v>
      </c>
      <c r="D112" s="19">
        <f ca="1">((100/(H104))*C112)/100</f>
        <v>0</v>
      </c>
      <c r="E112" s="102"/>
      <c r="F112" s="103"/>
      <c r="G112" s="102"/>
      <c r="H112" s="204"/>
      <c r="I112" s="13" t="s">
        <v>137</v>
      </c>
      <c r="J112" s="30">
        <f>(IF(B104&gt;2,(H104/(B104+2)+J111),0))</f>
        <v>0</v>
      </c>
    </row>
    <row r="113" spans="1:22" ht="15.75" hidden="1" customHeight="1" x14ac:dyDescent="0.25">
      <c r="A113" s="98" t="s">
        <v>125</v>
      </c>
      <c r="B113" s="99" t="s">
        <v>125</v>
      </c>
      <c r="C113" s="43">
        <v>0</v>
      </c>
      <c r="D113" s="19">
        <f ca="1">((100/H104)*C113)/100</f>
        <v>0</v>
      </c>
      <c r="E113" s="102"/>
      <c r="F113" s="103"/>
      <c r="G113" s="102"/>
      <c r="H113" s="204"/>
      <c r="I113" s="13" t="s">
        <v>138</v>
      </c>
      <c r="J113" s="31">
        <f>(IF(B104&gt;3,(H104/(B104+2)+J112),0))</f>
        <v>0</v>
      </c>
    </row>
    <row r="114" spans="1:22" ht="15.75" hidden="1" customHeight="1" x14ac:dyDescent="0.25">
      <c r="A114" s="98" t="s">
        <v>132</v>
      </c>
      <c r="B114" s="99"/>
      <c r="C114" s="43">
        <v>0</v>
      </c>
      <c r="D114" s="19">
        <f ca="1">((100/H104)*C114)/100</f>
        <v>0</v>
      </c>
      <c r="E114" s="102"/>
      <c r="F114" s="103"/>
      <c r="G114" s="102"/>
      <c r="H114" s="204"/>
      <c r="I114" s="13" t="s">
        <v>139</v>
      </c>
      <c r="J114" s="30">
        <f>(IF(B104&gt;4,(H104/(B104+2)+J113),0))</f>
        <v>0</v>
      </c>
    </row>
    <row r="115" spans="1:22" ht="15.75" hidden="1" customHeight="1" x14ac:dyDescent="0.25">
      <c r="A115" s="98" t="s">
        <v>127</v>
      </c>
      <c r="B115" s="99" t="s">
        <v>127</v>
      </c>
      <c r="C115" s="43">
        <v>0</v>
      </c>
      <c r="D115" s="19">
        <f ca="1">((100/(H104))*C115)/100</f>
        <v>0</v>
      </c>
      <c r="E115" s="102"/>
      <c r="F115" s="103"/>
      <c r="G115" s="102"/>
      <c r="H115" s="204"/>
      <c r="I115" s="13" t="s">
        <v>141</v>
      </c>
      <c r="J115" s="30">
        <f ca="1">(IF(B104=1,(H104/(B104+3)+J110),IF(B104=0,(H104/4+J110),IF(B104&gt;1,0))))</f>
        <v>15</v>
      </c>
    </row>
    <row r="116" spans="1:22" ht="16.5" hidden="1" thickBot="1" x14ac:dyDescent="0.3">
      <c r="A116" s="155" t="s">
        <v>128</v>
      </c>
      <c r="B116" s="156"/>
      <c r="C116" s="44">
        <v>0</v>
      </c>
      <c r="D116" s="20">
        <f ca="1">((100/(H104))*C116)/100</f>
        <v>0</v>
      </c>
      <c r="E116" s="104"/>
      <c r="F116" s="105"/>
      <c r="G116" s="104"/>
      <c r="H116" s="205"/>
      <c r="I116" s="15" t="s">
        <v>100</v>
      </c>
      <c r="J116" s="32">
        <f ca="1">(IF(B104&gt;1.5,(H104/(B104+2)+J110+MAX(0,J111-J110)+MAX(0,J112-J111)+MAX(0,J113-J112)+MAX(0,J114-J113)+MAX(0,J115-J114)),IF(B104=1,(H104/(B104+3)+J115),IF(B104=0,H104/4+J115))))</f>
        <v>20</v>
      </c>
    </row>
    <row r="117" spans="1:22" x14ac:dyDescent="0.25">
      <c r="A117" s="229" t="s">
        <v>150</v>
      </c>
      <c r="B117" s="229"/>
      <c r="C117" s="229"/>
      <c r="D117" s="229"/>
      <c r="E117" s="229"/>
      <c r="F117" s="226" t="s">
        <v>153</v>
      </c>
      <c r="G117" s="226"/>
      <c r="H117" s="226"/>
      <c r="R117" t="s">
        <v>248</v>
      </c>
      <c r="S117" t="s">
        <v>166</v>
      </c>
      <c r="T117" t="s">
        <v>173</v>
      </c>
      <c r="U117" t="s">
        <v>188</v>
      </c>
      <c r="V117" t="s">
        <v>183</v>
      </c>
    </row>
    <row r="118" spans="1:22" x14ac:dyDescent="0.25">
      <c r="A118" s="97" t="s">
        <v>151</v>
      </c>
      <c r="B118" s="97"/>
      <c r="C118" s="97"/>
      <c r="D118" s="97"/>
      <c r="E118" s="97"/>
      <c r="F118" s="96">
        <v>18000</v>
      </c>
      <c r="G118" s="96"/>
      <c r="H118" s="96"/>
      <c r="R118"/>
      <c r="S118">
        <v>800000</v>
      </c>
      <c r="T118">
        <v>150000</v>
      </c>
      <c r="U118">
        <v>100000</v>
      </c>
      <c r="V118">
        <v>100000</v>
      </c>
    </row>
    <row r="119" spans="1:22" x14ac:dyDescent="0.25">
      <c r="A119" s="97" t="s">
        <v>347</v>
      </c>
      <c r="B119" s="97"/>
      <c r="C119" s="97"/>
      <c r="D119" s="97"/>
      <c r="E119" s="97"/>
      <c r="F119" s="96">
        <v>25000</v>
      </c>
      <c r="G119" s="96"/>
      <c r="H119" s="96"/>
      <c r="R119"/>
      <c r="S119">
        <v>900000</v>
      </c>
      <c r="T119">
        <v>200000</v>
      </c>
      <c r="U119">
        <v>150000</v>
      </c>
      <c r="V119">
        <v>150000</v>
      </c>
    </row>
    <row r="120" spans="1:22" hidden="1" x14ac:dyDescent="0.25">
      <c r="A120" s="97" t="s">
        <v>152</v>
      </c>
      <c r="B120" s="97"/>
      <c r="C120" s="97"/>
      <c r="D120" s="97"/>
      <c r="E120" s="97"/>
      <c r="F120" s="96"/>
      <c r="G120" s="96"/>
      <c r="H120" s="96"/>
      <c r="R120"/>
      <c r="S120">
        <v>1000000</v>
      </c>
      <c r="T120">
        <v>250000</v>
      </c>
      <c r="U120">
        <v>200000</v>
      </c>
      <c r="V120">
        <v>200000</v>
      </c>
    </row>
    <row r="121" spans="1:22" s="33" customFormat="1" x14ac:dyDescent="0.25">
      <c r="A121" s="97" t="s">
        <v>348</v>
      </c>
      <c r="B121" s="97"/>
      <c r="C121" s="97"/>
      <c r="D121" s="97"/>
      <c r="E121" s="97"/>
      <c r="F121" s="96">
        <v>70</v>
      </c>
      <c r="G121" s="96"/>
      <c r="H121" s="96"/>
      <c r="R121"/>
      <c r="S121">
        <v>1100000</v>
      </c>
      <c r="T121">
        <v>300000</v>
      </c>
      <c r="U121">
        <v>250000</v>
      </c>
      <c r="V121" s="23">
        <v>250000</v>
      </c>
    </row>
    <row r="122" spans="1:22" s="33" customFormat="1" hidden="1" x14ac:dyDescent="0.25">
      <c r="A122" s="97" t="s">
        <v>90</v>
      </c>
      <c r="B122" s="97"/>
      <c r="C122" s="97"/>
      <c r="D122" s="97"/>
      <c r="E122" s="97"/>
      <c r="F122" s="96"/>
      <c r="G122" s="96"/>
      <c r="H122" s="96"/>
      <c r="R122"/>
      <c r="S122">
        <v>1200000</v>
      </c>
      <c r="T122">
        <v>350000</v>
      </c>
      <c r="U122">
        <v>300000</v>
      </c>
      <c r="V122">
        <v>300000</v>
      </c>
    </row>
    <row r="123" spans="1:22" s="33" customFormat="1" hidden="1" x14ac:dyDescent="0.25">
      <c r="A123" s="97" t="s">
        <v>91</v>
      </c>
      <c r="B123" s="97"/>
      <c r="C123" s="97"/>
      <c r="D123" s="97"/>
      <c r="E123" s="97"/>
      <c r="F123" s="96"/>
      <c r="G123" s="96"/>
      <c r="H123" s="96"/>
      <c r="R123"/>
      <c r="S123">
        <v>1300000</v>
      </c>
      <c r="T123">
        <v>400000</v>
      </c>
      <c r="U123">
        <v>350000</v>
      </c>
      <c r="V123" s="23">
        <v>400000</v>
      </c>
    </row>
    <row r="124" spans="1:22" s="33" customFormat="1" hidden="1" x14ac:dyDescent="0.25">
      <c r="A124" s="97" t="s">
        <v>92</v>
      </c>
      <c r="B124" s="97"/>
      <c r="C124" s="97"/>
      <c r="D124" s="97"/>
      <c r="E124" s="97"/>
      <c r="F124" s="96"/>
      <c r="G124" s="96"/>
      <c r="H124" s="96"/>
      <c r="R124"/>
      <c r="S124">
        <v>1400000</v>
      </c>
      <c r="T124">
        <v>500000</v>
      </c>
      <c r="U124">
        <v>400000</v>
      </c>
      <c r="V124"/>
    </row>
    <row r="125" spans="1:22" s="33" customFormat="1" hidden="1" x14ac:dyDescent="0.25">
      <c r="A125" s="97" t="s">
        <v>93</v>
      </c>
      <c r="B125" s="97"/>
      <c r="C125" s="97"/>
      <c r="D125" s="97"/>
      <c r="E125" s="97"/>
      <c r="F125" s="96"/>
      <c r="G125" s="96"/>
      <c r="H125" s="96"/>
      <c r="R125"/>
      <c r="S125">
        <v>1500000</v>
      </c>
      <c r="T125">
        <v>600000</v>
      </c>
      <c r="U125">
        <v>500000</v>
      </c>
      <c r="V125" s="23"/>
    </row>
    <row r="126" spans="1:22" s="33" customFormat="1" hidden="1" x14ac:dyDescent="0.25">
      <c r="A126" s="97" t="s">
        <v>94</v>
      </c>
      <c r="B126" s="97"/>
      <c r="C126" s="97"/>
      <c r="D126" s="97"/>
      <c r="E126" s="97"/>
      <c r="F126" s="96"/>
      <c r="G126" s="96"/>
      <c r="H126" s="96"/>
      <c r="R126"/>
      <c r="S126">
        <v>1600000</v>
      </c>
      <c r="T126">
        <v>700000</v>
      </c>
      <c r="U126">
        <v>600000</v>
      </c>
      <c r="V126"/>
    </row>
    <row r="127" spans="1:22" s="33" customFormat="1" hidden="1" x14ac:dyDescent="0.25">
      <c r="A127" s="97" t="s">
        <v>95</v>
      </c>
      <c r="B127" s="97"/>
      <c r="C127" s="97"/>
      <c r="D127" s="97"/>
      <c r="E127" s="97"/>
      <c r="F127" s="96"/>
      <c r="G127" s="96"/>
      <c r="H127" s="96"/>
      <c r="R127"/>
      <c r="S127">
        <v>1700000</v>
      </c>
      <c r="T127">
        <v>800000</v>
      </c>
      <c r="U127"/>
      <c r="V127" s="23"/>
    </row>
    <row r="128" spans="1:22" x14ac:dyDescent="0.25">
      <c r="A128" s="97" t="s">
        <v>48</v>
      </c>
      <c r="B128" s="97"/>
      <c r="C128" s="97"/>
      <c r="D128" s="97"/>
      <c r="E128" s="97"/>
      <c r="F128" s="96">
        <v>1000000</v>
      </c>
      <c r="G128" s="96"/>
      <c r="H128" s="96"/>
      <c r="R128"/>
      <c r="S128">
        <v>1800000</v>
      </c>
      <c r="T128">
        <v>900000</v>
      </c>
      <c r="U128"/>
    </row>
    <row r="129" spans="1:22" s="34" customFormat="1" x14ac:dyDescent="0.25">
      <c r="A129" s="180" t="s">
        <v>49</v>
      </c>
      <c r="B129" s="180"/>
      <c r="C129" s="180"/>
      <c r="D129" s="180"/>
      <c r="E129" s="180"/>
      <c r="F129" s="96">
        <f>F118*0.8</f>
        <v>14400</v>
      </c>
      <c r="G129" s="96"/>
      <c r="H129" s="96"/>
      <c r="R129" s="21"/>
      <c r="S129" s="21"/>
      <c r="T129">
        <v>1000000</v>
      </c>
      <c r="U129"/>
      <c r="V129" s="21"/>
    </row>
    <row r="130" spans="1:22" s="35" customFormat="1" ht="15.75" customHeight="1" x14ac:dyDescent="0.25">
      <c r="A130" s="179" t="s">
        <v>71</v>
      </c>
      <c r="B130" s="179"/>
      <c r="C130" s="179"/>
      <c r="D130" s="179"/>
      <c r="E130" s="179"/>
      <c r="F130" s="179"/>
      <c r="G130" s="179"/>
      <c r="H130" s="179"/>
      <c r="R130"/>
      <c r="S130" s="21"/>
      <c r="T130"/>
      <c r="U130"/>
      <c r="V130" s="21"/>
    </row>
    <row r="131" spans="1:22" s="35" customFormat="1" ht="15.75" customHeight="1" x14ac:dyDescent="0.25">
      <c r="A131" s="136" t="s">
        <v>50</v>
      </c>
      <c r="B131" s="136"/>
      <c r="C131" s="141" t="s">
        <v>74</v>
      </c>
      <c r="D131" s="141"/>
      <c r="E131" s="140" t="s">
        <v>51</v>
      </c>
      <c r="F131" s="140"/>
      <c r="G131" s="136" t="s">
        <v>52</v>
      </c>
      <c r="H131" s="136"/>
      <c r="R131"/>
      <c r="S131" s="21"/>
      <c r="T131"/>
      <c r="U131" s="21"/>
      <c r="V131" s="21"/>
    </row>
    <row r="132" spans="1:22" s="35" customFormat="1" x14ac:dyDescent="0.25">
      <c r="A132" s="181" t="s">
        <v>337</v>
      </c>
      <c r="B132" s="181"/>
      <c r="C132" s="220">
        <f>COUNT(F145:F147)</f>
        <v>3</v>
      </c>
      <c r="D132" s="210"/>
      <c r="E132" s="153">
        <f>SUM(F145:F147)</f>
        <v>13749.180119999997</v>
      </c>
      <c r="F132" s="154"/>
      <c r="G132" s="153">
        <f>SUM(H145:H147)</f>
        <v>20623.770179999996</v>
      </c>
      <c r="H132" s="154"/>
      <c r="R132"/>
      <c r="S132" s="21"/>
      <c r="T132"/>
      <c r="U132" s="21"/>
      <c r="V132" s="21"/>
    </row>
    <row r="133" spans="1:22" s="35" customFormat="1" x14ac:dyDescent="0.25">
      <c r="A133" s="179" t="s">
        <v>66</v>
      </c>
      <c r="B133" s="179"/>
      <c r="C133" s="179"/>
      <c r="D133" s="179"/>
      <c r="E133" s="179"/>
      <c r="F133" s="179"/>
      <c r="G133" s="179"/>
      <c r="H133" s="179"/>
      <c r="T133"/>
    </row>
    <row r="134" spans="1:22" s="35" customFormat="1" ht="15.75" customHeight="1" x14ac:dyDescent="0.25">
      <c r="A134" s="136" t="s">
        <v>50</v>
      </c>
      <c r="B134" s="136"/>
      <c r="C134" s="141" t="s">
        <v>74</v>
      </c>
      <c r="D134" s="141"/>
      <c r="E134" s="140" t="s">
        <v>51</v>
      </c>
      <c r="F134" s="140"/>
      <c r="G134" s="136" t="s">
        <v>52</v>
      </c>
      <c r="H134" s="136"/>
      <c r="T134"/>
    </row>
    <row r="135" spans="1:22" s="35" customFormat="1" ht="16.5" thickBot="1" x14ac:dyDescent="0.3">
      <c r="A135" s="181" t="s">
        <v>336</v>
      </c>
      <c r="B135" s="181"/>
      <c r="C135" s="210">
        <f>COUNT(F154:F159)*30+COUNT(F163:F166)*5+COUNT(F170:F173)+COUNT(F175:F177)*4</f>
        <v>216</v>
      </c>
      <c r="D135" s="210"/>
      <c r="E135" s="153">
        <f>SUM(F154:F159)*30+SUM(F163:F166)*5+SUM(F170:F173)+SUM(F175:F177)*4</f>
        <v>229389.66647999996</v>
      </c>
      <c r="F135" s="153"/>
      <c r="G135" s="153">
        <f>SUM(H154:H159)*30+SUM(H163:H166)*5+SUM(H170:H173)+SUM(H175:H177)*4</f>
        <v>344084.49972000002</v>
      </c>
      <c r="H135" s="153"/>
      <c r="T135"/>
    </row>
    <row r="136" spans="1:22" s="35" customFormat="1" ht="16.5" thickBot="1" x14ac:dyDescent="0.3">
      <c r="A136" s="160" t="s">
        <v>159</v>
      </c>
      <c r="B136" s="161"/>
      <c r="C136" s="162">
        <f>C132+C135</f>
        <v>219</v>
      </c>
      <c r="D136" s="163"/>
      <c r="E136" s="162">
        <f t="shared" ref="E136" si="0">E132+E135</f>
        <v>243138.84659999996</v>
      </c>
      <c r="F136" s="163"/>
      <c r="G136" s="162">
        <f t="shared" ref="G136" si="1">G132+G135</f>
        <v>364708.26990000001</v>
      </c>
      <c r="H136" s="163"/>
      <c r="T136"/>
    </row>
    <row r="137" spans="1:22" s="34" customFormat="1" x14ac:dyDescent="0.25">
      <c r="A137" s="226" t="s">
        <v>53</v>
      </c>
      <c r="B137" s="226"/>
      <c r="C137" s="226"/>
      <c r="D137" s="226"/>
      <c r="E137" s="226"/>
      <c r="F137" s="226"/>
      <c r="G137" s="226"/>
      <c r="H137" s="226"/>
      <c r="T137" s="35"/>
    </row>
    <row r="138" spans="1:22" x14ac:dyDescent="0.25">
      <c r="A138" s="135" t="s">
        <v>168</v>
      </c>
      <c r="B138" s="135"/>
      <c r="C138" s="135"/>
      <c r="D138" s="135"/>
      <c r="E138" s="135"/>
      <c r="F138" s="135"/>
      <c r="G138" s="135"/>
      <c r="H138" s="135"/>
      <c r="T138" s="35"/>
    </row>
    <row r="139" spans="1:22" ht="47.25" customHeight="1" x14ac:dyDescent="0.25">
      <c r="A139" s="151" t="s">
        <v>114</v>
      </c>
      <c r="B139" s="151" t="s">
        <v>170</v>
      </c>
      <c r="C139" s="151" t="s">
        <v>54</v>
      </c>
      <c r="D139" s="151" t="s">
        <v>226</v>
      </c>
      <c r="E139" s="166" t="s">
        <v>149</v>
      </c>
      <c r="F139" s="151" t="s">
        <v>55</v>
      </c>
      <c r="G139" s="166" t="s">
        <v>56</v>
      </c>
      <c r="H139" s="55" t="s">
        <v>143</v>
      </c>
      <c r="T139" s="35"/>
    </row>
    <row r="140" spans="1:22" s="37" customFormat="1" x14ac:dyDescent="0.25">
      <c r="A140" s="152"/>
      <c r="B140" s="152"/>
      <c r="C140" s="152"/>
      <c r="D140" s="152"/>
      <c r="E140" s="167"/>
      <c r="F140" s="152"/>
      <c r="G140" s="167"/>
      <c r="H140" s="65">
        <v>0.5</v>
      </c>
      <c r="T140" s="35"/>
    </row>
    <row r="141" spans="1:22" s="37" customFormat="1" x14ac:dyDescent="0.25">
      <c r="A141" s="81" t="s">
        <v>340</v>
      </c>
      <c r="B141" s="82"/>
      <c r="C141" s="82"/>
      <c r="D141" s="82"/>
      <c r="E141" s="82"/>
      <c r="F141" s="82"/>
      <c r="G141" s="82"/>
      <c r="H141" s="83"/>
      <c r="I141" s="42">
        <v>10.763999999999999</v>
      </c>
      <c r="J141" s="36"/>
      <c r="T141" s="35"/>
    </row>
    <row r="142" spans="1:22" s="37" customFormat="1" x14ac:dyDescent="0.25">
      <c r="A142" s="81" t="s">
        <v>321</v>
      </c>
      <c r="B142" s="82"/>
      <c r="C142" s="82"/>
      <c r="D142" s="82"/>
      <c r="E142" s="82"/>
      <c r="F142" s="82"/>
      <c r="G142" s="82"/>
      <c r="H142" s="83"/>
      <c r="J142" s="36"/>
      <c r="T142" s="35"/>
    </row>
    <row r="143" spans="1:22" s="37" customFormat="1" x14ac:dyDescent="0.25">
      <c r="A143" s="81" t="s">
        <v>346</v>
      </c>
      <c r="B143" s="82"/>
      <c r="C143" s="82"/>
      <c r="D143" s="82"/>
      <c r="E143" s="82"/>
      <c r="F143" s="82"/>
      <c r="G143" s="82"/>
      <c r="H143" s="83"/>
      <c r="J143" s="36"/>
      <c r="T143" s="35"/>
    </row>
    <row r="144" spans="1:22" s="64" customFormat="1" x14ac:dyDescent="0.25">
      <c r="A144" s="81" t="s">
        <v>345</v>
      </c>
      <c r="B144" s="82"/>
      <c r="C144" s="82"/>
      <c r="D144" s="82"/>
      <c r="E144" s="82"/>
      <c r="F144" s="82"/>
      <c r="G144" s="82"/>
      <c r="H144" s="83"/>
      <c r="J144" s="36"/>
      <c r="T144" s="35"/>
    </row>
    <row r="145" spans="1:20" s="37" customFormat="1" x14ac:dyDescent="0.25">
      <c r="A145" s="72">
        <v>1</v>
      </c>
      <c r="B145" s="73"/>
      <c r="C145" s="42" t="s">
        <v>344</v>
      </c>
      <c r="D145" s="42">
        <f>(253.18)*10.764</f>
        <v>2725.2295199999999</v>
      </c>
      <c r="E145" s="42">
        <v>0</v>
      </c>
      <c r="F145" s="42">
        <f>D145+(IF(E145&lt;201,E145,IF(E145&lt;301,E145/2,E145/3)))</f>
        <v>2725.2295199999999</v>
      </c>
      <c r="G145" s="42">
        <v>0</v>
      </c>
      <c r="H145" s="42">
        <f>(F145+(IF(G145&lt;101,G145,IF(G145&lt;201,G145/2,IF(G145&lt;=301,G145/3,G145/4)))))*(($H$140)+1)</f>
        <v>4087.8442799999998</v>
      </c>
      <c r="I145" s="36"/>
      <c r="L145" s="74"/>
      <c r="M145" s="74"/>
      <c r="N145" s="36"/>
      <c r="T145" s="35"/>
    </row>
    <row r="146" spans="1:20" s="37" customFormat="1" x14ac:dyDescent="0.25">
      <c r="A146" s="72">
        <f>A145+1</f>
        <v>2</v>
      </c>
      <c r="B146" s="73"/>
      <c r="C146" s="42" t="s">
        <v>344</v>
      </c>
      <c r="D146" s="42">
        <f>(182.88)*10.764</f>
        <v>1968.5203199999999</v>
      </c>
      <c r="E146" s="42">
        <v>0</v>
      </c>
      <c r="F146" s="42">
        <f t="shared" ref="F146:F147" si="2">D146+(IF(E146&lt;201,E146,IF(E146&lt;301,E146/2,E146/3)))</f>
        <v>1968.5203199999999</v>
      </c>
      <c r="G146" s="42">
        <v>0</v>
      </c>
      <c r="H146" s="42">
        <f>(F146+(IF(G146&lt;101,G146,IF(G146&lt;201,G146/2,IF(G146&lt;=301,G146/3,G146/4)))))*(($H$140)+1)</f>
        <v>2952.7804799999999</v>
      </c>
      <c r="I146" s="36"/>
      <c r="L146" s="74"/>
      <c r="M146" s="74"/>
      <c r="N146" s="36"/>
      <c r="T146" s="34"/>
    </row>
    <row r="147" spans="1:20" s="37" customFormat="1" x14ac:dyDescent="0.25">
      <c r="A147" s="72">
        <f>A146+1</f>
        <v>3</v>
      </c>
      <c r="B147" s="73"/>
      <c r="C147" s="42" t="s">
        <v>344</v>
      </c>
      <c r="D147" s="42">
        <f>(841.27)*10.764</f>
        <v>9055.4302799999987</v>
      </c>
      <c r="E147" s="42">
        <v>0</v>
      </c>
      <c r="F147" s="42">
        <f t="shared" si="2"/>
        <v>9055.4302799999987</v>
      </c>
      <c r="G147" s="42">
        <v>0</v>
      </c>
      <c r="H147" s="42">
        <f>(F147+(IF(G147&lt;101,G147,IF(G147&lt;201,G147/2,IF(G147&lt;=301,G147/3,G147/4)))))*(($H$140)+1)</f>
        <v>13583.145419999997</v>
      </c>
      <c r="I147" s="36"/>
      <c r="L147" s="74"/>
      <c r="M147" s="74"/>
      <c r="N147" s="36"/>
      <c r="T147" s="21"/>
    </row>
    <row r="148" spans="1:20" s="37" customFormat="1" x14ac:dyDescent="0.25">
      <c r="A148" s="72"/>
      <c r="B148" s="230"/>
      <c r="C148" s="230"/>
      <c r="D148" s="230"/>
      <c r="E148" s="230"/>
      <c r="F148" s="230"/>
      <c r="G148" s="230"/>
      <c r="H148" s="73"/>
      <c r="I148" s="36"/>
      <c r="N148" s="36"/>
    </row>
    <row r="149" spans="1:20" ht="47.25" customHeight="1" x14ac:dyDescent="0.25">
      <c r="A149" s="227" t="s">
        <v>115</v>
      </c>
      <c r="B149" s="151" t="s">
        <v>171</v>
      </c>
      <c r="C149" s="151" t="s">
        <v>54</v>
      </c>
      <c r="D149" s="151" t="s">
        <v>226</v>
      </c>
      <c r="E149" s="151" t="s">
        <v>335</v>
      </c>
      <c r="F149" s="151" t="s">
        <v>55</v>
      </c>
      <c r="G149" s="166" t="s">
        <v>56</v>
      </c>
      <c r="H149" s="55" t="s">
        <v>143</v>
      </c>
      <c r="I149" s="36"/>
      <c r="T149" s="37"/>
    </row>
    <row r="150" spans="1:20" s="37" customFormat="1" x14ac:dyDescent="0.25">
      <c r="A150" s="228"/>
      <c r="B150" s="152"/>
      <c r="C150" s="152"/>
      <c r="D150" s="152"/>
      <c r="E150" s="152"/>
      <c r="F150" s="152"/>
      <c r="G150" s="167"/>
      <c r="H150" s="65">
        <v>0.5</v>
      </c>
      <c r="I150" s="36"/>
    </row>
    <row r="151" spans="1:20" s="37" customFormat="1" x14ac:dyDescent="0.25">
      <c r="A151" s="81" t="s">
        <v>322</v>
      </c>
      <c r="B151" s="82"/>
      <c r="C151" s="82"/>
      <c r="D151" s="82"/>
      <c r="E151" s="82"/>
      <c r="F151" s="82"/>
      <c r="G151" s="82"/>
      <c r="H151" s="83"/>
      <c r="J151" s="36"/>
    </row>
    <row r="152" spans="1:20" s="37" customFormat="1" ht="37.15" customHeight="1" x14ac:dyDescent="0.25">
      <c r="A152" s="81" t="s">
        <v>323</v>
      </c>
      <c r="B152" s="82"/>
      <c r="C152" s="82"/>
      <c r="D152" s="82"/>
      <c r="E152" s="82"/>
      <c r="F152" s="82"/>
      <c r="G152" s="82"/>
      <c r="H152" s="83"/>
      <c r="J152" s="36"/>
    </row>
    <row r="153" spans="1:20" s="37" customFormat="1" x14ac:dyDescent="0.25">
      <c r="A153" s="81" t="s">
        <v>324</v>
      </c>
      <c r="B153" s="82"/>
      <c r="C153" s="82"/>
      <c r="D153" s="82"/>
      <c r="E153" s="82"/>
      <c r="F153" s="82"/>
      <c r="G153" s="82"/>
      <c r="H153" s="83"/>
      <c r="I153" s="37">
        <f>6+6+6+6+6</f>
        <v>30</v>
      </c>
      <c r="J153" s="36"/>
    </row>
    <row r="154" spans="1:20" s="37" customFormat="1" ht="15.75" customHeight="1" x14ac:dyDescent="0.25">
      <c r="A154" s="72">
        <v>1</v>
      </c>
      <c r="B154" s="73"/>
      <c r="C154" s="42" t="s">
        <v>325</v>
      </c>
      <c r="D154" s="42">
        <f>(68.33)*10.764</f>
        <v>735.50411999999994</v>
      </c>
      <c r="E154" s="42">
        <f>(1.47*2.8)*10.764</f>
        <v>44.304623999999997</v>
      </c>
      <c r="F154" s="42">
        <f>D154+E154</f>
        <v>779.80874399999993</v>
      </c>
      <c r="G154" s="42">
        <v>0</v>
      </c>
      <c r="H154" s="42">
        <f>F154*(($H$150)+1)+(IF(G154&lt;101,G154,IF(G154&lt;201,G154/2,IF(G154&lt;=301,G154/3,G154/4))))</f>
        <v>1169.7131159999999</v>
      </c>
      <c r="I154" s="36"/>
      <c r="L154" s="74"/>
      <c r="M154" s="74"/>
      <c r="N154" s="36"/>
    </row>
    <row r="155" spans="1:20" s="37" customFormat="1" ht="15.75" customHeight="1" x14ac:dyDescent="0.25">
      <c r="A155" s="72">
        <f>A154+1</f>
        <v>2</v>
      </c>
      <c r="B155" s="73"/>
      <c r="C155" s="42" t="s">
        <v>325</v>
      </c>
      <c r="D155" s="42">
        <f>(67.93)*10.764</f>
        <v>731.19852000000003</v>
      </c>
      <c r="E155" s="42">
        <f>(1.47*2.8)*10.764</f>
        <v>44.304623999999997</v>
      </c>
      <c r="F155" s="42">
        <f>D155+E155</f>
        <v>775.50314400000002</v>
      </c>
      <c r="G155" s="42">
        <v>0</v>
      </c>
      <c r="H155" s="42">
        <f>F155*(($H$150)+1)+(IF(G155&lt;101,G155,IF(G155&lt;201,G155/2,IF(G155&lt;=301,G155/3,G155/4))))</f>
        <v>1163.2547159999999</v>
      </c>
      <c r="I155" s="36"/>
      <c r="L155" s="74"/>
      <c r="M155" s="74"/>
      <c r="N155" s="36"/>
    </row>
    <row r="156" spans="1:20" s="37" customFormat="1" ht="15.75" customHeight="1" x14ac:dyDescent="0.25">
      <c r="A156" s="72">
        <f>A155+1</f>
        <v>3</v>
      </c>
      <c r="B156" s="73"/>
      <c r="C156" s="42" t="s">
        <v>325</v>
      </c>
      <c r="D156" s="42">
        <f>(65.25)*10.764</f>
        <v>702.351</v>
      </c>
      <c r="E156" s="42">
        <f>(1.88*3.1)*10.764</f>
        <v>62.73259199999999</v>
      </c>
      <c r="F156" s="42">
        <f>D156+E156</f>
        <v>765.08359199999995</v>
      </c>
      <c r="G156" s="42">
        <v>0</v>
      </c>
      <c r="H156" s="42">
        <f>F156*(($H$150)+1)+(IF(G156&lt;101,G156,IF(G156&lt;201,G156/2,IF(G156&lt;=301,G156/3,G156/4))))</f>
        <v>1147.6253879999999</v>
      </c>
      <c r="I156" s="36"/>
      <c r="L156" s="74"/>
      <c r="M156" s="74"/>
      <c r="N156" s="36"/>
    </row>
    <row r="157" spans="1:20" s="37" customFormat="1" ht="15.75" customHeight="1" x14ac:dyDescent="0.25">
      <c r="A157" s="72">
        <f>A156+1</f>
        <v>4</v>
      </c>
      <c r="B157" s="73"/>
      <c r="C157" s="42" t="s">
        <v>325</v>
      </c>
      <c r="D157" s="42">
        <f>(65.25)*10.764</f>
        <v>702.351</v>
      </c>
      <c r="E157" s="42">
        <f>(1.88*3.1)*10.764</f>
        <v>62.73259199999999</v>
      </c>
      <c r="F157" s="42">
        <f>D157+E157</f>
        <v>765.08359199999995</v>
      </c>
      <c r="G157" s="42">
        <v>0</v>
      </c>
      <c r="H157" s="42">
        <f>F157*(($H$150)+1)+(IF(G157&lt;101,G157,IF(G157&lt;201,G157/2,IF(G157&lt;=301,G157/3,G157/4))))</f>
        <v>1147.6253879999999</v>
      </c>
      <c r="I157" s="36"/>
      <c r="L157" s="74"/>
      <c r="M157" s="74"/>
      <c r="N157" s="36"/>
      <c r="T157" s="21"/>
    </row>
    <row r="158" spans="1:20" s="37" customFormat="1" ht="15.75" customHeight="1" x14ac:dyDescent="0.25">
      <c r="A158" s="72">
        <f t="shared" ref="A158:A159" si="3">A157+1</f>
        <v>5</v>
      </c>
      <c r="B158" s="73"/>
      <c r="C158" s="42" t="s">
        <v>326</v>
      </c>
      <c r="D158" s="42">
        <f>(116.63)*10.764</f>
        <v>1255.4053199999998</v>
      </c>
      <c r="E158" s="42">
        <f>(5*1.73)*10.764</f>
        <v>93.108599999999996</v>
      </c>
      <c r="F158" s="42">
        <f t="shared" ref="F158:F159" si="4">D158+E158</f>
        <v>1348.5139199999999</v>
      </c>
      <c r="G158" s="42">
        <v>0</v>
      </c>
      <c r="H158" s="42">
        <f t="shared" ref="H158:H159" si="5">F158*(($H$150)+1)+(IF(G158&lt;101,G158,IF(G158&lt;201,G158/2,IF(G158&lt;=301,G158/3,G158/4))))</f>
        <v>2022.7708799999998</v>
      </c>
      <c r="I158" s="36"/>
      <c r="L158" s="74"/>
      <c r="M158" s="74"/>
      <c r="N158" s="36"/>
      <c r="T158" s="21"/>
    </row>
    <row r="159" spans="1:20" s="37" customFormat="1" ht="15.75" customHeight="1" x14ac:dyDescent="0.25">
      <c r="A159" s="72">
        <f t="shared" si="3"/>
        <v>6</v>
      </c>
      <c r="B159" s="73"/>
      <c r="C159" s="42" t="s">
        <v>326</v>
      </c>
      <c r="D159" s="42">
        <f>(116.63)*10.764</f>
        <v>1255.4053199999998</v>
      </c>
      <c r="E159" s="42">
        <f>(5*1.73)*10.764</f>
        <v>93.108599999999996</v>
      </c>
      <c r="F159" s="42">
        <f t="shared" si="4"/>
        <v>1348.5139199999999</v>
      </c>
      <c r="G159" s="42">
        <v>0</v>
      </c>
      <c r="H159" s="42">
        <f t="shared" si="5"/>
        <v>2022.7708799999998</v>
      </c>
      <c r="I159" s="36"/>
      <c r="L159" s="74"/>
      <c r="M159" s="74"/>
      <c r="N159" s="36"/>
      <c r="T159" s="21"/>
    </row>
    <row r="160" spans="1:20" s="37" customFormat="1" x14ac:dyDescent="0.25">
      <c r="A160" s="81" t="s">
        <v>328</v>
      </c>
      <c r="B160" s="82"/>
      <c r="C160" s="82"/>
      <c r="D160" s="82"/>
      <c r="E160" s="82"/>
      <c r="F160" s="82"/>
      <c r="G160" s="82"/>
      <c r="H160" s="83"/>
      <c r="I160" s="37">
        <v>5</v>
      </c>
      <c r="J160" s="36"/>
    </row>
    <row r="161" spans="1:20" s="37" customFormat="1" ht="15.75" customHeight="1" x14ac:dyDescent="0.25">
      <c r="A161" s="72">
        <v>1</v>
      </c>
      <c r="B161" s="73"/>
      <c r="C161" s="75" t="s">
        <v>327</v>
      </c>
      <c r="D161" s="76"/>
      <c r="E161" s="76"/>
      <c r="F161" s="76"/>
      <c r="G161" s="76"/>
      <c r="H161" s="77"/>
      <c r="I161" s="36"/>
      <c r="L161" s="74"/>
      <c r="M161" s="74"/>
      <c r="N161" s="36"/>
    </row>
    <row r="162" spans="1:20" s="37" customFormat="1" ht="15.75" customHeight="1" x14ac:dyDescent="0.25">
      <c r="A162" s="72">
        <f>A161+1</f>
        <v>2</v>
      </c>
      <c r="B162" s="73"/>
      <c r="C162" s="78"/>
      <c r="D162" s="79"/>
      <c r="E162" s="79"/>
      <c r="F162" s="79"/>
      <c r="G162" s="79"/>
      <c r="H162" s="80"/>
      <c r="I162" s="36"/>
      <c r="L162" s="74"/>
      <c r="M162" s="74"/>
      <c r="N162" s="36"/>
    </row>
    <row r="163" spans="1:20" s="37" customFormat="1" ht="15.75" customHeight="1" x14ac:dyDescent="0.25">
      <c r="A163" s="72">
        <f>A162+1</f>
        <v>3</v>
      </c>
      <c r="B163" s="73"/>
      <c r="C163" s="42" t="s">
        <v>325</v>
      </c>
      <c r="D163" s="42">
        <f>(65.25)*10.764</f>
        <v>702.351</v>
      </c>
      <c r="E163" s="42">
        <f>(1.88*3.1)*10.764</f>
        <v>62.73259199999999</v>
      </c>
      <c r="F163" s="42">
        <f>D163+E163</f>
        <v>765.08359199999995</v>
      </c>
      <c r="G163" s="42">
        <v>0</v>
      </c>
      <c r="H163" s="42">
        <f>F163*(($H$150)+1)+(IF(G163&lt;101,G163,IF(G163&lt;201,G163/2,IF(G163&lt;=301,G163/3,G163/4))))</f>
        <v>1147.6253879999999</v>
      </c>
      <c r="I163" s="36"/>
      <c r="L163" s="74"/>
      <c r="M163" s="74"/>
      <c r="N163" s="36"/>
    </row>
    <row r="164" spans="1:20" s="37" customFormat="1" ht="15.75" customHeight="1" x14ac:dyDescent="0.25">
      <c r="A164" s="72">
        <f>A163+1</f>
        <v>4</v>
      </c>
      <c r="B164" s="73"/>
      <c r="C164" s="42" t="s">
        <v>325</v>
      </c>
      <c r="D164" s="42">
        <f>(65.25)*10.764</f>
        <v>702.351</v>
      </c>
      <c r="E164" s="42">
        <f>(1.88*3.1)*10.764</f>
        <v>62.73259199999999</v>
      </c>
      <c r="F164" s="42">
        <f>D164+E164</f>
        <v>765.08359199999995</v>
      </c>
      <c r="G164" s="42">
        <v>0</v>
      </c>
      <c r="H164" s="42">
        <f>F164*(($H$150)+1)+(IF(G164&lt;101,G164,IF(G164&lt;201,G164/2,IF(G164&lt;=301,G164/3,G164/4))))</f>
        <v>1147.6253879999999</v>
      </c>
      <c r="I164" s="36"/>
      <c r="L164" s="74"/>
      <c r="M164" s="74"/>
      <c r="N164" s="36"/>
      <c r="T164" s="21"/>
    </row>
    <row r="165" spans="1:20" s="37" customFormat="1" ht="15.75" customHeight="1" x14ac:dyDescent="0.25">
      <c r="A165" s="72">
        <f t="shared" ref="A165:A166" si="6">A164+1</f>
        <v>5</v>
      </c>
      <c r="B165" s="73"/>
      <c r="C165" s="42" t="s">
        <v>326</v>
      </c>
      <c r="D165" s="42">
        <f>(116.63)*10.764</f>
        <v>1255.4053199999998</v>
      </c>
      <c r="E165" s="42">
        <f>(5*1.73)*10.764</f>
        <v>93.108599999999996</v>
      </c>
      <c r="F165" s="42">
        <f t="shared" ref="F165:F166" si="7">D165+E165</f>
        <v>1348.5139199999999</v>
      </c>
      <c r="G165" s="42">
        <v>0</v>
      </c>
      <c r="H165" s="42">
        <f t="shared" ref="H165:H166" si="8">F165*(($H$150)+1)+(IF(G165&lt;101,G165,IF(G165&lt;201,G165/2,IF(G165&lt;=301,G165/3,G165/4))))</f>
        <v>2022.7708799999998</v>
      </c>
      <c r="I165" s="36"/>
      <c r="L165" s="74"/>
      <c r="M165" s="74"/>
      <c r="N165" s="36"/>
      <c r="T165" s="21"/>
    </row>
    <row r="166" spans="1:20" s="37" customFormat="1" ht="15.75" customHeight="1" x14ac:dyDescent="0.25">
      <c r="A166" s="72">
        <f t="shared" si="6"/>
        <v>6</v>
      </c>
      <c r="B166" s="73"/>
      <c r="C166" s="42" t="s">
        <v>326</v>
      </c>
      <c r="D166" s="42">
        <f>(116.63)*10.764</f>
        <v>1255.4053199999998</v>
      </c>
      <c r="E166" s="42">
        <f>(5*1.73)*10.764</f>
        <v>93.108599999999996</v>
      </c>
      <c r="F166" s="42">
        <f t="shared" si="7"/>
        <v>1348.5139199999999</v>
      </c>
      <c r="G166" s="42">
        <v>0</v>
      </c>
      <c r="H166" s="42">
        <f t="shared" si="8"/>
        <v>2022.7708799999998</v>
      </c>
      <c r="I166" s="36"/>
      <c r="L166" s="74"/>
      <c r="M166" s="74"/>
      <c r="N166" s="36"/>
      <c r="T166" s="21"/>
    </row>
    <row r="167" spans="1:20" s="37" customFormat="1" x14ac:dyDescent="0.25">
      <c r="A167" s="81" t="s">
        <v>329</v>
      </c>
      <c r="B167" s="82"/>
      <c r="C167" s="82"/>
      <c r="D167" s="82"/>
      <c r="E167" s="82"/>
      <c r="F167" s="82"/>
      <c r="G167" s="82"/>
      <c r="H167" s="83"/>
      <c r="I167" s="37">
        <v>1</v>
      </c>
      <c r="J167" s="36"/>
    </row>
    <row r="168" spans="1:20" s="37" customFormat="1" ht="15.75" customHeight="1" x14ac:dyDescent="0.25">
      <c r="A168" s="72">
        <v>1</v>
      </c>
      <c r="B168" s="73"/>
      <c r="C168" s="75" t="s">
        <v>330</v>
      </c>
      <c r="D168" s="76"/>
      <c r="E168" s="76"/>
      <c r="F168" s="76"/>
      <c r="G168" s="76"/>
      <c r="H168" s="77"/>
      <c r="I168" s="36"/>
      <c r="L168" s="74"/>
      <c r="M168" s="74"/>
      <c r="N168" s="36"/>
    </row>
    <row r="169" spans="1:20" s="37" customFormat="1" ht="15.75" customHeight="1" x14ac:dyDescent="0.25">
      <c r="A169" s="72">
        <f>A168+1</f>
        <v>2</v>
      </c>
      <c r="B169" s="73"/>
      <c r="C169" s="78"/>
      <c r="D169" s="79"/>
      <c r="E169" s="79"/>
      <c r="F169" s="79"/>
      <c r="G169" s="79"/>
      <c r="H169" s="80"/>
      <c r="I169" s="36"/>
      <c r="L169" s="74"/>
      <c r="M169" s="74"/>
      <c r="N169" s="36"/>
    </row>
    <row r="170" spans="1:20" s="37" customFormat="1" ht="15.75" customHeight="1" x14ac:dyDescent="0.25">
      <c r="A170" s="72">
        <f>A169+1</f>
        <v>3</v>
      </c>
      <c r="B170" s="73"/>
      <c r="C170" s="42" t="s">
        <v>325</v>
      </c>
      <c r="D170" s="42">
        <f>(65.25)*10.764</f>
        <v>702.351</v>
      </c>
      <c r="E170" s="42">
        <f>(1.88*3.1)*10.764</f>
        <v>62.73259199999999</v>
      </c>
      <c r="F170" s="42">
        <f>D170+E170</f>
        <v>765.08359199999995</v>
      </c>
      <c r="G170" s="42">
        <v>0</v>
      </c>
      <c r="H170" s="42">
        <f>F170*(($H$150)+1)+(IF(G170&lt;101,G170,IF(G170&lt;201,G170/2,IF(G170&lt;=301,G170/3,G170/4))))</f>
        <v>1147.6253879999999</v>
      </c>
      <c r="I170" s="36"/>
      <c r="L170" s="74"/>
      <c r="M170" s="74"/>
      <c r="N170" s="36"/>
    </row>
    <row r="171" spans="1:20" s="37" customFormat="1" ht="15.75" customHeight="1" x14ac:dyDescent="0.25">
      <c r="A171" s="72">
        <f>A170+1</f>
        <v>4</v>
      </c>
      <c r="B171" s="73"/>
      <c r="C171" s="42" t="s">
        <v>325</v>
      </c>
      <c r="D171" s="42">
        <f>(65.25)*10.764</f>
        <v>702.351</v>
      </c>
      <c r="E171" s="42">
        <f>(1.88*3.1)*10.764</f>
        <v>62.73259199999999</v>
      </c>
      <c r="F171" s="42">
        <f>D171+E171</f>
        <v>765.08359199999995</v>
      </c>
      <c r="G171" s="42">
        <v>0</v>
      </c>
      <c r="H171" s="42">
        <f>F171*(($H$150)+1)+(IF(G171&lt;101,G171,IF(G171&lt;201,G171/2,IF(G171&lt;=301,G171/3,G171/4))))</f>
        <v>1147.6253879999999</v>
      </c>
      <c r="I171" s="36"/>
      <c r="L171" s="74"/>
      <c r="M171" s="74"/>
      <c r="N171" s="36"/>
      <c r="T171" s="21"/>
    </row>
    <row r="172" spans="1:20" s="37" customFormat="1" ht="15.75" customHeight="1" x14ac:dyDescent="0.25">
      <c r="A172" s="72">
        <f t="shared" ref="A172:A173" si="9">A171+1</f>
        <v>5</v>
      </c>
      <c r="B172" s="73"/>
      <c r="C172" s="42" t="s">
        <v>326</v>
      </c>
      <c r="D172" s="42">
        <f>(116.63)*10.764</f>
        <v>1255.4053199999998</v>
      </c>
      <c r="E172" s="42">
        <f>(5*1.73)*10.764</f>
        <v>93.108599999999996</v>
      </c>
      <c r="F172" s="42">
        <f t="shared" ref="F172:F173" si="10">D172+E172</f>
        <v>1348.5139199999999</v>
      </c>
      <c r="G172" s="42">
        <v>0</v>
      </c>
      <c r="H172" s="42">
        <f t="shared" ref="H172:H173" si="11">F172*(($H$150)+1)+(IF(G172&lt;101,G172,IF(G172&lt;201,G172/2,IF(G172&lt;=301,G172/3,G172/4))))</f>
        <v>2022.7708799999998</v>
      </c>
      <c r="I172" s="36"/>
      <c r="L172" s="74"/>
      <c r="M172" s="74"/>
      <c r="N172" s="36"/>
      <c r="T172" s="21"/>
    </row>
    <row r="173" spans="1:20" s="37" customFormat="1" ht="15.75" customHeight="1" x14ac:dyDescent="0.25">
      <c r="A173" s="72">
        <f t="shared" si="9"/>
        <v>6</v>
      </c>
      <c r="B173" s="73"/>
      <c r="C173" s="42" t="s">
        <v>326</v>
      </c>
      <c r="D173" s="42">
        <f>(116.63)*10.764</f>
        <v>1255.4053199999998</v>
      </c>
      <c r="E173" s="42">
        <f>(5*1.73)*10.764</f>
        <v>93.108599999999996</v>
      </c>
      <c r="F173" s="42">
        <f t="shared" si="10"/>
        <v>1348.5139199999999</v>
      </c>
      <c r="G173" s="42">
        <v>0</v>
      </c>
      <c r="H173" s="42">
        <f t="shared" si="11"/>
        <v>2022.7708799999998</v>
      </c>
      <c r="I173" s="36"/>
      <c r="L173" s="74"/>
      <c r="M173" s="74"/>
      <c r="N173" s="36"/>
      <c r="T173" s="21"/>
    </row>
    <row r="174" spans="1:20" s="37" customFormat="1" x14ac:dyDescent="0.25">
      <c r="A174" s="81" t="s">
        <v>331</v>
      </c>
      <c r="B174" s="82"/>
      <c r="C174" s="82"/>
      <c r="D174" s="82"/>
      <c r="E174" s="82"/>
      <c r="F174" s="82"/>
      <c r="G174" s="82"/>
      <c r="H174" s="83"/>
      <c r="I174" s="37">
        <v>4</v>
      </c>
      <c r="J174" s="36"/>
    </row>
    <row r="175" spans="1:20" s="37" customFormat="1" ht="15.75" customHeight="1" x14ac:dyDescent="0.25">
      <c r="A175" s="72">
        <v>1</v>
      </c>
      <c r="B175" s="73"/>
      <c r="C175" s="42" t="s">
        <v>332</v>
      </c>
      <c r="D175" s="42">
        <f>(146.92)*10.764</f>
        <v>1581.4468799999997</v>
      </c>
      <c r="E175" s="42">
        <f>((4.82*1.4+2.82*3.1+2.27*3.05+2*7.9+2.27*3.05+2.82*3.1+4.82*1.4))*10.764</f>
        <v>652.58902799999987</v>
      </c>
      <c r="F175" s="42">
        <f>D175+E175</f>
        <v>2234.0359079999998</v>
      </c>
      <c r="G175" s="42">
        <v>0</v>
      </c>
      <c r="H175" s="42">
        <f>F175*(($H$150)+1)+(IF(G175&lt;101,G175,IF(G175&lt;201,G175/2,IF(G175&lt;=301,G175/3,G175/4))))</f>
        <v>3351.0538619999998</v>
      </c>
      <c r="I175" s="36"/>
      <c r="L175" s="74"/>
      <c r="M175" s="74"/>
      <c r="N175" s="36"/>
    </row>
    <row r="176" spans="1:20" s="37" customFormat="1" ht="15.75" customHeight="1" x14ac:dyDescent="0.25">
      <c r="A176" s="72">
        <f>A175+1</f>
        <v>2</v>
      </c>
      <c r="B176" s="73"/>
      <c r="C176" s="42" t="s">
        <v>332</v>
      </c>
      <c r="D176" s="42">
        <f>(149.82)*10.764</f>
        <v>1612.6624799999997</v>
      </c>
      <c r="E176" s="42">
        <f>(2.26*4.7+1.96*3.05+1.98*7.4+1.96*3.05+2.26*4.7)*10.764</f>
        <v>515.07892800000002</v>
      </c>
      <c r="F176" s="42">
        <f>D176+E176</f>
        <v>2127.7414079999999</v>
      </c>
      <c r="G176" s="42">
        <v>0</v>
      </c>
      <c r="H176" s="42">
        <f>F176*(($H$150)+1)+(IF(G176&lt;101,G176,IF(G176&lt;201,G176/2,IF(G176&lt;=301,G176/3,G176/4))))</f>
        <v>3191.6121119999998</v>
      </c>
      <c r="I176" s="36"/>
      <c r="L176" s="74"/>
      <c r="M176" s="74"/>
      <c r="N176" s="36"/>
    </row>
    <row r="177" spans="1:20" s="37" customFormat="1" ht="15.75" customHeight="1" x14ac:dyDescent="0.25">
      <c r="A177" s="72">
        <f>A176+1</f>
        <v>3</v>
      </c>
      <c r="B177" s="73"/>
      <c r="C177" s="42" t="s">
        <v>333</v>
      </c>
      <c r="D177" s="42">
        <f>(234.37)*10.764</f>
        <v>2522.7586799999999</v>
      </c>
      <c r="E177" s="42">
        <f>(3.38*1.2+1.2*8.15+12.95*2.6+1.2*8.15+3.38*1.2+1.2*3.6+1.2*3.6)*10.764</f>
        <v>753.286248</v>
      </c>
      <c r="F177" s="42">
        <f>D177+E177</f>
        <v>3276.0449279999998</v>
      </c>
      <c r="G177" s="42">
        <v>0</v>
      </c>
      <c r="H177" s="42">
        <f>F177*(($H$150)+1)+(IF(G177&lt;101,G177,IF(G177&lt;201,G177/2,IF(G177&lt;=301,G177/3,G177/4))))</f>
        <v>4914.0673919999999</v>
      </c>
      <c r="I177" s="36"/>
      <c r="L177" s="74"/>
      <c r="M177" s="74"/>
      <c r="N177" s="36"/>
    </row>
    <row r="178" spans="1:20" s="35" customFormat="1" x14ac:dyDescent="0.25">
      <c r="A178" s="168" t="s">
        <v>64</v>
      </c>
      <c r="B178" s="168"/>
      <c r="C178" s="168"/>
      <c r="D178" s="168"/>
      <c r="E178" s="168"/>
      <c r="F178" s="168"/>
      <c r="G178" s="168"/>
      <c r="H178" s="168"/>
      <c r="T178" s="37"/>
    </row>
    <row r="179" spans="1:20" s="35" customFormat="1" x14ac:dyDescent="0.25">
      <c r="A179" s="46" t="s">
        <v>146</v>
      </c>
      <c r="B179" s="116" t="s">
        <v>349</v>
      </c>
      <c r="C179" s="117"/>
      <c r="D179" s="117"/>
      <c r="E179" s="117"/>
      <c r="F179" s="117"/>
      <c r="G179" s="117"/>
      <c r="H179" s="118"/>
      <c r="T179" s="37"/>
    </row>
    <row r="180" spans="1:20" s="35" customFormat="1" x14ac:dyDescent="0.25">
      <c r="A180" s="46" t="s">
        <v>146</v>
      </c>
      <c r="B180" s="116" t="str">
        <f>(IF(H149="Saleable area Loading :","We have considered Saleable area of Flats as per our Calculation.","We considered Saleable area of Flat as per Builder area Sheet."))</f>
        <v>We have considered Saleable area of Flats as per our Calculation.</v>
      </c>
      <c r="C180" s="117"/>
      <c r="D180" s="117"/>
      <c r="E180" s="117"/>
      <c r="F180" s="117"/>
      <c r="G180" s="117"/>
      <c r="H180" s="118"/>
      <c r="T180" s="37"/>
    </row>
    <row r="181" spans="1:20" s="35" customFormat="1" x14ac:dyDescent="0.25">
      <c r="A181" s="46" t="s">
        <v>146</v>
      </c>
      <c r="B181" s="116" t="str">
        <f>(IF(H139="Saleable area Loading :","We have considered Saleable area of Commercial as per our Calculation.","We considered Saleable area of Commercial as per Builder area Sheet."))</f>
        <v>We have considered Saleable area of Commercial as per our Calculation.</v>
      </c>
      <c r="C181" s="117"/>
      <c r="D181" s="117"/>
      <c r="E181" s="117"/>
      <c r="F181" s="117"/>
      <c r="G181" s="117"/>
      <c r="H181" s="118"/>
      <c r="T181" s="37"/>
    </row>
    <row r="182" spans="1:20" s="35" customFormat="1" x14ac:dyDescent="0.25">
      <c r="A182" s="46" t="s">
        <v>146</v>
      </c>
      <c r="B182" s="113" t="s">
        <v>117</v>
      </c>
      <c r="C182" s="114"/>
      <c r="D182" s="114"/>
      <c r="E182" s="114"/>
      <c r="F182" s="114"/>
      <c r="G182" s="114"/>
      <c r="H182" s="115"/>
      <c r="T182" s="37"/>
    </row>
    <row r="183" spans="1:20" s="35" customFormat="1" x14ac:dyDescent="0.25">
      <c r="A183" s="46" t="s">
        <v>146</v>
      </c>
      <c r="B183" s="113" t="s">
        <v>334</v>
      </c>
      <c r="C183" s="114"/>
      <c r="D183" s="114"/>
      <c r="E183" s="114"/>
      <c r="F183" s="114"/>
      <c r="G183" s="114"/>
      <c r="H183" s="115"/>
      <c r="T183" s="37"/>
    </row>
    <row r="184" spans="1:20" s="35" customFormat="1" x14ac:dyDescent="0.25">
      <c r="A184" s="46" t="s">
        <v>146</v>
      </c>
      <c r="B184" s="113" t="s">
        <v>145</v>
      </c>
      <c r="C184" s="114"/>
      <c r="D184" s="114"/>
      <c r="E184" s="114"/>
      <c r="F184" s="114"/>
      <c r="G184" s="114"/>
      <c r="H184" s="115"/>
    </row>
    <row r="185" spans="1:20" s="35" customFormat="1" x14ac:dyDescent="0.25">
      <c r="A185" s="46" t="s">
        <v>146</v>
      </c>
      <c r="B185" s="113" t="s">
        <v>118</v>
      </c>
      <c r="C185" s="114"/>
      <c r="D185" s="114"/>
      <c r="E185" s="114"/>
      <c r="F185" s="114"/>
      <c r="G185" s="114"/>
      <c r="H185" s="115"/>
    </row>
    <row r="186" spans="1:20" s="35" customFormat="1" ht="34.5" customHeight="1" x14ac:dyDescent="0.25">
      <c r="A186" s="46" t="s">
        <v>146</v>
      </c>
      <c r="B186" s="113" t="s">
        <v>147</v>
      </c>
      <c r="C186" s="114"/>
      <c r="D186" s="114"/>
      <c r="E186" s="114"/>
      <c r="F186" s="114"/>
      <c r="G186" s="114"/>
      <c r="H186" s="115"/>
    </row>
    <row r="187" spans="1:20" s="35" customFormat="1" x14ac:dyDescent="0.25">
      <c r="A187" s="46" t="s">
        <v>146</v>
      </c>
      <c r="B187" s="113" t="s">
        <v>119</v>
      </c>
      <c r="C187" s="114"/>
      <c r="D187" s="114"/>
      <c r="E187" s="114"/>
      <c r="F187" s="114"/>
      <c r="G187" s="114"/>
      <c r="H187" s="115"/>
    </row>
    <row r="188" spans="1:20" s="35" customFormat="1" ht="32.25" hidden="1" customHeight="1" x14ac:dyDescent="0.25">
      <c r="A188" s="46" t="s">
        <v>146</v>
      </c>
      <c r="B188" s="157" t="s">
        <v>172</v>
      </c>
      <c r="C188" s="158"/>
      <c r="D188" s="158"/>
      <c r="E188" s="158"/>
      <c r="F188" s="158"/>
      <c r="G188" s="158"/>
      <c r="H188" s="159"/>
    </row>
    <row r="189" spans="1:20" s="67" customFormat="1" hidden="1" x14ac:dyDescent="0.25">
      <c r="A189" s="66" t="s">
        <v>146</v>
      </c>
      <c r="B189" s="116" t="s">
        <v>227</v>
      </c>
      <c r="C189" s="117"/>
      <c r="D189" s="117"/>
      <c r="E189" s="117"/>
      <c r="F189" s="117"/>
      <c r="G189" s="117"/>
      <c r="H189" s="118"/>
    </row>
    <row r="190" spans="1:20" s="67" customFormat="1" x14ac:dyDescent="0.25">
      <c r="A190" s="66" t="s">
        <v>146</v>
      </c>
      <c r="B190" s="116" t="s">
        <v>350</v>
      </c>
      <c r="C190" s="117"/>
      <c r="D190" s="117"/>
      <c r="E190" s="117"/>
      <c r="F190" s="117"/>
      <c r="G190" s="117"/>
      <c r="H190" s="118"/>
    </row>
    <row r="191" spans="1:20" x14ac:dyDescent="0.25">
      <c r="A191" s="92" t="s">
        <v>57</v>
      </c>
      <c r="B191" s="92"/>
      <c r="C191" s="92"/>
      <c r="D191" s="92"/>
      <c r="E191" s="92"/>
      <c r="F191" s="92"/>
      <c r="G191" s="92"/>
      <c r="H191" s="92"/>
      <c r="T191" s="35"/>
    </row>
    <row r="192" spans="1:20" x14ac:dyDescent="0.25">
      <c r="A192" s="97" t="s">
        <v>58</v>
      </c>
      <c r="B192" s="97"/>
      <c r="C192" s="97"/>
      <c r="D192" s="97"/>
      <c r="E192" s="97"/>
      <c r="F192" s="97"/>
      <c r="G192" s="97"/>
      <c r="H192" s="97"/>
      <c r="T192" s="35"/>
    </row>
    <row r="193" spans="1:20" ht="15.75" customHeight="1" x14ac:dyDescent="0.25">
      <c r="A193" s="150" t="s">
        <v>59</v>
      </c>
      <c r="B193" s="150"/>
      <c r="C193" s="150"/>
      <c r="D193" s="150"/>
      <c r="E193" s="150"/>
      <c r="F193" s="150"/>
      <c r="G193" s="150"/>
      <c r="H193" s="150"/>
      <c r="T193" s="35"/>
    </row>
    <row r="194" spans="1:20" x14ac:dyDescent="0.25">
      <c r="A194" s="97" t="s">
        <v>60</v>
      </c>
      <c r="B194" s="97"/>
      <c r="C194" s="97"/>
      <c r="D194" s="97"/>
      <c r="E194" s="97"/>
      <c r="F194" s="97"/>
      <c r="G194" s="97"/>
      <c r="H194" s="97"/>
      <c r="T194" s="35"/>
    </row>
    <row r="195" spans="1:20" x14ac:dyDescent="0.25">
      <c r="A195" s="97" t="s">
        <v>61</v>
      </c>
      <c r="B195" s="97"/>
      <c r="C195" s="97"/>
      <c r="D195" s="97"/>
      <c r="E195" s="97"/>
      <c r="F195" s="97"/>
      <c r="G195" s="97"/>
      <c r="H195" s="97"/>
      <c r="T195" s="35"/>
    </row>
    <row r="196" spans="1:20" x14ac:dyDescent="0.25">
      <c r="A196" s="97" t="s">
        <v>120</v>
      </c>
      <c r="B196" s="97"/>
      <c r="C196" s="97"/>
      <c r="D196" s="97"/>
      <c r="E196" s="97"/>
      <c r="F196" s="97"/>
      <c r="G196" s="97"/>
      <c r="H196" s="97"/>
      <c r="T196" s="35"/>
    </row>
    <row r="197" spans="1:20" ht="33.950000000000003" customHeight="1" x14ac:dyDescent="0.25">
      <c r="A197" s="93" t="s">
        <v>121</v>
      </c>
      <c r="B197" s="93"/>
      <c r="C197" s="93"/>
      <c r="D197" s="93"/>
      <c r="E197" s="93"/>
      <c r="F197" s="93"/>
      <c r="G197" s="93"/>
      <c r="H197" s="93"/>
    </row>
    <row r="198" spans="1:20" x14ac:dyDescent="0.25">
      <c r="A198" s="178" t="s">
        <v>73</v>
      </c>
      <c r="B198" s="178"/>
      <c r="C198" s="178" t="s">
        <v>356</v>
      </c>
      <c r="D198" s="178"/>
      <c r="E198" s="178" t="s">
        <v>101</v>
      </c>
      <c r="F198" s="178"/>
      <c r="G198" s="178" t="s">
        <v>355</v>
      </c>
      <c r="H198" s="178"/>
    </row>
    <row r="199" spans="1:20" x14ac:dyDescent="0.25">
      <c r="A199" s="177" t="s">
        <v>75</v>
      </c>
      <c r="B199" s="177"/>
      <c r="C199" s="177"/>
      <c r="D199" s="177"/>
      <c r="E199" s="177"/>
      <c r="F199" s="177"/>
      <c r="G199" s="177"/>
      <c r="H199" s="177"/>
    </row>
    <row r="200" spans="1:20" x14ac:dyDescent="0.25">
      <c r="A200" s="177"/>
      <c r="B200" s="177"/>
      <c r="C200" s="177"/>
      <c r="D200" s="177"/>
      <c r="E200" s="177"/>
      <c r="F200" s="177"/>
      <c r="G200" s="177"/>
      <c r="H200" s="177"/>
    </row>
    <row r="201" spans="1:20" x14ac:dyDescent="0.25">
      <c r="A201" s="177"/>
      <c r="B201" s="177"/>
      <c r="C201" s="177"/>
      <c r="D201" s="177"/>
      <c r="E201" s="177"/>
      <c r="F201" s="177"/>
      <c r="G201" s="177"/>
      <c r="H201" s="177"/>
    </row>
    <row r="202" spans="1:20" x14ac:dyDescent="0.25">
      <c r="A202" s="177"/>
      <c r="B202" s="177"/>
      <c r="C202" s="177"/>
      <c r="D202" s="177"/>
      <c r="E202" s="177"/>
      <c r="F202" s="177"/>
      <c r="G202" s="177"/>
      <c r="H202" s="177"/>
    </row>
    <row r="203" spans="1:20" x14ac:dyDescent="0.25">
      <c r="A203" s="38" t="s">
        <v>62</v>
      </c>
      <c r="B203" s="39"/>
      <c r="C203" s="39"/>
      <c r="D203" s="38" t="str">
        <f>E9</f>
        <v>73 East</v>
      </c>
      <c r="F203" s="39"/>
      <c r="G203" s="39"/>
      <c r="H203" s="39"/>
    </row>
    <row r="204" spans="1:20" x14ac:dyDescent="0.25">
      <c r="A204" s="39"/>
      <c r="B204" s="39"/>
      <c r="C204" s="39"/>
      <c r="D204" s="39"/>
      <c r="E204" s="39"/>
      <c r="F204" s="39"/>
      <c r="G204" s="39"/>
      <c r="H204" s="39"/>
    </row>
    <row r="205" spans="1:20" x14ac:dyDescent="0.25">
      <c r="A205" s="39"/>
      <c r="B205" s="39"/>
      <c r="C205" s="39"/>
      <c r="D205" s="39"/>
      <c r="E205" s="39"/>
      <c r="F205" s="39"/>
      <c r="G205" s="39"/>
      <c r="H205" s="39"/>
    </row>
    <row r="206" spans="1:20" ht="15" customHeight="1" x14ac:dyDescent="0.25"/>
    <row r="246" spans="1:1" x14ac:dyDescent="0.25">
      <c r="A246" s="41" t="s">
        <v>156</v>
      </c>
    </row>
    <row r="288" ht="15" customHeight="1" x14ac:dyDescent="0.25"/>
    <row r="289" spans="1:1" x14ac:dyDescent="0.25">
      <c r="A289" s="41" t="s">
        <v>63</v>
      </c>
    </row>
  </sheetData>
  <mergeCells count="362">
    <mergeCell ref="B190:H190"/>
    <mergeCell ref="B189:H189"/>
    <mergeCell ref="A122:E122"/>
    <mergeCell ref="A102:B102"/>
    <mergeCell ref="A107:B107"/>
    <mergeCell ref="C105:H105"/>
    <mergeCell ref="A106:B106"/>
    <mergeCell ref="A127:E127"/>
    <mergeCell ref="B186:H186"/>
    <mergeCell ref="A144:H144"/>
    <mergeCell ref="F119:H119"/>
    <mergeCell ref="A119:E119"/>
    <mergeCell ref="D139:D140"/>
    <mergeCell ref="A121:E121"/>
    <mergeCell ref="A112:B112"/>
    <mergeCell ref="A114:B114"/>
    <mergeCell ref="A115:B115"/>
    <mergeCell ref="A120:E120"/>
    <mergeCell ref="A117:E117"/>
    <mergeCell ref="F121:H121"/>
    <mergeCell ref="F117:H117"/>
    <mergeCell ref="E106:F106"/>
    <mergeCell ref="E107:F116"/>
    <mergeCell ref="A148:H148"/>
    <mergeCell ref="E134:F134"/>
    <mergeCell ref="C40:H40"/>
    <mergeCell ref="F139:F140"/>
    <mergeCell ref="C132:D132"/>
    <mergeCell ref="E132:F132"/>
    <mergeCell ref="B139:B140"/>
    <mergeCell ref="A139:A140"/>
    <mergeCell ref="C149:C150"/>
    <mergeCell ref="G149:G150"/>
    <mergeCell ref="A49:B49"/>
    <mergeCell ref="C49:H49"/>
    <mergeCell ref="A45:D45"/>
    <mergeCell ref="A71:C71"/>
    <mergeCell ref="D71:H71"/>
    <mergeCell ref="A74:C74"/>
    <mergeCell ref="D74:H74"/>
    <mergeCell ref="A72:C72"/>
    <mergeCell ref="D73:H73"/>
    <mergeCell ref="A79:B79"/>
    <mergeCell ref="G78:H78"/>
    <mergeCell ref="A78:B78"/>
    <mergeCell ref="A137:H137"/>
    <mergeCell ref="A149:A150"/>
    <mergeCell ref="F149:F150"/>
    <mergeCell ref="L157:M157"/>
    <mergeCell ref="L154:M154"/>
    <mergeCell ref="A155:B155"/>
    <mergeCell ref="G136:H136"/>
    <mergeCell ref="L155:M155"/>
    <mergeCell ref="A156:B156"/>
    <mergeCell ref="L156:M156"/>
    <mergeCell ref="C55:H55"/>
    <mergeCell ref="A157:B157"/>
    <mergeCell ref="A108:B108"/>
    <mergeCell ref="A109:B109"/>
    <mergeCell ref="G93:H102"/>
    <mergeCell ref="A94:B94"/>
    <mergeCell ref="A95:B95"/>
    <mergeCell ref="A77:B77"/>
    <mergeCell ref="A75:B75"/>
    <mergeCell ref="C75:H75"/>
    <mergeCell ref="A83:B83"/>
    <mergeCell ref="A70:C70"/>
    <mergeCell ref="D70:H70"/>
    <mergeCell ref="C77:H77"/>
    <mergeCell ref="A80:B80"/>
    <mergeCell ref="A82:B82"/>
    <mergeCell ref="E78:F78"/>
    <mergeCell ref="A39:B39"/>
    <mergeCell ref="C39:H39"/>
    <mergeCell ref="A46:D46"/>
    <mergeCell ref="L147:M147"/>
    <mergeCell ref="L146:M146"/>
    <mergeCell ref="L145:M145"/>
    <mergeCell ref="A86:B86"/>
    <mergeCell ref="C135:D135"/>
    <mergeCell ref="E135:F135"/>
    <mergeCell ref="G135:H135"/>
    <mergeCell ref="A118:E118"/>
    <mergeCell ref="A103:B103"/>
    <mergeCell ref="C103:H103"/>
    <mergeCell ref="A143:H143"/>
    <mergeCell ref="E139:E140"/>
    <mergeCell ref="A93:B93"/>
    <mergeCell ref="A47:D47"/>
    <mergeCell ref="A48:H48"/>
    <mergeCell ref="D64:H64"/>
    <mergeCell ref="A64:C64"/>
    <mergeCell ref="A85:B85"/>
    <mergeCell ref="C91:H91"/>
    <mergeCell ref="A81:B81"/>
    <mergeCell ref="A40:B40"/>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139:C140"/>
    <mergeCell ref="B149:B150"/>
    <mergeCell ref="A192:H192"/>
    <mergeCell ref="B184:H184"/>
    <mergeCell ref="E136:F136"/>
    <mergeCell ref="B187:H18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C56:E56"/>
    <mergeCell ref="G56:H56"/>
    <mergeCell ref="A58:B59"/>
    <mergeCell ref="C58:E58"/>
    <mergeCell ref="G58:H58"/>
    <mergeCell ref="A146:B146"/>
    <mergeCell ref="A199:H202"/>
    <mergeCell ref="A198:B198"/>
    <mergeCell ref="E198:F198"/>
    <mergeCell ref="C198:D198"/>
    <mergeCell ref="G198:H198"/>
    <mergeCell ref="A130:H130"/>
    <mergeCell ref="A128:E128"/>
    <mergeCell ref="F128:H128"/>
    <mergeCell ref="A129:E129"/>
    <mergeCell ref="F129:H129"/>
    <mergeCell ref="A135:B135"/>
    <mergeCell ref="A132:B132"/>
    <mergeCell ref="A194:H194"/>
    <mergeCell ref="A133:H133"/>
    <mergeCell ref="A197:H197"/>
    <mergeCell ref="A195:H195"/>
    <mergeCell ref="A191:H191"/>
    <mergeCell ref="G134:H134"/>
    <mergeCell ref="A196:H196"/>
    <mergeCell ref="A193:H193"/>
    <mergeCell ref="A134:B134"/>
    <mergeCell ref="D149:D150"/>
    <mergeCell ref="E149:E150"/>
    <mergeCell ref="A97:B97"/>
    <mergeCell ref="A98:B98"/>
    <mergeCell ref="A99:B99"/>
    <mergeCell ref="A113:B113"/>
    <mergeCell ref="F118:H118"/>
    <mergeCell ref="G132:H132"/>
    <mergeCell ref="A116:B116"/>
    <mergeCell ref="F124:H124"/>
    <mergeCell ref="C131:D131"/>
    <mergeCell ref="A153:H153"/>
    <mergeCell ref="A145:B145"/>
    <mergeCell ref="B188:H188"/>
    <mergeCell ref="A136:B136"/>
    <mergeCell ref="C136:D136"/>
    <mergeCell ref="G106:H106"/>
    <mergeCell ref="A105:B105"/>
    <mergeCell ref="G139:G140"/>
    <mergeCell ref="A141:H141"/>
    <mergeCell ref="A178:H178"/>
    <mergeCell ref="I15:P15"/>
    <mergeCell ref="F127:H127"/>
    <mergeCell ref="F125:H125"/>
    <mergeCell ref="A138:H138"/>
    <mergeCell ref="G131:H131"/>
    <mergeCell ref="A126:E126"/>
    <mergeCell ref="A60:B60"/>
    <mergeCell ref="C60:E60"/>
    <mergeCell ref="D62:H62"/>
    <mergeCell ref="F126:H126"/>
    <mergeCell ref="E131:F131"/>
    <mergeCell ref="A131:B131"/>
    <mergeCell ref="C134:D134"/>
    <mergeCell ref="D72:H72"/>
    <mergeCell ref="A73:C73"/>
    <mergeCell ref="E43:H43"/>
    <mergeCell ref="A43:D43"/>
    <mergeCell ref="A89:B89"/>
    <mergeCell ref="F122:H122"/>
    <mergeCell ref="E92:F92"/>
    <mergeCell ref="G92:H92"/>
    <mergeCell ref="A123:E123"/>
    <mergeCell ref="A96:B96"/>
    <mergeCell ref="D67:H67"/>
    <mergeCell ref="A50:B50"/>
    <mergeCell ref="C51:E51"/>
    <mergeCell ref="G52:H52"/>
    <mergeCell ref="A51:B51"/>
    <mergeCell ref="C50:E50"/>
    <mergeCell ref="G50:H50"/>
    <mergeCell ref="A142:H142"/>
    <mergeCell ref="B185:H185"/>
    <mergeCell ref="B181:H181"/>
    <mergeCell ref="B179:H179"/>
    <mergeCell ref="B180:H180"/>
    <mergeCell ref="B182:H182"/>
    <mergeCell ref="B183:H183"/>
    <mergeCell ref="A154:B154"/>
    <mergeCell ref="A147:B147"/>
    <mergeCell ref="C52:E52"/>
    <mergeCell ref="A65:C67"/>
    <mergeCell ref="D65:H65"/>
    <mergeCell ref="D66:H66"/>
    <mergeCell ref="D63:H63"/>
    <mergeCell ref="G60:H60"/>
    <mergeCell ref="A54:B55"/>
    <mergeCell ref="C54:E54"/>
    <mergeCell ref="G54:H54"/>
    <mergeCell ref="A151:H151"/>
    <mergeCell ref="A152:H152"/>
    <mergeCell ref="A158:B158"/>
    <mergeCell ref="L158:M158"/>
    <mergeCell ref="A159:B159"/>
    <mergeCell ref="L159:M159"/>
    <mergeCell ref="G51:H51"/>
    <mergeCell ref="A52:B53"/>
    <mergeCell ref="C53:H53"/>
    <mergeCell ref="A61:H61"/>
    <mergeCell ref="A62:C62"/>
    <mergeCell ref="A63:C63"/>
    <mergeCell ref="F123:H123"/>
    <mergeCell ref="A125:E125"/>
    <mergeCell ref="F120:H120"/>
    <mergeCell ref="A124:E124"/>
    <mergeCell ref="A110:B110"/>
    <mergeCell ref="A111:B111"/>
    <mergeCell ref="E93:F102"/>
    <mergeCell ref="A100:B100"/>
    <mergeCell ref="A101:B101"/>
    <mergeCell ref="C89:H89"/>
    <mergeCell ref="A84:B84"/>
    <mergeCell ref="A56:B57"/>
    <mergeCell ref="A160:H160"/>
    <mergeCell ref="A161:B161"/>
    <mergeCell ref="L161:M161"/>
    <mergeCell ref="A163:B163"/>
    <mergeCell ref="L163:M163"/>
    <mergeCell ref="A164:B164"/>
    <mergeCell ref="L164:M164"/>
    <mergeCell ref="A165:B165"/>
    <mergeCell ref="L165:M165"/>
    <mergeCell ref="A162:B162"/>
    <mergeCell ref="L162:M162"/>
    <mergeCell ref="A166:B166"/>
    <mergeCell ref="L166:M166"/>
    <mergeCell ref="C161:H162"/>
    <mergeCell ref="A177:B177"/>
    <mergeCell ref="L177:M177"/>
    <mergeCell ref="A172:B172"/>
    <mergeCell ref="L172:M172"/>
    <mergeCell ref="A173:B173"/>
    <mergeCell ref="L173:M173"/>
    <mergeCell ref="A174:H174"/>
    <mergeCell ref="A175:B175"/>
    <mergeCell ref="L175:M175"/>
    <mergeCell ref="A176:B176"/>
    <mergeCell ref="L176:M176"/>
    <mergeCell ref="A167:H167"/>
    <mergeCell ref="A168:B168"/>
    <mergeCell ref="C168:H169"/>
    <mergeCell ref="L168:M168"/>
    <mergeCell ref="A169:B169"/>
    <mergeCell ref="L169:M169"/>
    <mergeCell ref="A170:B170"/>
    <mergeCell ref="L170:M170"/>
    <mergeCell ref="A171:B171"/>
    <mergeCell ref="L171:M171"/>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9:E140" xr:uid="{00000000-0002-0000-0000-000003000000}">
      <formula1>"Attached Loft area,Attached Otla area,Attached Mezzanine area"</formula1>
    </dataValidation>
    <dataValidation type="list" allowBlank="1" showInputMessage="1" showErrorMessage="1" sqref="G198:H198" xr:uid="{00000000-0002-0000-0000-000004000000}">
      <formula1>"Gaurav Panchal,Kunal Kadam,Pranita Mhatre,Shruti Fule,Pooja Kawale,Mansee Mohite,Anjali Kamble, Diptee Gotawade,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28:H128" xr:uid="{00000000-0002-0000-0000-000006000000}">
      <formula1>OFFSET($S$117,1,MATCH($G20,$S$117:$W$117,0)-1,15,1)</formula1>
    </dataValidation>
    <dataValidation type="list" allowBlank="1" showInputMessage="1" showErrorMessage="1" sqref="B139:B140" xr:uid="{00000000-0002-0000-0000-000007000000}">
      <formula1>"Shop No. (Sale Plan),Sale / Rehab,Sale / Mhada"</formula1>
    </dataValidation>
    <dataValidation type="list" allowBlank="1" showInputMessage="1" showErrorMessage="1" sqref="B149:B150"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49:E150" xr:uid="{00000000-0002-0000-0000-00000B000000}">
      <formula1>"Fungible area,Balcony + Deck Area,Chajja Area,Cornice Area,AP Area,WS Area"</formula1>
    </dataValidation>
    <dataValidation type="list" allowBlank="1" showInputMessage="1" showErrorMessage="1" sqref="H140 H15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s>
  <hyperlinks>
    <hyperlink ref="C40" r:id="rId1" xr:uid="{00000000-0004-0000-0000-000000000000}"/>
    <hyperlink ref="I71"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4" max="16383" man="1"/>
    <brk id="202" max="16383" man="1"/>
    <brk id="245" max="7" man="1"/>
    <brk id="288"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1" t="s">
        <v>102</v>
      </c>
      <c r="C3" s="231"/>
      <c r="D3" s="231"/>
      <c r="E3" s="231"/>
      <c r="F3" s="231"/>
      <c r="G3" s="231"/>
      <c r="H3" s="231"/>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173</v>
      </c>
      <c r="E4" s="54" t="s">
        <v>183</v>
      </c>
      <c r="F4" s="54" t="s">
        <v>166</v>
      </c>
      <c r="G4" s="54" t="s">
        <v>188</v>
      </c>
      <c r="H4" s="54" t="s">
        <v>206</v>
      </c>
      <c r="J4" t="s">
        <v>188</v>
      </c>
      <c r="K4" t="s">
        <v>204</v>
      </c>
    </row>
    <row r="5" spans="2:11" x14ac:dyDescent="0.25">
      <c r="B5" s="53"/>
      <c r="C5" s="53"/>
      <c r="D5" s="54" t="s">
        <v>174</v>
      </c>
      <c r="E5" s="54" t="s">
        <v>181</v>
      </c>
      <c r="F5" s="54" t="s">
        <v>203</v>
      </c>
      <c r="G5" s="54" t="s">
        <v>189</v>
      </c>
      <c r="H5" s="54" t="s">
        <v>207</v>
      </c>
    </row>
    <row r="6" spans="2:11" x14ac:dyDescent="0.25">
      <c r="B6" s="53"/>
      <c r="C6" s="53"/>
      <c r="D6" s="54" t="s">
        <v>175</v>
      </c>
      <c r="E6" s="54" t="s">
        <v>182</v>
      </c>
      <c r="F6" s="54" t="s">
        <v>204</v>
      </c>
      <c r="G6" s="54" t="s">
        <v>190</v>
      </c>
      <c r="H6" s="54" t="s">
        <v>220</v>
      </c>
    </row>
    <row r="7" spans="2:11" x14ac:dyDescent="0.25">
      <c r="B7" s="53"/>
      <c r="C7" s="53"/>
      <c r="D7" s="54" t="s">
        <v>176</v>
      </c>
      <c r="E7" s="54" t="s">
        <v>184</v>
      </c>
      <c r="F7" s="54" t="s">
        <v>205</v>
      </c>
      <c r="G7" s="54" t="s">
        <v>191</v>
      </c>
      <c r="H7" s="54" t="s">
        <v>208</v>
      </c>
    </row>
    <row r="8" spans="2:11" x14ac:dyDescent="0.25">
      <c r="B8" s="53"/>
      <c r="C8" s="53"/>
      <c r="D8" s="54" t="s">
        <v>177</v>
      </c>
      <c r="E8" s="54" t="s">
        <v>185</v>
      </c>
      <c r="F8" s="54"/>
      <c r="G8" s="54" t="s">
        <v>192</v>
      </c>
      <c r="H8" s="54" t="s">
        <v>209</v>
      </c>
    </row>
    <row r="9" spans="2:11" x14ac:dyDescent="0.25">
      <c r="B9" s="53"/>
      <c r="C9" s="53"/>
      <c r="D9" s="54" t="s">
        <v>178</v>
      </c>
      <c r="E9" s="54" t="s">
        <v>183</v>
      </c>
      <c r="F9" s="54"/>
      <c r="G9" s="54" t="s">
        <v>193</v>
      </c>
      <c r="H9" s="54" t="s">
        <v>210</v>
      </c>
    </row>
    <row r="10" spans="2:11" x14ac:dyDescent="0.25">
      <c r="B10" s="53"/>
      <c r="C10" s="53"/>
      <c r="D10" s="54" t="s">
        <v>179</v>
      </c>
      <c r="E10" s="54" t="s">
        <v>186</v>
      </c>
      <c r="F10" s="54"/>
      <c r="G10" s="54" t="s">
        <v>194</v>
      </c>
      <c r="H10" s="54" t="s">
        <v>211</v>
      </c>
    </row>
    <row r="11" spans="2:11" x14ac:dyDescent="0.25">
      <c r="B11" s="53"/>
      <c r="C11" s="53"/>
      <c r="D11" s="54" t="s">
        <v>180</v>
      </c>
      <c r="E11" s="54" t="s">
        <v>187</v>
      </c>
      <c r="F11" s="54"/>
      <c r="G11" s="54" t="s">
        <v>195</v>
      </c>
      <c r="H11" s="54" t="s">
        <v>212</v>
      </c>
    </row>
    <row r="12" spans="2:11" x14ac:dyDescent="0.25">
      <c r="B12" s="53"/>
      <c r="C12" s="53"/>
      <c r="D12" s="54"/>
      <c r="E12" s="54"/>
      <c r="F12" s="54"/>
      <c r="G12" s="54" t="s">
        <v>196</v>
      </c>
      <c r="H12" s="54" t="s">
        <v>213</v>
      </c>
    </row>
    <row r="13" spans="2:11" x14ac:dyDescent="0.25">
      <c r="B13" s="53"/>
      <c r="C13" s="53"/>
      <c r="D13" s="54"/>
      <c r="E13" s="54"/>
      <c r="F13" s="54"/>
      <c r="G13" s="54" t="s">
        <v>197</v>
      </c>
      <c r="H13" s="54" t="s">
        <v>214</v>
      </c>
    </row>
    <row r="14" spans="2:11" x14ac:dyDescent="0.25">
      <c r="B14" s="53"/>
      <c r="C14" s="53"/>
      <c r="D14" s="54"/>
      <c r="E14" s="54"/>
      <c r="F14" s="54"/>
      <c r="G14" s="54" t="s">
        <v>198</v>
      </c>
      <c r="H14" s="54" t="s">
        <v>215</v>
      </c>
    </row>
    <row r="15" spans="2:11" x14ac:dyDescent="0.25">
      <c r="B15" s="53"/>
      <c r="C15" s="53"/>
      <c r="D15" s="54"/>
      <c r="E15" s="54"/>
      <c r="F15" s="54"/>
      <c r="G15" s="54" t="s">
        <v>199</v>
      </c>
      <c r="H15" s="54" t="s">
        <v>216</v>
      </c>
    </row>
    <row r="16" spans="2:11" x14ac:dyDescent="0.25">
      <c r="B16" s="53"/>
      <c r="C16" s="53"/>
      <c r="D16" s="54"/>
      <c r="E16" s="54"/>
      <c r="F16" s="54"/>
      <c r="G16" s="54" t="s">
        <v>200</v>
      </c>
      <c r="H16" s="54" t="s">
        <v>217</v>
      </c>
    </row>
    <row r="17" spans="2:8" x14ac:dyDescent="0.25">
      <c r="B17" s="53"/>
      <c r="C17" s="53"/>
      <c r="D17" s="54"/>
      <c r="E17" s="54"/>
      <c r="F17" s="54"/>
      <c r="G17" s="54" t="s">
        <v>201</v>
      </c>
      <c r="H17" s="54" t="s">
        <v>218</v>
      </c>
    </row>
    <row r="18" spans="2:8" x14ac:dyDescent="0.25">
      <c r="B18" s="53"/>
      <c r="C18" s="53"/>
      <c r="D18" s="54"/>
      <c r="E18" s="54"/>
      <c r="F18" s="54"/>
      <c r="G18" s="54" t="s">
        <v>202</v>
      </c>
      <c r="H18" s="54" t="s">
        <v>219</v>
      </c>
    </row>
    <row r="24" spans="2:8" x14ac:dyDescent="0.25">
      <c r="C24" t="s">
        <v>163</v>
      </c>
    </row>
    <row r="25" spans="2:8" x14ac:dyDescent="0.25">
      <c r="C25" t="s">
        <v>221</v>
      </c>
    </row>
    <row r="26" spans="2:8" x14ac:dyDescent="0.25">
      <c r="C26" t="s">
        <v>222</v>
      </c>
    </row>
    <row r="27" spans="2:8" x14ac:dyDescent="0.25">
      <c r="C27" t="s">
        <v>223</v>
      </c>
    </row>
    <row r="28" spans="2:8" x14ac:dyDescent="0.25">
      <c r="C28" t="s">
        <v>224</v>
      </c>
    </row>
    <row r="29" spans="2:8" x14ac:dyDescent="0.25">
      <c r="C29" t="s">
        <v>225</v>
      </c>
    </row>
    <row r="30" spans="2:8" x14ac:dyDescent="0.25">
      <c r="C30" t="s">
        <v>163</v>
      </c>
    </row>
    <row r="33" spans="3:11" x14ac:dyDescent="0.25">
      <c r="J33">
        <v>1</v>
      </c>
      <c r="K33">
        <v>2</v>
      </c>
    </row>
    <row r="34" spans="3:11" x14ac:dyDescent="0.25">
      <c r="C34" s="56" t="s">
        <v>231</v>
      </c>
      <c r="D34" s="54" t="s">
        <v>229</v>
      </c>
      <c r="E34" s="54" t="s">
        <v>234</v>
      </c>
      <c r="F34" s="54" t="s">
        <v>232</v>
      </c>
      <c r="G34" s="54" t="s">
        <v>233</v>
      </c>
      <c r="H34" s="54" t="s">
        <v>235</v>
      </c>
      <c r="J34" t="s">
        <v>188</v>
      </c>
      <c r="K34" t="s">
        <v>204</v>
      </c>
    </row>
    <row r="35" spans="3:11" x14ac:dyDescent="0.25">
      <c r="C35" s="53" t="s">
        <v>230</v>
      </c>
      <c r="D35" s="54" t="s">
        <v>164</v>
      </c>
      <c r="E35" s="54" t="s">
        <v>239</v>
      </c>
      <c r="F35" s="54" t="s">
        <v>241</v>
      </c>
      <c r="G35" s="54" t="s">
        <v>243</v>
      </c>
      <c r="H35" s="54"/>
    </row>
    <row r="36" spans="3:11" x14ac:dyDescent="0.25">
      <c r="C36" s="53"/>
      <c r="D36" s="54" t="s">
        <v>236</v>
      </c>
      <c r="E36" s="54" t="s">
        <v>240</v>
      </c>
      <c r="F36" s="54" t="s">
        <v>242</v>
      </c>
      <c r="G36" s="54" t="s">
        <v>244</v>
      </c>
      <c r="H36" s="54"/>
    </row>
    <row r="37" spans="3:11" x14ac:dyDescent="0.25">
      <c r="C37" s="53"/>
      <c r="D37" s="54" t="s">
        <v>237</v>
      </c>
      <c r="E37" s="54"/>
      <c r="F37" s="54"/>
      <c r="G37" s="54" t="s">
        <v>245</v>
      </c>
      <c r="H37" s="54"/>
    </row>
    <row r="38" spans="3:11" x14ac:dyDescent="0.25">
      <c r="C38" s="53"/>
      <c r="D38" s="54" t="s">
        <v>238</v>
      </c>
      <c r="E38" s="54"/>
      <c r="F38" s="54"/>
      <c r="G38" s="54" t="s">
        <v>245</v>
      </c>
      <c r="H38" s="54"/>
    </row>
    <row r="39" spans="3:11" x14ac:dyDescent="0.25">
      <c r="C39" s="53"/>
      <c r="D39" s="54"/>
      <c r="E39" s="54"/>
      <c r="F39" s="54"/>
      <c r="G39" s="54" t="s">
        <v>246</v>
      </c>
      <c r="H39" s="54"/>
    </row>
    <row r="40" spans="3:11" x14ac:dyDescent="0.25">
      <c r="C40" s="53"/>
      <c r="D40" s="54"/>
      <c r="E40" s="54"/>
      <c r="F40" s="54"/>
      <c r="G40" s="54" t="s">
        <v>247</v>
      </c>
      <c r="H40" s="54"/>
    </row>
    <row r="41" spans="3:11" x14ac:dyDescent="0.25">
      <c r="C41" s="53"/>
      <c r="D41" s="54"/>
      <c r="E41" s="54"/>
      <c r="F41" s="54"/>
      <c r="G41" s="54"/>
      <c r="H41" s="54"/>
    </row>
    <row r="43" spans="3:11" x14ac:dyDescent="0.25">
      <c r="C43" t="s">
        <v>248</v>
      </c>
    </row>
    <row r="44" spans="3:11" x14ac:dyDescent="0.25">
      <c r="C44" t="s">
        <v>166</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173</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188</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183</v>
      </c>
      <c r="D67" t="s">
        <v>270</v>
      </c>
    </row>
    <row r="68" spans="3:4" x14ac:dyDescent="0.25">
      <c r="D68" t="s">
        <v>271</v>
      </c>
    </row>
    <row r="69" spans="3:4" x14ac:dyDescent="0.25">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7">
        <v>1</v>
      </c>
      <c r="C2" s="59" t="s">
        <v>278</v>
      </c>
    </row>
    <row r="3" spans="2:3" x14ac:dyDescent="0.25">
      <c r="B3" s="57">
        <v>2</v>
      </c>
      <c r="C3" s="58" t="s">
        <v>279</v>
      </c>
    </row>
    <row r="4" spans="2:3" x14ac:dyDescent="0.25">
      <c r="B4" s="57">
        <v>3</v>
      </c>
      <c r="C4" s="57" t="s">
        <v>280</v>
      </c>
    </row>
    <row r="5" spans="2:3" ht="30" x14ac:dyDescent="0.25">
      <c r="B5" s="57">
        <v>4</v>
      </c>
      <c r="C5" s="58" t="s">
        <v>281</v>
      </c>
    </row>
    <row r="6" spans="2:3" x14ac:dyDescent="0.25">
      <c r="B6" s="57">
        <v>5</v>
      </c>
      <c r="C6" s="57" t="s">
        <v>282</v>
      </c>
    </row>
    <row r="7" spans="2:3" ht="30" x14ac:dyDescent="0.25">
      <c r="B7" s="57">
        <v>6</v>
      </c>
      <c r="C7" s="58" t="s">
        <v>283</v>
      </c>
    </row>
    <row r="8" spans="2:3" ht="90" x14ac:dyDescent="0.25">
      <c r="B8" s="57">
        <v>7</v>
      </c>
      <c r="C8" s="58" t="s">
        <v>284</v>
      </c>
    </row>
    <row r="9" spans="2:3" x14ac:dyDescent="0.25">
      <c r="B9" s="57">
        <v>8</v>
      </c>
      <c r="C9" s="57" t="s">
        <v>285</v>
      </c>
    </row>
    <row r="10" spans="2:3" x14ac:dyDescent="0.25">
      <c r="B10" s="57">
        <v>9</v>
      </c>
      <c r="C10" s="57" t="s">
        <v>286</v>
      </c>
    </row>
    <row r="11" spans="2:3" x14ac:dyDescent="0.25">
      <c r="B11" s="57">
        <v>10</v>
      </c>
      <c r="C11" s="57" t="s">
        <v>287</v>
      </c>
    </row>
    <row r="12" spans="2:3" x14ac:dyDescent="0.25">
      <c r="B12" s="57">
        <v>11</v>
      </c>
      <c r="C12" s="57" t="s">
        <v>288</v>
      </c>
    </row>
    <row r="13" spans="2:3" x14ac:dyDescent="0.25">
      <c r="B13" s="57">
        <v>12</v>
      </c>
      <c r="C13" s="57" t="s">
        <v>289</v>
      </c>
    </row>
    <row r="14" spans="2:3" x14ac:dyDescent="0.25">
      <c r="B14" s="57">
        <v>13</v>
      </c>
      <c r="C14" s="57" t="s">
        <v>290</v>
      </c>
    </row>
    <row r="15" spans="2:3" x14ac:dyDescent="0.25">
      <c r="B15" s="57">
        <v>14</v>
      </c>
      <c r="C15" s="57"/>
    </row>
    <row r="16" spans="2:3" x14ac:dyDescent="0.25">
      <c r="B16" s="57">
        <v>15</v>
      </c>
      <c r="C16" s="57"/>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2025-07-10T05:53:33Z</cp:lastPrinted>
  <dcterms:created xsi:type="dcterms:W3CDTF">2019-07-16T09:29:46Z</dcterms:created>
  <dcterms:modified xsi:type="dcterms:W3CDTF">2025-07-10T05:57:15Z</dcterms:modified>
</cp:coreProperties>
</file>