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July 25\Dump\"/>
    </mc:Choice>
  </mc:AlternateContent>
  <xr:revisionPtr revIDLastSave="0" documentId="13_ncr:1_{6E10C0D8-0551-4F22-AB7D-70322BE42419}"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Note" sheetId="4" r:id="rId3"/>
  </sheets>
  <definedNames>
    <definedName name="_xlnm.Print_Area" localSheetId="0">Report!$A$1:$H$479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4" i="1" l="1"/>
  <c r="I176" i="1" l="1"/>
  <c r="D222" i="1" l="1"/>
  <c r="D221" i="1"/>
  <c r="D220" i="1"/>
  <c r="D219" i="1"/>
  <c r="D218" i="1"/>
  <c r="C118" i="1" l="1"/>
  <c r="C69" i="1"/>
  <c r="C83" i="1"/>
  <c r="C97" i="1"/>
  <c r="D82" i="1"/>
  <c r="D81" i="1"/>
  <c r="J80" i="1"/>
  <c r="D80" i="1"/>
  <c r="J79" i="1"/>
  <c r="D79" i="1"/>
  <c r="J78" i="1"/>
  <c r="J77" i="1"/>
  <c r="J75" i="1"/>
  <c r="D75" i="1"/>
  <c r="J74" i="1"/>
  <c r="C73" i="1" s="1"/>
  <c r="J73" i="1"/>
  <c r="J72" i="1"/>
  <c r="D96" i="1"/>
  <c r="D95" i="1"/>
  <c r="J94" i="1"/>
  <c r="D94" i="1"/>
  <c r="J93" i="1"/>
  <c r="D93" i="1"/>
  <c r="J92" i="1"/>
  <c r="J91" i="1"/>
  <c r="J89" i="1"/>
  <c r="J90" i="1" s="1"/>
  <c r="J95" i="1" s="1"/>
  <c r="J96" i="1" s="1"/>
  <c r="C88" i="1" s="1"/>
  <c r="D89" i="1"/>
  <c r="J88" i="1"/>
  <c r="C87" i="1" s="1"/>
  <c r="J87" i="1"/>
  <c r="J86" i="1"/>
  <c r="D224" i="1"/>
  <c r="F224" i="1" s="1"/>
  <c r="F222" i="1"/>
  <c r="F221" i="1"/>
  <c r="F220" i="1"/>
  <c r="F219" i="1"/>
  <c r="F218" i="1"/>
  <c r="I213" i="1"/>
  <c r="I212" i="1"/>
  <c r="D216" i="1"/>
  <c r="F216" i="1" s="1"/>
  <c r="D215" i="1"/>
  <c r="D214" i="1"/>
  <c r="F214" i="1" s="1"/>
  <c r="D213" i="1"/>
  <c r="F213" i="1" s="1"/>
  <c r="D212" i="1"/>
  <c r="F212" i="1" s="1"/>
  <c r="D211" i="1"/>
  <c r="D210" i="1"/>
  <c r="I194" i="1"/>
  <c r="A203" i="1"/>
  <c r="A204" i="1" s="1"/>
  <c r="A205" i="1" s="1"/>
  <c r="A206" i="1" s="1"/>
  <c r="A207" i="1" s="1"/>
  <c r="A208" i="1" s="1"/>
  <c r="G202" i="1"/>
  <c r="D202" i="1"/>
  <c r="F202" i="1" s="1"/>
  <c r="D194" i="1"/>
  <c r="F194" i="1" s="1"/>
  <c r="A219" i="1"/>
  <c r="A220" i="1" s="1"/>
  <c r="A221" i="1" s="1"/>
  <c r="A222" i="1" s="1"/>
  <c r="A223" i="1" s="1"/>
  <c r="A224" i="1" s="1"/>
  <c r="G218" i="1"/>
  <c r="F215" i="1"/>
  <c r="F211" i="1"/>
  <c r="A211" i="1"/>
  <c r="A212" i="1" s="1"/>
  <c r="A213" i="1" s="1"/>
  <c r="A214" i="1" s="1"/>
  <c r="A215" i="1" s="1"/>
  <c r="A216" i="1" s="1"/>
  <c r="G210" i="1"/>
  <c r="F210" i="1"/>
  <c r="A195" i="1"/>
  <c r="A196" i="1" s="1"/>
  <c r="A197" i="1" s="1"/>
  <c r="A198" i="1" s="1"/>
  <c r="A199" i="1" s="1"/>
  <c r="A200" i="1" s="1"/>
  <c r="G194" i="1"/>
  <c r="D188" i="1"/>
  <c r="F188" i="1" s="1"/>
  <c r="D187" i="1"/>
  <c r="F187" i="1" s="1"/>
  <c r="I186" i="1"/>
  <c r="D186" i="1"/>
  <c r="F186" i="1" s="1"/>
  <c r="D185" i="1"/>
  <c r="F185" i="1" s="1"/>
  <c r="A185" i="1"/>
  <c r="A186" i="1" s="1"/>
  <c r="A187" i="1" s="1"/>
  <c r="A188" i="1" s="1"/>
  <c r="A189" i="1" s="1"/>
  <c r="G184" i="1"/>
  <c r="D184" i="1"/>
  <c r="F184" i="1" s="1"/>
  <c r="I179" i="1"/>
  <c r="D180" i="1"/>
  <c r="F180" i="1" s="1"/>
  <c r="D179" i="1"/>
  <c r="F179" i="1" s="1"/>
  <c r="D182" i="1"/>
  <c r="D181" i="1"/>
  <c r="F181" i="1" s="1"/>
  <c r="D178" i="1"/>
  <c r="F178" i="1" s="1"/>
  <c r="D177" i="1"/>
  <c r="F177" i="1" s="1"/>
  <c r="F182" i="1"/>
  <c r="A178" i="1"/>
  <c r="A179" i="1" s="1"/>
  <c r="A180" i="1" s="1"/>
  <c r="A181" i="1" s="1"/>
  <c r="A182" i="1" s="1"/>
  <c r="G177" i="1"/>
  <c r="D175" i="1"/>
  <c r="F175" i="1" s="1"/>
  <c r="D174" i="1"/>
  <c r="F174" i="1" s="1"/>
  <c r="D171" i="1"/>
  <c r="F171" i="1" s="1"/>
  <c r="D170" i="1"/>
  <c r="F170" i="1" s="1"/>
  <c r="G149" i="1" s="1"/>
  <c r="I171" i="1"/>
  <c r="I170" i="1"/>
  <c r="G170" i="1"/>
  <c r="A171" i="1"/>
  <c r="A172" i="1" s="1"/>
  <c r="A173" i="1" s="1"/>
  <c r="A174" i="1" s="1"/>
  <c r="A175" i="1" s="1"/>
  <c r="J168" i="1"/>
  <c r="E42" i="1"/>
  <c r="C15" i="1"/>
  <c r="G150" i="1" l="1"/>
  <c r="J76" i="1"/>
  <c r="J81" i="1" s="1"/>
  <c r="J82" i="1" s="1"/>
  <c r="D73" i="1"/>
  <c r="D77" i="1"/>
  <c r="D74" i="1"/>
  <c r="D76" i="1"/>
  <c r="C78" i="1"/>
  <c r="D78" i="1" s="1"/>
  <c r="D87" i="1"/>
  <c r="J84" i="1" s="1"/>
  <c r="D91" i="1"/>
  <c r="D88" i="1"/>
  <c r="D90" i="1"/>
  <c r="C92" i="1"/>
  <c r="D92" i="1" s="1"/>
  <c r="C150" i="1"/>
  <c r="E150" i="1"/>
  <c r="E149" i="1"/>
  <c r="C149" i="1"/>
  <c r="C104" i="1"/>
  <c r="J83" i="1" l="1"/>
  <c r="J85" i="1" s="1"/>
  <c r="E87" i="1"/>
  <c r="E73" i="1"/>
  <c r="J69" i="1"/>
  <c r="J71" i="1" s="1"/>
  <c r="G73" i="1"/>
  <c r="I70" i="1"/>
  <c r="J70" i="1"/>
  <c r="I84" i="1"/>
  <c r="G87" i="1"/>
  <c r="C105" i="1"/>
  <c r="I71" i="1" l="1"/>
  <c r="I69" i="1" s="1"/>
  <c r="C71" i="1" s="1"/>
  <c r="I85" i="1"/>
  <c r="I83" i="1" s="1"/>
  <c r="C85" i="1" s="1"/>
  <c r="C119" i="1"/>
  <c r="F141" i="1"/>
  <c r="J261" i="1" l="1"/>
  <c r="D231" i="1"/>
  <c r="J230" i="1"/>
  <c r="D237" i="1" l="1"/>
  <c r="F237" i="1" s="1"/>
  <c r="D236" i="1"/>
  <c r="F236" i="1" s="1"/>
  <c r="D235" i="1"/>
  <c r="F235" i="1" s="1"/>
  <c r="D234" i="1"/>
  <c r="F234" i="1" s="1"/>
  <c r="D233" i="1"/>
  <c r="D232" i="1"/>
  <c r="F232" i="1" s="1"/>
  <c r="D230" i="1"/>
  <c r="F230" i="1" s="1"/>
  <c r="D245" i="1"/>
  <c r="F245" i="1" s="1"/>
  <c r="D244" i="1"/>
  <c r="F244" i="1" s="1"/>
  <c r="D243" i="1"/>
  <c r="F243" i="1" s="1"/>
  <c r="D242" i="1"/>
  <c r="D241" i="1"/>
  <c r="F241" i="1" s="1"/>
  <c r="D240" i="1"/>
  <c r="F240" i="1" s="1"/>
  <c r="J240" i="1" s="1"/>
  <c r="D239" i="1"/>
  <c r="F239" i="1" s="1"/>
  <c r="J239" i="1" s="1"/>
  <c r="D259" i="1"/>
  <c r="F259" i="1" s="1"/>
  <c r="D258" i="1"/>
  <c r="F258" i="1" s="1"/>
  <c r="D257" i="1"/>
  <c r="F257" i="1" s="1"/>
  <c r="I257" i="1" s="1"/>
  <c r="D256" i="1"/>
  <c r="F256" i="1" s="1"/>
  <c r="D255" i="1"/>
  <c r="F255" i="1" s="1"/>
  <c r="D254" i="1"/>
  <c r="F254" i="1" s="1"/>
  <c r="D253" i="1"/>
  <c r="F253" i="1" s="1"/>
  <c r="D252" i="1"/>
  <c r="D267" i="1"/>
  <c r="F267" i="1" s="1"/>
  <c r="D266" i="1"/>
  <c r="F266" i="1" s="1"/>
  <c r="D265" i="1"/>
  <c r="F265" i="1" s="1"/>
  <c r="D264" i="1"/>
  <c r="F264" i="1" s="1"/>
  <c r="D263" i="1"/>
  <c r="F263" i="1" s="1"/>
  <c r="D262" i="1"/>
  <c r="F262" i="1" s="1"/>
  <c r="D261" i="1"/>
  <c r="F261" i="1" s="1"/>
  <c r="I261" i="1" s="1"/>
  <c r="J227" i="1"/>
  <c r="K227" i="1"/>
  <c r="A262" i="1"/>
  <c r="A263" i="1" s="1"/>
  <c r="A264" i="1" s="1"/>
  <c r="A265" i="1" s="1"/>
  <c r="A266" i="1" s="1"/>
  <c r="A267" i="1" s="1"/>
  <c r="A268" i="1" s="1"/>
  <c r="G261" i="1"/>
  <c r="G262" i="1" s="1"/>
  <c r="G263" i="1" s="1"/>
  <c r="G264" i="1" s="1"/>
  <c r="G265" i="1" s="1"/>
  <c r="G266" i="1" s="1"/>
  <c r="G267" i="1" s="1"/>
  <c r="G268" i="1" s="1"/>
  <c r="A253" i="1"/>
  <c r="A254" i="1" s="1"/>
  <c r="A255" i="1" s="1"/>
  <c r="A256" i="1" s="1"/>
  <c r="A257" i="1" s="1"/>
  <c r="A258" i="1" s="1"/>
  <c r="A259" i="1" s="1"/>
  <c r="G252" i="1"/>
  <c r="A240" i="1"/>
  <c r="A241" i="1" s="1"/>
  <c r="A242" i="1" s="1"/>
  <c r="A243" i="1" s="1"/>
  <c r="A244" i="1" s="1"/>
  <c r="A245" i="1" s="1"/>
  <c r="A246" i="1" s="1"/>
  <c r="G239" i="1"/>
  <c r="G240" i="1" s="1"/>
  <c r="G241" i="1" s="1"/>
  <c r="G242" i="1" s="1"/>
  <c r="G243" i="1" s="1"/>
  <c r="G244" i="1" s="1"/>
  <c r="G245" i="1" s="1"/>
  <c r="G246" i="1" s="1"/>
  <c r="K231" i="1"/>
  <c r="K230" i="1"/>
  <c r="F233" i="1"/>
  <c r="F231" i="1"/>
  <c r="A231" i="1"/>
  <c r="A232" i="1" s="1"/>
  <c r="A233" i="1" s="1"/>
  <c r="A234" i="1" s="1"/>
  <c r="A235" i="1" s="1"/>
  <c r="A236" i="1" s="1"/>
  <c r="A237" i="1" s="1"/>
  <c r="G230" i="1"/>
  <c r="G231" i="1" s="1"/>
  <c r="G232" i="1" s="1"/>
  <c r="G233" i="1" s="1"/>
  <c r="G234" i="1" s="1"/>
  <c r="G235" i="1" s="1"/>
  <c r="G236" i="1" s="1"/>
  <c r="G237" i="1" s="1"/>
  <c r="C152" i="1" l="1"/>
  <c r="F252" i="1"/>
  <c r="G152" i="1" s="1"/>
  <c r="E151" i="1"/>
  <c r="E152" i="1"/>
  <c r="F242" i="1"/>
  <c r="G151" i="1" s="1"/>
  <c r="C151" i="1"/>
  <c r="G153" i="1" l="1"/>
  <c r="E153" i="1"/>
  <c r="C153" i="1"/>
  <c r="E30" i="1"/>
  <c r="F272" i="1" l="1"/>
  <c r="F273" i="1"/>
  <c r="F274" i="1"/>
  <c r="F271" i="1"/>
  <c r="A272" i="1"/>
  <c r="A273" i="1" s="1"/>
  <c r="A274" i="1" s="1"/>
  <c r="G271" i="1"/>
  <c r="G272" i="1" s="1"/>
  <c r="G273" i="1" s="1"/>
  <c r="G274" i="1" s="1"/>
  <c r="F160" i="1" l="1"/>
  <c r="F161" i="1"/>
  <c r="F162" i="1"/>
  <c r="F159" i="1"/>
  <c r="B301" i="1" l="1"/>
  <c r="A282" i="1"/>
  <c r="A294" i="1"/>
  <c r="A288" i="1"/>
  <c r="F298" i="1" l="1"/>
  <c r="F297" i="1"/>
  <c r="F296" i="1"/>
  <c r="F295" i="1"/>
  <c r="F294" i="1"/>
  <c r="F292" i="1"/>
  <c r="F291" i="1"/>
  <c r="F290" i="1"/>
  <c r="F289" i="1"/>
  <c r="F288" i="1"/>
  <c r="F286" i="1"/>
  <c r="F285" i="1"/>
  <c r="F284" i="1"/>
  <c r="F283" i="1"/>
  <c r="F282" i="1"/>
  <c r="F280" i="1"/>
  <c r="F279" i="1"/>
  <c r="F277" i="1"/>
  <c r="F276" i="1"/>
  <c r="F278" i="1"/>
  <c r="A283" i="1"/>
  <c r="A295" i="1"/>
  <c r="A289" i="1"/>
  <c r="B302" i="1" l="1"/>
  <c r="A296" i="1"/>
  <c r="A284" i="1"/>
  <c r="A290" i="1"/>
  <c r="F11" i="5" l="1"/>
  <c r="G11" i="5" s="1"/>
  <c r="F10" i="5"/>
  <c r="G10" i="5" s="1"/>
  <c r="F9" i="5"/>
  <c r="G9" i="5" s="1"/>
  <c r="F8" i="5"/>
  <c r="G8" i="5" s="1"/>
  <c r="F7" i="5"/>
  <c r="G7" i="5" s="1"/>
  <c r="F6" i="5"/>
  <c r="G6" i="5" s="1"/>
  <c r="F5" i="5"/>
  <c r="G5" i="5" s="1"/>
  <c r="G12" i="5" s="1"/>
  <c r="D325" i="1"/>
  <c r="G294" i="1"/>
  <c r="G295" i="1" s="1"/>
  <c r="G296" i="1" s="1"/>
  <c r="G297" i="1" s="1"/>
  <c r="G298" i="1" s="1"/>
  <c r="G288" i="1"/>
  <c r="G289" i="1" s="1"/>
  <c r="G290" i="1" s="1"/>
  <c r="G291" i="1" s="1"/>
  <c r="G292" i="1" s="1"/>
  <c r="G282" i="1"/>
  <c r="G283" i="1" s="1"/>
  <c r="G284" i="1" s="1"/>
  <c r="G285" i="1" s="1"/>
  <c r="G286" i="1" s="1"/>
  <c r="G276" i="1"/>
  <c r="G277" i="1" s="1"/>
  <c r="G278" i="1" s="1"/>
  <c r="G279" i="1" s="1"/>
  <c r="G280" i="1" s="1"/>
  <c r="A276" i="1"/>
  <c r="A277" i="1" s="1"/>
  <c r="A278" i="1" s="1"/>
  <c r="A279" i="1" s="1"/>
  <c r="A280" i="1" s="1"/>
  <c r="A160" i="1"/>
  <c r="A161" i="1" s="1"/>
  <c r="A162" i="1" s="1"/>
  <c r="G159" i="1"/>
  <c r="G160" i="1" s="1"/>
  <c r="G161" i="1" s="1"/>
  <c r="G162" i="1" s="1"/>
  <c r="J122" i="1"/>
  <c r="J121" i="1"/>
  <c r="J120" i="1"/>
  <c r="C111" i="1"/>
  <c r="J108" i="1"/>
  <c r="J107" i="1"/>
  <c r="J106" i="1"/>
  <c r="G50" i="1"/>
  <c r="G51" i="1" s="1"/>
  <c r="C50" i="1"/>
  <c r="C51" i="1" s="1"/>
  <c r="E43" i="1"/>
  <c r="E44" i="1" s="1"/>
  <c r="E27" i="1"/>
  <c r="E25" i="1"/>
  <c r="E7" i="1"/>
  <c r="E3" i="1"/>
  <c r="A297" i="1"/>
  <c r="A291" i="1"/>
  <c r="A285" i="1"/>
  <c r="D63" i="1" l="1"/>
  <c r="D122" i="1"/>
  <c r="D123" i="1"/>
  <c r="D124" i="1"/>
  <c r="D118" i="1"/>
  <c r="D119" i="1"/>
  <c r="D120" i="1"/>
  <c r="D121" i="1"/>
  <c r="J111" i="1"/>
  <c r="J113" i="1" s="1"/>
  <c r="D110" i="1"/>
  <c r="D108" i="1"/>
  <c r="D107" i="1"/>
  <c r="D106" i="1"/>
  <c r="D104" i="1"/>
  <c r="J97" i="1"/>
  <c r="D109" i="1"/>
  <c r="D105" i="1"/>
  <c r="J101" i="1"/>
  <c r="J102" i="1"/>
  <c r="C101" i="1" s="1"/>
  <c r="J100" i="1"/>
  <c r="J103" i="1"/>
  <c r="J104" i="1" s="1"/>
  <c r="J109" i="1" s="1"/>
  <c r="J117" i="1"/>
  <c r="J118" i="1" s="1"/>
  <c r="J123" i="1" s="1"/>
  <c r="J115" i="1"/>
  <c r="J116" i="1"/>
  <c r="C115" i="1" s="1"/>
  <c r="J114" i="1"/>
  <c r="A298" i="1"/>
  <c r="A286" i="1"/>
  <c r="A292" i="1"/>
  <c r="J119" i="1" l="1"/>
  <c r="J124" i="1" s="1"/>
  <c r="C116" i="1" s="1"/>
  <c r="E115" i="1" s="1"/>
  <c r="J105" i="1"/>
  <c r="J110" i="1" s="1"/>
  <c r="C102" i="1" s="1"/>
  <c r="E101" i="1" s="1"/>
  <c r="D117" i="1"/>
  <c r="D103" i="1"/>
  <c r="J99" i="1"/>
  <c r="D101" i="1"/>
  <c r="D115" i="1"/>
  <c r="J112" i="1" l="1"/>
  <c r="G115" i="1"/>
  <c r="D116" i="1"/>
  <c r="I112" i="1" s="1"/>
  <c r="G101" i="1"/>
  <c r="D67" i="1" s="1"/>
  <c r="D68" i="1" s="1"/>
  <c r="D102" i="1"/>
  <c r="I98" i="1" s="1"/>
  <c r="J98" i="1"/>
  <c r="F68" i="1" l="1"/>
  <c r="I99" i="1"/>
  <c r="I97" i="1" s="1"/>
  <c r="C99" i="1" s="1"/>
  <c r="I113" i="1"/>
  <c r="I111" i="1" s="1"/>
  <c r="C113" i="1" s="1"/>
</calcChain>
</file>

<file path=xl/sharedStrings.xml><?xml version="1.0" encoding="utf-8"?>
<sst xmlns="http://schemas.openxmlformats.org/spreadsheetml/2006/main" count="445" uniqueCount="265">
  <si>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</si>
  <si>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</si>
  <si>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</si>
  <si>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</si>
  <si>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</si>
  <si>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</si>
  <si>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</si>
  <si>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</si>
  <si>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</si>
  <si>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</si>
  <si>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</si>
  <si>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</si>
  <si>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</si>
  <si>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</si>
  <si>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</si>
  <si>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</si>
  <si>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</si>
  <si>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</si>
  <si>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</si>
  <si>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</si>
  <si>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</si>
  <si>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</si>
  <si>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</si>
  <si>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</si>
  <si>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</si>
  <si>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</si>
  <si>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</si>
  <si>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</si>
  <si>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</si>
  <si>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</si>
  <si>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</si>
  <si>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</si>
  <si>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</si>
  <si>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</si>
  <si>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</si>
  <si>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</si>
  <si>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</si>
  <si>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</si>
  <si>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</si>
  <si>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</si>
  <si>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</si>
  <si>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</si>
  <si>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</si>
  <si>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</si>
  <si>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</si>
  <si>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</si>
  <si>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</si>
  <si>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</si>
  <si>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</si>
  <si>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</si>
  <si>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</si>
  <si>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</si>
  <si>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</si>
  <si>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</si>
  <si>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</si>
  <si>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</si>
  <si>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</si>
  <si>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</si>
  <si>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</si>
  <si>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</si>
  <si>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</si>
  <si>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</si>
  <si>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</si>
  <si>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</si>
  <si>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</si>
  <si>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</si>
  <si>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</si>
  <si>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</si>
  <si>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</si>
  <si>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</si>
  <si>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</si>
  <si>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</si>
  <si>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</si>
  <si>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</si>
  <si>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</si>
  <si>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</si>
  <si>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</si>
  <si>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</si>
  <si>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</si>
  <si>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</si>
  <si>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</si>
  <si>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</si>
  <si>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</si>
  <si>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</si>
  <si>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</si>
  <si>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</si>
  <si>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</si>
  <si>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</si>
  <si>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</si>
  <si>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</si>
  <si>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</si>
  <si>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</si>
  <si>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</si>
  <si>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</si>
  <si>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</si>
  <si>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</si>
  <si>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</si>
  <si>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</si>
  <si>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</si>
  <si>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</si>
  <si>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</si>
  <si>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</si>
  <si>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</si>
  <si>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</si>
  <si>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</si>
  <si>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</si>
  <si>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</si>
  <si>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</si>
  <si>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</si>
  <si>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</si>
  <si>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</si>
  <si>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</si>
  <si>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</si>
  <si>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</si>
  <si>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</si>
  <si>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</si>
  <si>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</si>
  <si>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</si>
  <si>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</si>
  <si>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</si>
  <si>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</si>
  <si>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</si>
  <si>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</si>
  <si>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</si>
  <si>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</si>
  <si>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</si>
  <si>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</si>
  <si>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</si>
  <si>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</si>
  <si>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</si>
  <si>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</si>
  <si>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</si>
  <si>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</si>
  <si>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</si>
  <si>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</si>
  <si>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</si>
  <si>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</si>
  <si>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</si>
  <si>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</si>
  <si>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</si>
  <si>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</si>
  <si>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</si>
  <si>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</si>
  <si>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</si>
  <si>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</si>
  <si>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</si>
  <si>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</si>
  <si>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</si>
  <si>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</si>
  <si>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</si>
  <si>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</si>
  <si>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</si>
  <si>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</si>
  <si>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</si>
  <si>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</si>
  <si>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</si>
  <si>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</si>
  <si>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</si>
  <si>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</si>
  <si>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</si>
  <si>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</si>
  <si>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</si>
  <si>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</si>
  <si>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</si>
  <si>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</si>
  <si>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</si>
  <si>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</si>
  <si>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</si>
  <si>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</si>
  <si>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</si>
  <si>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</si>
  <si>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</si>
  <si>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Provided Contact Details ( Name &amp; Contact No.)</t>
  </si>
  <si>
    <t>Site Person - Contact Details ( Name &amp; Contact No.)</t>
  </si>
  <si>
    <t>Layout :</t>
  </si>
  <si>
    <t>Axis Thane</t>
  </si>
  <si>
    <t>Man Vastucon LLP</t>
  </si>
  <si>
    <t>Approved Plans, CC</t>
  </si>
  <si>
    <t>Survey No</t>
  </si>
  <si>
    <t>92, 260(Pt) &amp; 85(Pt)</t>
  </si>
  <si>
    <t>Mahajanwadi</t>
  </si>
  <si>
    <t>Western Express Highway</t>
  </si>
  <si>
    <t>Thane</t>
  </si>
  <si>
    <t>Dahisar East</t>
  </si>
  <si>
    <t>Thakur Mall</t>
  </si>
  <si>
    <t>2.9 KM from Dahisar Railway Station</t>
  </si>
  <si>
    <t>Mira-Bhayandar Municipal Corporation</t>
  </si>
  <si>
    <t>Open Plot</t>
  </si>
  <si>
    <t>Internal Road</t>
  </si>
  <si>
    <t>D B Ozone</t>
  </si>
  <si>
    <t>https://goo.gl/maps/19yeRLJtgUKrMXwKA</t>
  </si>
  <si>
    <t>MBMNP/NR/509/2022-23</t>
  </si>
  <si>
    <t>Tower No. 3</t>
  </si>
  <si>
    <t>1st to 3rd, 5th to 8th, 10th to 13th, 15th to 18th, 20th to 23rd, 25th to 28th, 30th to 33rd &amp; 35th Floor For Residential</t>
  </si>
  <si>
    <t>Refuge Area</t>
  </si>
  <si>
    <t>Tower No. 4</t>
  </si>
  <si>
    <t>2.5BHK</t>
  </si>
  <si>
    <t>1st &amp; 2nd Basement, Ground, 1st &amp; 2nd Podium Floors For Parking</t>
  </si>
  <si>
    <t>Phase II</t>
  </si>
  <si>
    <t>Tower No.3</t>
  </si>
  <si>
    <t>Tower No.4</t>
  </si>
  <si>
    <t>Top Podium Floor For Amenities</t>
  </si>
  <si>
    <t>4th, 9th, 14th, 19th, 24th, 29th &amp; 34th Floor For Residential (Part Refuge Area)</t>
  </si>
  <si>
    <t>added by nikhil on 14/7/2023</t>
  </si>
  <si>
    <t>11000 to 11500 by sanjay on 28/09/2023</t>
  </si>
  <si>
    <t>600000 to 700000 parking by sanjay on 28/09/2023</t>
  </si>
  <si>
    <t>Recommended rate of the Flat Per Sq. Ft. (For Subvention Scheme)</t>
  </si>
  <si>
    <t>Subvention Scheme added by sanjay on 27/12/2023.</t>
  </si>
  <si>
    <t>Recommended Rates for Subvention Scheme are updated on 27/12/2023.</t>
  </si>
  <si>
    <t>Office No. 1031, Wing J, Akshar Business Park, Plot No. 03 Sector 25, Near APMC Market, Vashi, 
Navi Mumbai, Maharashtra 400703 TEL: 022-46090378/79/80                                                                                             E mail : vsjcapf@gmail.com. Web site : www.vsjadon.com</t>
  </si>
  <si>
    <t>Development Charges &amp; Other Charges (For Subvention Scheme)</t>
  </si>
  <si>
    <t>Subvention Scheme other charges Rate added by Smith on 05/01/2024.</t>
  </si>
  <si>
    <t>Mr. Rajesh (Sales) 9951474110</t>
  </si>
  <si>
    <t>Development Charges &amp; Other Charges</t>
  </si>
  <si>
    <t>Other charges added by aakash mote on 14/11/2024 case in Tower No. 4 Flat No. 3306</t>
  </si>
  <si>
    <t>Tower 3 = Clove &amp; Tower 4 = Dion</t>
  </si>
  <si>
    <t>Subvention madhe 13000 to 13300 27/11/2024 Akash mote</t>
  </si>
  <si>
    <t>Recommended rate of Parking  Charges (For Subvention Scheme)</t>
  </si>
  <si>
    <t>Subvention Scheme other charges &amp; Parking chamged akash mote by costsheet on 29/11/2024</t>
  </si>
  <si>
    <t>Recommended Rates/Other Charges of the Property have been revised on 14/11/2024 &amp; 29/11/2024</t>
  </si>
  <si>
    <t>Aaradhya Parkwood 1 &amp; 2</t>
  </si>
  <si>
    <t>12 M W Road</t>
  </si>
  <si>
    <t>Other Plot</t>
  </si>
  <si>
    <t>Phase II - Tower 1 = 1B + G + 3P + 1st to 36th Floor
Phase II - Tower 2 = 1B + G + 3P + 1st to 36th Floor
Phase II - Tower 3 = 1B + G + 3P + 1st to 36th Floor
Phase II - Tower 4 = 1B + G + 3P + 1st to 36th Floor</t>
  </si>
  <si>
    <t>Phase II - Tower 1 = 1B + G + 3P + 1st to 36th Floor</t>
  </si>
  <si>
    <t>Phase II - Tower 2 = 1B + G + 3P + 1st to 36th Floor</t>
  </si>
  <si>
    <t>Phase II - Tower 3 = 1B + G + 3P + 1st to 36th Floor</t>
  </si>
  <si>
    <t>Phase II - Tower 4 = 1B + G + 3P + 1st to 36th Floor</t>
  </si>
  <si>
    <t>Tower No. 1</t>
  </si>
  <si>
    <t>1st Basement &amp; Ground Floors For Parking</t>
  </si>
  <si>
    <t>Parking</t>
  </si>
  <si>
    <t>1st to 3rd, 5th to 8th, 10th to 13th, 15th to 18th, 20th to 23rd, 25th to 28th, 
30th to 33rd &amp; 35th Floor For Residential</t>
  </si>
  <si>
    <t>4th, 9th, 14th, 19th, 24th, 29th &amp; 34th Floor (Part Refuge Area)</t>
  </si>
  <si>
    <t>1st, 2nd &amp; Top Podium Floors For Residential &amp; Parking</t>
  </si>
  <si>
    <t>Tower No. 2</t>
  </si>
  <si>
    <t>1st Basement, Ground &amp; 1st Podium Floors For Parking</t>
  </si>
  <si>
    <t>2nd Floors For Residential &amp; Parking</t>
  </si>
  <si>
    <t>36th Floor For Recreational Activity</t>
  </si>
  <si>
    <t>Tower No.1</t>
  </si>
  <si>
    <t>Tower No.2</t>
  </si>
  <si>
    <t>Jogging Track, Kids Pool, Garden, Fitness Centre, Recreational Area, Sky Deck Seating, Floral Edge, Meditating Pod, Strolling Pathway, Barbecue Zone, Steam Room, Sports Lounge, Toddlers Area, Miniplex, Library, Café Seating, Senior Citizen Sit Out Space, Zen Garden, Multipurpose Court, Party Lawn, etc.</t>
  </si>
  <si>
    <t>https://www.micl.com/project/aaradhya-parkwood/</t>
  </si>
  <si>
    <t>Flats - 1001</t>
  </si>
  <si>
    <t>Please check for Environmental Clearance Certificate &amp; Fire Noc.</t>
  </si>
  <si>
    <t>RERA Name &amp; No.</t>
  </si>
  <si>
    <t>Tower 1 (Astere)
 Tower 2 (Blu)</t>
  </si>
  <si>
    <t xml:space="preserve"> Tower 3 (Clove)
Tower 4 (Dion)</t>
  </si>
  <si>
    <t>Aaradhya Parkwood 1 (P51700046758)</t>
  </si>
  <si>
    <t>Aaradhya Parkwood 2 (P51700077424)</t>
  </si>
  <si>
    <t>Tower 1 (Astere)
Tower 2 (Blu)
Tower 3 (Clove)
Tower 4 (Dion)</t>
  </si>
  <si>
    <t xml:space="preserve">Phase II </t>
  </si>
  <si>
    <t>As per Layout</t>
  </si>
  <si>
    <t>Latitude, Longitude</t>
  </si>
  <si>
    <t>19.26093,72.87784</t>
  </si>
  <si>
    <t xml:space="preserve"> </t>
  </si>
  <si>
    <t>We have added project Aaradhya Parkwood 2 on 28/01/2025</t>
  </si>
  <si>
    <t>Mr. Rajnish Danti 9833817968</t>
  </si>
  <si>
    <t>Approved area of Tower 1 to 4  (Sq.Mt)</t>
  </si>
  <si>
    <t>Top Podium Floor For Residential &amp; Parking</t>
  </si>
  <si>
    <t xml:space="preserve">As per RERA - 31/12/2028
                     </t>
  </si>
  <si>
    <t>We considered Gross carpet area = Net carpet Area</t>
  </si>
  <si>
    <t>04 Tower</t>
  </si>
  <si>
    <t>Tower 1, 3 &amp; 4 = Construction work is in process at the time of Visit.
Tower 2 = Construction work is same as last visit dtd. 08/04/2025 bu work in process at the time of Visit.</t>
  </si>
  <si>
    <t>Gaurav Panchal</t>
  </si>
  <si>
    <t>Mr. Ranjan Sharma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</si>
</sst>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gt;0]0&quot;BHK&quot;;&quot;1RK&quot;"/>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29">
    <xf numFmtId="0" fontId="0" fillId="0" borderId="0" xfId="0"/>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9" fontId="8" fillId="0" borderId="14" xfId="8" applyFont="1" applyFill="1" applyBorder="1" applyAlignment="1" applyProtection="1">
      <alignment horizontal="center" vertical="top" wrapText="1"/>
      <protection locked="0"/>
    </xf>
    <xf numFmtId="0" fontId="17" fillId="0" borderId="0" xfId="0" applyFont="1" applyFill="1" applyBorder="1" applyProtection="1">
      <protection hidden="1"/>
    </xf>
    <xf numFmtId="0" fontId="17" fillId="0" borderId="9" xfId="0" applyFont="1" applyFill="1" applyBorder="1" applyProtection="1">
      <protection hidden="1"/>
    </xf>
    <xf numFmtId="0" fontId="6" fillId="0" borderId="1" xfId="1" applyFont="1" applyFill="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5" xfId="8" applyFont="1" applyFill="1" applyBorder="1" applyAlignment="1" applyProtection="1">
      <alignment horizontal="center" vertical="top" wrapText="1"/>
      <protection locked="0"/>
    </xf>
    <xf numFmtId="0" fontId="7" fillId="0" borderId="0" xfId="1" applyFont="1" applyFill="1"/>
    <xf numFmtId="0" fontId="15" fillId="0" borderId="0" xfId="1" applyFont="1" applyFill="1"/>
    <xf numFmtId="0" fontId="12" fillId="0" borderId="0" xfId="1" applyFont="1" applyFill="1"/>
    <xf numFmtId="1" fontId="7" fillId="0" borderId="0" xfId="1" applyNumberFormat="1" applyFont="1" applyFill="1"/>
    <xf numFmtId="0" fontId="7" fillId="0" borderId="0" xfId="1" applyNumberFormat="1" applyFont="1" applyFill="1"/>
    <xf numFmtId="14" fontId="7" fillId="0" borderId="0" xfId="1" applyNumberFormat="1" applyFont="1" applyFill="1"/>
    <xf numFmtId="0" fontId="7" fillId="0" borderId="0" xfId="1" applyFont="1" applyFill="1" applyProtection="1">
      <protection hidden="1"/>
    </xf>
    <xf numFmtId="0" fontId="23" fillId="0" borderId="0" xfId="1" applyFont="1" applyFill="1"/>
    <xf numFmtId="0" fontId="7" fillId="0" borderId="8" xfId="1" applyFont="1" applyFill="1" applyBorder="1"/>
    <xf numFmtId="0" fontId="17" fillId="0" borderId="8" xfId="0" applyNumberFormat="1" applyFont="1" applyFill="1" applyBorder="1" applyProtection="1">
      <protection hidden="1"/>
    </xf>
    <xf numFmtId="1" fontId="0" fillId="0" borderId="8" xfId="0" applyNumberFormat="1" applyFill="1" applyBorder="1"/>
    <xf numFmtId="1" fontId="0" fillId="0" borderId="8" xfId="0" applyNumberFormat="1" applyFill="1" applyBorder="1" applyAlignment="1">
      <alignment horizontal="right"/>
    </xf>
    <xf numFmtId="1" fontId="0" fillId="0" borderId="10" xfId="0" applyNumberFormat="1" applyFill="1" applyBorder="1"/>
    <xf numFmtId="0" fontId="16" fillId="0" borderId="0" xfId="1" applyFont="1" applyFill="1"/>
    <xf numFmtId="0" fontId="6" fillId="0" borderId="0" xfId="2" applyFont="1" applyFill="1"/>
    <xf numFmtId="0" fontId="7" fillId="0" borderId="0" xfId="0" applyFont="1" applyFill="1" applyAlignment="1">
      <alignment horizontal="center" vertical="center"/>
    </xf>
    <xf numFmtId="1" fontId="7" fillId="0" borderId="0" xfId="1" applyNumberFormat="1" applyFont="1" applyFill="1" applyAlignment="1">
      <alignment horizontal="center" vertical="center"/>
    </xf>
    <xf numFmtId="0" fontId="7" fillId="0" borderId="0" xfId="1" applyNumberFormat="1" applyFont="1" applyFill="1" applyAlignment="1">
      <alignment horizontal="center" vertical="center"/>
    </xf>
    <xf numFmtId="0" fontId="8" fillId="0" borderId="0" xfId="1" applyFont="1" applyFill="1" applyBorder="1" applyAlignment="1" applyProtection="1">
      <alignment vertical="top"/>
      <protection locked="0"/>
    </xf>
    <xf numFmtId="0" fontId="8" fillId="0" borderId="0" xfId="1" applyFont="1" applyFill="1" applyBorder="1" applyAlignment="1" applyProtection="1">
      <alignment vertical="top" wrapText="1"/>
      <protection locked="0"/>
    </xf>
    <xf numFmtId="0" fontId="7" fillId="0" borderId="0" xfId="1" applyFont="1" applyFill="1" applyProtection="1">
      <protection locked="0"/>
    </xf>
    <xf numFmtId="0" fontId="10" fillId="0" borderId="0" xfId="1" applyFont="1" applyFill="1" applyProtection="1">
      <protection locked="0"/>
    </xf>
    <xf numFmtId="0" fontId="7" fillId="0" borderId="0" xfId="1" applyFont="1" applyFill="1" applyAlignment="1">
      <alignment horizontal="center" vertical="center"/>
    </xf>
    <xf numFmtId="0" fontId="25" fillId="0" borderId="25" xfId="0" applyFont="1" applyFill="1" applyBorder="1"/>
    <xf numFmtId="0" fontId="25" fillId="0" borderId="4" xfId="0" applyFont="1" applyFill="1" applyBorder="1"/>
    <xf numFmtId="168" fontId="6" fillId="0" borderId="1" xfId="1"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0" fontId="7" fillId="0" borderId="0" xfId="1" applyFont="1" applyFill="1" applyAlignment="1">
      <alignment horizontal="center" vertical="center"/>
    </xf>
    <xf numFmtId="1" fontId="7" fillId="0" borderId="1" xfId="1" applyNumberFormat="1" applyFont="1" applyFill="1" applyBorder="1" applyAlignment="1">
      <alignment horizontal="center" vertical="center"/>
    </xf>
    <xf numFmtId="1" fontId="7" fillId="0" borderId="0" xfId="1" applyNumberFormat="1" applyFont="1" applyFill="1" applyBorder="1" applyAlignment="1">
      <alignment horizontal="center" vertical="center"/>
    </xf>
    <xf numFmtId="0" fontId="24" fillId="0" borderId="4" xfId="0" applyFont="1" applyFill="1" applyBorder="1"/>
    <xf numFmtId="1" fontId="7" fillId="0" borderId="1" xfId="1" applyNumberFormat="1" applyFont="1" applyFill="1" applyBorder="1" applyAlignment="1" applyProtection="1">
      <alignment horizontal="center" vertical="top" wrapText="1"/>
      <protection locked="0"/>
    </xf>
    <xf numFmtId="0" fontId="7" fillId="2" borderId="0" xfId="1" applyFont="1" applyFill="1"/>
    <xf numFmtId="1" fontId="8" fillId="0" borderId="3" xfId="1" applyNumberFormat="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7" fillId="0" borderId="5"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protection locked="0"/>
    </xf>
    <xf numFmtId="1" fontId="6" fillId="0" borderId="1" xfId="0"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vertical="top"/>
      <protection locked="0"/>
    </xf>
    <xf numFmtId="1" fontId="6" fillId="0" borderId="1" xfId="0" applyNumberFormat="1" applyFont="1" applyFill="1" applyBorder="1" applyAlignment="1" applyProtection="1">
      <alignment horizontal="center" vertical="center" wrapText="1"/>
      <protection locked="0"/>
    </xf>
    <xf numFmtId="0" fontId="24" fillId="2" borderId="13" xfId="0" applyFont="1" applyFill="1" applyBorder="1"/>
    <xf numFmtId="0" fontId="24" fillId="0" borderId="7" xfId="0" applyFont="1" applyFill="1" applyBorder="1"/>
    <xf numFmtId="0" fontId="25" fillId="0" borderId="7" xfId="0" applyFont="1" applyFill="1" applyBorder="1"/>
    <xf numFmtId="1" fontId="6" fillId="0" borderId="1" xfId="0" applyNumberFormat="1" applyFont="1" applyFill="1" applyBorder="1" applyAlignment="1" applyProtection="1">
      <alignment horizontal="center" vertical="center" wrapText="1"/>
      <protection locked="0"/>
    </xf>
    <xf numFmtId="0" fontId="7" fillId="0" borderId="0" xfId="0" applyFont="1" applyFill="1" applyAlignment="1">
      <alignment horizontal="left" vertical="top"/>
    </xf>
    <xf numFmtId="0" fontId="7" fillId="2" borderId="0" xfId="1" applyFont="1" applyFill="1" applyAlignment="1">
      <alignment horizontal="left" vertical="top"/>
    </xf>
    <xf numFmtId="0" fontId="7" fillId="0" borderId="0" xfId="1" applyFont="1" applyFill="1" applyAlignment="1">
      <alignment horizontal="left" vertical="top"/>
    </xf>
    <xf numFmtId="0" fontId="6" fillId="0" borderId="0" xfId="2" applyFont="1" applyFill="1" applyAlignment="1">
      <alignment horizontal="left" vertical="top"/>
    </xf>
    <xf numFmtId="0" fontId="7" fillId="0" borderId="1" xfId="1"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0" fontId="7" fillId="0" borderId="5"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protection locked="0"/>
    </xf>
    <xf numFmtId="1" fontId="6" fillId="0" borderId="1" xfId="0" applyNumberFormat="1" applyFont="1" applyFill="1" applyBorder="1" applyAlignment="1" applyProtection="1">
      <alignment horizontal="center" vertical="center" wrapText="1"/>
      <protection locked="0"/>
    </xf>
    <xf numFmtId="0" fontId="7" fillId="0" borderId="0" xfId="1" applyFont="1" applyFill="1" applyBorder="1" applyAlignment="1">
      <alignment horizontal="center" vertical="center"/>
    </xf>
    <xf numFmtId="0" fontId="26" fillId="0" borderId="0" xfId="10" applyFill="1"/>
    <xf numFmtId="1" fontId="6" fillId="0" borderId="1" xfId="0"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1" fontId="8" fillId="0" borderId="6" xfId="0" applyNumberFormat="1" applyFont="1" applyFill="1" applyBorder="1" applyAlignment="1" applyProtection="1">
      <alignment vertical="top" wrapText="1"/>
      <protection locked="0"/>
    </xf>
    <xf numFmtId="1" fontId="8" fillId="0" borderId="19" xfId="0" applyNumberFormat="1" applyFont="1" applyFill="1" applyBorder="1" applyAlignment="1" applyProtection="1">
      <alignment vertical="top" wrapText="1"/>
      <protection locked="0"/>
    </xf>
    <xf numFmtId="1" fontId="8" fillId="0" borderId="7" xfId="0" applyNumberFormat="1" applyFont="1" applyFill="1" applyBorder="1" applyAlignment="1" applyProtection="1">
      <alignment vertical="top" wrapText="1"/>
      <protection locked="0"/>
    </xf>
    <xf numFmtId="0" fontId="7" fillId="0" borderId="1" xfId="1" applyFont="1" applyFill="1" applyBorder="1" applyAlignment="1" applyProtection="1">
      <alignment horizontal="center" vertical="top" wrapText="1"/>
      <protection locked="0"/>
    </xf>
    <xf numFmtId="0" fontId="7" fillId="0" borderId="5" xfId="1" applyFont="1" applyFill="1" applyBorder="1" applyAlignment="1" applyProtection="1">
      <alignment horizontal="center" vertical="top" wrapText="1"/>
      <protection locked="0"/>
    </xf>
    <xf numFmtId="1" fontId="6" fillId="0" borderId="6" xfId="1" applyNumberFormat="1" applyFont="1" applyFill="1" applyBorder="1" applyAlignment="1" applyProtection="1">
      <alignment horizontal="center" vertical="center" wrapText="1"/>
      <protection locked="0"/>
    </xf>
    <xf numFmtId="1" fontId="6" fillId="0" borderId="7" xfId="1" applyNumberFormat="1" applyFont="1" applyFill="1" applyBorder="1" applyAlignment="1" applyProtection="1">
      <alignment horizontal="center" vertical="center" wrapText="1"/>
      <protection locked="0"/>
    </xf>
    <xf numFmtId="1" fontId="6" fillId="0" borderId="15" xfId="1" applyNumberFormat="1" applyFont="1" applyFill="1" applyBorder="1" applyAlignment="1" applyProtection="1">
      <alignment horizontal="center" vertical="center" wrapText="1"/>
      <protection locked="0"/>
    </xf>
    <xf numFmtId="1" fontId="6" fillId="0" borderId="16" xfId="1" applyNumberFormat="1" applyFont="1" applyFill="1" applyBorder="1" applyAlignment="1" applyProtection="1">
      <alignment horizontal="center" vertical="center" wrapText="1"/>
      <protection locked="0"/>
    </xf>
    <xf numFmtId="1" fontId="6" fillId="0" borderId="21" xfId="1" applyNumberFormat="1" applyFont="1" applyFill="1" applyBorder="1" applyAlignment="1" applyProtection="1">
      <alignment horizontal="center" vertical="center" wrapText="1"/>
      <protection locked="0"/>
    </xf>
    <xf numFmtId="1" fontId="6" fillId="0" borderId="22" xfId="1" applyNumberFormat="1" applyFont="1" applyFill="1" applyBorder="1" applyAlignment="1" applyProtection="1">
      <alignment horizontal="center" vertical="center" wrapText="1"/>
      <protection locked="0"/>
    </xf>
    <xf numFmtId="1" fontId="6" fillId="0" borderId="17" xfId="1" applyNumberFormat="1" applyFont="1" applyFill="1" applyBorder="1" applyAlignment="1" applyProtection="1">
      <alignment horizontal="center" vertical="center" wrapText="1"/>
      <protection locked="0"/>
    </xf>
    <xf numFmtId="1" fontId="6" fillId="0" borderId="18" xfId="1" applyNumberFormat="1" applyFont="1" applyFill="1" applyBorder="1" applyAlignment="1" applyProtection="1">
      <alignment horizontal="center" vertical="center" wrapText="1"/>
      <protection locked="0"/>
    </xf>
    <xf numFmtId="1" fontId="8" fillId="0" borderId="6" xfId="1" applyNumberFormat="1" applyFont="1" applyFill="1" applyBorder="1" applyAlignment="1" applyProtection="1">
      <alignment horizontal="center" vertical="center" wrapText="1"/>
      <protection locked="0"/>
    </xf>
    <xf numFmtId="1" fontId="8" fillId="0" borderId="19" xfId="1" applyNumberFormat="1" applyFont="1" applyFill="1" applyBorder="1" applyAlignment="1" applyProtection="1">
      <alignment horizontal="center" vertical="center" wrapText="1"/>
      <protection locked="0"/>
    </xf>
    <xf numFmtId="1" fontId="8" fillId="0" borderId="7" xfId="1"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4" xfId="0" applyFont="1" applyFill="1" applyBorder="1" applyAlignment="1">
      <alignment horizontal="center" vertical="center"/>
    </xf>
    <xf numFmtId="0" fontId="8" fillId="0" borderId="11" xfId="1" applyFont="1" applyFill="1" applyBorder="1" applyAlignment="1" applyProtection="1">
      <alignment horizontal="left" vertical="top" wrapText="1"/>
      <protection locked="0"/>
    </xf>
    <xf numFmtId="0" fontId="8" fillId="0" borderId="13" xfId="1" applyFont="1" applyFill="1" applyBorder="1" applyAlignment="1" applyProtection="1">
      <alignment horizontal="left" vertical="top" wrapText="1"/>
      <protection locked="0"/>
    </xf>
    <xf numFmtId="0" fontId="8" fillId="0" borderId="12"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168" fontId="6" fillId="0" borderId="6" xfId="1" applyNumberFormat="1" applyFont="1" applyFill="1" applyBorder="1" applyAlignment="1" applyProtection="1">
      <alignment horizontal="center" vertical="center" wrapText="1"/>
      <protection locked="0"/>
    </xf>
    <xf numFmtId="168" fontId="6" fillId="0" borderId="19" xfId="1" applyNumberFormat="1" applyFont="1" applyFill="1" applyBorder="1" applyAlignment="1" applyProtection="1">
      <alignment horizontal="center" vertical="center" wrapText="1"/>
      <protection locked="0"/>
    </xf>
    <xf numFmtId="168" fontId="6" fillId="0" borderId="7"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68" fontId="6" fillId="0" borderId="15" xfId="1" applyNumberFormat="1" applyFont="1" applyFill="1" applyBorder="1" applyAlignment="1" applyProtection="1">
      <alignment horizontal="center" vertical="center" wrapText="1"/>
      <protection locked="0"/>
    </xf>
    <xf numFmtId="168" fontId="6" fillId="0" borderId="20" xfId="1" applyNumberFormat="1" applyFont="1" applyFill="1" applyBorder="1" applyAlignment="1" applyProtection="1">
      <alignment horizontal="center" vertical="center" wrapText="1"/>
      <protection locked="0"/>
    </xf>
    <xf numFmtId="168" fontId="6" fillId="0" borderId="16" xfId="1" applyNumberFormat="1" applyFont="1" applyFill="1" applyBorder="1" applyAlignment="1" applyProtection="1">
      <alignment horizontal="center" vertical="center" wrapText="1"/>
      <protection locked="0"/>
    </xf>
    <xf numFmtId="168" fontId="6" fillId="0" borderId="21" xfId="1" applyNumberFormat="1" applyFont="1" applyFill="1" applyBorder="1" applyAlignment="1" applyProtection="1">
      <alignment horizontal="center" vertical="center" wrapText="1"/>
      <protection locked="0"/>
    </xf>
    <xf numFmtId="168" fontId="6" fillId="0" borderId="0" xfId="1" applyNumberFormat="1" applyFont="1" applyFill="1" applyBorder="1" applyAlignment="1" applyProtection="1">
      <alignment horizontal="center" vertical="center" wrapText="1"/>
      <protection locked="0"/>
    </xf>
    <xf numFmtId="168" fontId="6" fillId="0" borderId="22" xfId="1" applyNumberFormat="1" applyFont="1" applyFill="1" applyBorder="1" applyAlignment="1" applyProtection="1">
      <alignment horizontal="center" vertical="center" wrapText="1"/>
      <protection locked="0"/>
    </xf>
    <xf numFmtId="168" fontId="6" fillId="0" borderId="17" xfId="1" applyNumberFormat="1" applyFont="1" applyFill="1" applyBorder="1" applyAlignment="1" applyProtection="1">
      <alignment horizontal="center" vertical="center" wrapText="1"/>
      <protection locked="0"/>
    </xf>
    <xf numFmtId="168" fontId="6" fillId="0" borderId="2" xfId="1" applyNumberFormat="1" applyFont="1" applyFill="1" applyBorder="1" applyAlignment="1" applyProtection="1">
      <alignment horizontal="center" vertical="center" wrapText="1"/>
      <protection locked="0"/>
    </xf>
    <xf numFmtId="168" fontId="6" fillId="0" borderId="18" xfId="1" applyNumberFormat="1" applyFont="1" applyFill="1" applyBorder="1" applyAlignment="1" applyProtection="1">
      <alignment horizontal="center" vertical="center" wrapText="1"/>
      <protection locked="0"/>
    </xf>
    <xf numFmtId="1" fontId="6" fillId="0" borderId="20" xfId="1" applyNumberFormat="1" applyFont="1" applyFill="1" applyBorder="1" applyAlignment="1" applyProtection="1">
      <alignment horizontal="center" vertical="center" wrapText="1"/>
      <protection locked="0"/>
    </xf>
    <xf numFmtId="1" fontId="6" fillId="0" borderId="0" xfId="1"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1" fontId="8" fillId="0" borderId="1" xfId="1"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center" wrapText="1"/>
      <protection locked="0"/>
    </xf>
    <xf numFmtId="1" fontId="10" fillId="0"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1" fontId="8" fillId="0" borderId="3" xfId="1" applyNumberFormat="1" applyFont="1" applyFill="1" applyBorder="1" applyAlignment="1" applyProtection="1">
      <alignment horizontal="center" vertical="top" wrapText="1"/>
      <protection locked="0"/>
    </xf>
    <xf numFmtId="1" fontId="8" fillId="0" borderId="14" xfId="1" applyNumberFormat="1" applyFont="1" applyFill="1" applyBorder="1" applyAlignment="1" applyProtection="1">
      <alignment horizontal="center" vertical="top" wrapText="1"/>
      <protection locked="0"/>
    </xf>
    <xf numFmtId="0" fontId="8" fillId="0" borderId="1" xfId="1" applyFont="1" applyFill="1" applyBorder="1" applyAlignment="1" applyProtection="1">
      <alignment horizontal="center" vertical="top"/>
      <protection locked="0"/>
    </xf>
    <xf numFmtId="0" fontId="6" fillId="0" borderId="6"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13" fillId="0" borderId="6" xfId="1" applyFont="1" applyFill="1" applyBorder="1" applyAlignment="1" applyProtection="1">
      <alignment horizontal="left" vertical="top"/>
      <protection locked="0"/>
    </xf>
    <xf numFmtId="0" fontId="13" fillId="0" borderId="19" xfId="1" applyFont="1" applyFill="1" applyBorder="1" applyAlignment="1" applyProtection="1">
      <alignment horizontal="left" vertical="top"/>
      <protection locked="0"/>
    </xf>
    <xf numFmtId="0" fontId="13" fillId="0" borderId="7" xfId="1" applyFont="1" applyFill="1" applyBorder="1" applyAlignment="1" applyProtection="1">
      <alignment horizontal="left" vertical="top"/>
      <protection locked="0"/>
    </xf>
    <xf numFmtId="9" fontId="7" fillId="0" borderId="15" xfId="8" applyFont="1" applyFill="1" applyBorder="1" applyAlignment="1" applyProtection="1">
      <alignment horizontal="center" vertical="center" wrapText="1"/>
      <protection locked="0"/>
    </xf>
    <xf numFmtId="9" fontId="7" fillId="0" borderId="16"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0" fontId="8" fillId="0" borderId="14" xfId="1" applyFont="1" applyFill="1" applyBorder="1" applyAlignment="1" applyProtection="1">
      <alignment horizontal="left" vertical="top"/>
      <protection locked="0"/>
    </xf>
    <xf numFmtId="0" fontId="6" fillId="3" borderId="1" xfId="1" applyFont="1" applyFill="1" applyBorder="1" applyAlignment="1" applyProtection="1">
      <alignment horizontal="left" vertical="top"/>
      <protection locked="0"/>
    </xf>
    <xf numFmtId="0" fontId="7" fillId="0" borderId="1" xfId="0" applyFont="1" applyFill="1" applyBorder="1" applyAlignment="1" applyProtection="1">
      <alignment horizontal="center" vertical="center"/>
      <protection locked="0"/>
    </xf>
    <xf numFmtId="1" fontId="8" fillId="0" borderId="1" xfId="0" applyNumberFormat="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left" vertical="top" wrapText="1"/>
      <protection locked="0"/>
    </xf>
    <xf numFmtId="1" fontId="8" fillId="0" borderId="15" xfId="1" applyNumberFormat="1" applyFont="1" applyFill="1" applyBorder="1" applyAlignment="1" applyProtection="1">
      <alignment horizontal="center" vertical="top" wrapText="1"/>
      <protection locked="0"/>
    </xf>
    <xf numFmtId="1" fontId="8" fillId="0" borderId="17" xfId="1" applyNumberFormat="1" applyFont="1" applyFill="1" applyBorder="1" applyAlignment="1" applyProtection="1">
      <alignment horizontal="center" vertical="top" wrapText="1"/>
      <protection locked="0"/>
    </xf>
    <xf numFmtId="1" fontId="6" fillId="0" borderId="19" xfId="1" applyNumberFormat="1" applyFont="1" applyFill="1" applyBorder="1" applyAlignment="1" applyProtection="1">
      <alignment horizontal="center" vertical="center" wrapText="1"/>
      <protection locked="0"/>
    </xf>
    <xf numFmtId="1" fontId="4" fillId="0" borderId="3" xfId="1" applyNumberFormat="1" applyFont="1" applyFill="1" applyBorder="1" applyAlignment="1" applyProtection="1">
      <alignment horizontal="center" vertical="top" wrapText="1"/>
      <protection locked="0"/>
    </xf>
    <xf numFmtId="1" fontId="4" fillId="0" borderId="14" xfId="1" applyNumberFormat="1" applyFont="1" applyFill="1" applyBorder="1" applyAlignment="1" applyProtection="1">
      <alignment horizontal="center" vertical="top" wrapText="1"/>
      <protection locked="0"/>
    </xf>
    <xf numFmtId="1" fontId="8" fillId="0" borderId="16" xfId="1" applyNumberFormat="1" applyFont="1" applyFill="1" applyBorder="1" applyAlignment="1" applyProtection="1">
      <alignment horizontal="center" vertical="top" wrapText="1"/>
      <protection locked="0"/>
    </xf>
    <xf numFmtId="1" fontId="8" fillId="0" borderId="18" xfId="1" applyNumberFormat="1" applyFont="1" applyFill="1" applyBorder="1" applyAlignment="1" applyProtection="1">
      <alignment horizontal="center" vertical="top" wrapText="1"/>
      <protection locked="0"/>
    </xf>
    <xf numFmtId="0" fontId="8" fillId="0" borderId="14" xfId="1" applyFont="1" applyFill="1" applyBorder="1" applyAlignment="1" applyProtection="1">
      <alignment horizontal="center" vertical="top"/>
      <protection locked="0"/>
    </xf>
    <xf numFmtId="167" fontId="12" fillId="3" borderId="1" xfId="9" applyNumberFormat="1" applyFont="1" applyFill="1" applyBorder="1" applyAlignment="1" applyProtection="1">
      <alignment horizontal="left" vertical="top"/>
      <protection locked="0"/>
    </xf>
    <xf numFmtId="0" fontId="6" fillId="0" borderId="14" xfId="1" applyFont="1" applyFill="1" applyBorder="1" applyAlignment="1" applyProtection="1">
      <alignment horizontal="left" vertical="top" wrapText="1"/>
      <protection locked="0"/>
    </xf>
    <xf numFmtId="1" fontId="6" fillId="0" borderId="1" xfId="1" applyNumberFormat="1" applyFont="1" applyFill="1" applyBorder="1" applyAlignment="1" applyProtection="1">
      <alignment horizontal="left" vertical="top" wrapText="1"/>
      <protection locked="0"/>
    </xf>
    <xf numFmtId="164" fontId="6" fillId="0" borderId="1" xfId="1" applyNumberFormat="1" applyFont="1" applyFill="1" applyBorder="1" applyAlignment="1" applyProtection="1">
      <alignment horizontal="left" vertical="top"/>
      <protection locked="0"/>
    </xf>
    <xf numFmtId="2" fontId="6"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8" fillId="0" borderId="1" xfId="1" applyFont="1" applyFill="1" applyBorder="1" applyAlignment="1" applyProtection="1">
      <alignment horizontal="left" vertical="top"/>
      <protection locked="0"/>
    </xf>
    <xf numFmtId="0" fontId="12" fillId="0" borderId="3" xfId="1" applyFont="1" applyFill="1" applyBorder="1" applyAlignment="1" applyProtection="1">
      <alignment horizontal="left" vertical="top" wrapText="1"/>
      <protection locked="0"/>
    </xf>
    <xf numFmtId="0" fontId="12" fillId="0" borderId="3" xfId="1" applyFont="1" applyFill="1" applyBorder="1" applyAlignment="1" applyProtection="1">
      <alignment horizontal="left" vertical="top"/>
      <protection locked="0"/>
    </xf>
    <xf numFmtId="0" fontId="12" fillId="0" borderId="15" xfId="1" applyFont="1" applyFill="1" applyBorder="1" applyAlignment="1" applyProtection="1">
      <alignment horizontal="left" vertical="top" wrapText="1"/>
      <protection locked="0"/>
    </xf>
    <xf numFmtId="0" fontId="12" fillId="0" borderId="20" xfId="1" applyFont="1" applyFill="1" applyBorder="1" applyAlignment="1" applyProtection="1">
      <alignment horizontal="left" vertical="top" wrapText="1"/>
      <protection locked="0"/>
    </xf>
    <xf numFmtId="0" fontId="12" fillId="0" borderId="16" xfId="1" applyFont="1" applyFill="1" applyBorder="1" applyAlignment="1" applyProtection="1">
      <alignment horizontal="left" vertical="top" wrapText="1"/>
      <protection locked="0"/>
    </xf>
    <xf numFmtId="14" fontId="6" fillId="0" borderId="6" xfId="1" applyNumberFormat="1" applyFont="1" applyFill="1" applyBorder="1" applyAlignment="1" applyProtection="1">
      <alignment horizontal="left" vertical="top" wrapText="1"/>
      <protection locked="0"/>
    </xf>
    <xf numFmtId="14" fontId="6" fillId="0" borderId="7" xfId="1" applyNumberFormat="1" applyFont="1" applyFill="1" applyBorder="1" applyAlignment="1" applyProtection="1">
      <alignment horizontal="left" vertical="top" wrapText="1"/>
      <protection locked="0"/>
    </xf>
    <xf numFmtId="0" fontId="6" fillId="0" borderId="15" xfId="1" applyFont="1" applyFill="1" applyBorder="1" applyAlignment="1" applyProtection="1">
      <alignment horizontal="left" vertical="top" wrapText="1"/>
      <protection locked="0"/>
    </xf>
    <xf numFmtId="0" fontId="6" fillId="0" borderId="16" xfId="1" applyFont="1" applyFill="1" applyBorder="1" applyAlignment="1" applyProtection="1">
      <alignment horizontal="left" vertical="top" wrapText="1"/>
      <protection locked="0"/>
    </xf>
    <xf numFmtId="0" fontId="6" fillId="0" borderId="17" xfId="1" applyFont="1" applyFill="1" applyBorder="1" applyAlignment="1" applyProtection="1">
      <alignment horizontal="left" vertical="top" wrapText="1"/>
      <protection locked="0"/>
    </xf>
    <xf numFmtId="0" fontId="6" fillId="0" borderId="18" xfId="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protection locked="0"/>
    </xf>
    <xf numFmtId="0" fontId="12" fillId="0" borderId="1" xfId="1" applyFont="1" applyFill="1" applyBorder="1" applyAlignment="1" applyProtection="1">
      <alignment horizontal="center" vertical="top"/>
      <protection locked="0"/>
    </xf>
    <xf numFmtId="0" fontId="7" fillId="0" borderId="6" xfId="1" applyFont="1" applyFill="1" applyBorder="1" applyAlignment="1" applyProtection="1">
      <alignment horizontal="left"/>
      <protection locked="0"/>
    </xf>
    <xf numFmtId="0" fontId="7" fillId="0" borderId="19" xfId="1" applyFont="1" applyFill="1" applyBorder="1" applyAlignment="1" applyProtection="1">
      <alignment horizontal="left"/>
      <protection locked="0"/>
    </xf>
    <xf numFmtId="0" fontId="7" fillId="0" borderId="7" xfId="1" applyFont="1" applyFill="1" applyBorder="1" applyAlignment="1" applyProtection="1">
      <alignment horizontal="left"/>
      <protection locked="0"/>
    </xf>
    <xf numFmtId="2" fontId="6" fillId="0" borderId="1" xfId="1" applyNumberFormat="1" applyFont="1" applyFill="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Fill="1" applyBorder="1" applyAlignment="1" applyProtection="1">
      <alignment horizontal="left" vertical="top" wrapText="1"/>
      <protection locked="0"/>
    </xf>
    <xf numFmtId="0" fontId="13"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protection locked="0"/>
    </xf>
    <xf numFmtId="0" fontId="6"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left"/>
      <protection locked="0"/>
    </xf>
    <xf numFmtId="14" fontId="12" fillId="0" borderId="1" xfId="1" applyNumberFormat="1" applyFont="1" applyFill="1" applyBorder="1" applyAlignment="1" applyProtection="1">
      <alignment horizontal="left" vertical="top"/>
      <protection locked="0"/>
    </xf>
    <xf numFmtId="0" fontId="12" fillId="0" borderId="15" xfId="1" applyFont="1" applyFill="1" applyBorder="1" applyAlignment="1" applyProtection="1">
      <alignment horizontal="left" vertical="top"/>
      <protection locked="0"/>
    </xf>
    <xf numFmtId="0" fontId="12" fillId="0" borderId="20" xfId="1" applyFont="1" applyFill="1" applyBorder="1" applyAlignment="1" applyProtection="1">
      <alignment horizontal="left" vertical="top"/>
      <protection locked="0"/>
    </xf>
    <xf numFmtId="0" fontId="12" fillId="0" borderId="16" xfId="1" applyFont="1" applyFill="1" applyBorder="1" applyAlignment="1" applyProtection="1">
      <alignment horizontal="left" vertical="top"/>
      <protection locked="0"/>
    </xf>
    <xf numFmtId="0" fontId="12" fillId="0" borderId="17" xfId="1" applyFont="1" applyFill="1" applyBorder="1" applyAlignment="1" applyProtection="1">
      <alignment horizontal="left" vertical="top"/>
      <protection locked="0"/>
    </xf>
    <xf numFmtId="0" fontId="12" fillId="0" borderId="2" xfId="1" applyFont="1" applyFill="1" applyBorder="1" applyAlignment="1" applyProtection="1">
      <alignment horizontal="left" vertical="top"/>
      <protection locked="0"/>
    </xf>
    <xf numFmtId="0" fontId="12" fillId="0" borderId="18" xfId="1" applyFont="1" applyFill="1" applyBorder="1" applyAlignment="1" applyProtection="1">
      <alignment horizontal="left" vertical="top"/>
      <protection locked="0"/>
    </xf>
    <xf numFmtId="0" fontId="12" fillId="0" borderId="6" xfId="1" applyFont="1" applyFill="1" applyBorder="1" applyAlignment="1" applyProtection="1">
      <alignment horizontal="center" vertical="top" wrapText="1"/>
      <protection locked="0"/>
    </xf>
    <xf numFmtId="0" fontId="12" fillId="0" borderId="7" xfId="1" applyFont="1" applyFill="1" applyBorder="1" applyAlignment="1" applyProtection="1">
      <alignment horizontal="center" vertical="top" wrapText="1"/>
      <protection locked="0"/>
    </xf>
    <xf numFmtId="0" fontId="12" fillId="0" borderId="7" xfId="1" applyFont="1" applyFill="1" applyBorder="1" applyAlignment="1" applyProtection="1">
      <alignment horizontal="center" vertical="top"/>
      <protection locked="0"/>
    </xf>
    <xf numFmtId="0" fontId="12" fillId="0" borderId="6" xfId="1" applyFont="1" applyFill="1" applyBorder="1" applyAlignment="1" applyProtection="1">
      <alignment horizontal="center" vertical="center" wrapText="1"/>
      <protection locked="0"/>
    </xf>
    <xf numFmtId="0" fontId="12" fillId="0" borderId="7" xfId="1" applyFont="1" applyFill="1" applyBorder="1" applyAlignment="1" applyProtection="1">
      <alignment horizontal="center" vertical="center"/>
      <protection locked="0"/>
    </xf>
    <xf numFmtId="0" fontId="12" fillId="0" borderId="6" xfId="1" applyFont="1" applyFill="1" applyBorder="1" applyAlignment="1" applyProtection="1">
      <alignment horizontal="left" vertical="top" wrapText="1"/>
      <protection locked="0"/>
    </xf>
    <xf numFmtId="0" fontId="12" fillId="0" borderId="19" xfId="1" applyFont="1" applyFill="1" applyBorder="1" applyAlignment="1" applyProtection="1">
      <alignment horizontal="left" vertical="top"/>
      <protection locked="0"/>
    </xf>
    <xf numFmtId="0" fontId="12" fillId="0" borderId="7" xfId="1" applyFont="1" applyFill="1" applyBorder="1" applyAlignment="1" applyProtection="1">
      <alignment horizontal="left" vertical="top"/>
      <protection locked="0"/>
    </xf>
    <xf numFmtId="0" fontId="11" fillId="0" borderId="1" xfId="1" applyFont="1" applyFill="1" applyBorder="1" applyAlignment="1" applyProtection="1">
      <alignment horizontal="center" vertical="top" wrapText="1"/>
      <protection locked="0"/>
    </xf>
    <xf numFmtId="0" fontId="6" fillId="0" borderId="3"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protection locked="0"/>
    </xf>
    <xf numFmtId="0" fontId="13" fillId="0" borderId="1"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vertical="top"/>
      <protection locked="0"/>
    </xf>
    <xf numFmtId="0" fontId="10" fillId="0" borderId="1" xfId="0" applyFont="1" applyFill="1" applyBorder="1" applyAlignment="1" applyProtection="1">
      <alignment horizontal="center" vertical="top" wrapText="1"/>
      <protection locked="0"/>
    </xf>
    <xf numFmtId="1" fontId="13" fillId="0" borderId="6" xfId="0" applyNumberFormat="1" applyFont="1" applyFill="1" applyBorder="1" applyAlignment="1" applyProtection="1">
      <alignment vertical="top" wrapText="1"/>
      <protection locked="0"/>
    </xf>
    <xf numFmtId="1" fontId="13" fillId="0" borderId="19" xfId="0" applyNumberFormat="1" applyFont="1" applyFill="1" applyBorder="1" applyAlignment="1" applyProtection="1">
      <alignment vertical="top" wrapText="1"/>
      <protection locked="0"/>
    </xf>
    <xf numFmtId="1" fontId="13" fillId="0" borderId="7" xfId="0" applyNumberFormat="1" applyFont="1" applyFill="1" applyBorder="1" applyAlignment="1" applyProtection="1">
      <alignment vertical="top" wrapText="1"/>
      <protection locked="0"/>
    </xf>
    <xf numFmtId="0" fontId="6" fillId="0" borderId="19" xfId="1" applyFont="1" applyFill="1" applyBorder="1" applyAlignment="1" applyProtection="1">
      <alignment horizontal="left" vertical="top" wrapText="1"/>
      <protection locked="0"/>
    </xf>
    <xf numFmtId="0" fontId="12" fillId="0" borderId="21" xfId="1" applyFont="1" applyFill="1" applyBorder="1" applyAlignment="1" applyProtection="1">
      <alignment horizontal="left" vertical="top" wrapText="1"/>
      <protection locked="0"/>
    </xf>
    <xf numFmtId="0" fontId="12" fillId="0" borderId="0" xfId="1" applyFont="1" applyFill="1" applyBorder="1" applyAlignment="1" applyProtection="1">
      <alignment horizontal="left" vertical="top" wrapText="1"/>
      <protection locked="0"/>
    </xf>
    <xf numFmtId="0" fontId="8" fillId="0" borderId="6" xfId="1" applyFont="1" applyFill="1" applyBorder="1" applyAlignment="1" applyProtection="1">
      <alignment horizontal="left" vertical="top" wrapText="1"/>
      <protection locked="0"/>
    </xf>
    <xf numFmtId="0" fontId="8" fillId="0" borderId="7" xfId="1" applyFont="1" applyFill="1" applyBorder="1" applyAlignment="1" applyProtection="1">
      <alignment horizontal="left" vertical="top" wrapText="1"/>
      <protection locked="0"/>
    </xf>
    <xf numFmtId="0" fontId="8" fillId="0" borderId="19" xfId="1" applyFont="1" applyFill="1" applyBorder="1" applyAlignment="1" applyProtection="1">
      <alignment horizontal="left" vertical="top" wrapText="1"/>
      <protection locked="0"/>
    </xf>
    <xf numFmtId="0" fontId="8" fillId="0" borderId="6" xfId="1" applyFont="1" applyFill="1" applyBorder="1" applyAlignment="1" applyProtection="1">
      <alignment horizontal="left" vertical="top"/>
      <protection locked="0"/>
    </xf>
    <xf numFmtId="0" fontId="8" fillId="0" borderId="7" xfId="1" applyFont="1" applyFill="1" applyBorder="1" applyAlignment="1" applyProtection="1">
      <alignment horizontal="left" vertical="top"/>
      <protection locked="0"/>
    </xf>
    <xf numFmtId="0" fontId="12" fillId="0" borderId="19" xfId="1" applyFont="1" applyFill="1" applyBorder="1" applyAlignment="1" applyProtection="1">
      <alignment horizontal="left" vertical="top" wrapText="1"/>
      <protection locked="0"/>
    </xf>
    <xf numFmtId="0" fontId="12" fillId="0" borderId="7" xfId="1" applyFont="1" applyFill="1" applyBorder="1" applyAlignment="1" applyProtection="1">
      <alignment horizontal="left" vertical="top" wrapText="1"/>
      <protection locked="0"/>
    </xf>
    <xf numFmtId="0" fontId="12" fillId="0" borderId="21" xfId="1" applyFont="1" applyFill="1" applyBorder="1" applyAlignment="1" applyProtection="1">
      <alignment horizontal="left" vertical="top"/>
      <protection locked="0"/>
    </xf>
    <xf numFmtId="0" fontId="12" fillId="0" borderId="0" xfId="1" applyFont="1" applyFill="1" applyBorder="1" applyAlignment="1" applyProtection="1">
      <alignment horizontal="left" vertical="top"/>
      <protection locked="0"/>
    </xf>
    <xf numFmtId="0" fontId="12" fillId="0" borderId="22" xfId="1" applyFont="1" applyFill="1" applyBorder="1" applyAlignment="1" applyProtection="1">
      <alignment horizontal="left" vertical="top"/>
      <protection locked="0"/>
    </xf>
    <xf numFmtId="0" fontId="6" fillId="0" borderId="1" xfId="1" applyFont="1" applyFill="1" applyBorder="1" applyAlignment="1" applyProtection="1">
      <alignment vertical="top"/>
      <protection locked="0"/>
    </xf>
    <xf numFmtId="1" fontId="6" fillId="0" borderId="1" xfId="0" applyNumberFormat="1"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top" wrapText="1"/>
      <protection locked="0"/>
    </xf>
    <xf numFmtId="0" fontId="15" fillId="0" borderId="0" xfId="1" applyFont="1" applyFill="1" applyAlignment="1">
      <alignment horizontal="center" wrapText="1"/>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415176</xdr:colOff>
      <xdr:row>436</xdr:row>
      <xdr:rowOff>20171</xdr:rowOff>
    </xdr:from>
    <xdr:to>
      <xdr:col>6</xdr:col>
      <xdr:colOff>381001</xdr:colOff>
      <xdr:row>452</xdr:row>
      <xdr:rowOff>190524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77176" y="78039446"/>
          <a:ext cx="4318750" cy="3370750"/>
        </a:xfrm>
        <a:prstGeom prst="rect">
          <a:avLst/>
        </a:prstGeom>
        <a:ln>
          <a:solidFill>
            <a:schemeClr val="tx1"/>
          </a:solidFill>
        </a:ln>
      </xdr:spPr>
    </xdr:pic>
    <xdr:clientData/>
  </xdr:twoCellAnchor>
  <xdr:twoCellAnchor>
    <xdr:from>
      <xdr:col>8</xdr:col>
      <xdr:colOff>781051</xdr:colOff>
      <xdr:row>328</xdr:row>
      <xdr:rowOff>47625</xdr:rowOff>
    </xdr:from>
    <xdr:to>
      <xdr:col>9</xdr:col>
      <xdr:colOff>469901</xdr:colOff>
      <xdr:row>330</xdr:row>
      <xdr:rowOff>15875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7505701" y="40109775"/>
          <a:ext cx="850900" cy="3683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b="1">
              <a:solidFill>
                <a:srgbClr val="FF0000"/>
              </a:solidFill>
            </a:rPr>
            <a:t>Tower 3</a:t>
          </a:r>
        </a:p>
      </xdr:txBody>
    </xdr:sp>
    <xdr:clientData/>
  </xdr:twoCellAnchor>
  <xdr:twoCellAnchor>
    <xdr:from>
      <xdr:col>9</xdr:col>
      <xdr:colOff>0</xdr:colOff>
      <xdr:row>336</xdr:row>
      <xdr:rowOff>85725</xdr:rowOff>
    </xdr:from>
    <xdr:to>
      <xdr:col>10</xdr:col>
      <xdr:colOff>542925</xdr:colOff>
      <xdr:row>339</xdr:row>
      <xdr:rowOff>177800</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274050" y="41201975"/>
          <a:ext cx="1343025" cy="682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b="1">
              <a:solidFill>
                <a:srgbClr val="FF0000"/>
              </a:solidFill>
            </a:rPr>
            <a:t>Wing C &amp; D</a:t>
          </a:r>
        </a:p>
      </xdr:txBody>
    </xdr:sp>
    <xdr:clientData/>
  </xdr:twoCellAnchor>
  <xdr:twoCellAnchor editAs="oneCell">
    <xdr:from>
      <xdr:col>8</xdr:col>
      <xdr:colOff>233861</xdr:colOff>
      <xdr:row>48</xdr:row>
      <xdr:rowOff>55056</xdr:rowOff>
    </xdr:from>
    <xdr:to>
      <xdr:col>12</xdr:col>
      <xdr:colOff>771452</xdr:colOff>
      <xdr:row>52</xdr:row>
      <xdr:rowOff>71687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6951057" y="11866056"/>
          <a:ext cx="3867199" cy="1424674"/>
        </a:xfrm>
        <a:prstGeom prst="rect">
          <a:avLst/>
        </a:prstGeom>
      </xdr:spPr>
    </xdr:pic>
    <xdr:clientData/>
  </xdr:twoCellAnchor>
  <xdr:twoCellAnchor>
    <xdr:from>
      <xdr:col>3</xdr:col>
      <xdr:colOff>638175</xdr:colOff>
      <xdr:row>392</xdr:row>
      <xdr:rowOff>171450</xdr:rowOff>
    </xdr:from>
    <xdr:to>
      <xdr:col>7</xdr:col>
      <xdr:colOff>647701</xdr:colOff>
      <xdr:row>423</xdr:row>
      <xdr:rowOff>104775</xdr:rowOff>
    </xdr:to>
    <xdr:grpSp>
      <xdr:nvGrpSpPr>
        <xdr:cNvPr id="28" name="Group 27">
          <a:extLst>
            <a:ext uri="{FF2B5EF4-FFF2-40B4-BE49-F238E27FC236}">
              <a16:creationId xmlns:a16="http://schemas.microsoft.com/office/drawing/2014/main" id="{00000000-0008-0000-0000-00001C000000}"/>
            </a:ext>
          </a:extLst>
        </xdr:cNvPr>
        <xdr:cNvGrpSpPr/>
      </xdr:nvGrpSpPr>
      <xdr:grpSpPr>
        <a:xfrm>
          <a:off x="3048414" y="70706146"/>
          <a:ext cx="3488222" cy="6095586"/>
          <a:chOff x="1322300" y="69418200"/>
          <a:chExt cx="4026019" cy="6990450"/>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322300" y="69418200"/>
            <a:ext cx="4026019" cy="6990450"/>
          </a:xfrm>
          <a:prstGeom prst="rect">
            <a:avLst/>
          </a:prstGeom>
          <a:ln>
            <a:solidFill>
              <a:schemeClr val="tx1"/>
            </a:solidFill>
          </a:ln>
        </xdr:spPr>
      </xdr:pic>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3194242" y="75852618"/>
            <a:ext cx="805157" cy="3427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NORTH</a:t>
            </a:r>
          </a:p>
        </xdr:txBody>
      </xdr:sp>
      <xdr:sp macro="" textlink="">
        <xdr:nvSpPr>
          <xdr:cNvPr id="32" name="Rectangle 31">
            <a:extLst>
              <a:ext uri="{FF2B5EF4-FFF2-40B4-BE49-F238E27FC236}">
                <a16:creationId xmlns:a16="http://schemas.microsoft.com/office/drawing/2014/main" id="{00000000-0008-0000-0000-000020000000}"/>
              </a:ext>
            </a:extLst>
          </xdr:cNvPr>
          <xdr:cNvSpPr/>
        </xdr:nvSpPr>
        <xdr:spPr>
          <a:xfrm>
            <a:off x="2562224" y="70237350"/>
            <a:ext cx="1238251" cy="13267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a:off x="2771775" y="71670022"/>
            <a:ext cx="1133475" cy="1400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4013947" y="70741617"/>
            <a:ext cx="869624" cy="307264"/>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a:t>Tower</a:t>
            </a:r>
            <a:r>
              <a:rPr lang="en-IN" sz="1100" b="1" baseline="0"/>
              <a:t> 4</a:t>
            </a:r>
            <a:endParaRPr lang="en-IN" sz="1100" b="1"/>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4155141" y="72182132"/>
            <a:ext cx="830447" cy="307264"/>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a:t>Tower</a:t>
            </a:r>
            <a:r>
              <a:rPr lang="en-IN" sz="1100" b="1" baseline="0"/>
              <a:t> 3</a:t>
            </a:r>
            <a:endParaRPr lang="en-IN" sz="1100" b="1"/>
          </a:p>
        </xdr:txBody>
      </xdr:sp>
      <xdr:sp macro="" textlink="">
        <xdr:nvSpPr>
          <xdr:cNvPr id="59" name="Rectangle 58">
            <a:extLst>
              <a:ext uri="{FF2B5EF4-FFF2-40B4-BE49-F238E27FC236}">
                <a16:creationId xmlns:a16="http://schemas.microsoft.com/office/drawing/2014/main" id="{00000000-0008-0000-0000-00003B000000}"/>
              </a:ext>
            </a:extLst>
          </xdr:cNvPr>
          <xdr:cNvSpPr/>
        </xdr:nvSpPr>
        <xdr:spPr>
          <a:xfrm rot="3324670">
            <a:off x="3348578" y="74066321"/>
            <a:ext cx="1016675" cy="101204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0" name="Rectangle 59">
            <a:extLst>
              <a:ext uri="{FF2B5EF4-FFF2-40B4-BE49-F238E27FC236}">
                <a16:creationId xmlns:a16="http://schemas.microsoft.com/office/drawing/2014/main" id="{00000000-0008-0000-0000-00003C000000}"/>
              </a:ext>
            </a:extLst>
          </xdr:cNvPr>
          <xdr:cNvSpPr/>
        </xdr:nvSpPr>
        <xdr:spPr>
          <a:xfrm rot="20235900">
            <a:off x="2778108" y="73142922"/>
            <a:ext cx="943994" cy="107690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3733800" y="73237725"/>
            <a:ext cx="855055" cy="307264"/>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a:t>Tower</a:t>
            </a:r>
            <a:r>
              <a:rPr lang="en-IN" sz="1100" b="1" baseline="0"/>
              <a:t> 2</a:t>
            </a:r>
            <a:endParaRPr lang="en-IN" sz="1100" b="1"/>
          </a:p>
        </xdr:txBody>
      </xdr:sp>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4419599" y="74171176"/>
            <a:ext cx="804029" cy="307264"/>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a:t>Tower</a:t>
            </a:r>
            <a:r>
              <a:rPr lang="en-IN" sz="1100" b="1" baseline="0"/>
              <a:t> 1</a:t>
            </a:r>
            <a:endParaRPr lang="en-IN" sz="1100" b="1"/>
          </a:p>
        </xdr:txBody>
      </xdr:sp>
    </xdr:grpSp>
    <xdr:clientData/>
  </xdr:twoCellAnchor>
  <xdr:twoCellAnchor editAs="oneCell">
    <xdr:from>
      <xdr:col>0</xdr:col>
      <xdr:colOff>200024</xdr:colOff>
      <xdr:row>392</xdr:row>
      <xdr:rowOff>161925</xdr:rowOff>
    </xdr:from>
    <xdr:to>
      <xdr:col>3</xdr:col>
      <xdr:colOff>509730</xdr:colOff>
      <xdr:row>408</xdr:row>
      <xdr:rowOff>190502</xdr:rowOff>
    </xdr:to>
    <xdr:pic>
      <xdr:nvPicPr>
        <xdr:cNvPr id="66" name="Picture 65">
          <a:extLst>
            <a:ext uri="{FF2B5EF4-FFF2-40B4-BE49-F238E27FC236}">
              <a16:creationId xmlns:a16="http://schemas.microsoft.com/office/drawing/2014/main" id="{00000000-0008-0000-0000-000042000000}"/>
            </a:ext>
          </a:extLst>
        </xdr:cNvPr>
        <xdr:cNvPicPr>
          <a:picLocks noChangeAspect="1" noChangeArrowheads="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l="21258"/>
        <a:stretch/>
      </xdr:blipFill>
      <xdr:spPr bwMode="auto">
        <a:xfrm>
          <a:off x="200024" y="69380100"/>
          <a:ext cx="2719531" cy="3228975"/>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xdr:col>
      <xdr:colOff>28574</xdr:colOff>
      <xdr:row>453</xdr:row>
      <xdr:rowOff>76201</xdr:rowOff>
    </xdr:from>
    <xdr:to>
      <xdr:col>7</xdr:col>
      <xdr:colOff>314324</xdr:colOff>
      <xdr:row>477</xdr:row>
      <xdr:rowOff>45451</xdr:rowOff>
    </xdr:to>
    <xdr:grpSp>
      <xdr:nvGrpSpPr>
        <xdr:cNvPr id="71" name="Group 70">
          <a:extLst>
            <a:ext uri="{FF2B5EF4-FFF2-40B4-BE49-F238E27FC236}">
              <a16:creationId xmlns:a16="http://schemas.microsoft.com/office/drawing/2014/main" id="{00000000-0008-0000-0000-000047000000}"/>
            </a:ext>
          </a:extLst>
        </xdr:cNvPr>
        <xdr:cNvGrpSpPr/>
      </xdr:nvGrpSpPr>
      <xdr:grpSpPr>
        <a:xfrm>
          <a:off x="790574" y="81146375"/>
          <a:ext cx="5412685" cy="4740033"/>
          <a:chOff x="790575" y="79456723"/>
          <a:chExt cx="5136460" cy="4740032"/>
        </a:xfrm>
      </xdr:grpSpPr>
      <xdr:pic>
        <xdr:nvPicPr>
          <xdr:cNvPr id="65" name="Pictur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790575" y="79456723"/>
            <a:ext cx="5136460" cy="4740032"/>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29" name="Freeform 28">
            <a:extLst>
              <a:ext uri="{FF2B5EF4-FFF2-40B4-BE49-F238E27FC236}">
                <a16:creationId xmlns:a16="http://schemas.microsoft.com/office/drawing/2014/main" id="{00000000-0008-0000-0000-00001D000000}"/>
              </a:ext>
            </a:extLst>
          </xdr:cNvPr>
          <xdr:cNvSpPr/>
        </xdr:nvSpPr>
        <xdr:spPr>
          <a:xfrm>
            <a:off x="1200150" y="79835237"/>
            <a:ext cx="4110245" cy="4193485"/>
          </a:xfrm>
          <a:custGeom>
            <a:avLst/>
            <a:gdLst>
              <a:gd name="connsiteX0" fmla="*/ 2638425 w 4048125"/>
              <a:gd name="connsiteY0" fmla="*/ 1524000 h 4200525"/>
              <a:gd name="connsiteX1" fmla="*/ 1190625 w 4048125"/>
              <a:gd name="connsiteY1" fmla="*/ 1571625 h 4200525"/>
              <a:gd name="connsiteX2" fmla="*/ 476250 w 4048125"/>
              <a:gd name="connsiteY2" fmla="*/ 1228725 h 4200525"/>
              <a:gd name="connsiteX3" fmla="*/ 295275 w 4048125"/>
              <a:gd name="connsiteY3" fmla="*/ 790575 h 4200525"/>
              <a:gd name="connsiteX4" fmla="*/ 0 w 4048125"/>
              <a:gd name="connsiteY4" fmla="*/ 485775 h 4200525"/>
              <a:gd name="connsiteX5" fmla="*/ 190500 w 4048125"/>
              <a:gd name="connsiteY5" fmla="*/ 0 h 4200525"/>
              <a:gd name="connsiteX6" fmla="*/ 2838450 w 4048125"/>
              <a:gd name="connsiteY6" fmla="*/ 962025 h 4200525"/>
              <a:gd name="connsiteX7" fmla="*/ 2876550 w 4048125"/>
              <a:gd name="connsiteY7" fmla="*/ 1428750 h 4200525"/>
              <a:gd name="connsiteX8" fmla="*/ 3571875 w 4048125"/>
              <a:gd name="connsiteY8" fmla="*/ 2200275 h 4200525"/>
              <a:gd name="connsiteX9" fmla="*/ 4048125 w 4048125"/>
              <a:gd name="connsiteY9" fmla="*/ 2676525 h 4200525"/>
              <a:gd name="connsiteX10" fmla="*/ 3162300 w 4048125"/>
              <a:gd name="connsiteY10" fmla="*/ 4200525 h 4200525"/>
              <a:gd name="connsiteX11" fmla="*/ 2371725 w 4048125"/>
              <a:gd name="connsiteY11" fmla="*/ 3800475 h 4200525"/>
              <a:gd name="connsiteX12" fmla="*/ 3200400 w 4048125"/>
              <a:gd name="connsiteY12" fmla="*/ 2152650 h 4200525"/>
              <a:gd name="connsiteX13" fmla="*/ 2638425 w 4048125"/>
              <a:gd name="connsiteY13" fmla="*/ 1524000 h 4200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048125" h="4200525">
                <a:moveTo>
                  <a:pt x="2638425" y="1524000"/>
                </a:moveTo>
                <a:lnTo>
                  <a:pt x="1190625" y="1571625"/>
                </a:lnTo>
                <a:lnTo>
                  <a:pt x="476250" y="1228725"/>
                </a:lnTo>
                <a:lnTo>
                  <a:pt x="295275" y="790575"/>
                </a:lnTo>
                <a:lnTo>
                  <a:pt x="0" y="485775"/>
                </a:lnTo>
                <a:lnTo>
                  <a:pt x="190500" y="0"/>
                </a:lnTo>
                <a:lnTo>
                  <a:pt x="2838450" y="962025"/>
                </a:lnTo>
                <a:lnTo>
                  <a:pt x="2876550" y="1428750"/>
                </a:lnTo>
                <a:lnTo>
                  <a:pt x="3571875" y="2200275"/>
                </a:lnTo>
                <a:lnTo>
                  <a:pt x="4048125" y="2676525"/>
                </a:lnTo>
                <a:lnTo>
                  <a:pt x="3162300" y="4200525"/>
                </a:lnTo>
                <a:lnTo>
                  <a:pt x="2371725" y="3800475"/>
                </a:lnTo>
                <a:lnTo>
                  <a:pt x="3200400" y="2152650"/>
                </a:lnTo>
                <a:lnTo>
                  <a:pt x="2638425" y="15240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8" name="Freeform 67">
            <a:extLst>
              <a:ext uri="{FF2B5EF4-FFF2-40B4-BE49-F238E27FC236}">
                <a16:creationId xmlns:a16="http://schemas.microsoft.com/office/drawing/2014/main" id="{00000000-0008-0000-0000-000044000000}"/>
              </a:ext>
            </a:extLst>
          </xdr:cNvPr>
          <xdr:cNvSpPr/>
        </xdr:nvSpPr>
        <xdr:spPr>
          <a:xfrm>
            <a:off x="3693785" y="81890928"/>
            <a:ext cx="1559460" cy="2073501"/>
          </a:xfrm>
          <a:custGeom>
            <a:avLst/>
            <a:gdLst>
              <a:gd name="connsiteX0" fmla="*/ 0 w 1565672"/>
              <a:gd name="connsiteY0" fmla="*/ 1744266 h 2113360"/>
              <a:gd name="connsiteX1" fmla="*/ 881063 w 1565672"/>
              <a:gd name="connsiteY1" fmla="*/ 0 h 2113360"/>
              <a:gd name="connsiteX2" fmla="*/ 1565672 w 1565672"/>
              <a:gd name="connsiteY2" fmla="*/ 648891 h 2113360"/>
              <a:gd name="connsiteX3" fmla="*/ 702469 w 1565672"/>
              <a:gd name="connsiteY3" fmla="*/ 2113360 h 2113360"/>
              <a:gd name="connsiteX4" fmla="*/ 0 w 1565672"/>
              <a:gd name="connsiteY4" fmla="*/ 1744266 h 211336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65672" h="2113360">
                <a:moveTo>
                  <a:pt x="0" y="1744266"/>
                </a:moveTo>
                <a:lnTo>
                  <a:pt x="881063" y="0"/>
                </a:lnTo>
                <a:lnTo>
                  <a:pt x="1565672" y="648891"/>
                </a:lnTo>
                <a:lnTo>
                  <a:pt x="702469" y="2113360"/>
                </a:lnTo>
                <a:lnTo>
                  <a:pt x="0" y="1744266"/>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rot="18007311">
            <a:off x="3344672" y="82575213"/>
            <a:ext cx="926238" cy="28161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Phase II</a:t>
            </a:r>
          </a:p>
        </xdr:txBody>
      </xdr:sp>
      <xdr:sp macro="" textlink="">
        <xdr:nvSpPr>
          <xdr:cNvPr id="70" name="TextBox 69">
            <a:extLst>
              <a:ext uri="{FF2B5EF4-FFF2-40B4-BE49-F238E27FC236}">
                <a16:creationId xmlns:a16="http://schemas.microsoft.com/office/drawing/2014/main" id="{00000000-0008-0000-0000-000046000000}"/>
              </a:ext>
            </a:extLst>
          </xdr:cNvPr>
          <xdr:cNvSpPr txBox="1"/>
        </xdr:nvSpPr>
        <xdr:spPr>
          <a:xfrm rot="1082047">
            <a:off x="2418522" y="80324739"/>
            <a:ext cx="728869" cy="28161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Phase I</a:t>
            </a:r>
          </a:p>
        </xdr:txBody>
      </xdr:sp>
    </xdr:grpSp>
    <xdr:clientData/>
  </xdr:twoCellAnchor>
  <xdr:twoCellAnchor editAs="oneCell">
    <xdr:from>
      <xdr:col>8</xdr:col>
      <xdr:colOff>1127676</xdr:colOff>
      <xdr:row>152</xdr:row>
      <xdr:rowOff>177067</xdr:rowOff>
    </xdr:from>
    <xdr:to>
      <xdr:col>14</xdr:col>
      <xdr:colOff>288016</xdr:colOff>
      <xdr:row>168</xdr:row>
      <xdr:rowOff>102410</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6"/>
        <a:stretch>
          <a:fillRect/>
        </a:stretch>
      </xdr:blipFill>
      <xdr:spPr>
        <a:xfrm>
          <a:off x="7852326" y="33009742"/>
          <a:ext cx="4122865" cy="1925593"/>
        </a:xfrm>
        <a:prstGeom prst="rect">
          <a:avLst/>
        </a:prstGeom>
      </xdr:spPr>
    </xdr:pic>
    <xdr:clientData/>
  </xdr:twoCellAnchor>
  <xdr:twoCellAnchor editAs="oneCell">
    <xdr:from>
      <xdr:col>10</xdr:col>
      <xdr:colOff>368684</xdr:colOff>
      <xdr:row>10</xdr:row>
      <xdr:rowOff>8574</xdr:rowOff>
    </xdr:from>
    <xdr:to>
      <xdr:col>19</xdr:col>
      <xdr:colOff>88603</xdr:colOff>
      <xdr:row>16</xdr:row>
      <xdr:rowOff>168171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
        <a:stretch>
          <a:fillRect/>
        </a:stretch>
      </xdr:blipFill>
      <xdr:spPr>
        <a:xfrm>
          <a:off x="9007445" y="2385683"/>
          <a:ext cx="6022984" cy="2785184"/>
        </a:xfrm>
        <a:prstGeom prst="rect">
          <a:avLst/>
        </a:prstGeom>
      </xdr:spPr>
    </xdr:pic>
    <xdr:clientData/>
  </xdr:twoCellAnchor>
  <xdr:twoCellAnchor>
    <xdr:from>
      <xdr:col>8</xdr:col>
      <xdr:colOff>207479</xdr:colOff>
      <xdr:row>326</xdr:row>
      <xdr:rowOff>155301</xdr:rowOff>
    </xdr:from>
    <xdr:to>
      <xdr:col>15</xdr:col>
      <xdr:colOff>631965</xdr:colOff>
      <xdr:row>384</xdr:row>
      <xdr:rowOff>61662</xdr:rowOff>
    </xdr:to>
    <xdr:grpSp>
      <xdr:nvGrpSpPr>
        <xdr:cNvPr id="78" name="Group 77">
          <a:extLst>
            <a:ext uri="{FF2B5EF4-FFF2-40B4-BE49-F238E27FC236}">
              <a16:creationId xmlns:a16="http://schemas.microsoft.com/office/drawing/2014/main" id="{00000000-0008-0000-0000-00004E000000}"/>
            </a:ext>
          </a:extLst>
        </xdr:cNvPr>
        <xdr:cNvGrpSpPr/>
      </xdr:nvGrpSpPr>
      <xdr:grpSpPr>
        <a:xfrm>
          <a:off x="6924675" y="61951844"/>
          <a:ext cx="6031812" cy="7054253"/>
          <a:chOff x="719044" y="47268"/>
          <a:chExt cx="5197308" cy="5035481"/>
        </a:xfrm>
      </xdr:grpSpPr>
      <xdr:pic>
        <xdr:nvPicPr>
          <xdr:cNvPr id="79" name="Picture 78" descr="https://vsjcllp.vsjadon.com/upload/insp-225888-1525.jpg">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4298038" y="292274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https://vsjcllp.vsjadon.com/upload/insp-225888-843.jpg">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745396" y="47268"/>
            <a:ext cx="2514918" cy="27538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https://vsjcllp.vsjadon.com/upload/insp-225888-845.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719044" y="292274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2" name="Picture 81" descr="https://vsjcllp.vsjadon.com/upload/insp-225888-845.jpg">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3401434" y="54026"/>
            <a:ext cx="2514918" cy="27538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3" name="Picture 82" descr="https://vsjcllp.vsjadon.com/upload/insp-225888-931.jpg">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2508807" y="292274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12</xdr:col>
      <xdr:colOff>762000</xdr:colOff>
      <xdr:row>328</xdr:row>
      <xdr:rowOff>197199</xdr:rowOff>
    </xdr:from>
    <xdr:to>
      <xdr:col>14</xdr:col>
      <xdr:colOff>387820</xdr:colOff>
      <xdr:row>330</xdr:row>
      <xdr:rowOff>54568</xdr:rowOff>
    </xdr:to>
    <xdr:sp macro="" textlink="">
      <xdr:nvSpPr>
        <xdr:cNvPr id="36" name="Rectangle 35">
          <a:extLst>
            <a:ext uri="{FF2B5EF4-FFF2-40B4-BE49-F238E27FC236}">
              <a16:creationId xmlns:a16="http://schemas.microsoft.com/office/drawing/2014/main" id="{00000000-0008-0000-0000-000024000000}"/>
            </a:ext>
          </a:extLst>
        </xdr:cNvPr>
        <xdr:cNvSpPr/>
      </xdr:nvSpPr>
      <xdr:spPr>
        <a:xfrm>
          <a:off x="10808804" y="62383025"/>
          <a:ext cx="1249212" cy="254934"/>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1">
              <a:solidFill>
                <a:srgbClr val="FF0000"/>
              </a:solidFill>
            </a:rPr>
            <a:t>Tower 3 &amp; 4</a:t>
          </a:r>
        </a:p>
      </xdr:txBody>
    </xdr:sp>
    <xdr:clientData/>
  </xdr:twoCellAnchor>
  <xdr:twoCellAnchor>
    <xdr:from>
      <xdr:col>8</xdr:col>
      <xdr:colOff>1023145</xdr:colOff>
      <xdr:row>330</xdr:row>
      <xdr:rowOff>163581</xdr:rowOff>
    </xdr:from>
    <xdr:to>
      <xdr:col>10</xdr:col>
      <xdr:colOff>357612</xdr:colOff>
      <xdr:row>332</xdr:row>
      <xdr:rowOff>18025</xdr:rowOff>
    </xdr:to>
    <xdr:sp macro="" textlink="">
      <xdr:nvSpPr>
        <xdr:cNvPr id="37" name="Rectangle 36">
          <a:extLst>
            <a:ext uri="{FF2B5EF4-FFF2-40B4-BE49-F238E27FC236}">
              <a16:creationId xmlns:a16="http://schemas.microsoft.com/office/drawing/2014/main" id="{00000000-0008-0000-0000-000025000000}"/>
            </a:ext>
          </a:extLst>
        </xdr:cNvPr>
        <xdr:cNvSpPr/>
      </xdr:nvSpPr>
      <xdr:spPr>
        <a:xfrm>
          <a:off x="7740341" y="62746972"/>
          <a:ext cx="1256032" cy="25201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1">
              <a:solidFill>
                <a:srgbClr val="FF0000"/>
              </a:solidFill>
            </a:rPr>
            <a:t>Tower 2</a:t>
          </a:r>
        </a:p>
      </xdr:txBody>
    </xdr:sp>
    <xdr:clientData/>
  </xdr:twoCellAnchor>
  <xdr:twoCellAnchor>
    <xdr:from>
      <xdr:col>0</xdr:col>
      <xdr:colOff>670892</xdr:colOff>
      <xdr:row>326</xdr:row>
      <xdr:rowOff>41413</xdr:rowOff>
    </xdr:from>
    <xdr:to>
      <xdr:col>7</xdr:col>
      <xdr:colOff>377239</xdr:colOff>
      <xdr:row>390</xdr:row>
      <xdr:rowOff>50012</xdr:rowOff>
    </xdr:to>
    <xdr:grpSp>
      <xdr:nvGrpSpPr>
        <xdr:cNvPr id="38" name="Group 37">
          <a:extLst>
            <a:ext uri="{FF2B5EF4-FFF2-40B4-BE49-F238E27FC236}">
              <a16:creationId xmlns:a16="http://schemas.microsoft.com/office/drawing/2014/main" id="{1D72654F-F8D1-4E70-BC11-994692E8378B}"/>
            </a:ext>
          </a:extLst>
        </xdr:cNvPr>
        <xdr:cNvGrpSpPr/>
      </xdr:nvGrpSpPr>
      <xdr:grpSpPr>
        <a:xfrm>
          <a:off x="670892" y="61837956"/>
          <a:ext cx="5595282" cy="8349186"/>
          <a:chOff x="659224" y="304799"/>
          <a:chExt cx="5595282" cy="8349186"/>
        </a:xfrm>
      </xdr:grpSpPr>
      <xdr:grpSp>
        <xdr:nvGrpSpPr>
          <xdr:cNvPr id="39" name="Group 38">
            <a:extLst>
              <a:ext uri="{FF2B5EF4-FFF2-40B4-BE49-F238E27FC236}">
                <a16:creationId xmlns:a16="http://schemas.microsoft.com/office/drawing/2014/main" id="{42E061D6-09FB-4D0E-ACB3-D76E9BBB9E6A}"/>
              </a:ext>
            </a:extLst>
          </xdr:cNvPr>
          <xdr:cNvGrpSpPr/>
        </xdr:nvGrpSpPr>
        <xdr:grpSpPr>
          <a:xfrm>
            <a:off x="659224" y="304800"/>
            <a:ext cx="5595282" cy="8349185"/>
            <a:chOff x="659224" y="304800"/>
            <a:chExt cx="5595282" cy="8349185"/>
          </a:xfrm>
        </xdr:grpSpPr>
        <xdr:pic>
          <xdr:nvPicPr>
            <xdr:cNvPr id="44" name="Picture 43">
              <a:extLst>
                <a:ext uri="{FF2B5EF4-FFF2-40B4-BE49-F238E27FC236}">
                  <a16:creationId xmlns:a16="http://schemas.microsoft.com/office/drawing/2014/main" id="{AD0723AF-FD62-475D-B448-40FB43979091}"/>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rot="5400000">
              <a:off x="247622" y="754800"/>
              <a:ext cx="3600000" cy="2700000"/>
            </a:xfrm>
            <a:prstGeom prst="rect">
              <a:avLst/>
            </a:prstGeom>
            <a:ln>
              <a:solidFill>
                <a:schemeClr val="tx1"/>
              </a:solidFill>
            </a:ln>
          </xdr:spPr>
        </xdr:pic>
        <xdr:pic>
          <xdr:nvPicPr>
            <xdr:cNvPr id="45" name="Picture 44">
              <a:extLst>
                <a:ext uri="{FF2B5EF4-FFF2-40B4-BE49-F238E27FC236}">
                  <a16:creationId xmlns:a16="http://schemas.microsoft.com/office/drawing/2014/main" id="{8D1B4F9F-1EDD-4985-B321-8B4195E26EE2}"/>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rot="5400000">
              <a:off x="3104506" y="754800"/>
              <a:ext cx="3600000" cy="2700000"/>
            </a:xfrm>
            <a:prstGeom prst="rect">
              <a:avLst/>
            </a:prstGeom>
            <a:ln>
              <a:solidFill>
                <a:schemeClr val="tx1"/>
              </a:solidFill>
            </a:ln>
          </xdr:spPr>
        </xdr:pic>
        <xdr:pic>
          <xdr:nvPicPr>
            <xdr:cNvPr id="46" name="Picture 45">
              <a:extLst>
                <a:ext uri="{FF2B5EF4-FFF2-40B4-BE49-F238E27FC236}">
                  <a16:creationId xmlns:a16="http://schemas.microsoft.com/office/drawing/2014/main" id="{FA508B49-FE1D-4A50-9CAF-3D2DE364625C}"/>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rot="5400000">
              <a:off x="359224" y="4423629"/>
              <a:ext cx="2400000" cy="1800000"/>
            </a:xfrm>
            <a:prstGeom prst="rect">
              <a:avLst/>
            </a:prstGeom>
            <a:ln>
              <a:solidFill>
                <a:schemeClr val="tx1"/>
              </a:solidFill>
            </a:ln>
          </xdr:spPr>
        </xdr:pic>
        <xdr:pic>
          <xdr:nvPicPr>
            <xdr:cNvPr id="47" name="Picture 46">
              <a:extLst>
                <a:ext uri="{FF2B5EF4-FFF2-40B4-BE49-F238E27FC236}">
                  <a16:creationId xmlns:a16="http://schemas.microsoft.com/office/drawing/2014/main" id="{C4D73B76-B07D-46A2-BC29-04097234D62A}"/>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rot="5400000">
              <a:off x="3292904" y="6973985"/>
              <a:ext cx="1920000" cy="1440000"/>
            </a:xfrm>
            <a:prstGeom prst="rect">
              <a:avLst/>
            </a:prstGeom>
            <a:ln>
              <a:solidFill>
                <a:schemeClr val="tx1"/>
              </a:solidFill>
            </a:ln>
          </xdr:spPr>
        </xdr:pic>
        <xdr:pic>
          <xdr:nvPicPr>
            <xdr:cNvPr id="48" name="Picture 47">
              <a:extLst>
                <a:ext uri="{FF2B5EF4-FFF2-40B4-BE49-F238E27FC236}">
                  <a16:creationId xmlns:a16="http://schemas.microsoft.com/office/drawing/2014/main" id="{2C268F2C-AF7E-4F9D-B8EA-B5CCC446461F}"/>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611801" y="4115155"/>
              <a:ext cx="3586975" cy="2408473"/>
            </a:xfrm>
            <a:prstGeom prst="rect">
              <a:avLst/>
            </a:prstGeom>
            <a:ln>
              <a:solidFill>
                <a:schemeClr val="tx1"/>
              </a:solidFill>
            </a:ln>
          </xdr:spPr>
        </xdr:pic>
        <xdr:pic>
          <xdr:nvPicPr>
            <xdr:cNvPr id="49" name="Picture 48">
              <a:extLst>
                <a:ext uri="{FF2B5EF4-FFF2-40B4-BE49-F238E27FC236}">
                  <a16:creationId xmlns:a16="http://schemas.microsoft.com/office/drawing/2014/main" id="{01C1EE94-2109-4936-901D-EB90D53F4BB9}"/>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rot="16200000">
              <a:off x="1717622" y="6973985"/>
              <a:ext cx="1920000" cy="1440000"/>
            </a:xfrm>
            <a:prstGeom prst="rect">
              <a:avLst/>
            </a:prstGeom>
            <a:ln>
              <a:solidFill>
                <a:schemeClr val="tx1"/>
              </a:solidFill>
            </a:ln>
          </xdr:spPr>
        </xdr:pic>
      </xdr:grpSp>
      <xdr:sp macro="" textlink="">
        <xdr:nvSpPr>
          <xdr:cNvPr id="40" name="TextBox 15">
            <a:extLst>
              <a:ext uri="{FF2B5EF4-FFF2-40B4-BE49-F238E27FC236}">
                <a16:creationId xmlns:a16="http://schemas.microsoft.com/office/drawing/2014/main" id="{ACFBF2B2-E152-438F-94FF-25341F956AFB}"/>
              </a:ext>
            </a:extLst>
          </xdr:cNvPr>
          <xdr:cNvSpPr txBox="1"/>
        </xdr:nvSpPr>
        <xdr:spPr>
          <a:xfrm>
            <a:off x="1957622" y="1920133"/>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1</a:t>
            </a:r>
            <a:endParaRPr lang="en-IN" b="1">
              <a:solidFill>
                <a:srgbClr val="FF0000"/>
              </a:solidFill>
            </a:endParaRPr>
          </a:p>
        </xdr:txBody>
      </xdr:sp>
      <xdr:sp macro="" textlink="">
        <xdr:nvSpPr>
          <xdr:cNvPr id="41" name="TextBox 16">
            <a:extLst>
              <a:ext uri="{FF2B5EF4-FFF2-40B4-BE49-F238E27FC236}">
                <a16:creationId xmlns:a16="http://schemas.microsoft.com/office/drawing/2014/main" id="{C52FB123-589A-41DD-BC81-A47188B0A2D2}"/>
              </a:ext>
            </a:extLst>
          </xdr:cNvPr>
          <xdr:cNvSpPr txBox="1"/>
        </xdr:nvSpPr>
        <xdr:spPr>
          <a:xfrm>
            <a:off x="3547166" y="1550801"/>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2</a:t>
            </a:r>
            <a:endParaRPr lang="en-IN" b="1">
              <a:solidFill>
                <a:srgbClr val="FF0000"/>
              </a:solidFill>
            </a:endParaRPr>
          </a:p>
        </xdr:txBody>
      </xdr:sp>
      <xdr:sp macro="" textlink="">
        <xdr:nvSpPr>
          <xdr:cNvPr id="42" name="TextBox 17">
            <a:extLst>
              <a:ext uri="{FF2B5EF4-FFF2-40B4-BE49-F238E27FC236}">
                <a16:creationId xmlns:a16="http://schemas.microsoft.com/office/drawing/2014/main" id="{0A381E08-4AFE-40FE-BB54-F90466DFB9A4}"/>
              </a:ext>
            </a:extLst>
          </xdr:cNvPr>
          <xdr:cNvSpPr txBox="1"/>
        </xdr:nvSpPr>
        <xdr:spPr>
          <a:xfrm>
            <a:off x="4904506" y="3200856"/>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1</a:t>
            </a:r>
            <a:endParaRPr lang="en-IN" b="1">
              <a:solidFill>
                <a:srgbClr val="FF0000"/>
              </a:solidFill>
            </a:endParaRPr>
          </a:p>
        </xdr:txBody>
      </xdr:sp>
      <xdr:sp macro="" textlink="">
        <xdr:nvSpPr>
          <xdr:cNvPr id="43" name="TextBox 18">
            <a:extLst>
              <a:ext uri="{FF2B5EF4-FFF2-40B4-BE49-F238E27FC236}">
                <a16:creationId xmlns:a16="http://schemas.microsoft.com/office/drawing/2014/main" id="{B4147739-A6B9-4F0C-ADAE-854D6ED63D4F}"/>
              </a:ext>
            </a:extLst>
          </xdr:cNvPr>
          <xdr:cNvSpPr txBox="1"/>
        </xdr:nvSpPr>
        <xdr:spPr>
          <a:xfrm>
            <a:off x="4920508" y="304799"/>
            <a:ext cx="132305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3 &amp; 4</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459441</xdr:colOff>
      <xdr:row>34</xdr:row>
      <xdr:rowOff>45742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2678206"/>
          <a:ext cx="6858000" cy="3855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cl.com/project/aaradhya-parkwood/" TargetMode="External"/><Relationship Id="rId1" Type="http://schemas.openxmlformats.org/officeDocument/2006/relationships/hyperlink" Target="https://goo.gl/maps/19yeRLJtgUKrMXwKA"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36"/>
  <sheetViews>
    <sheetView tabSelected="1" view="pageBreakPreview" topLeftCell="A103" zoomScale="115" zoomScaleNormal="100" zoomScaleSheetLayoutView="115" workbookViewId="0">
      <selection activeCell="I11" sqref="I11"/>
    </sheetView>
  </sheetViews>
  <sheetFormatPr defaultColWidth="9.140625" defaultRowHeight="15.75" x14ac:dyDescent="0.25"/>
  <cols>
    <col min="1" max="1" width="11.42578125" style="41" customWidth="1"/>
    <col min="2" max="2" width="12" style="41" customWidth="1"/>
    <col min="3" max="3" width="12.7109375" style="41" customWidth="1"/>
    <col min="4" max="4" width="14.140625" style="41" customWidth="1"/>
    <col min="5" max="5" width="14.7109375" style="41" customWidth="1"/>
    <col min="6" max="7" width="11.7109375" style="41" customWidth="1"/>
    <col min="8" max="8" width="12.42578125" style="41" customWidth="1"/>
    <col min="9" max="9" width="17.42578125" style="21" customWidth="1"/>
    <col min="10" max="10" width="11.42578125" style="21" customWidth="1"/>
    <col min="11" max="11" width="10.5703125" style="21" bestFit="1" customWidth="1"/>
    <col min="12" max="12" width="10.5703125" style="21" customWidth="1"/>
    <col min="13" max="13" width="11.85546875" style="21" customWidth="1"/>
    <col min="14" max="14" width="12.5703125" style="21" customWidth="1"/>
    <col min="15" max="15" width="9.85546875" style="21" customWidth="1"/>
    <col min="16" max="16" width="11.7109375" style="21" customWidth="1"/>
    <col min="17"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8" ht="46.5" customHeight="1" x14ac:dyDescent="0.25">
      <c r="A1" s="200" t="s">
        <v>209</v>
      </c>
      <c r="B1" s="200"/>
      <c r="C1" s="200"/>
      <c r="D1" s="200"/>
      <c r="E1" s="200"/>
      <c r="F1" s="200"/>
      <c r="G1" s="200"/>
      <c r="H1" s="200"/>
    </row>
    <row r="2" spans="1:8" ht="16.5" customHeight="1" x14ac:dyDescent="0.25">
      <c r="A2" s="128" t="s">
        <v>0</v>
      </c>
      <c r="B2" s="128"/>
      <c r="C2" s="128"/>
      <c r="D2" s="128"/>
      <c r="E2" s="128"/>
      <c r="F2" s="128"/>
      <c r="G2" s="128"/>
      <c r="H2" s="128"/>
    </row>
    <row r="3" spans="1:8" x14ac:dyDescent="0.25">
      <c r="A3" s="160" t="s">
        <v>1</v>
      </c>
      <c r="B3" s="160"/>
      <c r="C3" s="160"/>
      <c r="D3" s="160"/>
      <c r="E3" s="160" t="str">
        <f ca="1">TEXT(TODAY(),"DD/MM/YYYY")</f>
        <v>10/07/2025</v>
      </c>
      <c r="F3" s="160"/>
      <c r="G3" s="160"/>
      <c r="H3" s="160"/>
    </row>
    <row r="4" spans="1:8" ht="15" customHeight="1" x14ac:dyDescent="0.25">
      <c r="A4" s="160" t="s">
        <v>2</v>
      </c>
      <c r="B4" s="160"/>
      <c r="C4" s="160"/>
      <c r="D4" s="160"/>
      <c r="E4" s="160" t="s">
        <v>175</v>
      </c>
      <c r="F4" s="160"/>
      <c r="G4" s="160"/>
      <c r="H4" s="160"/>
    </row>
    <row r="5" spans="1:8" x14ac:dyDescent="0.25">
      <c r="A5" s="160" t="s">
        <v>3</v>
      </c>
      <c r="B5" s="160"/>
      <c r="C5" s="160"/>
      <c r="D5" s="160"/>
      <c r="E5" s="185">
        <v>45846</v>
      </c>
      <c r="F5" s="160"/>
      <c r="G5" s="160"/>
      <c r="H5" s="160"/>
    </row>
    <row r="6" spans="1:8" ht="16.5" customHeight="1" x14ac:dyDescent="0.25">
      <c r="A6" s="160" t="s">
        <v>4</v>
      </c>
      <c r="B6" s="160"/>
      <c r="C6" s="160"/>
      <c r="D6" s="160"/>
      <c r="E6" s="160" t="s">
        <v>176</v>
      </c>
      <c r="F6" s="160"/>
      <c r="G6" s="160"/>
      <c r="H6" s="160"/>
    </row>
    <row r="7" spans="1:8" ht="15" customHeight="1" x14ac:dyDescent="0.25">
      <c r="A7" s="160" t="s">
        <v>5</v>
      </c>
      <c r="B7" s="160"/>
      <c r="C7" s="160"/>
      <c r="D7" s="160"/>
      <c r="E7" s="160" t="str">
        <f>E6</f>
        <v>Man Vastucon LLP</v>
      </c>
      <c r="F7" s="160"/>
      <c r="G7" s="160"/>
      <c r="H7" s="160"/>
    </row>
    <row r="8" spans="1:8" x14ac:dyDescent="0.25">
      <c r="A8" s="160" t="s">
        <v>6</v>
      </c>
      <c r="B8" s="160"/>
      <c r="C8" s="160"/>
      <c r="D8" s="160"/>
      <c r="E8" s="104" t="s">
        <v>220</v>
      </c>
      <c r="F8" s="104"/>
      <c r="G8" s="104"/>
      <c r="H8" s="104"/>
    </row>
    <row r="9" spans="1:8" x14ac:dyDescent="0.25">
      <c r="A9" s="160" t="s">
        <v>172</v>
      </c>
      <c r="B9" s="160"/>
      <c r="C9" s="160"/>
      <c r="D9" s="160"/>
      <c r="E9" s="160" t="s">
        <v>256</v>
      </c>
      <c r="F9" s="160"/>
      <c r="G9" s="160"/>
      <c r="H9" s="160"/>
    </row>
    <row r="10" spans="1:8" x14ac:dyDescent="0.25">
      <c r="A10" s="160" t="s">
        <v>173</v>
      </c>
      <c r="B10" s="160"/>
      <c r="C10" s="160"/>
      <c r="D10" s="160"/>
      <c r="E10" s="160" t="s">
        <v>212</v>
      </c>
      <c r="F10" s="160"/>
      <c r="G10" s="160"/>
      <c r="H10" s="160"/>
    </row>
    <row r="11" spans="1:8" ht="66" customHeight="1" x14ac:dyDescent="0.25">
      <c r="A11" s="160" t="s">
        <v>7</v>
      </c>
      <c r="B11" s="160"/>
      <c r="C11" s="160"/>
      <c r="D11" s="160"/>
      <c r="E11" s="79" t="s">
        <v>250</v>
      </c>
      <c r="F11" s="197" t="s">
        <v>249</v>
      </c>
      <c r="G11" s="198"/>
      <c r="H11" s="199"/>
    </row>
    <row r="12" spans="1:8" ht="16.5" customHeight="1" x14ac:dyDescent="0.25">
      <c r="A12" s="160" t="s">
        <v>8</v>
      </c>
      <c r="B12" s="160"/>
      <c r="C12" s="160"/>
      <c r="D12" s="160"/>
      <c r="E12" s="180" t="s">
        <v>177</v>
      </c>
      <c r="F12" s="180"/>
      <c r="G12" s="180"/>
      <c r="H12" s="180"/>
    </row>
    <row r="13" spans="1:8" ht="31.5" customHeight="1" x14ac:dyDescent="0.25">
      <c r="A13" s="186" t="s">
        <v>244</v>
      </c>
      <c r="B13" s="187"/>
      <c r="C13" s="187"/>
      <c r="D13" s="188"/>
      <c r="E13" s="192" t="s">
        <v>247</v>
      </c>
      <c r="F13" s="193"/>
      <c r="G13" s="192" t="s">
        <v>246</v>
      </c>
      <c r="H13" s="194"/>
    </row>
    <row r="14" spans="1:8" ht="31.5" customHeight="1" x14ac:dyDescent="0.25">
      <c r="A14" s="189"/>
      <c r="B14" s="190"/>
      <c r="C14" s="190"/>
      <c r="D14" s="191"/>
      <c r="E14" s="192" t="s">
        <v>248</v>
      </c>
      <c r="F14" s="193"/>
      <c r="G14" s="195" t="s">
        <v>245</v>
      </c>
      <c r="H14" s="196"/>
    </row>
    <row r="15" spans="1:8" ht="46.5" customHeight="1" x14ac:dyDescent="0.25">
      <c r="A15" s="180" t="s">
        <v>9</v>
      </c>
      <c r="B15" s="180"/>
      <c r="C15" s="180" t="str">
        <f>CONCATENATE((IF(OR(E8="",E8="NA"),"",E8)),", ",(IF(OR(A16="",A16="NA"),"",A16)),".",(IF(OR(C16="",C16="NA"),"",C16)),", near ",(IF(OR(C21="",C21="NA"),"",C21)),", ",(IF(OR(C18="",C18="NA"),"",C18)),", ",(IF(OR(C17="",C17="NA"),"",C17)),", ",(IF(OR(G18="",G18="NA"),"",G18)),", ",(IF(OR(C19="",C19="NA"),"",C19)),", ",(IF(OR(C20="",C20="NA"),"",C20)),", ",(IF(OR(G19="",G19="NA"),"",G19))," - ",(IF(OR(G20="",G20="NA"),"",G20)),".")</f>
        <v>Aaradhya Parkwood 1 &amp; 2, Survey No.92, 260(Pt) &amp; 85(Pt), near Thakur Mall, Western Express Highway, Mahajanwadi, Mahajanwadi, Dahisar East, Thane, Thane - 401107.</v>
      </c>
      <c r="D15" s="180"/>
      <c r="E15" s="180"/>
      <c r="F15" s="180"/>
      <c r="G15" s="180"/>
      <c r="H15" s="180"/>
    </row>
    <row r="16" spans="1:8" x14ac:dyDescent="0.25">
      <c r="A16" s="180" t="s">
        <v>178</v>
      </c>
      <c r="B16" s="180"/>
      <c r="C16" s="180" t="s">
        <v>179</v>
      </c>
      <c r="D16" s="180"/>
      <c r="E16" s="180"/>
      <c r="F16" s="180"/>
      <c r="G16" s="180"/>
      <c r="H16" s="180"/>
    </row>
    <row r="17" spans="1:8" ht="15.75" customHeight="1" x14ac:dyDescent="0.25">
      <c r="A17" s="180" t="s">
        <v>171</v>
      </c>
      <c r="B17" s="180"/>
      <c r="C17" s="180" t="s">
        <v>180</v>
      </c>
      <c r="D17" s="180"/>
      <c r="E17" s="180"/>
      <c r="F17" s="180"/>
      <c r="G17" s="180"/>
      <c r="H17" s="180"/>
    </row>
    <row r="18" spans="1:8" ht="15.75" customHeight="1" x14ac:dyDescent="0.25">
      <c r="A18" s="183" t="s">
        <v>10</v>
      </c>
      <c r="B18" s="183"/>
      <c r="C18" s="160" t="s">
        <v>181</v>
      </c>
      <c r="D18" s="160"/>
      <c r="E18" s="183" t="s">
        <v>73</v>
      </c>
      <c r="F18" s="183"/>
      <c r="G18" s="180" t="s">
        <v>180</v>
      </c>
      <c r="H18" s="180"/>
    </row>
    <row r="19" spans="1:8" x14ac:dyDescent="0.25">
      <c r="A19" s="141" t="s">
        <v>12</v>
      </c>
      <c r="B19" s="141"/>
      <c r="C19" s="180" t="s">
        <v>183</v>
      </c>
      <c r="D19" s="180"/>
      <c r="E19" s="183" t="s">
        <v>11</v>
      </c>
      <c r="F19" s="183"/>
      <c r="G19" s="184" t="s">
        <v>182</v>
      </c>
      <c r="H19" s="184"/>
    </row>
    <row r="20" spans="1:8" x14ac:dyDescent="0.25">
      <c r="A20" s="141" t="s">
        <v>74</v>
      </c>
      <c r="B20" s="141"/>
      <c r="C20" s="184" t="s">
        <v>182</v>
      </c>
      <c r="D20" s="184"/>
      <c r="E20" s="183" t="s">
        <v>13</v>
      </c>
      <c r="F20" s="183"/>
      <c r="G20" s="180">
        <v>401107</v>
      </c>
      <c r="H20" s="180"/>
    </row>
    <row r="21" spans="1:8" ht="32.25" customHeight="1" x14ac:dyDescent="0.25">
      <c r="A21" s="141" t="s">
        <v>125</v>
      </c>
      <c r="B21" s="141"/>
      <c r="C21" s="180" t="s">
        <v>184</v>
      </c>
      <c r="D21" s="180"/>
      <c r="E21" s="183" t="s">
        <v>14</v>
      </c>
      <c r="F21" s="183"/>
      <c r="G21" s="180" t="s">
        <v>185</v>
      </c>
      <c r="H21" s="180"/>
    </row>
    <row r="22" spans="1:8" ht="15" customHeight="1" x14ac:dyDescent="0.25">
      <c r="A22" s="183" t="s">
        <v>77</v>
      </c>
      <c r="B22" s="183"/>
      <c r="C22" s="183"/>
      <c r="D22" s="183"/>
      <c r="E22" s="160" t="s">
        <v>15</v>
      </c>
      <c r="F22" s="160"/>
      <c r="G22" s="160"/>
      <c r="H22" s="160"/>
    </row>
    <row r="23" spans="1:8" ht="18.75" customHeight="1" x14ac:dyDescent="0.25">
      <c r="A23" s="183"/>
      <c r="B23" s="183"/>
      <c r="C23" s="183"/>
      <c r="D23" s="183"/>
      <c r="E23" s="160"/>
      <c r="F23" s="160"/>
      <c r="G23" s="160"/>
      <c r="H23" s="160"/>
    </row>
    <row r="24" spans="1:8" ht="15" customHeight="1" x14ac:dyDescent="0.25">
      <c r="A24" s="183" t="s">
        <v>16</v>
      </c>
      <c r="B24" s="183"/>
      <c r="C24" s="183"/>
      <c r="D24" s="183"/>
      <c r="E24" s="180" t="s">
        <v>17</v>
      </c>
      <c r="F24" s="180"/>
      <c r="G24" s="180"/>
      <c r="H24" s="180"/>
    </row>
    <row r="25" spans="1:8" ht="15" customHeight="1" x14ac:dyDescent="0.25">
      <c r="A25" s="141" t="s">
        <v>18</v>
      </c>
      <c r="B25" s="141"/>
      <c r="C25" s="141"/>
      <c r="D25" s="141"/>
      <c r="E25" s="180" t="str">
        <f>IF(AND(G19="Mumbai"),"Upper Class","Middle Class")</f>
        <v>Middle Class</v>
      </c>
      <c r="F25" s="180"/>
      <c r="G25" s="180"/>
      <c r="H25" s="180"/>
    </row>
    <row r="26" spans="1:8" x14ac:dyDescent="0.25">
      <c r="A26" s="141" t="s">
        <v>19</v>
      </c>
      <c r="B26" s="141"/>
      <c r="C26" s="141"/>
      <c r="D26" s="141"/>
      <c r="E26" s="180" t="s">
        <v>20</v>
      </c>
      <c r="F26" s="180"/>
      <c r="G26" s="180"/>
      <c r="H26" s="180"/>
    </row>
    <row r="27" spans="1:8" ht="15.75" customHeight="1" x14ac:dyDescent="0.25">
      <c r="A27" s="141" t="s">
        <v>21</v>
      </c>
      <c r="B27" s="141"/>
      <c r="C27" s="141"/>
      <c r="D27" s="141"/>
      <c r="E27" s="180" t="str">
        <f>IF(AND(G19="Mumbai"),"Developed","Developing")</f>
        <v>Developing</v>
      </c>
      <c r="F27" s="180"/>
      <c r="G27" s="180"/>
      <c r="H27" s="180"/>
    </row>
    <row r="28" spans="1:8" x14ac:dyDescent="0.25">
      <c r="A28" s="141" t="s">
        <v>22</v>
      </c>
      <c r="B28" s="141"/>
      <c r="C28" s="141"/>
      <c r="D28" s="141"/>
      <c r="E28" s="180" t="s">
        <v>23</v>
      </c>
      <c r="F28" s="180"/>
      <c r="G28" s="180"/>
      <c r="H28" s="180"/>
    </row>
    <row r="29" spans="1:8" ht="15.75" customHeight="1" x14ac:dyDescent="0.25">
      <c r="A29" s="141" t="s">
        <v>82</v>
      </c>
      <c r="B29" s="141"/>
      <c r="C29" s="141"/>
      <c r="D29" s="141"/>
      <c r="E29" s="180" t="s">
        <v>83</v>
      </c>
      <c r="F29" s="180"/>
      <c r="G29" s="180"/>
      <c r="H29" s="180"/>
    </row>
    <row r="30" spans="1:8" ht="15" customHeight="1" x14ac:dyDescent="0.25">
      <c r="A30" s="141" t="s">
        <v>31</v>
      </c>
      <c r="B30" s="141"/>
      <c r="C30" s="141"/>
      <c r="D30" s="141"/>
      <c r="E30" s="180"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v>
      </c>
      <c r="F30" s="180"/>
      <c r="G30" s="180"/>
      <c r="H30" s="180"/>
    </row>
    <row r="31" spans="1:8" ht="15.75" customHeight="1" x14ac:dyDescent="0.25">
      <c r="A31" s="141" t="s">
        <v>93</v>
      </c>
      <c r="B31" s="141"/>
      <c r="C31" s="141"/>
      <c r="D31" s="141"/>
      <c r="E31" s="180" t="s">
        <v>32</v>
      </c>
      <c r="F31" s="180"/>
      <c r="G31" s="180"/>
      <c r="H31" s="180"/>
    </row>
    <row r="32" spans="1:8" s="22" customFormat="1" x14ac:dyDescent="0.25">
      <c r="A32" s="182" t="s">
        <v>94</v>
      </c>
      <c r="B32" s="182"/>
      <c r="C32" s="181" t="s">
        <v>251</v>
      </c>
      <c r="D32" s="181"/>
      <c r="E32" s="181"/>
      <c r="F32" s="181" t="s">
        <v>29</v>
      </c>
      <c r="G32" s="181"/>
      <c r="H32" s="181"/>
    </row>
    <row r="33" spans="1:8" s="22" customFormat="1" x14ac:dyDescent="0.25">
      <c r="A33" s="173" t="s">
        <v>24</v>
      </c>
      <c r="B33" s="173" t="s">
        <v>28</v>
      </c>
      <c r="C33" s="174" t="s">
        <v>222</v>
      </c>
      <c r="D33" s="174"/>
      <c r="E33" s="174"/>
      <c r="F33" s="174" t="s">
        <v>187</v>
      </c>
      <c r="G33" s="174"/>
      <c r="H33" s="174"/>
    </row>
    <row r="34" spans="1:8" x14ac:dyDescent="0.25">
      <c r="A34" s="173" t="s">
        <v>25</v>
      </c>
      <c r="B34" s="173" t="s">
        <v>28</v>
      </c>
      <c r="C34" s="174" t="s">
        <v>222</v>
      </c>
      <c r="D34" s="174"/>
      <c r="E34" s="174"/>
      <c r="F34" s="174" t="s">
        <v>184</v>
      </c>
      <c r="G34" s="174"/>
      <c r="H34" s="174"/>
    </row>
    <row r="35" spans="1:8" s="22" customFormat="1" x14ac:dyDescent="0.25">
      <c r="A35" s="173" t="s">
        <v>27</v>
      </c>
      <c r="B35" s="173" t="s">
        <v>28</v>
      </c>
      <c r="C35" s="174" t="s">
        <v>221</v>
      </c>
      <c r="D35" s="174"/>
      <c r="E35" s="174"/>
      <c r="F35" s="174" t="s">
        <v>188</v>
      </c>
      <c r="G35" s="174"/>
      <c r="H35" s="174"/>
    </row>
    <row r="36" spans="1:8" x14ac:dyDescent="0.25">
      <c r="A36" s="173" t="s">
        <v>26</v>
      </c>
      <c r="B36" s="173" t="s">
        <v>28</v>
      </c>
      <c r="C36" s="174" t="s">
        <v>222</v>
      </c>
      <c r="D36" s="174"/>
      <c r="E36" s="174"/>
      <c r="F36" s="174" t="s">
        <v>189</v>
      </c>
      <c r="G36" s="174"/>
      <c r="H36" s="174"/>
    </row>
    <row r="37" spans="1:8" x14ac:dyDescent="0.25">
      <c r="A37" s="141" t="s">
        <v>30</v>
      </c>
      <c r="B37" s="141"/>
      <c r="C37" s="141"/>
      <c r="D37" s="141"/>
      <c r="E37" s="141"/>
      <c r="F37" s="141"/>
      <c r="G37" s="141"/>
      <c r="H37" s="141"/>
    </row>
    <row r="38" spans="1:8" ht="15.75" customHeight="1" x14ac:dyDescent="0.25">
      <c r="A38" s="161" t="s">
        <v>252</v>
      </c>
      <c r="B38" s="161"/>
      <c r="C38" s="175" t="s">
        <v>253</v>
      </c>
      <c r="D38" s="176"/>
      <c r="E38" s="176"/>
      <c r="F38" s="176"/>
      <c r="G38" s="176"/>
      <c r="H38" s="177"/>
    </row>
    <row r="39" spans="1:8" x14ac:dyDescent="0.25">
      <c r="A39" s="161" t="s">
        <v>170</v>
      </c>
      <c r="B39" s="161"/>
      <c r="C39" s="179" t="s">
        <v>190</v>
      </c>
      <c r="D39" s="180"/>
      <c r="E39" s="180"/>
      <c r="F39" s="180"/>
      <c r="G39" s="180"/>
      <c r="H39" s="180"/>
    </row>
    <row r="40" spans="1:8" x14ac:dyDescent="0.25">
      <c r="A40" s="161" t="s">
        <v>33</v>
      </c>
      <c r="B40" s="161"/>
      <c r="C40" s="161"/>
      <c r="D40" s="161"/>
      <c r="E40" s="161"/>
      <c r="F40" s="161"/>
      <c r="G40" s="161"/>
      <c r="H40" s="161"/>
    </row>
    <row r="41" spans="1:8" x14ac:dyDescent="0.25">
      <c r="A41" s="141" t="s">
        <v>34</v>
      </c>
      <c r="B41" s="141"/>
      <c r="C41" s="141"/>
      <c r="D41" s="141"/>
      <c r="E41" s="178">
        <v>52526.97</v>
      </c>
      <c r="F41" s="178"/>
      <c r="G41" s="178"/>
      <c r="H41" s="178"/>
    </row>
    <row r="42" spans="1:8" x14ac:dyDescent="0.25">
      <c r="A42" s="141" t="s">
        <v>35</v>
      </c>
      <c r="B42" s="141"/>
      <c r="C42" s="141"/>
      <c r="D42" s="141"/>
      <c r="E42" s="158">
        <f>57779.67/E41</f>
        <v>1.1000000571135171</v>
      </c>
      <c r="F42" s="158"/>
      <c r="G42" s="158"/>
      <c r="H42" s="158"/>
    </row>
    <row r="43" spans="1:8" x14ac:dyDescent="0.25">
      <c r="A43" s="141" t="s">
        <v>36</v>
      </c>
      <c r="B43" s="141"/>
      <c r="C43" s="141"/>
      <c r="D43" s="141"/>
      <c r="E43" s="158">
        <f>E45/E41-E42</f>
        <v>2.2847817035705655</v>
      </c>
      <c r="F43" s="158"/>
      <c r="G43" s="158"/>
      <c r="H43" s="158"/>
    </row>
    <row r="44" spans="1:8" x14ac:dyDescent="0.25">
      <c r="A44" s="141" t="s">
        <v>37</v>
      </c>
      <c r="B44" s="141"/>
      <c r="C44" s="141"/>
      <c r="D44" s="141"/>
      <c r="E44" s="158">
        <f>E42+E43</f>
        <v>3.3847817606840827</v>
      </c>
      <c r="F44" s="158"/>
      <c r="G44" s="158"/>
      <c r="H44" s="158"/>
    </row>
    <row r="45" spans="1:8" x14ac:dyDescent="0.25">
      <c r="A45" s="141" t="s">
        <v>92</v>
      </c>
      <c r="B45" s="141"/>
      <c r="C45" s="141"/>
      <c r="D45" s="141"/>
      <c r="E45" s="159">
        <v>177792.33</v>
      </c>
      <c r="F45" s="159"/>
      <c r="G45" s="159"/>
      <c r="H45" s="159"/>
    </row>
    <row r="46" spans="1:8" x14ac:dyDescent="0.25">
      <c r="A46" s="160" t="s">
        <v>38</v>
      </c>
      <c r="B46" s="160"/>
      <c r="C46" s="160"/>
      <c r="D46" s="160"/>
      <c r="E46" s="160" t="s">
        <v>261</v>
      </c>
      <c r="F46" s="160"/>
      <c r="G46" s="160"/>
      <c r="H46" s="160"/>
    </row>
    <row r="47" spans="1:8" x14ac:dyDescent="0.25">
      <c r="A47" s="161" t="s">
        <v>39</v>
      </c>
      <c r="B47" s="161"/>
      <c r="C47" s="161"/>
      <c r="D47" s="161"/>
      <c r="E47" s="161"/>
      <c r="F47" s="161"/>
      <c r="G47" s="161"/>
      <c r="H47" s="161"/>
    </row>
    <row r="48" spans="1:8" ht="33.75" customHeight="1" x14ac:dyDescent="0.25">
      <c r="A48" s="129" t="s">
        <v>157</v>
      </c>
      <c r="B48" s="130"/>
      <c r="C48" s="131" t="s">
        <v>186</v>
      </c>
      <c r="D48" s="132"/>
      <c r="E48" s="132"/>
      <c r="F48" s="132"/>
      <c r="G48" s="132"/>
      <c r="H48" s="133"/>
    </row>
    <row r="49" spans="1:14" ht="15.75" customHeight="1" x14ac:dyDescent="0.25">
      <c r="A49" s="129" t="s">
        <v>40</v>
      </c>
      <c r="B49" s="130"/>
      <c r="C49" s="129" t="s">
        <v>191</v>
      </c>
      <c r="D49" s="211"/>
      <c r="E49" s="130"/>
      <c r="F49" s="18" t="s">
        <v>41</v>
      </c>
      <c r="G49" s="167">
        <v>44699</v>
      </c>
      <c r="H49" s="130"/>
    </row>
    <row r="50" spans="1:14" x14ac:dyDescent="0.25">
      <c r="A50" s="129" t="s">
        <v>42</v>
      </c>
      <c r="B50" s="130"/>
      <c r="C50" s="129" t="str">
        <f>C49</f>
        <v>MBMNP/NR/509/2022-23</v>
      </c>
      <c r="D50" s="211"/>
      <c r="E50" s="130"/>
      <c r="F50" s="18" t="s">
        <v>41</v>
      </c>
      <c r="G50" s="167">
        <f>G49</f>
        <v>44699</v>
      </c>
      <c r="H50" s="168"/>
    </row>
    <row r="51" spans="1:14" s="23" customFormat="1" ht="15.75" customHeight="1" x14ac:dyDescent="0.25">
      <c r="A51" s="169" t="s">
        <v>161</v>
      </c>
      <c r="B51" s="170"/>
      <c r="C51" s="129" t="str">
        <f>C50</f>
        <v>MBMNP/NR/509/2022-23</v>
      </c>
      <c r="D51" s="211"/>
      <c r="E51" s="130"/>
      <c r="F51" s="18" t="s">
        <v>41</v>
      </c>
      <c r="G51" s="167">
        <f>G50</f>
        <v>44699</v>
      </c>
      <c r="H51" s="168"/>
    </row>
    <row r="52" spans="1:14" s="23" customFormat="1" ht="63.75" customHeight="1" x14ac:dyDescent="0.25">
      <c r="A52" s="171"/>
      <c r="B52" s="172"/>
      <c r="C52" s="197" t="s">
        <v>223</v>
      </c>
      <c r="D52" s="219"/>
      <c r="E52" s="219"/>
      <c r="F52" s="219"/>
      <c r="G52" s="219"/>
      <c r="H52" s="220"/>
    </row>
    <row r="53" spans="1:14" x14ac:dyDescent="0.25">
      <c r="A53" s="214" t="s">
        <v>43</v>
      </c>
      <c r="B53" s="215"/>
      <c r="C53" s="214" t="s">
        <v>105</v>
      </c>
      <c r="D53" s="216"/>
      <c r="E53" s="215"/>
      <c r="F53" s="60" t="s">
        <v>41</v>
      </c>
      <c r="G53" s="217" t="s">
        <v>28</v>
      </c>
      <c r="H53" s="218"/>
    </row>
    <row r="54" spans="1:14" x14ac:dyDescent="0.25">
      <c r="A54" s="206" t="s">
        <v>45</v>
      </c>
      <c r="B54" s="206"/>
      <c r="C54" s="206"/>
      <c r="D54" s="206"/>
      <c r="E54" s="206"/>
      <c r="F54" s="206"/>
      <c r="G54" s="206"/>
      <c r="H54" s="206"/>
    </row>
    <row r="55" spans="1:14" ht="33" customHeight="1" x14ac:dyDescent="0.25">
      <c r="A55" s="183" t="s">
        <v>257</v>
      </c>
      <c r="B55" s="183"/>
      <c r="C55" s="183"/>
      <c r="D55" s="141">
        <v>71534.8</v>
      </c>
      <c r="E55" s="141"/>
      <c r="F55" s="141"/>
      <c r="G55" s="141"/>
      <c r="H55" s="141"/>
    </row>
    <row r="56" spans="1:14" x14ac:dyDescent="0.25">
      <c r="A56" s="180" t="s">
        <v>46</v>
      </c>
      <c r="B56" s="160"/>
      <c r="C56" s="160"/>
      <c r="D56" s="160" t="s">
        <v>242</v>
      </c>
      <c r="E56" s="160"/>
      <c r="F56" s="160"/>
      <c r="G56" s="160"/>
      <c r="H56" s="160"/>
      <c r="I56" s="24"/>
    </row>
    <row r="57" spans="1:14" ht="64.5" customHeight="1" x14ac:dyDescent="0.25">
      <c r="A57" s="164" t="s">
        <v>47</v>
      </c>
      <c r="B57" s="165"/>
      <c r="C57" s="166"/>
      <c r="D57" s="162" t="s">
        <v>223</v>
      </c>
      <c r="E57" s="163"/>
      <c r="F57" s="163"/>
      <c r="G57" s="163"/>
      <c r="H57" s="163"/>
      <c r="I57" s="25"/>
    </row>
    <row r="58" spans="1:14" ht="15.75" customHeight="1" x14ac:dyDescent="0.25">
      <c r="A58" s="164" t="s">
        <v>90</v>
      </c>
      <c r="B58" s="165"/>
      <c r="C58" s="165"/>
      <c r="D58" s="186" t="s">
        <v>224</v>
      </c>
      <c r="E58" s="187"/>
      <c r="F58" s="187"/>
      <c r="G58" s="187"/>
      <c r="H58" s="188"/>
      <c r="I58" s="25"/>
    </row>
    <row r="59" spans="1:14" ht="15.75" customHeight="1" x14ac:dyDescent="0.25">
      <c r="A59" s="212"/>
      <c r="B59" s="213"/>
      <c r="C59" s="213"/>
      <c r="D59" s="221" t="s">
        <v>225</v>
      </c>
      <c r="E59" s="222"/>
      <c r="F59" s="222"/>
      <c r="G59" s="222"/>
      <c r="H59" s="223"/>
      <c r="I59" s="25"/>
    </row>
    <row r="60" spans="1:14" ht="15.75" customHeight="1" x14ac:dyDescent="0.25">
      <c r="A60" s="212"/>
      <c r="B60" s="213"/>
      <c r="C60" s="213"/>
      <c r="D60" s="221" t="s">
        <v>226</v>
      </c>
      <c r="E60" s="222"/>
      <c r="F60" s="222"/>
      <c r="G60" s="222"/>
      <c r="H60" s="223"/>
      <c r="I60" s="25"/>
    </row>
    <row r="61" spans="1:14" ht="15.75" customHeight="1" x14ac:dyDescent="0.25">
      <c r="A61" s="212"/>
      <c r="B61" s="213"/>
      <c r="C61" s="213"/>
      <c r="D61" s="189" t="s">
        <v>227</v>
      </c>
      <c r="E61" s="190"/>
      <c r="F61" s="190"/>
      <c r="G61" s="190"/>
      <c r="H61" s="191"/>
      <c r="I61" s="25"/>
    </row>
    <row r="62" spans="1:14" x14ac:dyDescent="0.25">
      <c r="A62" s="141" t="s">
        <v>44</v>
      </c>
      <c r="B62" s="141"/>
      <c r="C62" s="141"/>
      <c r="D62" s="156" t="s">
        <v>259</v>
      </c>
      <c r="E62" s="156"/>
      <c r="F62" s="156"/>
      <c r="G62" s="156"/>
      <c r="H62" s="156"/>
      <c r="J62" s="26"/>
      <c r="K62" s="24"/>
      <c r="N62" s="24"/>
    </row>
    <row r="63" spans="1:14" ht="15.75" customHeight="1" x14ac:dyDescent="0.25">
      <c r="A63" s="141" t="s">
        <v>88</v>
      </c>
      <c r="B63" s="141"/>
      <c r="C63" s="141"/>
      <c r="D63" s="157" t="str">
        <f>(IF(G53="NA","60 Years After Completion",IF(G53&lt;&gt;"NA",""&amp;60-ROUNDDOWN((E3-G53)/360,0)&amp;" Years"," ")))</f>
        <v>60 Years After Completion</v>
      </c>
      <c r="E63" s="157"/>
      <c r="F63" s="157"/>
      <c r="G63" s="157"/>
      <c r="H63" s="157"/>
      <c r="N63" s="24"/>
    </row>
    <row r="64" spans="1:14" ht="15.75" customHeight="1" x14ac:dyDescent="0.25">
      <c r="A64" s="141" t="s">
        <v>89</v>
      </c>
      <c r="B64" s="141"/>
      <c r="C64" s="141"/>
      <c r="D64" s="183" t="s">
        <v>23</v>
      </c>
      <c r="E64" s="183"/>
      <c r="F64" s="183"/>
      <c r="G64" s="183"/>
      <c r="H64" s="183"/>
      <c r="J64" s="27"/>
      <c r="K64" s="27"/>
    </row>
    <row r="65" spans="1:14" ht="81.75" customHeight="1" x14ac:dyDescent="0.25">
      <c r="A65" s="141" t="s">
        <v>75</v>
      </c>
      <c r="B65" s="141"/>
      <c r="C65" s="141"/>
      <c r="D65" s="180" t="s">
        <v>240</v>
      </c>
      <c r="E65" s="183"/>
      <c r="F65" s="183"/>
      <c r="G65" s="183"/>
      <c r="H65" s="183"/>
      <c r="I65" s="77" t="s">
        <v>241</v>
      </c>
    </row>
    <row r="66" spans="1:14" x14ac:dyDescent="0.25">
      <c r="A66" s="183" t="s">
        <v>153</v>
      </c>
      <c r="B66" s="183"/>
      <c r="C66" s="183"/>
      <c r="D66" s="183" t="s">
        <v>28</v>
      </c>
      <c r="E66" s="183"/>
      <c r="F66" s="183"/>
      <c r="G66" s="183"/>
      <c r="H66" s="183"/>
      <c r="I66" s="28"/>
      <c r="J66" s="28"/>
      <c r="K66" s="28"/>
      <c r="L66" s="28"/>
      <c r="M66" s="28"/>
      <c r="N66" s="28"/>
    </row>
    <row r="67" spans="1:14" ht="15.75" customHeight="1" x14ac:dyDescent="0.25">
      <c r="A67" s="202" t="s">
        <v>87</v>
      </c>
      <c r="B67" s="202"/>
      <c r="C67" s="202"/>
      <c r="D67" s="162" t="str">
        <f>(IF(G101&gt;95%,"Nothing",IF(G101&gt;0%,"Cement, Aggregate, Steel, etc",IF(G101=0%,"Work not yet Started"))))</f>
        <v>Cement, Aggregate, Steel, etc</v>
      </c>
      <c r="E67" s="162"/>
      <c r="F67" s="162"/>
      <c r="G67" s="162"/>
      <c r="H67" s="162"/>
      <c r="J67" s="27"/>
    </row>
    <row r="68" spans="1:14" ht="33.75" customHeight="1" thickBot="1" x14ac:dyDescent="0.3">
      <c r="A68" s="201" t="s">
        <v>118</v>
      </c>
      <c r="B68" s="201"/>
      <c r="C68" s="201"/>
      <c r="D68" s="162" t="str">
        <f>(IF(D67="Nothing","Yes",IF(D67="Cement, Aggregate, Steel, etc","Under Construction",IF(D67="Work not yet Started","Work not yet Started"))))</f>
        <v>Under Construction</v>
      </c>
      <c r="E68" s="162"/>
      <c r="F68" s="162" t="str">
        <f>(IF(D67="Nothing","Yes",IF(D67="Cement, Aggregate, Steel, etc","Under Construction",IF(D67="Work not yet Started","Work not yet Started"))))</f>
        <v>Under Construction</v>
      </c>
      <c r="G68" s="162"/>
      <c r="H68" s="162"/>
    </row>
    <row r="69" spans="1:14" ht="15.75" customHeight="1" x14ac:dyDescent="0.25">
      <c r="A69" s="101" t="s">
        <v>143</v>
      </c>
      <c r="B69" s="102"/>
      <c r="C69" s="101" t="str">
        <f>D58</f>
        <v>Phase II - Tower 1 = 1B + G + 3P + 1st to 36th Floor</v>
      </c>
      <c r="D69" s="103"/>
      <c r="E69" s="103"/>
      <c r="F69" s="103"/>
      <c r="G69" s="103"/>
      <c r="H69" s="102"/>
      <c r="I69" s="62" t="str">
        <f>IF(D82=100%,"All work Completed. Possession granted to the Building.",IF(D81=100%,"All work Completed, Waiting for OC",I70&amp;""&amp;I71&amp;""&amp;J70&amp;""&amp;J69&amp;" "&amp;J71))</f>
        <v xml:space="preserve">Excavation, Plinth Completed </v>
      </c>
      <c r="J69" s="44" t="str">
        <f>(IF(C75=(D70+F70+H70),"",IF(C75&gt;0,", RCC upto "&amp;C75&amp;" Slab","")))&amp;(IF(C76=H70,"",IF(C76&gt;0,", Brickwork upto "&amp;C76&amp;" Floor","")))&amp;(IF(C77=H70,"",IF(C77&gt;0,", Internal Plaster upto "&amp;C77&amp;" Floor","")))&amp;(IF(C78=H70,"",IF(C78&gt;0,", External Plaster upto "&amp;C78&amp;" Floor","")))&amp;(IF(C79=H70,"",IF(C79&gt;0,", Flooring upto "&amp;C79&amp;" Floor","")))&amp;(IF(C80=H70,"",IF(C80&gt;0,", Painting upto "&amp;C80&amp;" Floor","")))&amp;(IF(C81=H70,"",IF(C81&gt;0,", Finishing upto "&amp;C81&amp;" Floor","")))&amp;(IF(C82=H70,"",IF(C82&gt;0,", Possession upto "&amp;C82&amp;" Floor","")))</f>
        <v/>
      </c>
    </row>
    <row r="70" spans="1:14" s="23" customFormat="1" x14ac:dyDescent="0.25">
      <c r="A70" s="74" t="s">
        <v>145</v>
      </c>
      <c r="B70" s="74">
        <v>1</v>
      </c>
      <c r="C70" s="74" t="s">
        <v>72</v>
      </c>
      <c r="D70" s="74">
        <v>1</v>
      </c>
      <c r="E70" s="74" t="s">
        <v>71</v>
      </c>
      <c r="F70" s="74">
        <v>3</v>
      </c>
      <c r="G70" s="74" t="s">
        <v>81</v>
      </c>
      <c r="H70" s="74">
        <v>36</v>
      </c>
      <c r="I70" s="63" t="str">
        <f>IF(D73=100%,"Excavation","")&amp;IF(D74=100%,", Plinth","")&amp;IF(D75=100%,", RCC Slab","")&amp;IF(D76=100%,", Brickwork","")&amp;IF(D77=100%,", Internal Plaster","")&amp;IF(D78=100%,", External Plaster","")&amp;IF(D79=100%,", Flooring","")&amp;IF(D80=100%,", Painting","")&amp;IF(D81=100%,", Building common Amenities","")</f>
        <v>Excavation, Plinth</v>
      </c>
      <c r="J70" s="51" t="str">
        <f>(IF(C73=0,"Work not yet Started.",IF(D73=25%,"Piling work in process",IF(D73=50%,"Excavation work in process",IF(D73=100%,"","0")))))&amp;(IF(C74=0%,"",IF(C74=J75,", Footing work is process",IF(C74=J76,", Footing work Completed",IF(C74=J77,", 1st Basement Completed",IF(C74=J78,", 1st &amp; 2nd Basement Completed",IF(C74=J79,", 1st to 3rd Basement Completed",IF(C74=J80,", 1st to 4th Basement Completed",IF(C74=J81,", Plinth work is process",IF(C74=J82,"","0"))))))))))</f>
        <v/>
      </c>
    </row>
    <row r="71" spans="1:14" x14ac:dyDescent="0.25">
      <c r="A71" s="104" t="s">
        <v>91</v>
      </c>
      <c r="B71" s="104"/>
      <c r="C71" s="105" t="str">
        <f>I69</f>
        <v xml:space="preserve">Excavation, Plinth Completed </v>
      </c>
      <c r="D71" s="105"/>
      <c r="E71" s="105"/>
      <c r="F71" s="105"/>
      <c r="G71" s="105"/>
      <c r="H71" s="105"/>
      <c r="I71" s="64" t="str">
        <f>IF(I70&lt;&gt;""," Completed","")</f>
        <v xml:space="preserve"> Completed</v>
      </c>
      <c r="J71" s="45" t="str">
        <f>IF(J69&lt;&gt;"","Completed","")</f>
        <v/>
      </c>
    </row>
    <row r="72" spans="1:14" ht="15.75" customHeight="1" x14ac:dyDescent="0.25">
      <c r="A72" s="83" t="s">
        <v>48</v>
      </c>
      <c r="B72" s="83"/>
      <c r="C72" s="70" t="s">
        <v>142</v>
      </c>
      <c r="D72" s="70" t="s">
        <v>84</v>
      </c>
      <c r="E72" s="83" t="s">
        <v>86</v>
      </c>
      <c r="F72" s="83"/>
      <c r="G72" s="83" t="s">
        <v>85</v>
      </c>
      <c r="H72" s="83"/>
      <c r="I72" s="16" t="s">
        <v>144</v>
      </c>
      <c r="J72" s="29">
        <f>H70*25%</f>
        <v>9</v>
      </c>
    </row>
    <row r="73" spans="1:14" x14ac:dyDescent="0.25">
      <c r="A73" s="83" t="s">
        <v>131</v>
      </c>
      <c r="B73" s="83"/>
      <c r="C73" s="70">
        <f>J74</f>
        <v>36</v>
      </c>
      <c r="D73" s="19">
        <f>((100/H70)*C73)/100</f>
        <v>1</v>
      </c>
      <c r="E73" s="134">
        <f>(((C74/H70*10)+(40/(D70+F70+H70)*C75)+(7.5/(H70)*C76)+(7.5/(H70)*C77)+(10/H70*C78)+(10/H70*C79)+(5/H70*C80)+(5/H70*C81)+(5/H70*C82))/100)</f>
        <v>0.1</v>
      </c>
      <c r="F73" s="135"/>
      <c r="G73" s="134">
        <f>((((C73/H70)*20)+((C74/H70)*25)+(30/(H70+F70+D70)*C75)+(5/H70*C76)+(5/H70*C77)+(5/H70*C78)+(5/H70*C79)+(0/H70*C80)+(0/H70*C81)+(5/H70*C82))/100)</f>
        <v>0.45</v>
      </c>
      <c r="H73" s="135"/>
      <c r="I73" s="16" t="s">
        <v>100</v>
      </c>
      <c r="J73" s="30">
        <f>H70*50%</f>
        <v>18</v>
      </c>
    </row>
    <row r="74" spans="1:14" x14ac:dyDescent="0.25">
      <c r="A74" s="83" t="s">
        <v>49</v>
      </c>
      <c r="B74" s="83"/>
      <c r="C74" s="52">
        <f>J82</f>
        <v>36</v>
      </c>
      <c r="D74" s="19">
        <f>((100/H70)*C74)/100</f>
        <v>1</v>
      </c>
      <c r="E74" s="136"/>
      <c r="F74" s="137"/>
      <c r="G74" s="136"/>
      <c r="H74" s="137"/>
      <c r="I74" s="16" t="s">
        <v>101</v>
      </c>
      <c r="J74" s="30">
        <f>H70</f>
        <v>36</v>
      </c>
    </row>
    <row r="75" spans="1:14" ht="15.75" customHeight="1" x14ac:dyDescent="0.25">
      <c r="A75" s="83" t="s">
        <v>132</v>
      </c>
      <c r="B75" s="83"/>
      <c r="C75" s="70">
        <v>0</v>
      </c>
      <c r="D75" s="19">
        <f>((100/(D70+F70+H70))*C75)/100</f>
        <v>0</v>
      </c>
      <c r="E75" s="136"/>
      <c r="F75" s="137"/>
      <c r="G75" s="136"/>
      <c r="H75" s="137"/>
      <c r="I75" s="16" t="s">
        <v>102</v>
      </c>
      <c r="J75" s="31">
        <f>(IF(B70&gt;1,(H70/(B70+2)),H70/4))</f>
        <v>9</v>
      </c>
    </row>
    <row r="76" spans="1:14" ht="15.75" customHeight="1" x14ac:dyDescent="0.25">
      <c r="A76" s="83" t="s">
        <v>139</v>
      </c>
      <c r="B76" s="83" t="s">
        <v>133</v>
      </c>
      <c r="C76" s="70">
        <v>0</v>
      </c>
      <c r="D76" s="19">
        <f>((100/H70)*C76)/100</f>
        <v>0</v>
      </c>
      <c r="E76" s="136"/>
      <c r="F76" s="137"/>
      <c r="G76" s="136"/>
      <c r="H76" s="137"/>
      <c r="I76" s="16" t="s">
        <v>103</v>
      </c>
      <c r="J76" s="31">
        <f>(IF(B70&gt;1,(H70/(B70+2)+J75),H70/4+J75))</f>
        <v>18</v>
      </c>
    </row>
    <row r="77" spans="1:14" ht="15.75" customHeight="1" x14ac:dyDescent="0.25">
      <c r="A77" s="83" t="s">
        <v>140</v>
      </c>
      <c r="B77" s="83" t="s">
        <v>133</v>
      </c>
      <c r="C77" s="52">
        <v>0</v>
      </c>
      <c r="D77" s="19">
        <f>((100/H70)*C77)/100</f>
        <v>0</v>
      </c>
      <c r="E77" s="136"/>
      <c r="F77" s="137"/>
      <c r="G77" s="136"/>
      <c r="H77" s="137"/>
      <c r="I77" s="16" t="s">
        <v>151</v>
      </c>
      <c r="J77" s="31">
        <f>(IF(B70&gt;1,(H70/(B70+2)+J76),0))</f>
        <v>0</v>
      </c>
    </row>
    <row r="78" spans="1:14" ht="15" customHeight="1" x14ac:dyDescent="0.25">
      <c r="A78" s="83" t="s">
        <v>138</v>
      </c>
      <c r="B78" s="83" t="s">
        <v>135</v>
      </c>
      <c r="C78" s="52">
        <f>C76*0.75</f>
        <v>0</v>
      </c>
      <c r="D78" s="19">
        <f>((100/(H70))*C78)/100</f>
        <v>0</v>
      </c>
      <c r="E78" s="136"/>
      <c r="F78" s="137"/>
      <c r="G78" s="136"/>
      <c r="H78" s="137"/>
      <c r="I78" s="16" t="s">
        <v>146</v>
      </c>
      <c r="J78" s="31">
        <f>(IF(B70&gt;2,(H70/(B70+2)+J77),0))</f>
        <v>0</v>
      </c>
    </row>
    <row r="79" spans="1:14" ht="15.75" customHeight="1" x14ac:dyDescent="0.25">
      <c r="A79" s="83" t="s">
        <v>134</v>
      </c>
      <c r="B79" s="83" t="s">
        <v>134</v>
      </c>
      <c r="C79" s="70">
        <v>0</v>
      </c>
      <c r="D79" s="19">
        <f>((100/H70)*C79)/100</f>
        <v>0</v>
      </c>
      <c r="E79" s="136"/>
      <c r="F79" s="137"/>
      <c r="G79" s="136"/>
      <c r="H79" s="137"/>
      <c r="I79" s="16" t="s">
        <v>147</v>
      </c>
      <c r="J79" s="32">
        <f>(IF(B70&gt;3,(H70/(B70+2)+J78),0))</f>
        <v>0</v>
      </c>
    </row>
    <row r="80" spans="1:14" ht="15.75" customHeight="1" x14ac:dyDescent="0.25">
      <c r="A80" s="83" t="s">
        <v>141</v>
      </c>
      <c r="B80" s="83"/>
      <c r="C80" s="70">
        <v>0</v>
      </c>
      <c r="D80" s="19">
        <f>((100/H70)*C80)/100</f>
        <v>0</v>
      </c>
      <c r="E80" s="136"/>
      <c r="F80" s="137"/>
      <c r="G80" s="136"/>
      <c r="H80" s="137"/>
      <c r="I80" s="16" t="s">
        <v>148</v>
      </c>
      <c r="J80" s="31">
        <f>(IF(B70&gt;4,(H70/(B70+2)+J79),0))</f>
        <v>0</v>
      </c>
    </row>
    <row r="81" spans="1:10" ht="15.75" customHeight="1" x14ac:dyDescent="0.25">
      <c r="A81" s="83" t="s">
        <v>136</v>
      </c>
      <c r="B81" s="83" t="s">
        <v>136</v>
      </c>
      <c r="C81" s="70">
        <v>0</v>
      </c>
      <c r="D81" s="19">
        <f>((100/(H70))*C81)/100</f>
        <v>0</v>
      </c>
      <c r="E81" s="136"/>
      <c r="F81" s="137"/>
      <c r="G81" s="136"/>
      <c r="H81" s="137"/>
      <c r="I81" s="16" t="s">
        <v>152</v>
      </c>
      <c r="J81" s="31">
        <f>(IF(B70=1,(H70/(B70+3)+J76),IF(B70=0,(H70/4+J76),IF(B70&gt;1,0))))</f>
        <v>27</v>
      </c>
    </row>
    <row r="82" spans="1:10" ht="16.5" thickBot="1" x14ac:dyDescent="0.3">
      <c r="A82" s="84" t="s">
        <v>137</v>
      </c>
      <c r="B82" s="84"/>
      <c r="C82" s="73">
        <v>0</v>
      </c>
      <c r="D82" s="20">
        <f>((100/(H70))*C82)/100</f>
        <v>0</v>
      </c>
      <c r="E82" s="138"/>
      <c r="F82" s="139"/>
      <c r="G82" s="138"/>
      <c r="H82" s="139"/>
      <c r="I82" s="17" t="s">
        <v>104</v>
      </c>
      <c r="J82" s="33">
        <f>(IF(B70&gt;1.5,(H70/(B70+2)+J76+MAX(0,J77-J76)+MAX(0,J78-J77)+MAX(0,J79-J78)+MAX(0,J80-J79)+MAX(0,J81-J80)),IF(B70=1,(H70/(B70+3)+J81),IF(B70=0,H70/4+J81))))</f>
        <v>36</v>
      </c>
    </row>
    <row r="83" spans="1:10" ht="15.75" customHeight="1" x14ac:dyDescent="0.25">
      <c r="A83" s="101" t="s">
        <v>143</v>
      </c>
      <c r="B83" s="102"/>
      <c r="C83" s="101" t="str">
        <f>D59</f>
        <v>Phase II - Tower 2 = 1B + G + 3P + 1st to 36th Floor</v>
      </c>
      <c r="D83" s="103"/>
      <c r="E83" s="103"/>
      <c r="F83" s="103"/>
      <c r="G83" s="103"/>
      <c r="H83" s="102"/>
      <c r="I83" s="62" t="str">
        <f>IF(D96=100%,"All work Completed. Possession granted to the Building.",IF(D95=100%,"All work Completed, Waiting for OC",I84&amp;""&amp;I85&amp;""&amp;J84&amp;""&amp;J83&amp;" "&amp;J85))</f>
        <v>Excavation, Plinth Completed, RCC upto 4 Slab Completed</v>
      </c>
      <c r="J83" s="44" t="str">
        <f>(IF(C89=(D84+F84+H84),"",IF(C89&gt;0,", RCC upto "&amp;C89&amp;" Slab","")))&amp;(IF(C90=H84,"",IF(C90&gt;0,", Brickwork upto "&amp;C90&amp;" Floor","")))&amp;(IF(C91=H84,"",IF(C91&gt;0,", Internal Plaster upto "&amp;C91&amp;" Floor","")))&amp;(IF(C92=H84,"",IF(C92&gt;0,", External Plaster upto "&amp;C92&amp;" Floor","")))&amp;(IF(C93=H84,"",IF(C93&gt;0,", Flooring upto "&amp;C93&amp;" Floor","")))&amp;(IF(C94=H84,"",IF(C94&gt;0,", Painting upto "&amp;C94&amp;" Floor","")))&amp;(IF(C95=H84,"",IF(C95&gt;0,", Finishing upto "&amp;C95&amp;" Floor","")))&amp;(IF(C96=H84,"",IF(C96&gt;0,", Possession upto "&amp;C96&amp;" Floor","")))</f>
        <v>, RCC upto 4 Slab</v>
      </c>
    </row>
    <row r="84" spans="1:10" s="23" customFormat="1" x14ac:dyDescent="0.25">
      <c r="A84" s="74" t="s">
        <v>145</v>
      </c>
      <c r="B84" s="74">
        <v>1</v>
      </c>
      <c r="C84" s="74" t="s">
        <v>72</v>
      </c>
      <c r="D84" s="74">
        <v>1</v>
      </c>
      <c r="E84" s="74" t="s">
        <v>71</v>
      </c>
      <c r="F84" s="74">
        <v>3</v>
      </c>
      <c r="G84" s="74" t="s">
        <v>81</v>
      </c>
      <c r="H84" s="74">
        <v>36</v>
      </c>
      <c r="I84" s="63" t="str">
        <f>IF(D87=100%,"Excavation","")&amp;IF(D88=100%,", Plinth","")&amp;IF(D89=100%,", RCC Slab","")&amp;IF(D90=100%,", Brickwork","")&amp;IF(D91=100%,", Internal Plaster","")&amp;IF(D92=100%,", External Plaster","")&amp;IF(D93=100%,", Flooring","")&amp;IF(D94=100%,", Painting","")&amp;IF(D95=100%,", Building common Amenities","")</f>
        <v>Excavation, Plinth</v>
      </c>
      <c r="J84" s="51" t="str">
        <f>(IF(C87=0,"Work not yet Started.",IF(D87=25%,"Piling work in process",IF(D87=50%,"Excavation work in process",IF(D87=100%,"","0")))))&amp;(IF(C88=0%,"",IF(C88=J89,", Footing work is process",IF(C88=J90,", Footing work Completed",IF(C88=J91,", 1st Basement Completed",IF(C88=J92,", 1st &amp; 2nd Basement Completed",IF(C88=J93,", 1st to 3rd Basement Completed",IF(C88=J94,", 1st to 4th Basement Completed",IF(C88=J95,", Plinth work is process",IF(C88=J96,"","0"))))))))))</f>
        <v/>
      </c>
    </row>
    <row r="85" spans="1:10" x14ac:dyDescent="0.25">
      <c r="A85" s="104" t="s">
        <v>91</v>
      </c>
      <c r="B85" s="104"/>
      <c r="C85" s="105" t="str">
        <f>I83</f>
        <v>Excavation, Plinth Completed, RCC upto 4 Slab Completed</v>
      </c>
      <c r="D85" s="105"/>
      <c r="E85" s="105"/>
      <c r="F85" s="105"/>
      <c r="G85" s="105"/>
      <c r="H85" s="105"/>
      <c r="I85" s="64" t="str">
        <f>IF(I84&lt;&gt;""," Completed","")</f>
        <v xml:space="preserve"> Completed</v>
      </c>
      <c r="J85" s="45" t="str">
        <f>IF(J83&lt;&gt;"","Completed","")</f>
        <v>Completed</v>
      </c>
    </row>
    <row r="86" spans="1:10" ht="15.75" customHeight="1" x14ac:dyDescent="0.25">
      <c r="A86" s="83" t="s">
        <v>48</v>
      </c>
      <c r="B86" s="83"/>
      <c r="C86" s="70" t="s">
        <v>142</v>
      </c>
      <c r="D86" s="70" t="s">
        <v>84</v>
      </c>
      <c r="E86" s="83" t="s">
        <v>86</v>
      </c>
      <c r="F86" s="83"/>
      <c r="G86" s="83" t="s">
        <v>85</v>
      </c>
      <c r="H86" s="83"/>
      <c r="I86" s="16" t="s">
        <v>144</v>
      </c>
      <c r="J86" s="29">
        <f>H84*25%</f>
        <v>9</v>
      </c>
    </row>
    <row r="87" spans="1:10" x14ac:dyDescent="0.25">
      <c r="A87" s="83" t="s">
        <v>131</v>
      </c>
      <c r="B87" s="83"/>
      <c r="C87" s="70">
        <f>J88</f>
        <v>36</v>
      </c>
      <c r="D87" s="19">
        <f>((100/H84)*C87)/100</f>
        <v>1</v>
      </c>
      <c r="E87" s="134">
        <f>(((C88/H84*10)+(40/(D84+F84+H84)*C89)+(7.5/(H84)*C90)+(7.5/(H84)*C91)+(10/H84*C92)+(10/H84*C93)+(5/H84*C94)+(5/H84*C95)+(5/H84*C96))/100)</f>
        <v>0.14000000000000001</v>
      </c>
      <c r="F87" s="135"/>
      <c r="G87" s="134">
        <f>((((C87/H84)*20)+((C88/H84)*25)+(30/(H84+F84+D84)*C89)+(5/H84*C90)+(5/H84*C91)+(5/H84*C92)+(5/H84*C93)+(0/H84*C94)+(0/H84*C95)+(5/H84*C96))/100)</f>
        <v>0.48</v>
      </c>
      <c r="H87" s="135"/>
      <c r="I87" s="16" t="s">
        <v>100</v>
      </c>
      <c r="J87" s="30">
        <f>H84*50%</f>
        <v>18</v>
      </c>
    </row>
    <row r="88" spans="1:10" x14ac:dyDescent="0.25">
      <c r="A88" s="83" t="s">
        <v>49</v>
      </c>
      <c r="B88" s="83"/>
      <c r="C88" s="52">
        <f>J96</f>
        <v>36</v>
      </c>
      <c r="D88" s="19">
        <f>((100/H84)*C88)/100</f>
        <v>1</v>
      </c>
      <c r="E88" s="136"/>
      <c r="F88" s="137"/>
      <c r="G88" s="136"/>
      <c r="H88" s="137"/>
      <c r="I88" s="16" t="s">
        <v>101</v>
      </c>
      <c r="J88" s="30">
        <f>H84</f>
        <v>36</v>
      </c>
    </row>
    <row r="89" spans="1:10" ht="15.75" customHeight="1" x14ac:dyDescent="0.25">
      <c r="A89" s="83" t="s">
        <v>132</v>
      </c>
      <c r="B89" s="83"/>
      <c r="C89" s="70">
        <v>4</v>
      </c>
      <c r="D89" s="19">
        <f>((100/(D84+F84+H84))*C89)/100</f>
        <v>0.1</v>
      </c>
      <c r="E89" s="136"/>
      <c r="F89" s="137"/>
      <c r="G89" s="136"/>
      <c r="H89" s="137"/>
      <c r="I89" s="16" t="s">
        <v>102</v>
      </c>
      <c r="J89" s="31">
        <f>(IF(B84&gt;1,(H84/(B84+2)),H84/4))</f>
        <v>9</v>
      </c>
    </row>
    <row r="90" spans="1:10" ht="15.75" customHeight="1" x14ac:dyDescent="0.25">
      <c r="A90" s="83" t="s">
        <v>139</v>
      </c>
      <c r="B90" s="83" t="s">
        <v>133</v>
      </c>
      <c r="C90" s="70">
        <v>0</v>
      </c>
      <c r="D90" s="19">
        <f>((100/H84)*C90)/100</f>
        <v>0</v>
      </c>
      <c r="E90" s="136"/>
      <c r="F90" s="137"/>
      <c r="G90" s="136"/>
      <c r="H90" s="137"/>
      <c r="I90" s="16" t="s">
        <v>103</v>
      </c>
      <c r="J90" s="31">
        <f>(IF(B84&gt;1,(H84/(B84+2)+J89),H84/4+J89))</f>
        <v>18</v>
      </c>
    </row>
    <row r="91" spans="1:10" ht="15.75" customHeight="1" x14ac:dyDescent="0.25">
      <c r="A91" s="83" t="s">
        <v>140</v>
      </c>
      <c r="B91" s="83" t="s">
        <v>133</v>
      </c>
      <c r="C91" s="52">
        <v>0</v>
      </c>
      <c r="D91" s="19">
        <f>((100/H84)*C91)/100</f>
        <v>0</v>
      </c>
      <c r="E91" s="136"/>
      <c r="F91" s="137"/>
      <c r="G91" s="136"/>
      <c r="H91" s="137"/>
      <c r="I91" s="16" t="s">
        <v>151</v>
      </c>
      <c r="J91" s="31">
        <f>(IF(B84&gt;1,(H84/(B84+2)+J90),0))</f>
        <v>0</v>
      </c>
    </row>
    <row r="92" spans="1:10" ht="15" customHeight="1" x14ac:dyDescent="0.25">
      <c r="A92" s="83" t="s">
        <v>138</v>
      </c>
      <c r="B92" s="83" t="s">
        <v>135</v>
      </c>
      <c r="C92" s="52">
        <f>C90*0.75</f>
        <v>0</v>
      </c>
      <c r="D92" s="19">
        <f>((100/(H84))*C92)/100</f>
        <v>0</v>
      </c>
      <c r="E92" s="136"/>
      <c r="F92" s="137"/>
      <c r="G92" s="136"/>
      <c r="H92" s="137"/>
      <c r="I92" s="16" t="s">
        <v>146</v>
      </c>
      <c r="J92" s="31">
        <f>(IF(B84&gt;2,(H84/(B84+2)+J91),0))</f>
        <v>0</v>
      </c>
    </row>
    <row r="93" spans="1:10" ht="15.75" customHeight="1" x14ac:dyDescent="0.25">
      <c r="A93" s="83" t="s">
        <v>134</v>
      </c>
      <c r="B93" s="83" t="s">
        <v>134</v>
      </c>
      <c r="C93" s="70">
        <v>0</v>
      </c>
      <c r="D93" s="19">
        <f>((100/H84)*C93)/100</f>
        <v>0</v>
      </c>
      <c r="E93" s="136"/>
      <c r="F93" s="137"/>
      <c r="G93" s="136"/>
      <c r="H93" s="137"/>
      <c r="I93" s="16" t="s">
        <v>147</v>
      </c>
      <c r="J93" s="32">
        <f>(IF(B84&gt;3,(H84/(B84+2)+J92),0))</f>
        <v>0</v>
      </c>
    </row>
    <row r="94" spans="1:10" ht="15.75" customHeight="1" x14ac:dyDescent="0.25">
      <c r="A94" s="83" t="s">
        <v>141</v>
      </c>
      <c r="B94" s="83"/>
      <c r="C94" s="70">
        <v>0</v>
      </c>
      <c r="D94" s="19">
        <f>((100/H84)*C94)/100</f>
        <v>0</v>
      </c>
      <c r="E94" s="136"/>
      <c r="F94" s="137"/>
      <c r="G94" s="136"/>
      <c r="H94" s="137"/>
      <c r="I94" s="16" t="s">
        <v>148</v>
      </c>
      <c r="J94" s="31">
        <f>(IF(B84&gt;4,(H84/(B84+2)+J93),0))</f>
        <v>0</v>
      </c>
    </row>
    <row r="95" spans="1:10" ht="15.75" customHeight="1" x14ac:dyDescent="0.25">
      <c r="A95" s="83" t="s">
        <v>136</v>
      </c>
      <c r="B95" s="83" t="s">
        <v>136</v>
      </c>
      <c r="C95" s="70">
        <v>0</v>
      </c>
      <c r="D95" s="19">
        <f>((100/(H84))*C95)/100</f>
        <v>0</v>
      </c>
      <c r="E95" s="136"/>
      <c r="F95" s="137"/>
      <c r="G95" s="136"/>
      <c r="H95" s="137"/>
      <c r="I95" s="16" t="s">
        <v>152</v>
      </c>
      <c r="J95" s="31">
        <f>(IF(B84=1,(H84/(B84+3)+J90),IF(B84=0,(H84/4+J90),IF(B84&gt;1,0))))</f>
        <v>27</v>
      </c>
    </row>
    <row r="96" spans="1:10" ht="16.5" thickBot="1" x14ac:dyDescent="0.3">
      <c r="A96" s="84" t="s">
        <v>137</v>
      </c>
      <c r="B96" s="84"/>
      <c r="C96" s="73">
        <v>0</v>
      </c>
      <c r="D96" s="20">
        <f>((100/(H84))*C96)/100</f>
        <v>0</v>
      </c>
      <c r="E96" s="138"/>
      <c r="F96" s="139"/>
      <c r="G96" s="138"/>
      <c r="H96" s="139"/>
      <c r="I96" s="17" t="s">
        <v>104</v>
      </c>
      <c r="J96" s="33">
        <f>(IF(B84&gt;1.5,(H84/(B84+2)+J90+MAX(0,J91-J90)+MAX(0,J92-J91)+MAX(0,J93-J92)+MAX(0,J94-J93)+MAX(0,J95-J94)),IF(B84=1,(H84/(B84+3)+J95),IF(B84=0,H84/4+J95))))</f>
        <v>36</v>
      </c>
    </row>
    <row r="97" spans="1:10" ht="15.75" customHeight="1" x14ac:dyDescent="0.25">
      <c r="A97" s="101" t="s">
        <v>143</v>
      </c>
      <c r="B97" s="102"/>
      <c r="C97" s="101" t="str">
        <f>D60</f>
        <v>Phase II - Tower 3 = 1B + G + 3P + 1st to 36th Floor</v>
      </c>
      <c r="D97" s="103"/>
      <c r="E97" s="103"/>
      <c r="F97" s="103"/>
      <c r="G97" s="103"/>
      <c r="H97" s="102"/>
      <c r="I97" s="62" t="str">
        <f>IF(D110=100%,"All work Completed. Possession granted to the Building.",IF(D109=100%,"All work Completed, Waiting for OC",I98&amp;""&amp;I99&amp;""&amp;J98&amp;""&amp;J97&amp;" "&amp;J99))</f>
        <v>Excavation, Plinth Completed, RCC upto 39 Slab, Brickwork upto 35 Floor, Internal Plaster upto 28 Floor, External Plaster upto 29 Floor Completed</v>
      </c>
      <c r="J97" s="44" t="str">
        <f>(IF(C103=(D98+F98+H98),"",IF(C103&gt;0,", RCC upto "&amp;C103&amp;" Slab","")))&amp;(IF(C104=H98,"",IF(C104&gt;0,", Brickwork upto "&amp;C104&amp;" Floor","")))&amp;(IF(C105=H98,"",IF(C105&gt;0,", Internal Plaster upto "&amp;C105&amp;" Floor","")))&amp;(IF(C106=H98,"",IF(C106&gt;0,", External Plaster upto "&amp;C106&amp;" Floor","")))&amp;(IF(C107=H98,"",IF(C107&gt;0,", Flooring upto "&amp;C107&amp;" Floor","")))&amp;(IF(C108=H98,"",IF(C108&gt;0,", Painting upto "&amp;C108&amp;" Floor","")))&amp;(IF(C109=H98,"",IF(C109&gt;0,", Finishing upto "&amp;C109&amp;" Floor","")))&amp;(IF(C110=H98,"",IF(C110&gt;0,", Possession upto "&amp;C110&amp;" Floor","")))</f>
        <v>, RCC upto 39 Slab, Brickwork upto 35 Floor, Internal Plaster upto 28 Floor, External Plaster upto 29 Floor</v>
      </c>
    </row>
    <row r="98" spans="1:10" s="23" customFormat="1" x14ac:dyDescent="0.25">
      <c r="A98" s="58" t="s">
        <v>145</v>
      </c>
      <c r="B98" s="58">
        <v>1</v>
      </c>
      <c r="C98" s="58" t="s">
        <v>72</v>
      </c>
      <c r="D98" s="58">
        <v>1</v>
      </c>
      <c r="E98" s="58" t="s">
        <v>71</v>
      </c>
      <c r="F98" s="58">
        <v>3</v>
      </c>
      <c r="G98" s="58" t="s">
        <v>81</v>
      </c>
      <c r="H98" s="58">
        <v>36</v>
      </c>
      <c r="I98" s="63" t="str">
        <f>IF(D101=100%,"Excavation","")&amp;IF(D102=100%,", Plinth","")&amp;IF(D103=100%,", RCC Slab","")&amp;IF(D104=100%,", Brickwork","")&amp;IF(D105=100%,", Internal Plaster","")&amp;IF(D106=100%,", External Plaster","")&amp;IF(D107=100%,", Flooring","")&amp;IF(D108=100%,", Painting","")&amp;IF(D109=100%,", Building common Amenities","")</f>
        <v>Excavation, Plinth</v>
      </c>
      <c r="J98" s="51" t="str">
        <f>(IF(C101=0,"Work not yet Started.",IF(D101=25%,"Piling work in process",IF(D101=50%,"Excavation work in process",IF(D101=100%,"","0")))))&amp;(IF(C102=0%,"",IF(C102=J103,", Footing work is process",IF(C102=J104,", Footing work Completed",IF(C102=J105,", 1st Basement Completed",IF(C102=J106,", 1st &amp; 2nd Basement Completed",IF(C102=J107,", 1st to 3rd Basement Completed",IF(C102=J108,", 1st to 4th Basement Completed",IF(C102=J109,", Plinth work is process",IF(C102=J110,"","0"))))))))))</f>
        <v/>
      </c>
    </row>
    <row r="99" spans="1:10" ht="33.75" customHeight="1" x14ac:dyDescent="0.25">
      <c r="A99" s="104" t="s">
        <v>91</v>
      </c>
      <c r="B99" s="104"/>
      <c r="C99" s="105" t="str">
        <f>I97</f>
        <v>Excavation, Plinth Completed, RCC upto 39 Slab, Brickwork upto 35 Floor, Internal Plaster upto 28 Floor, External Plaster upto 29 Floor Completed</v>
      </c>
      <c r="D99" s="105"/>
      <c r="E99" s="105"/>
      <c r="F99" s="105"/>
      <c r="G99" s="105"/>
      <c r="H99" s="105"/>
      <c r="I99" s="64" t="str">
        <f>IF(I98&lt;&gt;""," Completed","")</f>
        <v xml:space="preserve"> Completed</v>
      </c>
      <c r="J99" s="45" t="str">
        <f>IF(J97&lt;&gt;"","Completed","")</f>
        <v>Completed</v>
      </c>
    </row>
    <row r="100" spans="1:10" ht="15.75" customHeight="1" x14ac:dyDescent="0.25">
      <c r="A100" s="83" t="s">
        <v>48</v>
      </c>
      <c r="B100" s="83"/>
      <c r="C100" s="55" t="s">
        <v>142</v>
      </c>
      <c r="D100" s="55" t="s">
        <v>84</v>
      </c>
      <c r="E100" s="83" t="s">
        <v>86</v>
      </c>
      <c r="F100" s="83"/>
      <c r="G100" s="83" t="s">
        <v>85</v>
      </c>
      <c r="H100" s="83"/>
      <c r="I100" s="16" t="s">
        <v>144</v>
      </c>
      <c r="J100" s="29">
        <f>H98*25%</f>
        <v>9</v>
      </c>
    </row>
    <row r="101" spans="1:10" x14ac:dyDescent="0.25">
      <c r="A101" s="83" t="s">
        <v>131</v>
      </c>
      <c r="B101" s="83"/>
      <c r="C101" s="55">
        <f>J102</f>
        <v>36</v>
      </c>
      <c r="D101" s="19">
        <f>((100/H98)*C101)/100</f>
        <v>1</v>
      </c>
      <c r="E101" s="134">
        <f>(((C102/H98*10)+(40/(D98+F98+H98)*C103)+(7.5/(H98)*C104)+(7.5/(H98)*C105)+(10/H98*C106)+(10/H98*C107)+(5/H98*C108)+(5/H98*C109)+(5/H98*C110))/100)</f>
        <v>0.70180555555555557</v>
      </c>
      <c r="F101" s="135"/>
      <c r="G101" s="134">
        <f>((((C101/H98)*20)+((C102/H98)*25)+(30/(H98+F98+D98)*C103)+(5/H98*C104)+(5/H98*C105)+(5/H98*C106)+(5/H98*C107)+(0/H98*C108)+(0/H98*C109)+(5/H98*C110))/100)</f>
        <v>0.87027777777777771</v>
      </c>
      <c r="H101" s="135"/>
      <c r="I101" s="16" t="s">
        <v>100</v>
      </c>
      <c r="J101" s="30">
        <f>H98*50%</f>
        <v>18</v>
      </c>
    </row>
    <row r="102" spans="1:10" x14ac:dyDescent="0.25">
      <c r="A102" s="83" t="s">
        <v>49</v>
      </c>
      <c r="B102" s="83"/>
      <c r="C102" s="52">
        <f>J110</f>
        <v>36</v>
      </c>
      <c r="D102" s="19">
        <f>((100/H98)*C102)/100</f>
        <v>1</v>
      </c>
      <c r="E102" s="136"/>
      <c r="F102" s="137"/>
      <c r="G102" s="136"/>
      <c r="H102" s="137"/>
      <c r="I102" s="16" t="s">
        <v>101</v>
      </c>
      <c r="J102" s="30">
        <f>H98</f>
        <v>36</v>
      </c>
    </row>
    <row r="103" spans="1:10" ht="15.75" customHeight="1" x14ac:dyDescent="0.25">
      <c r="A103" s="83" t="s">
        <v>132</v>
      </c>
      <c r="B103" s="83"/>
      <c r="C103" s="55">
        <v>39</v>
      </c>
      <c r="D103" s="19">
        <f>((100/(D98+F98+H98))*C103)/100</f>
        <v>0.97499999999999998</v>
      </c>
      <c r="E103" s="136"/>
      <c r="F103" s="137"/>
      <c r="G103" s="136"/>
      <c r="H103" s="137"/>
      <c r="I103" s="16" t="s">
        <v>102</v>
      </c>
      <c r="J103" s="31">
        <f>(IF(B98&gt;1,(H98/(B98+2)),H98/4))</f>
        <v>9</v>
      </c>
    </row>
    <row r="104" spans="1:10" ht="15.75" customHeight="1" x14ac:dyDescent="0.25">
      <c r="A104" s="83" t="s">
        <v>139</v>
      </c>
      <c r="B104" s="83" t="s">
        <v>133</v>
      </c>
      <c r="C104" s="55">
        <f>C103-F98-D98</f>
        <v>35</v>
      </c>
      <c r="D104" s="19">
        <f>((100/H98)*C104)/100</f>
        <v>0.9722222222222221</v>
      </c>
      <c r="E104" s="136"/>
      <c r="F104" s="137"/>
      <c r="G104" s="136"/>
      <c r="H104" s="137"/>
      <c r="I104" s="16" t="s">
        <v>103</v>
      </c>
      <c r="J104" s="31">
        <f>(IF(B98&gt;1,(H98/(B98+2)+J103),H98/4+J103))</f>
        <v>18</v>
      </c>
    </row>
    <row r="105" spans="1:10" ht="15.75" customHeight="1" x14ac:dyDescent="0.25">
      <c r="A105" s="83" t="s">
        <v>140</v>
      </c>
      <c r="B105" s="83" t="s">
        <v>133</v>
      </c>
      <c r="C105" s="52">
        <f>C104*0.8</f>
        <v>28</v>
      </c>
      <c r="D105" s="19">
        <f>((100/H98)*C105)/100</f>
        <v>0.77777777777777768</v>
      </c>
      <c r="E105" s="136"/>
      <c r="F105" s="137"/>
      <c r="G105" s="136"/>
      <c r="H105" s="137"/>
      <c r="I105" s="16" t="s">
        <v>151</v>
      </c>
      <c r="J105" s="31">
        <f>(IF(B98&gt;1,(H98/(B98+2)+J104),0))</f>
        <v>0</v>
      </c>
    </row>
    <row r="106" spans="1:10" ht="15" customHeight="1" x14ac:dyDescent="0.25">
      <c r="A106" s="83" t="s">
        <v>138</v>
      </c>
      <c r="B106" s="83" t="s">
        <v>135</v>
      </c>
      <c r="C106" s="52">
        <v>29</v>
      </c>
      <c r="D106" s="19">
        <f>((100/(H98))*C106)/100</f>
        <v>0.80555555555555558</v>
      </c>
      <c r="E106" s="136"/>
      <c r="F106" s="137"/>
      <c r="G106" s="136"/>
      <c r="H106" s="137"/>
      <c r="I106" s="16" t="s">
        <v>146</v>
      </c>
      <c r="J106" s="31">
        <f>(IF(B98&gt;2,(H98/(B98+2)+J105),0))</f>
        <v>0</v>
      </c>
    </row>
    <row r="107" spans="1:10" ht="15.75" customHeight="1" x14ac:dyDescent="0.25">
      <c r="A107" s="83" t="s">
        <v>134</v>
      </c>
      <c r="B107" s="83" t="s">
        <v>134</v>
      </c>
      <c r="C107" s="55">
        <v>0</v>
      </c>
      <c r="D107" s="19">
        <f>((100/H98)*C107)/100</f>
        <v>0</v>
      </c>
      <c r="E107" s="136"/>
      <c r="F107" s="137"/>
      <c r="G107" s="136"/>
      <c r="H107" s="137"/>
      <c r="I107" s="16" t="s">
        <v>147</v>
      </c>
      <c r="J107" s="32">
        <f>(IF(B98&gt;3,(H98/(B98+2)+J106),0))</f>
        <v>0</v>
      </c>
    </row>
    <row r="108" spans="1:10" ht="15.75" customHeight="1" x14ac:dyDescent="0.25">
      <c r="A108" s="83" t="s">
        <v>141</v>
      </c>
      <c r="B108" s="83"/>
      <c r="C108" s="55">
        <v>0</v>
      </c>
      <c r="D108" s="19">
        <f>((100/H98)*C108)/100</f>
        <v>0</v>
      </c>
      <c r="E108" s="136"/>
      <c r="F108" s="137"/>
      <c r="G108" s="136"/>
      <c r="H108" s="137"/>
      <c r="I108" s="16" t="s">
        <v>148</v>
      </c>
      <c r="J108" s="31">
        <f>(IF(B98&gt;4,(H98/(B98+2)+J107),0))</f>
        <v>0</v>
      </c>
    </row>
    <row r="109" spans="1:10" ht="15.75" customHeight="1" x14ac:dyDescent="0.25">
      <c r="A109" s="83" t="s">
        <v>136</v>
      </c>
      <c r="B109" s="83" t="s">
        <v>136</v>
      </c>
      <c r="C109" s="55">
        <v>0</v>
      </c>
      <c r="D109" s="19">
        <f>((100/(H98))*C109)/100</f>
        <v>0</v>
      </c>
      <c r="E109" s="136"/>
      <c r="F109" s="137"/>
      <c r="G109" s="136"/>
      <c r="H109" s="137"/>
      <c r="I109" s="16" t="s">
        <v>152</v>
      </c>
      <c r="J109" s="31">
        <f>(IF(B98=1,(H98/(B98+3)+J104),IF(B98=0,(H98/4+J104),IF(B98&gt;1,0))))</f>
        <v>27</v>
      </c>
    </row>
    <row r="110" spans="1:10" ht="16.5" thickBot="1" x14ac:dyDescent="0.3">
      <c r="A110" s="84" t="s">
        <v>137</v>
      </c>
      <c r="B110" s="84"/>
      <c r="C110" s="57">
        <v>0</v>
      </c>
      <c r="D110" s="20">
        <f>((100/(H98))*C110)/100</f>
        <v>0</v>
      </c>
      <c r="E110" s="138"/>
      <c r="F110" s="139"/>
      <c r="G110" s="138"/>
      <c r="H110" s="139"/>
      <c r="I110" s="17" t="s">
        <v>104</v>
      </c>
      <c r="J110" s="33">
        <f>(IF(B98&gt;1.5,(H98/(B98+2)+J104+MAX(0,J105-J104)+MAX(0,J106-J105)+MAX(0,J107-J106)+MAX(0,J108-J107)+MAX(0,J109-J108)),IF(B98=1,(H98/(B98+3)+J109),IF(B98=0,H98/4+J109))))</f>
        <v>36</v>
      </c>
    </row>
    <row r="111" spans="1:10" ht="15.75" customHeight="1" x14ac:dyDescent="0.25">
      <c r="A111" s="101" t="s">
        <v>143</v>
      </c>
      <c r="B111" s="102"/>
      <c r="C111" s="101" t="str">
        <f>D61</f>
        <v>Phase II - Tower 4 = 1B + G + 3P + 1st to 36th Floor</v>
      </c>
      <c r="D111" s="103"/>
      <c r="E111" s="103"/>
      <c r="F111" s="103"/>
      <c r="G111" s="103"/>
      <c r="H111" s="102"/>
      <c r="I111" s="62" t="str">
        <f>IF(D124=100%,"All work Completed. Possession granted to the Building.",IF(D123=100%,"All work Completed, Waiting for OC",I112&amp;""&amp;I113&amp;""&amp;J112&amp;""&amp;J111&amp;" "&amp;J113))</f>
        <v>Excavation, Plinth Completed, RCC upto 39 Slab, Brickwork upto 35 Floor, Internal Plaster upto 28 Floor, External Plaster upto 30 Floor Completed</v>
      </c>
      <c r="J111" s="44" t="str">
        <f>(IF(C117=(D112+F112+H112),"",IF(C117&gt;0,", RCC upto "&amp;C117&amp;" Slab","")))&amp;(IF(C118=H112,"",IF(C118&gt;0,", Brickwork upto "&amp;C118&amp;" Floor","")))&amp;(IF(C119=H112,"",IF(C119&gt;0,", Internal Plaster upto "&amp;C119&amp;" Floor","")))&amp;(IF(C120=H112,"",IF(C120&gt;0,", External Plaster upto "&amp;C120&amp;" Floor","")))&amp;(IF(C121=H112,"",IF(C121&gt;0,", Flooring upto "&amp;C121&amp;" Floor","")))&amp;(IF(C122=H112,"",IF(C122&gt;0,", Painting upto "&amp;C122&amp;" Floor","")))&amp;(IF(C123=H112,"",IF(C123&gt;0,", Finishing upto "&amp;C123&amp;" Floor","")))&amp;(IF(C124=H112,"",IF(C124&gt;0,", Possession upto "&amp;C124&amp;" Floor","")))</f>
        <v>, RCC upto 39 Slab, Brickwork upto 35 Floor, Internal Plaster upto 28 Floor, External Plaster upto 30 Floor</v>
      </c>
    </row>
    <row r="112" spans="1:10" s="23" customFormat="1" x14ac:dyDescent="0.25">
      <c r="A112" s="58" t="s">
        <v>145</v>
      </c>
      <c r="B112" s="58">
        <v>1</v>
      </c>
      <c r="C112" s="58" t="s">
        <v>72</v>
      </c>
      <c r="D112" s="58">
        <v>1</v>
      </c>
      <c r="E112" s="58" t="s">
        <v>71</v>
      </c>
      <c r="F112" s="58">
        <v>3</v>
      </c>
      <c r="G112" s="58" t="s">
        <v>81</v>
      </c>
      <c r="H112" s="58">
        <v>36</v>
      </c>
      <c r="I112" s="63" t="str">
        <f>IF(D115=100%,"Excavation","")&amp;IF(D116=100%,", Plinth","")&amp;IF(D117=100%,", RCC Slab","")&amp;IF(D118=100%,", Brickwork","")&amp;IF(D119=100%,", Internal Plaster","")&amp;IF(D120=100%,", External Plaster","")&amp;IF(D121=100%,", Flooring","")&amp;IF(D122=100%,", Painting","")&amp;IF(D123=100%,", Building common Amenities","")</f>
        <v>Excavation, Plinth</v>
      </c>
      <c r="J112" s="51" t="str">
        <f>(IF(C115=0,"Work not yet Started.",IF(D115=25%,"Piling work in process",IF(D115=50%,"Excavation work in process",IF(D115=100%,"","0")))))&amp;(IF(C116=0%,"",IF(C116=J117,", Footing work is process",IF(C116=J118,", Footing work Completed",IF(C116=J119,", 1st Basement Completed",IF(C116=J120,", 1st &amp; 2nd Basement Completed",IF(C116=J121,", 1st to 3rd Basement Completed",IF(C116=J122,", 1st to 4th Basement Completed",IF(C116=J123,", Plinth work is process",IF(C116=J124,"","0"))))))))))</f>
        <v/>
      </c>
    </row>
    <row r="113" spans="1:12" ht="33" customHeight="1" x14ac:dyDescent="0.25">
      <c r="A113" s="104" t="s">
        <v>91</v>
      </c>
      <c r="B113" s="104"/>
      <c r="C113" s="105" t="str">
        <f>(IF($G$53="NA",I111,"All work Completed. OC Received."))</f>
        <v>Excavation, Plinth Completed, RCC upto 39 Slab, Brickwork upto 35 Floor, Internal Plaster upto 28 Floor, External Plaster upto 30 Floor Completed</v>
      </c>
      <c r="D113" s="105"/>
      <c r="E113" s="105"/>
      <c r="F113" s="105"/>
      <c r="G113" s="105"/>
      <c r="H113" s="105"/>
      <c r="I113" s="64" t="str">
        <f>IF(I112&lt;&gt;""," Completed","")</f>
        <v xml:space="preserve"> Completed</v>
      </c>
      <c r="J113" s="45" t="str">
        <f>IF(J111&lt;&gt;"","Completed","")</f>
        <v>Completed</v>
      </c>
    </row>
    <row r="114" spans="1:12" ht="15.75" customHeight="1" x14ac:dyDescent="0.25">
      <c r="A114" s="83" t="s">
        <v>48</v>
      </c>
      <c r="B114" s="83"/>
      <c r="C114" s="55" t="s">
        <v>142</v>
      </c>
      <c r="D114" s="55" t="s">
        <v>84</v>
      </c>
      <c r="E114" s="83" t="s">
        <v>86</v>
      </c>
      <c r="F114" s="83"/>
      <c r="G114" s="83" t="s">
        <v>85</v>
      </c>
      <c r="H114" s="83"/>
      <c r="I114" s="16" t="s">
        <v>144</v>
      </c>
      <c r="J114" s="29">
        <f>H112*25%</f>
        <v>9</v>
      </c>
    </row>
    <row r="115" spans="1:12" x14ac:dyDescent="0.25">
      <c r="A115" s="83" t="s">
        <v>131</v>
      </c>
      <c r="B115" s="83"/>
      <c r="C115" s="55">
        <f>J116</f>
        <v>36</v>
      </c>
      <c r="D115" s="19">
        <f>((100/H112)*C115)/100</f>
        <v>1</v>
      </c>
      <c r="E115" s="134">
        <f>(((C116/H112*10)+(40/(D112+F112+H112)*C117)+(7.5/(H112)*C118)+(7.5/(H112)*C119)+(10/H112*C120)+(10/H112*C121)+(5/H112*C122)+(5/H112*C123)+(5/H112*C124))/100)</f>
        <v>0.70458333333333334</v>
      </c>
      <c r="F115" s="135"/>
      <c r="G115" s="134">
        <f>((((C115/H112)*20)+((C116/H112)*25)+(30/(H112+F112+D112)*C117)+(5/H112*C118)+(5/H112*C119)+(5/H112*C120)+(5/H112*C121)+(0/H112*C122)+(0/H112*C123)+(5/H112*C124))/100)</f>
        <v>0.8716666666666667</v>
      </c>
      <c r="H115" s="135"/>
      <c r="I115" s="16" t="s">
        <v>100</v>
      </c>
      <c r="J115" s="30">
        <f>H112*50%</f>
        <v>18</v>
      </c>
    </row>
    <row r="116" spans="1:12" x14ac:dyDescent="0.25">
      <c r="A116" s="83" t="s">
        <v>49</v>
      </c>
      <c r="B116" s="83"/>
      <c r="C116" s="52">
        <f>J124</f>
        <v>36</v>
      </c>
      <c r="D116" s="19">
        <f>((100/H112)*C116)/100</f>
        <v>1</v>
      </c>
      <c r="E116" s="136"/>
      <c r="F116" s="137"/>
      <c r="G116" s="136"/>
      <c r="H116" s="137"/>
      <c r="I116" s="16" t="s">
        <v>101</v>
      </c>
      <c r="J116" s="30">
        <f>H112</f>
        <v>36</v>
      </c>
    </row>
    <row r="117" spans="1:12" ht="15.75" customHeight="1" x14ac:dyDescent="0.25">
      <c r="A117" s="83" t="s">
        <v>132</v>
      </c>
      <c r="B117" s="83"/>
      <c r="C117" s="55">
        <v>39</v>
      </c>
      <c r="D117" s="19">
        <f>((100/(D112+F112+H112))*C117)/100</f>
        <v>0.97499999999999998</v>
      </c>
      <c r="E117" s="136"/>
      <c r="F117" s="137"/>
      <c r="G117" s="136"/>
      <c r="H117" s="137"/>
      <c r="I117" s="16" t="s">
        <v>102</v>
      </c>
      <c r="J117" s="31">
        <f>(IF(B112&gt;1,(H112/(B112+2)),H112/4))</f>
        <v>9</v>
      </c>
    </row>
    <row r="118" spans="1:12" ht="15.75" customHeight="1" x14ac:dyDescent="0.25">
      <c r="A118" s="83" t="s">
        <v>139</v>
      </c>
      <c r="B118" s="83" t="s">
        <v>133</v>
      </c>
      <c r="C118" s="55">
        <f>C117-F112-D112</f>
        <v>35</v>
      </c>
      <c r="D118" s="19">
        <f>((100/H112)*C118)/100</f>
        <v>0.9722222222222221</v>
      </c>
      <c r="E118" s="136"/>
      <c r="F118" s="137"/>
      <c r="G118" s="136"/>
      <c r="H118" s="137"/>
      <c r="I118" s="16" t="s">
        <v>103</v>
      </c>
      <c r="J118" s="31">
        <f>(IF(B112&gt;1,(H112/(B112+2)+J117),H112/4+J117))</f>
        <v>18</v>
      </c>
    </row>
    <row r="119" spans="1:12" ht="15.75" customHeight="1" x14ac:dyDescent="0.25">
      <c r="A119" s="83" t="s">
        <v>140</v>
      </c>
      <c r="B119" s="83" t="s">
        <v>133</v>
      </c>
      <c r="C119" s="52">
        <f>C118*0.8</f>
        <v>28</v>
      </c>
      <c r="D119" s="19">
        <f>((100/H112)*C119)/100</f>
        <v>0.77777777777777768</v>
      </c>
      <c r="E119" s="136"/>
      <c r="F119" s="137"/>
      <c r="G119" s="136"/>
      <c r="H119" s="137"/>
      <c r="I119" s="16" t="s">
        <v>151</v>
      </c>
      <c r="J119" s="31">
        <f>(IF(B112&gt;1,(H112/(B112+2)+J118),0))</f>
        <v>0</v>
      </c>
    </row>
    <row r="120" spans="1:12" ht="15" customHeight="1" x14ac:dyDescent="0.25">
      <c r="A120" s="83" t="s">
        <v>138</v>
      </c>
      <c r="B120" s="83" t="s">
        <v>135</v>
      </c>
      <c r="C120" s="52">
        <v>30</v>
      </c>
      <c r="D120" s="19">
        <f>((100/(H112))*C120)/100</f>
        <v>0.83333333333333326</v>
      </c>
      <c r="E120" s="136"/>
      <c r="F120" s="137"/>
      <c r="G120" s="136"/>
      <c r="H120" s="137"/>
      <c r="I120" s="16" t="s">
        <v>146</v>
      </c>
      <c r="J120" s="31">
        <f>(IF(B112&gt;2,(H112/(B112+2)+J119),0))</f>
        <v>0</v>
      </c>
    </row>
    <row r="121" spans="1:12" ht="15.75" customHeight="1" x14ac:dyDescent="0.25">
      <c r="A121" s="83" t="s">
        <v>134</v>
      </c>
      <c r="B121" s="83" t="s">
        <v>134</v>
      </c>
      <c r="C121" s="55">
        <v>0</v>
      </c>
      <c r="D121" s="19">
        <f>((100/H112)*C121)/100</f>
        <v>0</v>
      </c>
      <c r="E121" s="136"/>
      <c r="F121" s="137"/>
      <c r="G121" s="136"/>
      <c r="H121" s="137"/>
      <c r="I121" s="16" t="s">
        <v>147</v>
      </c>
      <c r="J121" s="32">
        <f>(IF(B112&gt;3,(H112/(B112+2)+J120),0))</f>
        <v>0</v>
      </c>
    </row>
    <row r="122" spans="1:12" ht="15.75" customHeight="1" x14ac:dyDescent="0.25">
      <c r="A122" s="83" t="s">
        <v>141</v>
      </c>
      <c r="B122" s="83"/>
      <c r="C122" s="55">
        <v>0</v>
      </c>
      <c r="D122" s="19">
        <f>((100/H112)*C122)/100</f>
        <v>0</v>
      </c>
      <c r="E122" s="136"/>
      <c r="F122" s="137"/>
      <c r="G122" s="136"/>
      <c r="H122" s="137"/>
      <c r="I122" s="16" t="s">
        <v>148</v>
      </c>
      <c r="J122" s="31">
        <f>(IF(B112&gt;4,(H112/(B112+2)+J121),0))</f>
        <v>0</v>
      </c>
    </row>
    <row r="123" spans="1:12" ht="15.75" customHeight="1" x14ac:dyDescent="0.25">
      <c r="A123" s="83" t="s">
        <v>136</v>
      </c>
      <c r="B123" s="83" t="s">
        <v>136</v>
      </c>
      <c r="C123" s="55">
        <v>0</v>
      </c>
      <c r="D123" s="19">
        <f>((100/(H112))*C123)/100</f>
        <v>0</v>
      </c>
      <c r="E123" s="136"/>
      <c r="F123" s="137"/>
      <c r="G123" s="136"/>
      <c r="H123" s="137"/>
      <c r="I123" s="16" t="s">
        <v>152</v>
      </c>
      <c r="J123" s="31">
        <f>(IF(B112=1,(H112/(B112+3)+J118),IF(B112=0,(H112/4+J118),IF(B112&gt;1,0))))</f>
        <v>27</v>
      </c>
    </row>
    <row r="124" spans="1:12" ht="16.5" thickBot="1" x14ac:dyDescent="0.3">
      <c r="A124" s="84" t="s">
        <v>137</v>
      </c>
      <c r="B124" s="84"/>
      <c r="C124" s="57">
        <v>0</v>
      </c>
      <c r="D124" s="20">
        <f>((100/(H112))*C124)/100</f>
        <v>0</v>
      </c>
      <c r="E124" s="138"/>
      <c r="F124" s="139"/>
      <c r="G124" s="138"/>
      <c r="H124" s="139"/>
      <c r="I124" s="17" t="s">
        <v>104</v>
      </c>
      <c r="J124" s="33">
        <f>(IF(B112&gt;1.5,(H112/(B112+2)+J118+MAX(0,J119-J118)+MAX(0,J120-J119)+MAX(0,J121-J120)+MAX(0,J122-J121)+MAX(0,J123-J122)),IF(B112=1,(H112/(B112+3)+J123),IF(B112=0,H112/4+J123))))</f>
        <v>36</v>
      </c>
    </row>
    <row r="125" spans="1:12" x14ac:dyDescent="0.25">
      <c r="A125" s="142" t="s">
        <v>163</v>
      </c>
      <c r="B125" s="142"/>
      <c r="C125" s="142"/>
      <c r="D125" s="142"/>
      <c r="E125" s="142"/>
      <c r="F125" s="154" t="s">
        <v>168</v>
      </c>
      <c r="G125" s="154"/>
      <c r="H125" s="154"/>
    </row>
    <row r="126" spans="1:12" x14ac:dyDescent="0.25">
      <c r="A126" s="143" t="s">
        <v>206</v>
      </c>
      <c r="B126" s="143"/>
      <c r="C126" s="143"/>
      <c r="D126" s="143"/>
      <c r="E126" s="143"/>
      <c r="F126" s="155">
        <v>13300</v>
      </c>
      <c r="G126" s="155"/>
      <c r="H126" s="155"/>
      <c r="I126" s="67" t="s">
        <v>207</v>
      </c>
      <c r="J126" s="53"/>
      <c r="K126" s="53"/>
      <c r="L126" s="53"/>
    </row>
    <row r="127" spans="1:12" hidden="1" x14ac:dyDescent="0.25">
      <c r="A127" s="141" t="s">
        <v>165</v>
      </c>
      <c r="B127" s="141"/>
      <c r="C127" s="141"/>
      <c r="D127" s="141"/>
      <c r="E127" s="141"/>
      <c r="F127" s="140"/>
      <c r="G127" s="140"/>
      <c r="H127" s="140"/>
      <c r="I127" s="67" t="s">
        <v>207</v>
      </c>
    </row>
    <row r="128" spans="1:12" hidden="1" x14ac:dyDescent="0.25">
      <c r="A128" s="141" t="s">
        <v>167</v>
      </c>
      <c r="B128" s="141"/>
      <c r="C128" s="141"/>
      <c r="D128" s="141"/>
      <c r="E128" s="141"/>
      <c r="F128" s="140"/>
      <c r="G128" s="140"/>
      <c r="H128" s="140"/>
      <c r="I128" s="67" t="s">
        <v>207</v>
      </c>
    </row>
    <row r="129" spans="1:9" s="34" customFormat="1" hidden="1" x14ac:dyDescent="0.25">
      <c r="A129" s="141" t="s">
        <v>164</v>
      </c>
      <c r="B129" s="141"/>
      <c r="C129" s="141"/>
      <c r="D129" s="141"/>
      <c r="E129" s="141"/>
      <c r="F129" s="140"/>
      <c r="G129" s="140"/>
      <c r="H129" s="140"/>
      <c r="I129" s="67" t="s">
        <v>207</v>
      </c>
    </row>
    <row r="130" spans="1:9" s="34" customFormat="1" x14ac:dyDescent="0.25">
      <c r="A130" s="143" t="s">
        <v>210</v>
      </c>
      <c r="B130" s="143"/>
      <c r="C130" s="143"/>
      <c r="D130" s="143"/>
      <c r="E130" s="143"/>
      <c r="F130" s="155">
        <v>540000</v>
      </c>
      <c r="G130" s="155"/>
      <c r="H130" s="155"/>
      <c r="I130" s="67" t="s">
        <v>211</v>
      </c>
    </row>
    <row r="131" spans="1:9" x14ac:dyDescent="0.25">
      <c r="A131" s="141" t="s">
        <v>166</v>
      </c>
      <c r="B131" s="141"/>
      <c r="C131" s="141"/>
      <c r="D131" s="141"/>
      <c r="E131" s="141"/>
      <c r="F131" s="140">
        <v>11500</v>
      </c>
      <c r="G131" s="140"/>
      <c r="H131" s="140"/>
      <c r="I131" s="68" t="s">
        <v>204</v>
      </c>
    </row>
    <row r="132" spans="1:9" s="34" customFormat="1" x14ac:dyDescent="0.25">
      <c r="A132" s="141" t="s">
        <v>213</v>
      </c>
      <c r="B132" s="141"/>
      <c r="C132" s="141"/>
      <c r="D132" s="141"/>
      <c r="E132" s="141"/>
      <c r="F132" s="140">
        <v>200000</v>
      </c>
      <c r="G132" s="140"/>
      <c r="H132" s="140"/>
      <c r="I132" s="67" t="s">
        <v>214</v>
      </c>
    </row>
    <row r="133" spans="1:9" s="34" customFormat="1" hidden="1" x14ac:dyDescent="0.25">
      <c r="A133" s="141" t="s">
        <v>95</v>
      </c>
      <c r="B133" s="141"/>
      <c r="C133" s="141"/>
      <c r="D133" s="141"/>
      <c r="E133" s="141"/>
      <c r="F133" s="140"/>
      <c r="G133" s="140"/>
      <c r="H133" s="140"/>
      <c r="I133" s="67" t="s">
        <v>207</v>
      </c>
    </row>
    <row r="134" spans="1:9" s="34" customFormat="1" hidden="1" x14ac:dyDescent="0.25">
      <c r="A134" s="141" t="s">
        <v>169</v>
      </c>
      <c r="B134" s="141"/>
      <c r="C134" s="141"/>
      <c r="D134" s="141"/>
      <c r="E134" s="141"/>
      <c r="F134" s="140"/>
      <c r="G134" s="140"/>
      <c r="H134" s="140"/>
      <c r="I134" s="67" t="s">
        <v>207</v>
      </c>
    </row>
    <row r="135" spans="1:9" s="34" customFormat="1" hidden="1" x14ac:dyDescent="0.25">
      <c r="A135" s="141" t="s">
        <v>96</v>
      </c>
      <c r="B135" s="141"/>
      <c r="C135" s="141"/>
      <c r="D135" s="141"/>
      <c r="E135" s="141"/>
      <c r="F135" s="140"/>
      <c r="G135" s="140"/>
      <c r="H135" s="140"/>
      <c r="I135" s="67" t="s">
        <v>207</v>
      </c>
    </row>
    <row r="136" spans="1:9" s="34" customFormat="1" hidden="1" x14ac:dyDescent="0.25">
      <c r="A136" s="141" t="s">
        <v>97</v>
      </c>
      <c r="B136" s="141"/>
      <c r="C136" s="141"/>
      <c r="D136" s="141"/>
      <c r="E136" s="141"/>
      <c r="F136" s="140"/>
      <c r="G136" s="140"/>
      <c r="H136" s="140"/>
      <c r="I136" s="67" t="s">
        <v>207</v>
      </c>
    </row>
    <row r="137" spans="1:9" s="34" customFormat="1" hidden="1" x14ac:dyDescent="0.25">
      <c r="A137" s="141" t="s">
        <v>98</v>
      </c>
      <c r="B137" s="141"/>
      <c r="C137" s="141"/>
      <c r="D137" s="141"/>
      <c r="E137" s="141"/>
      <c r="F137" s="140"/>
      <c r="G137" s="140"/>
      <c r="H137" s="140"/>
      <c r="I137" s="67" t="s">
        <v>207</v>
      </c>
    </row>
    <row r="138" spans="1:9" s="34" customFormat="1" hidden="1" x14ac:dyDescent="0.25">
      <c r="A138" s="141" t="s">
        <v>99</v>
      </c>
      <c r="B138" s="141"/>
      <c r="C138" s="141"/>
      <c r="D138" s="141"/>
      <c r="E138" s="141"/>
      <c r="F138" s="140"/>
      <c r="G138" s="140"/>
      <c r="H138" s="140"/>
      <c r="I138" s="67" t="s">
        <v>207</v>
      </c>
    </row>
    <row r="139" spans="1:9" s="34" customFormat="1" x14ac:dyDescent="0.25">
      <c r="A139" s="143" t="s">
        <v>217</v>
      </c>
      <c r="B139" s="143"/>
      <c r="C139" s="143"/>
      <c r="D139" s="143"/>
      <c r="E139" s="143"/>
      <c r="F139" s="155">
        <v>1000000</v>
      </c>
      <c r="G139" s="155"/>
      <c r="H139" s="155"/>
      <c r="I139" s="67" t="s">
        <v>218</v>
      </c>
    </row>
    <row r="140" spans="1:9" x14ac:dyDescent="0.25">
      <c r="A140" s="141" t="s">
        <v>50</v>
      </c>
      <c r="B140" s="141"/>
      <c r="C140" s="141"/>
      <c r="D140" s="141"/>
      <c r="E140" s="141"/>
      <c r="F140" s="140">
        <v>700000</v>
      </c>
      <c r="G140" s="140"/>
      <c r="H140" s="140"/>
      <c r="I140" s="67" t="s">
        <v>203</v>
      </c>
    </row>
    <row r="141" spans="1:9" s="35" customFormat="1" x14ac:dyDescent="0.25">
      <c r="A141" s="161" t="s">
        <v>51</v>
      </c>
      <c r="B141" s="161"/>
      <c r="C141" s="161"/>
      <c r="D141" s="161"/>
      <c r="E141" s="161"/>
      <c r="F141" s="140">
        <f>F131*0.8</f>
        <v>9200</v>
      </c>
      <c r="G141" s="140"/>
      <c r="H141" s="140"/>
      <c r="I141" s="69" t="s">
        <v>205</v>
      </c>
    </row>
    <row r="142" spans="1:9" s="36" customFormat="1" ht="15.75" hidden="1" customHeight="1" x14ac:dyDescent="0.25">
      <c r="A142" s="123" t="s">
        <v>76</v>
      </c>
      <c r="B142" s="123"/>
      <c r="C142" s="123"/>
      <c r="D142" s="123"/>
      <c r="E142" s="123"/>
      <c r="F142" s="123"/>
      <c r="G142" s="123"/>
      <c r="H142" s="123"/>
      <c r="I142" s="66"/>
    </row>
    <row r="143" spans="1:9" s="36" customFormat="1" ht="15.75" hidden="1" customHeight="1" x14ac:dyDescent="0.25">
      <c r="A143" s="145" t="s">
        <v>52</v>
      </c>
      <c r="B143" s="145"/>
      <c r="C143" s="125" t="s">
        <v>79</v>
      </c>
      <c r="D143" s="125"/>
      <c r="E143" s="207" t="s">
        <v>53</v>
      </c>
      <c r="F143" s="207"/>
      <c r="G143" s="145" t="s">
        <v>54</v>
      </c>
      <c r="H143" s="145"/>
      <c r="I143" s="66"/>
    </row>
    <row r="144" spans="1:9" s="36" customFormat="1" hidden="1" x14ac:dyDescent="0.25">
      <c r="A144" s="205"/>
      <c r="B144" s="205"/>
      <c r="C144" s="144"/>
      <c r="D144" s="144"/>
      <c r="E144" s="226"/>
      <c r="F144" s="226"/>
      <c r="G144" s="225"/>
      <c r="H144" s="225"/>
      <c r="I144" s="66"/>
    </row>
    <row r="145" spans="1:14" s="36" customFormat="1" hidden="1" x14ac:dyDescent="0.25">
      <c r="A145" s="205"/>
      <c r="B145" s="205"/>
      <c r="C145" s="144"/>
      <c r="D145" s="144"/>
      <c r="E145" s="226"/>
      <c r="F145" s="226"/>
      <c r="G145" s="225"/>
      <c r="H145" s="225"/>
      <c r="I145" s="66"/>
    </row>
    <row r="146" spans="1:14" s="36" customFormat="1" hidden="1" x14ac:dyDescent="0.25">
      <c r="A146" s="123" t="s">
        <v>156</v>
      </c>
      <c r="B146" s="123"/>
      <c r="C146" s="125"/>
      <c r="D146" s="125"/>
      <c r="E146" s="207"/>
      <c r="F146" s="207"/>
      <c r="G146" s="145"/>
      <c r="H146" s="145"/>
      <c r="I146" s="66"/>
    </row>
    <row r="147" spans="1:14" s="36" customFormat="1" x14ac:dyDescent="0.25">
      <c r="A147" s="123" t="s">
        <v>70</v>
      </c>
      <c r="B147" s="123"/>
      <c r="C147" s="123"/>
      <c r="D147" s="123"/>
      <c r="E147" s="123"/>
      <c r="F147" s="123"/>
      <c r="G147" s="123"/>
      <c r="H147" s="123"/>
      <c r="I147" s="66" t="s">
        <v>216</v>
      </c>
    </row>
    <row r="148" spans="1:14" s="36" customFormat="1" ht="15.75" customHeight="1" x14ac:dyDescent="0.25">
      <c r="A148" s="145" t="s">
        <v>52</v>
      </c>
      <c r="B148" s="145"/>
      <c r="C148" s="125" t="s">
        <v>79</v>
      </c>
      <c r="D148" s="125"/>
      <c r="E148" s="207" t="s">
        <v>53</v>
      </c>
      <c r="F148" s="207"/>
      <c r="G148" s="145" t="s">
        <v>54</v>
      </c>
      <c r="H148" s="145"/>
    </row>
    <row r="149" spans="1:14" s="36" customFormat="1" x14ac:dyDescent="0.25">
      <c r="A149" s="98" t="s">
        <v>198</v>
      </c>
      <c r="B149" s="75" t="s">
        <v>238</v>
      </c>
      <c r="C149" s="96">
        <f>COUNT(D170:D171,D174:D175)*3+COUNT(D177:D182)*28+COUNT(D184:D188)*7</f>
        <v>215</v>
      </c>
      <c r="D149" s="96"/>
      <c r="E149" s="97">
        <f>SUM(D170:D171,D174:D175)*3+SUM(D177:D182)*28+SUM(D184:D188)*7</f>
        <v>106818.38387999996</v>
      </c>
      <c r="F149" s="97"/>
      <c r="G149" s="97">
        <f>SUM(F170:F171,F174:F175)*3+SUM(F177:F182)*28+SUM(F184:F188)*7</f>
        <v>170909.414208</v>
      </c>
      <c r="H149" s="97"/>
    </row>
    <row r="150" spans="1:14" s="36" customFormat="1" x14ac:dyDescent="0.25">
      <c r="A150" s="99"/>
      <c r="B150" s="75" t="s">
        <v>239</v>
      </c>
      <c r="C150" s="96">
        <f>COUNT(D194)+COUNT(D202)+COUNT(D210:D216)*28+COUNT(D218:D222,D224)*7</f>
        <v>240</v>
      </c>
      <c r="D150" s="96"/>
      <c r="E150" s="97">
        <f>SUM(D194)+SUM(D202)+SUM(D210:D216)*28+SUM(D218:D222,D224)*7</f>
        <v>123625.40111999997</v>
      </c>
      <c r="F150" s="97"/>
      <c r="G150" s="97">
        <f>SUM(F194)+SUM(F202)+SUM(F210:F216)*28+SUM(F218:F222,F224)*7</f>
        <v>197800.64179199998</v>
      </c>
      <c r="H150" s="97"/>
    </row>
    <row r="151" spans="1:14" s="36" customFormat="1" x14ac:dyDescent="0.25">
      <c r="A151" s="99"/>
      <c r="B151" s="59" t="s">
        <v>199</v>
      </c>
      <c r="C151" s="144">
        <f>COUNT(D230:D237)*28+COUNT(D239:D245)*7</f>
        <v>273</v>
      </c>
      <c r="D151" s="144"/>
      <c r="E151" s="97">
        <f>SUM(D230:D237)*28+SUM(D239:D245)*7</f>
        <v>120371.44391999999</v>
      </c>
      <c r="F151" s="97"/>
      <c r="G151" s="97">
        <f>SUM(F230:F237)*28+SUM(F239:F245)*7</f>
        <v>192594.31027199997</v>
      </c>
      <c r="H151" s="97"/>
    </row>
    <row r="152" spans="1:14" s="36" customFormat="1" x14ac:dyDescent="0.25">
      <c r="A152" s="100"/>
      <c r="B152" s="59" t="s">
        <v>200</v>
      </c>
      <c r="C152" s="144">
        <f>COUNT(D252:D259)*28+COUNT(D261:D267)*7</f>
        <v>273</v>
      </c>
      <c r="D152" s="144"/>
      <c r="E152" s="97">
        <f>SUM(D252:D259)*28+SUM(D261:D267)*7</f>
        <v>181006.99344000002</v>
      </c>
      <c r="F152" s="97"/>
      <c r="G152" s="97">
        <f>SUM(F252:F259)*28+SUM(F261:F267)*7</f>
        <v>289611.18950399995</v>
      </c>
      <c r="H152" s="97"/>
    </row>
    <row r="153" spans="1:14" s="36" customFormat="1" x14ac:dyDescent="0.25">
      <c r="A153" s="123" t="s">
        <v>156</v>
      </c>
      <c r="B153" s="123"/>
      <c r="C153" s="124">
        <f>SUM(C149:D152)</f>
        <v>1001</v>
      </c>
      <c r="D153" s="125"/>
      <c r="E153" s="124">
        <f>SUM(E149:F152)</f>
        <v>531822.2223599999</v>
      </c>
      <c r="F153" s="125"/>
      <c r="G153" s="124">
        <f>SUM(G149:H152)</f>
        <v>850915.55577599979</v>
      </c>
      <c r="H153" s="125"/>
    </row>
    <row r="154" spans="1:14" s="35" customFormat="1" x14ac:dyDescent="0.25">
      <c r="A154" s="128" t="s">
        <v>55</v>
      </c>
      <c r="B154" s="128"/>
      <c r="C154" s="128"/>
      <c r="D154" s="128"/>
      <c r="E154" s="128"/>
      <c r="F154" s="128"/>
      <c r="G154" s="128"/>
      <c r="H154" s="128"/>
    </row>
    <row r="155" spans="1:14" ht="15.75" customHeight="1" x14ac:dyDescent="0.25">
      <c r="A155" s="128" t="s">
        <v>56</v>
      </c>
      <c r="B155" s="128"/>
      <c r="C155" s="128"/>
      <c r="D155" s="128"/>
      <c r="E155" s="128"/>
      <c r="F155" s="128"/>
      <c r="G155" s="128"/>
      <c r="H155" s="128"/>
      <c r="J155" s="227" t="s">
        <v>215</v>
      </c>
      <c r="K155" s="227"/>
      <c r="L155" s="227"/>
      <c r="M155" s="227"/>
    </row>
    <row r="156" spans="1:14" ht="47.25" hidden="1" customHeight="1" x14ac:dyDescent="0.25">
      <c r="A156" s="126" t="s">
        <v>122</v>
      </c>
      <c r="B156" s="126" t="s">
        <v>121</v>
      </c>
      <c r="C156" s="126" t="s">
        <v>57</v>
      </c>
      <c r="D156" s="126" t="s">
        <v>58</v>
      </c>
      <c r="E156" s="150" t="s">
        <v>162</v>
      </c>
      <c r="F156" s="54" t="s">
        <v>154</v>
      </c>
      <c r="G156" s="147" t="s">
        <v>60</v>
      </c>
      <c r="H156" s="152"/>
    </row>
    <row r="157" spans="1:14" s="43" customFormat="1" hidden="1" x14ac:dyDescent="0.25">
      <c r="A157" s="127"/>
      <c r="B157" s="127"/>
      <c r="C157" s="127"/>
      <c r="D157" s="127"/>
      <c r="E157" s="151"/>
      <c r="F157" s="15">
        <v>0.6</v>
      </c>
      <c r="G157" s="148"/>
      <c r="H157" s="153"/>
    </row>
    <row r="158" spans="1:14" s="43" customFormat="1" hidden="1" x14ac:dyDescent="0.25">
      <c r="A158" s="93" t="s">
        <v>119</v>
      </c>
      <c r="B158" s="94"/>
      <c r="C158" s="94"/>
      <c r="D158" s="94"/>
      <c r="E158" s="94"/>
      <c r="F158" s="94"/>
      <c r="G158" s="94"/>
      <c r="H158" s="95"/>
      <c r="J158" s="37"/>
    </row>
    <row r="159" spans="1:14" s="43" customFormat="1" hidden="1" x14ac:dyDescent="0.25">
      <c r="A159" s="85">
        <v>1</v>
      </c>
      <c r="B159" s="86"/>
      <c r="C159" s="56"/>
      <c r="D159" s="56"/>
      <c r="E159" s="56">
        <v>0</v>
      </c>
      <c r="F159" s="56">
        <f>(D159+E159)*(($F$157)+1)</f>
        <v>0</v>
      </c>
      <c r="G159" s="85" t="str">
        <f>A158</f>
        <v>Ground Floor</v>
      </c>
      <c r="H159" s="86"/>
      <c r="I159" s="37"/>
      <c r="L159" s="121"/>
      <c r="M159" s="121"/>
      <c r="N159" s="37"/>
    </row>
    <row r="160" spans="1:14" s="43" customFormat="1" hidden="1" x14ac:dyDescent="0.25">
      <c r="A160" s="85">
        <f t="shared" ref="A160:A162" si="0">A159+1</f>
        <v>2</v>
      </c>
      <c r="B160" s="86"/>
      <c r="C160" s="56"/>
      <c r="D160" s="56"/>
      <c r="E160" s="56">
        <v>0</v>
      </c>
      <c r="F160" s="56">
        <f t="shared" ref="F160:F162" si="1">(D160+E160)*(($F$157)+1)</f>
        <v>0</v>
      </c>
      <c r="G160" s="85" t="str">
        <f t="shared" ref="G160:G162" si="2">G159</f>
        <v>Ground Floor</v>
      </c>
      <c r="H160" s="86"/>
      <c r="I160" s="37"/>
      <c r="L160" s="121"/>
      <c r="M160" s="121"/>
      <c r="N160" s="37"/>
    </row>
    <row r="161" spans="1:16" s="43" customFormat="1" hidden="1" x14ac:dyDescent="0.25">
      <c r="A161" s="85">
        <f t="shared" si="0"/>
        <v>3</v>
      </c>
      <c r="B161" s="86"/>
      <c r="C161" s="56"/>
      <c r="D161" s="56"/>
      <c r="E161" s="56">
        <v>0</v>
      </c>
      <c r="F161" s="56">
        <f t="shared" si="1"/>
        <v>0</v>
      </c>
      <c r="G161" s="85" t="str">
        <f t="shared" si="2"/>
        <v>Ground Floor</v>
      </c>
      <c r="H161" s="86"/>
      <c r="I161" s="37"/>
      <c r="L161" s="121"/>
      <c r="M161" s="121"/>
      <c r="N161" s="37"/>
    </row>
    <row r="162" spans="1:16" s="43" customFormat="1" hidden="1" x14ac:dyDescent="0.25">
      <c r="A162" s="85">
        <f t="shared" si="0"/>
        <v>4</v>
      </c>
      <c r="B162" s="86"/>
      <c r="C162" s="56"/>
      <c r="D162" s="56"/>
      <c r="E162" s="56">
        <v>0</v>
      </c>
      <c r="F162" s="56">
        <f t="shared" si="1"/>
        <v>0</v>
      </c>
      <c r="G162" s="85" t="str">
        <f t="shared" si="2"/>
        <v>Ground Floor</v>
      </c>
      <c r="H162" s="86"/>
      <c r="I162" s="37"/>
      <c r="L162" s="121"/>
      <c r="M162" s="121"/>
      <c r="N162" s="37"/>
    </row>
    <row r="163" spans="1:16" s="43" customFormat="1" hidden="1" x14ac:dyDescent="0.25">
      <c r="A163" s="85"/>
      <c r="B163" s="149"/>
      <c r="C163" s="149"/>
      <c r="D163" s="149"/>
      <c r="E163" s="149"/>
      <c r="F163" s="149"/>
      <c r="G163" s="149"/>
      <c r="H163" s="86"/>
      <c r="I163" s="37"/>
      <c r="N163" s="37"/>
    </row>
    <row r="164" spans="1:16" ht="47.25" customHeight="1" x14ac:dyDescent="0.25">
      <c r="A164" s="147" t="s">
        <v>123</v>
      </c>
      <c r="B164" s="147" t="s">
        <v>124</v>
      </c>
      <c r="C164" s="126" t="s">
        <v>57</v>
      </c>
      <c r="D164" s="126" t="s">
        <v>58</v>
      </c>
      <c r="E164" s="150" t="s">
        <v>59</v>
      </c>
      <c r="F164" s="54" t="s">
        <v>154</v>
      </c>
      <c r="G164" s="147" t="s">
        <v>60</v>
      </c>
      <c r="H164" s="152"/>
      <c r="I164" s="37"/>
    </row>
    <row r="165" spans="1:16" s="43" customFormat="1" x14ac:dyDescent="0.25">
      <c r="A165" s="148"/>
      <c r="B165" s="148"/>
      <c r="C165" s="127"/>
      <c r="D165" s="127"/>
      <c r="E165" s="151"/>
      <c r="F165" s="15">
        <v>0.6</v>
      </c>
      <c r="G165" s="148"/>
      <c r="H165" s="153"/>
      <c r="I165" s="37"/>
    </row>
    <row r="166" spans="1:16" s="47" customFormat="1" x14ac:dyDescent="0.25">
      <c r="A166" s="93" t="s">
        <v>198</v>
      </c>
      <c r="B166" s="94"/>
      <c r="C166" s="94"/>
      <c r="D166" s="94"/>
      <c r="E166" s="94"/>
      <c r="F166" s="94"/>
      <c r="G166" s="94"/>
      <c r="H166" s="95"/>
      <c r="J166" s="37"/>
    </row>
    <row r="167" spans="1:16" s="72" customFormat="1" x14ac:dyDescent="0.25">
      <c r="A167" s="93" t="s">
        <v>228</v>
      </c>
      <c r="B167" s="94"/>
      <c r="C167" s="94"/>
      <c r="D167" s="94"/>
      <c r="E167" s="94"/>
      <c r="F167" s="94"/>
      <c r="G167" s="94"/>
      <c r="H167" s="95"/>
      <c r="J167" s="37"/>
    </row>
    <row r="168" spans="1:16" s="72" customFormat="1" x14ac:dyDescent="0.25">
      <c r="A168" s="93" t="s">
        <v>229</v>
      </c>
      <c r="B168" s="94"/>
      <c r="C168" s="94"/>
      <c r="D168" s="94"/>
      <c r="E168" s="94"/>
      <c r="F168" s="94"/>
      <c r="G168" s="94"/>
      <c r="H168" s="95"/>
      <c r="J168" s="49">
        <f>10.764</f>
        <v>10.763999999999999</v>
      </c>
    </row>
    <row r="169" spans="1:16" s="72" customFormat="1" x14ac:dyDescent="0.25">
      <c r="A169" s="122" t="s">
        <v>233</v>
      </c>
      <c r="B169" s="122"/>
      <c r="C169" s="122"/>
      <c r="D169" s="122"/>
      <c r="E169" s="122"/>
      <c r="F169" s="122"/>
      <c r="G169" s="122"/>
      <c r="H169" s="122"/>
      <c r="I169" s="37"/>
      <c r="L169" s="121"/>
      <c r="M169" s="121"/>
    </row>
    <row r="170" spans="1:16" s="72" customFormat="1" ht="15.75" customHeight="1" x14ac:dyDescent="0.25">
      <c r="A170" s="109">
        <v>1</v>
      </c>
      <c r="B170" s="109"/>
      <c r="C170" s="46">
        <v>1</v>
      </c>
      <c r="D170" s="49">
        <f>(37.99)*(10.764)</f>
        <v>408.92435999999998</v>
      </c>
      <c r="E170" s="71">
        <v>0</v>
      </c>
      <c r="F170" s="71">
        <f t="shared" ref="F170:F171" si="3">D170*(($F$165)+1)+(IF(E170&lt;101,E170,IF(E170&lt;201,E170/2,IF(E170&lt;=301,E170/3,E170/4))))</f>
        <v>654.27897600000006</v>
      </c>
      <c r="G170" s="87" t="str">
        <f>A169</f>
        <v>1st, 2nd &amp; Top Podium Floors For Residential &amp; Parking</v>
      </c>
      <c r="H170" s="88"/>
      <c r="I170" s="37">
        <f>(2.89*4.96+2.13*2.74+3.05*3.35+1.99*1.38+1.3*1.99)</f>
        <v>35.721300000000006</v>
      </c>
      <c r="N170" s="37"/>
    </row>
    <row r="171" spans="1:16" s="72" customFormat="1" x14ac:dyDescent="0.25">
      <c r="A171" s="109">
        <f>A170+1</f>
        <v>2</v>
      </c>
      <c r="B171" s="109"/>
      <c r="C171" s="46">
        <v>2</v>
      </c>
      <c r="D171" s="49">
        <f>(58.1)*(10.764)</f>
        <v>625.38839999999993</v>
      </c>
      <c r="E171" s="71">
        <v>0</v>
      </c>
      <c r="F171" s="71">
        <f t="shared" si="3"/>
        <v>1000.6214399999999</v>
      </c>
      <c r="G171" s="89"/>
      <c r="H171" s="90"/>
      <c r="I171" s="37">
        <f>(3.05*5.57+2.13*3.35+3.05*3.35+3.05*3.65+2.13*1.37+1.37*2.13+0.9*3.2)</f>
        <v>54.190200000000004</v>
      </c>
      <c r="N171" s="37"/>
    </row>
    <row r="172" spans="1:16" s="72" customFormat="1" x14ac:dyDescent="0.25">
      <c r="A172" s="109">
        <f>A171+1</f>
        <v>3</v>
      </c>
      <c r="B172" s="109"/>
      <c r="C172" s="110" t="s">
        <v>230</v>
      </c>
      <c r="D172" s="111"/>
      <c r="E172" s="111"/>
      <c r="F172" s="112"/>
      <c r="G172" s="89"/>
      <c r="H172" s="90"/>
      <c r="I172" s="37"/>
      <c r="N172" s="37"/>
    </row>
    <row r="173" spans="1:16" s="72" customFormat="1" x14ac:dyDescent="0.25">
      <c r="A173" s="109">
        <f>A172+1</f>
        <v>4</v>
      </c>
      <c r="B173" s="109"/>
      <c r="C173" s="116"/>
      <c r="D173" s="117"/>
      <c r="E173" s="117"/>
      <c r="F173" s="118"/>
      <c r="G173" s="89"/>
      <c r="H173" s="90"/>
      <c r="I173" s="37"/>
      <c r="N173" s="37"/>
    </row>
    <row r="174" spans="1:16" s="72" customFormat="1" x14ac:dyDescent="0.25">
      <c r="A174" s="109">
        <f>A173+1</f>
        <v>5</v>
      </c>
      <c r="B174" s="109"/>
      <c r="C174" s="46">
        <v>1</v>
      </c>
      <c r="D174" s="49">
        <f>(39.91)*(10.764)</f>
        <v>429.59123999999991</v>
      </c>
      <c r="E174" s="71">
        <v>0</v>
      </c>
      <c r="F174" s="71">
        <f>D174*(($F$165)+1)+(IF(E174&lt;101,E174,IF(E174&lt;201,E174/2,IF(E174&lt;=301,E174/3,E174/4))))</f>
        <v>687.34598399999993</v>
      </c>
      <c r="G174" s="89"/>
      <c r="H174" s="90"/>
      <c r="I174" s="37"/>
      <c r="N174" s="37"/>
    </row>
    <row r="175" spans="1:16" s="72" customFormat="1" x14ac:dyDescent="0.25">
      <c r="A175" s="109">
        <f>A174+1</f>
        <v>6</v>
      </c>
      <c r="B175" s="109"/>
      <c r="C175" s="46">
        <v>1</v>
      </c>
      <c r="D175" s="49">
        <f>(38.62)*(10.764)</f>
        <v>415.70567999999997</v>
      </c>
      <c r="E175" s="71">
        <v>0</v>
      </c>
      <c r="F175" s="71">
        <f>D175*(($F$165)+1)+(IF(E175&lt;101,E175,IF(E175&lt;201,E175/2,IF(E175&lt;=301,E175/3,E175/4))))</f>
        <v>665.12908800000002</v>
      </c>
      <c r="G175" s="91"/>
      <c r="H175" s="92"/>
      <c r="I175" s="37"/>
      <c r="N175" s="37"/>
    </row>
    <row r="176" spans="1:16" s="72" customFormat="1" ht="32.25" customHeight="1" x14ac:dyDescent="0.25">
      <c r="A176" s="93" t="s">
        <v>231</v>
      </c>
      <c r="B176" s="94"/>
      <c r="C176" s="94"/>
      <c r="D176" s="94"/>
      <c r="E176" s="94"/>
      <c r="F176" s="94"/>
      <c r="G176" s="94"/>
      <c r="H176" s="95"/>
      <c r="I176" s="37">
        <f>3+4+4+4+4+4+4+1</f>
        <v>28</v>
      </c>
      <c r="P176" s="38"/>
    </row>
    <row r="177" spans="1:16" s="72" customFormat="1" ht="15.75" customHeight="1" x14ac:dyDescent="0.25">
      <c r="A177" s="85">
        <v>1</v>
      </c>
      <c r="B177" s="86"/>
      <c r="C177" s="46">
        <v>1</v>
      </c>
      <c r="D177" s="49">
        <f>(37.99)*(10.764)</f>
        <v>408.92435999999998</v>
      </c>
      <c r="E177" s="71">
        <v>0</v>
      </c>
      <c r="F177" s="71">
        <f t="shared" ref="F177:F182" si="4">D177*(($F$165)+1)+(IF(E177&lt;101,E177,IF(E177&lt;201,E177/2,IF(E177&lt;=301,E177/3,E177/4))))</f>
        <v>654.27897600000006</v>
      </c>
      <c r="G177" s="87" t="str">
        <f>A176</f>
        <v>1st to 3rd, 5th to 8th, 10th to 13th, 15th to 18th, 20th to 23rd, 25th to 28th, 
30th to 33rd &amp; 35th Floor For Residential</v>
      </c>
      <c r="H177" s="88"/>
      <c r="I177" s="37"/>
    </row>
    <row r="178" spans="1:16" s="72" customFormat="1" x14ac:dyDescent="0.25">
      <c r="A178" s="85">
        <f>A177+1</f>
        <v>2</v>
      </c>
      <c r="B178" s="86"/>
      <c r="C178" s="46">
        <v>2</v>
      </c>
      <c r="D178" s="49">
        <f>(58.1)*(10.764)</f>
        <v>625.38839999999993</v>
      </c>
      <c r="E178" s="71">
        <v>0</v>
      </c>
      <c r="F178" s="71">
        <f t="shared" si="4"/>
        <v>1000.6214399999999</v>
      </c>
      <c r="G178" s="89"/>
      <c r="H178" s="90"/>
      <c r="I178" s="37"/>
    </row>
    <row r="179" spans="1:16" s="72" customFormat="1" ht="15.75" customHeight="1" x14ac:dyDescent="0.25">
      <c r="A179" s="85">
        <f t="shared" ref="A179:A181" si="5">A178+1</f>
        <v>3</v>
      </c>
      <c r="B179" s="86"/>
      <c r="C179" s="46">
        <v>2</v>
      </c>
      <c r="D179" s="49">
        <f>(61.76)*(10.764)</f>
        <v>664.78463999999997</v>
      </c>
      <c r="E179" s="71">
        <v>0</v>
      </c>
      <c r="F179" s="71">
        <f t="shared" si="4"/>
        <v>1063.655424</v>
      </c>
      <c r="G179" s="89"/>
      <c r="H179" s="90"/>
      <c r="I179" s="37">
        <f>(3.05*5.48+2.13*3.58+3.05*3.35+3.05*3.65+2.13*1.37+2.13*1.37+0.95*3.3+1*2.45)</f>
        <v>57.110600000000005</v>
      </c>
    </row>
    <row r="180" spans="1:16" s="72" customFormat="1" ht="15.75" customHeight="1" x14ac:dyDescent="0.25">
      <c r="A180" s="85">
        <f t="shared" si="5"/>
        <v>4</v>
      </c>
      <c r="B180" s="86"/>
      <c r="C180" s="46">
        <v>1</v>
      </c>
      <c r="D180" s="49">
        <f>(39.91)*(10.764)</f>
        <v>429.59123999999991</v>
      </c>
      <c r="E180" s="71">
        <v>0</v>
      </c>
      <c r="F180" s="71">
        <f t="shared" si="4"/>
        <v>687.34598399999993</v>
      </c>
      <c r="G180" s="89"/>
      <c r="H180" s="90"/>
      <c r="I180" s="37"/>
    </row>
    <row r="181" spans="1:16" s="72" customFormat="1" ht="15.75" customHeight="1" x14ac:dyDescent="0.25">
      <c r="A181" s="85">
        <f t="shared" si="5"/>
        <v>5</v>
      </c>
      <c r="B181" s="86"/>
      <c r="C181" s="46">
        <v>1</v>
      </c>
      <c r="D181" s="49">
        <f>(39.91)*(10.764)</f>
        <v>429.59123999999991</v>
      </c>
      <c r="E181" s="71">
        <v>0</v>
      </c>
      <c r="F181" s="71">
        <f t="shared" si="4"/>
        <v>687.34598399999993</v>
      </c>
      <c r="G181" s="89"/>
      <c r="H181" s="90"/>
      <c r="I181" s="37"/>
    </row>
    <row r="182" spans="1:16" s="72" customFormat="1" ht="15.75" customHeight="1" x14ac:dyDescent="0.25">
      <c r="A182" s="85">
        <f t="shared" ref="A182" si="6">A181+1</f>
        <v>6</v>
      </c>
      <c r="B182" s="86"/>
      <c r="C182" s="46">
        <v>1</v>
      </c>
      <c r="D182" s="49">
        <f>(38.62)*(10.764)</f>
        <v>415.70567999999997</v>
      </c>
      <c r="E182" s="71">
        <v>0</v>
      </c>
      <c r="F182" s="71">
        <f t="shared" si="4"/>
        <v>665.12908800000002</v>
      </c>
      <c r="G182" s="91"/>
      <c r="H182" s="92"/>
      <c r="I182" s="37"/>
    </row>
    <row r="183" spans="1:16" s="72" customFormat="1" x14ac:dyDescent="0.25">
      <c r="A183" s="93" t="s">
        <v>232</v>
      </c>
      <c r="B183" s="94"/>
      <c r="C183" s="94"/>
      <c r="D183" s="94"/>
      <c r="E183" s="94"/>
      <c r="F183" s="94"/>
      <c r="G183" s="94"/>
      <c r="H183" s="95"/>
      <c r="I183" s="37"/>
      <c r="P183" s="38"/>
    </row>
    <row r="184" spans="1:16" s="72" customFormat="1" ht="15.75" customHeight="1" x14ac:dyDescent="0.25">
      <c r="A184" s="85">
        <v>1</v>
      </c>
      <c r="B184" s="86"/>
      <c r="C184" s="46">
        <v>1</v>
      </c>
      <c r="D184" s="49">
        <f>(37.99)*(10.764)</f>
        <v>408.92435999999998</v>
      </c>
      <c r="E184" s="71">
        <v>0</v>
      </c>
      <c r="F184" s="71">
        <f>D184*(($F$165)+1)+(IF(E184&lt;101,E184,IF(E184&lt;201,E184/2,IF(E184&lt;=301,E184/3,E184/4))))</f>
        <v>654.27897600000006</v>
      </c>
      <c r="G184" s="87" t="str">
        <f>A183</f>
        <v>4th, 9th, 14th, 19th, 24th, 29th &amp; 34th Floor (Part Refuge Area)</v>
      </c>
      <c r="H184" s="88"/>
      <c r="I184" s="37"/>
    </row>
    <row r="185" spans="1:16" s="72" customFormat="1" x14ac:dyDescent="0.25">
      <c r="A185" s="85">
        <f>A184+1</f>
        <v>2</v>
      </c>
      <c r="B185" s="86"/>
      <c r="C185" s="46">
        <v>2</v>
      </c>
      <c r="D185" s="49">
        <f>(58.1)*(10.764)</f>
        <v>625.38839999999993</v>
      </c>
      <c r="E185" s="71">
        <v>0</v>
      </c>
      <c r="F185" s="71">
        <f>D185*(($F$165)+1)+(IF(E185&lt;101,E185,IF(E185&lt;201,E185/2,IF(E185&lt;=301,E185/3,E185/4))))</f>
        <v>1000.6214399999999</v>
      </c>
      <c r="G185" s="89"/>
      <c r="H185" s="90"/>
      <c r="I185" s="37"/>
    </row>
    <row r="186" spans="1:16" s="72" customFormat="1" ht="15.75" customHeight="1" x14ac:dyDescent="0.25">
      <c r="A186" s="85">
        <f t="shared" ref="A186:A189" si="7">A185+1</f>
        <v>3</v>
      </c>
      <c r="B186" s="86"/>
      <c r="C186" s="46">
        <v>2</v>
      </c>
      <c r="D186" s="49">
        <f>(61.76)*(10.764)</f>
        <v>664.78463999999997</v>
      </c>
      <c r="E186" s="71">
        <v>0</v>
      </c>
      <c r="F186" s="71">
        <f>D186*(($F$165)+1)+(IF(E186&lt;101,E186,IF(E186&lt;201,E186/2,IF(E186&lt;=301,E186/3,E186/4))))</f>
        <v>1063.655424</v>
      </c>
      <c r="G186" s="89"/>
      <c r="H186" s="90"/>
      <c r="I186" s="37">
        <f>(3.05*5.48+2.13*3.58+3.05*3.35+3.05*3.65+2.13*1.37+2.13*1.37+0.95*3.3+1*2.45)</f>
        <v>57.110600000000005</v>
      </c>
    </row>
    <row r="187" spans="1:16" s="72" customFormat="1" ht="15.75" customHeight="1" x14ac:dyDescent="0.25">
      <c r="A187" s="85">
        <f t="shared" si="7"/>
        <v>4</v>
      </c>
      <c r="B187" s="86"/>
      <c r="C187" s="46">
        <v>1</v>
      </c>
      <c r="D187" s="49">
        <f>(39.91)*(10.764)</f>
        <v>429.59123999999991</v>
      </c>
      <c r="E187" s="71">
        <v>0</v>
      </c>
      <c r="F187" s="71">
        <f>D187*(($F$165)+1)+(IF(E187&lt;101,E187,IF(E187&lt;201,E187/2,IF(E187&lt;=301,E187/3,E187/4))))</f>
        <v>687.34598399999993</v>
      </c>
      <c r="G187" s="89"/>
      <c r="H187" s="90"/>
      <c r="I187" s="37"/>
    </row>
    <row r="188" spans="1:16" s="72" customFormat="1" ht="15.75" customHeight="1" x14ac:dyDescent="0.25">
      <c r="A188" s="85">
        <f t="shared" si="7"/>
        <v>5</v>
      </c>
      <c r="B188" s="86"/>
      <c r="C188" s="46">
        <v>1</v>
      </c>
      <c r="D188" s="49">
        <f>(39.91)*(10.764)</f>
        <v>429.59123999999991</v>
      </c>
      <c r="E188" s="71">
        <v>0</v>
      </c>
      <c r="F188" s="71">
        <f>D188*(($F$165)+1)+(IF(E188&lt;101,E188,IF(E188&lt;201,E188/2,IF(E188&lt;=301,E188/3,E188/4))))</f>
        <v>687.34598399999993</v>
      </c>
      <c r="G188" s="89"/>
      <c r="H188" s="90"/>
      <c r="I188" s="37"/>
    </row>
    <row r="189" spans="1:16" s="72" customFormat="1" ht="15.75" customHeight="1" x14ac:dyDescent="0.25">
      <c r="A189" s="85">
        <f t="shared" si="7"/>
        <v>6</v>
      </c>
      <c r="B189" s="86"/>
      <c r="C189" s="106" t="s">
        <v>194</v>
      </c>
      <c r="D189" s="107"/>
      <c r="E189" s="107"/>
      <c r="F189" s="108"/>
      <c r="G189" s="91"/>
      <c r="H189" s="92"/>
      <c r="I189" s="37"/>
    </row>
    <row r="190" spans="1:16" s="72" customFormat="1" x14ac:dyDescent="0.25">
      <c r="A190" s="93" t="s">
        <v>237</v>
      </c>
      <c r="B190" s="94"/>
      <c r="C190" s="94"/>
      <c r="D190" s="94"/>
      <c r="E190" s="94"/>
      <c r="F190" s="94"/>
      <c r="G190" s="94"/>
      <c r="H190" s="95"/>
      <c r="J190" s="37"/>
    </row>
    <row r="191" spans="1:16" s="72" customFormat="1" x14ac:dyDescent="0.25">
      <c r="A191" s="93" t="s">
        <v>234</v>
      </c>
      <c r="B191" s="94"/>
      <c r="C191" s="94"/>
      <c r="D191" s="94"/>
      <c r="E191" s="94"/>
      <c r="F191" s="94"/>
      <c r="G191" s="94"/>
      <c r="H191" s="94"/>
      <c r="I191" s="76"/>
      <c r="J191" s="50"/>
    </row>
    <row r="192" spans="1:16" s="72" customFormat="1" x14ac:dyDescent="0.25">
      <c r="A192" s="93" t="s">
        <v>235</v>
      </c>
      <c r="B192" s="94"/>
      <c r="C192" s="94"/>
      <c r="D192" s="94"/>
      <c r="E192" s="94"/>
      <c r="F192" s="94"/>
      <c r="G192" s="94"/>
      <c r="H192" s="94"/>
      <c r="I192" s="76"/>
      <c r="J192" s="50"/>
    </row>
    <row r="193" spans="1:14" s="72" customFormat="1" x14ac:dyDescent="0.25">
      <c r="A193" s="122" t="s">
        <v>236</v>
      </c>
      <c r="B193" s="122"/>
      <c r="C193" s="122"/>
      <c r="D193" s="122"/>
      <c r="E193" s="122"/>
      <c r="F193" s="122"/>
      <c r="G193" s="122"/>
      <c r="H193" s="93"/>
      <c r="I193" s="50"/>
      <c r="J193" s="76"/>
      <c r="L193" s="121"/>
      <c r="M193" s="121"/>
    </row>
    <row r="194" spans="1:14" s="72" customFormat="1" ht="15.75" customHeight="1" x14ac:dyDescent="0.25">
      <c r="A194" s="109">
        <v>1</v>
      </c>
      <c r="B194" s="109"/>
      <c r="C194" s="46">
        <v>2</v>
      </c>
      <c r="D194" s="49">
        <f>(62.32)*(10.764)</f>
        <v>670.81247999999994</v>
      </c>
      <c r="E194" s="71">
        <v>0</v>
      </c>
      <c r="F194" s="71">
        <f>D194*(($F$165)+1)+(IF(E194&lt;101,E194,IF(E194&lt;201,E194/2,IF(E194&lt;=301,E194/3,E194/4))))</f>
        <v>1073.299968</v>
      </c>
      <c r="G194" s="87" t="str">
        <f>A193</f>
        <v>2nd Floors For Residential &amp; Parking</v>
      </c>
      <c r="H194" s="119"/>
      <c r="I194" s="50">
        <f>(2.94*5.48+2.13*3.65+3.05*3.35+3.05*3.35+1.37*2.13+1.69*0.6+2.13*1.37+1.25*2.1+1.1*2.3+0.9*2.3)</f>
        <v>58.395900000000012</v>
      </c>
      <c r="J194" s="76"/>
      <c r="N194" s="37"/>
    </row>
    <row r="195" spans="1:14" s="72" customFormat="1" x14ac:dyDescent="0.25">
      <c r="A195" s="109">
        <f t="shared" ref="A195:A200" si="8">A194+1</f>
        <v>2</v>
      </c>
      <c r="B195" s="109"/>
      <c r="C195" s="110" t="s">
        <v>230</v>
      </c>
      <c r="D195" s="111"/>
      <c r="E195" s="111"/>
      <c r="F195" s="112"/>
      <c r="G195" s="89"/>
      <c r="H195" s="120"/>
      <c r="I195" s="50"/>
      <c r="J195" s="76"/>
      <c r="N195" s="37"/>
    </row>
    <row r="196" spans="1:14" s="72" customFormat="1" x14ac:dyDescent="0.25">
      <c r="A196" s="109">
        <f t="shared" si="8"/>
        <v>3</v>
      </c>
      <c r="B196" s="109"/>
      <c r="C196" s="113"/>
      <c r="D196" s="114"/>
      <c r="E196" s="114"/>
      <c r="F196" s="115"/>
      <c r="G196" s="89"/>
      <c r="H196" s="90"/>
      <c r="I196" s="37"/>
      <c r="N196" s="37"/>
    </row>
    <row r="197" spans="1:14" s="72" customFormat="1" x14ac:dyDescent="0.25">
      <c r="A197" s="109">
        <f t="shared" si="8"/>
        <v>4</v>
      </c>
      <c r="B197" s="109"/>
      <c r="C197" s="113"/>
      <c r="D197" s="114"/>
      <c r="E197" s="114"/>
      <c r="F197" s="115"/>
      <c r="G197" s="89"/>
      <c r="H197" s="90"/>
      <c r="I197" s="37"/>
      <c r="N197" s="37"/>
    </row>
    <row r="198" spans="1:14" s="72" customFormat="1" x14ac:dyDescent="0.25">
      <c r="A198" s="109">
        <f t="shared" si="8"/>
        <v>5</v>
      </c>
      <c r="B198" s="109"/>
      <c r="C198" s="113"/>
      <c r="D198" s="114"/>
      <c r="E198" s="114"/>
      <c r="F198" s="115"/>
      <c r="G198" s="89"/>
      <c r="H198" s="90"/>
      <c r="I198" s="37"/>
      <c r="N198" s="37"/>
    </row>
    <row r="199" spans="1:14" s="72" customFormat="1" x14ac:dyDescent="0.25">
      <c r="A199" s="109">
        <f t="shared" si="8"/>
        <v>6</v>
      </c>
      <c r="B199" s="109"/>
      <c r="C199" s="113"/>
      <c r="D199" s="114"/>
      <c r="E199" s="114"/>
      <c r="F199" s="115"/>
      <c r="G199" s="89"/>
      <c r="H199" s="90"/>
      <c r="I199" s="37"/>
      <c r="N199" s="37"/>
    </row>
    <row r="200" spans="1:14" s="72" customFormat="1" x14ac:dyDescent="0.25">
      <c r="A200" s="109">
        <f t="shared" si="8"/>
        <v>7</v>
      </c>
      <c r="B200" s="109"/>
      <c r="C200" s="116"/>
      <c r="D200" s="117"/>
      <c r="E200" s="117"/>
      <c r="F200" s="118"/>
      <c r="G200" s="91"/>
      <c r="H200" s="92"/>
      <c r="I200" s="37"/>
      <c r="N200" s="37"/>
    </row>
    <row r="201" spans="1:14" s="72" customFormat="1" x14ac:dyDescent="0.25">
      <c r="A201" s="122" t="s">
        <v>258</v>
      </c>
      <c r="B201" s="122"/>
      <c r="C201" s="122"/>
      <c r="D201" s="122"/>
      <c r="E201" s="122"/>
      <c r="F201" s="122"/>
      <c r="G201" s="122"/>
      <c r="H201" s="93"/>
      <c r="I201" s="50"/>
      <c r="J201" s="76"/>
      <c r="L201" s="121"/>
      <c r="M201" s="121"/>
    </row>
    <row r="202" spans="1:14" s="72" customFormat="1" ht="15.75" customHeight="1" x14ac:dyDescent="0.25">
      <c r="A202" s="109">
        <v>1</v>
      </c>
      <c r="B202" s="109"/>
      <c r="C202" s="46">
        <v>2</v>
      </c>
      <c r="D202" s="49">
        <f>(62.32)*(10.764)</f>
        <v>670.81247999999994</v>
      </c>
      <c r="E202" s="71">
        <v>0</v>
      </c>
      <c r="F202" s="71">
        <f t="shared" ref="F202" si="9">D202*(($F$165)+1)+(IF(E202&lt;101,E202,IF(E202&lt;201,E202/2,IF(E202&lt;=301,E202/3,E202/4))))</f>
        <v>1073.299968</v>
      </c>
      <c r="G202" s="87" t="str">
        <f>A201</f>
        <v>Top Podium Floor For Residential &amp; Parking</v>
      </c>
      <c r="H202" s="119"/>
      <c r="I202" s="50"/>
      <c r="J202" s="76"/>
      <c r="N202" s="37"/>
    </row>
    <row r="203" spans="1:14" s="72" customFormat="1" x14ac:dyDescent="0.25">
      <c r="A203" s="109">
        <f t="shared" ref="A203:A208" si="10">A202+1</f>
        <v>2</v>
      </c>
      <c r="B203" s="109"/>
      <c r="C203" s="110" t="s">
        <v>230</v>
      </c>
      <c r="D203" s="111"/>
      <c r="E203" s="111"/>
      <c r="F203" s="112"/>
      <c r="G203" s="89"/>
      <c r="H203" s="120"/>
      <c r="I203" s="50"/>
      <c r="J203" s="76"/>
      <c r="N203" s="37"/>
    </row>
    <row r="204" spans="1:14" s="72" customFormat="1" x14ac:dyDescent="0.25">
      <c r="A204" s="109">
        <f t="shared" si="10"/>
        <v>3</v>
      </c>
      <c r="B204" s="109"/>
      <c r="C204" s="113"/>
      <c r="D204" s="114"/>
      <c r="E204" s="114"/>
      <c r="F204" s="115"/>
      <c r="G204" s="89"/>
      <c r="H204" s="90"/>
      <c r="I204" s="37"/>
      <c r="N204" s="37"/>
    </row>
    <row r="205" spans="1:14" s="72" customFormat="1" x14ac:dyDescent="0.25">
      <c r="A205" s="109">
        <f t="shared" si="10"/>
        <v>4</v>
      </c>
      <c r="B205" s="109"/>
      <c r="C205" s="113"/>
      <c r="D205" s="114"/>
      <c r="E205" s="114"/>
      <c r="F205" s="115"/>
      <c r="G205" s="89"/>
      <c r="H205" s="90"/>
      <c r="I205" s="37"/>
      <c r="N205" s="37"/>
    </row>
    <row r="206" spans="1:14" s="72" customFormat="1" x14ac:dyDescent="0.25">
      <c r="A206" s="109">
        <f t="shared" si="10"/>
        <v>5</v>
      </c>
      <c r="B206" s="109"/>
      <c r="C206" s="113"/>
      <c r="D206" s="114"/>
      <c r="E206" s="114"/>
      <c r="F206" s="115"/>
      <c r="G206" s="89"/>
      <c r="H206" s="90"/>
      <c r="I206" s="37"/>
      <c r="N206" s="37"/>
    </row>
    <row r="207" spans="1:14" s="72" customFormat="1" x14ac:dyDescent="0.25">
      <c r="A207" s="109">
        <f t="shared" si="10"/>
        <v>6</v>
      </c>
      <c r="B207" s="109"/>
      <c r="C207" s="113"/>
      <c r="D207" s="114"/>
      <c r="E207" s="114"/>
      <c r="F207" s="115"/>
      <c r="G207" s="89"/>
      <c r="H207" s="90"/>
      <c r="I207" s="37"/>
      <c r="N207" s="37"/>
    </row>
    <row r="208" spans="1:14" s="72" customFormat="1" x14ac:dyDescent="0.25">
      <c r="A208" s="109">
        <f t="shared" si="10"/>
        <v>7</v>
      </c>
      <c r="B208" s="109"/>
      <c r="C208" s="116"/>
      <c r="D208" s="117"/>
      <c r="E208" s="117"/>
      <c r="F208" s="118"/>
      <c r="G208" s="91"/>
      <c r="H208" s="92"/>
      <c r="I208" s="37"/>
      <c r="N208" s="37"/>
    </row>
    <row r="209" spans="1:16" s="72" customFormat="1" ht="32.25" customHeight="1" x14ac:dyDescent="0.25">
      <c r="A209" s="93" t="s">
        <v>231</v>
      </c>
      <c r="B209" s="94"/>
      <c r="C209" s="94"/>
      <c r="D209" s="94"/>
      <c r="E209" s="94"/>
      <c r="F209" s="94"/>
      <c r="G209" s="94"/>
      <c r="H209" s="95"/>
      <c r="I209" s="37"/>
      <c r="P209" s="38"/>
    </row>
    <row r="210" spans="1:16" s="72" customFormat="1" ht="15.75" customHeight="1" x14ac:dyDescent="0.25">
      <c r="A210" s="85">
        <v>1</v>
      </c>
      <c r="B210" s="86"/>
      <c r="C210" s="46">
        <v>2</v>
      </c>
      <c r="D210" s="49">
        <f>(62.32)*(10.764)</f>
        <v>670.81247999999994</v>
      </c>
      <c r="E210" s="71">
        <v>0</v>
      </c>
      <c r="F210" s="71">
        <f t="shared" ref="F210:F216" si="11">D210*(($F$165)+1)+(IF(E210&lt;101,E210,IF(E210&lt;201,E210/2,IF(E210&lt;=301,E210/3,E210/4))))</f>
        <v>1073.299968</v>
      </c>
      <c r="G210" s="87" t="str">
        <f>A209</f>
        <v>1st to 3rd, 5th to 8th, 10th to 13th, 15th to 18th, 20th to 23rd, 25th to 28th, 
30th to 33rd &amp; 35th Floor For Residential</v>
      </c>
      <c r="H210" s="88"/>
      <c r="I210" s="37"/>
    </row>
    <row r="211" spans="1:16" s="72" customFormat="1" x14ac:dyDescent="0.25">
      <c r="A211" s="85">
        <f>A210+1</f>
        <v>2</v>
      </c>
      <c r="B211" s="86"/>
      <c r="C211" s="46">
        <v>1</v>
      </c>
      <c r="D211" s="49">
        <f>(43.6)*(10.764)</f>
        <v>469.31039999999996</v>
      </c>
      <c r="E211" s="71">
        <v>0</v>
      </c>
      <c r="F211" s="71">
        <f t="shared" si="11"/>
        <v>750.89663999999993</v>
      </c>
      <c r="G211" s="89"/>
      <c r="H211" s="90"/>
      <c r="I211" s="37"/>
    </row>
    <row r="212" spans="1:16" s="72" customFormat="1" ht="15.75" customHeight="1" x14ac:dyDescent="0.25">
      <c r="A212" s="85">
        <f t="shared" ref="A212:A215" si="12">A211+1</f>
        <v>3</v>
      </c>
      <c r="B212" s="86"/>
      <c r="C212" s="46">
        <v>1</v>
      </c>
      <c r="D212" s="49">
        <f>(42.95)*(10.764)</f>
        <v>462.31380000000001</v>
      </c>
      <c r="E212" s="71">
        <v>0</v>
      </c>
      <c r="F212" s="71">
        <f t="shared" si="11"/>
        <v>739.70208000000002</v>
      </c>
      <c r="G212" s="89"/>
      <c r="H212" s="90"/>
      <c r="I212" s="37">
        <f>(2.89*4.72+2.13*2.44+3.05*3.59+1*2.4+1.99*1.3*2+1*3.1)</f>
        <v>40.461500000000001</v>
      </c>
    </row>
    <row r="213" spans="1:16" s="72" customFormat="1" ht="15.75" customHeight="1" x14ac:dyDescent="0.25">
      <c r="A213" s="85">
        <f t="shared" si="12"/>
        <v>4</v>
      </c>
      <c r="B213" s="86"/>
      <c r="C213" s="46">
        <v>2</v>
      </c>
      <c r="D213" s="49">
        <f>(61.84)*(10.764)</f>
        <v>665.64576</v>
      </c>
      <c r="E213" s="71">
        <v>0</v>
      </c>
      <c r="F213" s="71">
        <f t="shared" si="11"/>
        <v>1065.033216</v>
      </c>
      <c r="G213" s="89"/>
      <c r="H213" s="90"/>
      <c r="I213" s="37">
        <f>(3.05*5.11+2.13*3.35+3.05*3.35+3.05*3.65+2.13*1.37*2+0.9*2.35+2.52*0.85+0.9*3.2)</f>
        <v>57.044200000000004</v>
      </c>
    </row>
    <row r="214" spans="1:16" s="72" customFormat="1" ht="15.75" customHeight="1" x14ac:dyDescent="0.25">
      <c r="A214" s="85">
        <f t="shared" si="12"/>
        <v>5</v>
      </c>
      <c r="B214" s="86"/>
      <c r="C214" s="46">
        <v>1</v>
      </c>
      <c r="D214" s="49">
        <f>(42.14)*(10.764)</f>
        <v>453.59495999999996</v>
      </c>
      <c r="E214" s="71">
        <v>0</v>
      </c>
      <c r="F214" s="71">
        <f t="shared" si="11"/>
        <v>725.751936</v>
      </c>
      <c r="G214" s="89"/>
      <c r="H214" s="90"/>
      <c r="I214" s="37"/>
    </row>
    <row r="215" spans="1:16" s="72" customFormat="1" ht="15.75" customHeight="1" x14ac:dyDescent="0.25">
      <c r="A215" s="85">
        <f t="shared" si="12"/>
        <v>6</v>
      </c>
      <c r="B215" s="86"/>
      <c r="C215" s="46">
        <v>1</v>
      </c>
      <c r="D215" s="49">
        <f>(37.98)*(10.764)</f>
        <v>408.81671999999992</v>
      </c>
      <c r="E215" s="71">
        <v>0</v>
      </c>
      <c r="F215" s="71">
        <f t="shared" si="11"/>
        <v>654.10675199999991</v>
      </c>
      <c r="G215" s="89"/>
      <c r="H215" s="90"/>
      <c r="I215" s="37"/>
    </row>
    <row r="216" spans="1:16" s="72" customFormat="1" ht="15.75" customHeight="1" x14ac:dyDescent="0.25">
      <c r="A216" s="85">
        <f t="shared" ref="A216" si="13">A215+1</f>
        <v>7</v>
      </c>
      <c r="B216" s="86"/>
      <c r="C216" s="46">
        <v>1</v>
      </c>
      <c r="D216" s="49">
        <f>(41.35)*(10.764)</f>
        <v>445.09139999999996</v>
      </c>
      <c r="E216" s="71">
        <v>0</v>
      </c>
      <c r="F216" s="71">
        <f t="shared" si="11"/>
        <v>712.14624000000003</v>
      </c>
      <c r="G216" s="91"/>
      <c r="H216" s="92"/>
      <c r="I216" s="37"/>
    </row>
    <row r="217" spans="1:16" s="72" customFormat="1" x14ac:dyDescent="0.25">
      <c r="A217" s="93" t="s">
        <v>232</v>
      </c>
      <c r="B217" s="94"/>
      <c r="C217" s="94"/>
      <c r="D217" s="94"/>
      <c r="E217" s="94"/>
      <c r="F217" s="94"/>
      <c r="G217" s="94"/>
      <c r="H217" s="95"/>
      <c r="I217" s="37"/>
      <c r="P217" s="38"/>
    </row>
    <row r="218" spans="1:16" s="72" customFormat="1" ht="15.75" customHeight="1" x14ac:dyDescent="0.25">
      <c r="A218" s="85">
        <v>1</v>
      </c>
      <c r="B218" s="86"/>
      <c r="C218" s="46">
        <v>2</v>
      </c>
      <c r="D218" s="49">
        <f>(62.32)*(10.764)</f>
        <v>670.81247999999994</v>
      </c>
      <c r="E218" s="71">
        <v>0</v>
      </c>
      <c r="F218" s="71">
        <f>D218*(($F$165)+1)+(IF(E218&lt;101,E218,IF(E218&lt;201,E218/2,IF(E218&lt;=301,E218/3,E218/4))))</f>
        <v>1073.299968</v>
      </c>
      <c r="G218" s="87" t="str">
        <f>A217</f>
        <v>4th, 9th, 14th, 19th, 24th, 29th &amp; 34th Floor (Part Refuge Area)</v>
      </c>
      <c r="H218" s="88"/>
      <c r="I218" s="37"/>
    </row>
    <row r="219" spans="1:16" s="72" customFormat="1" x14ac:dyDescent="0.25">
      <c r="A219" s="85">
        <f>A218+1</f>
        <v>2</v>
      </c>
      <c r="B219" s="86"/>
      <c r="C219" s="46">
        <v>1</v>
      </c>
      <c r="D219" s="49">
        <f>(43.6)*(10.764)</f>
        <v>469.31039999999996</v>
      </c>
      <c r="E219" s="71">
        <v>0</v>
      </c>
      <c r="F219" s="71">
        <f>D219*(($F$165)+1)+(IF(E219&lt;101,E219,IF(E219&lt;201,E219/2,IF(E219&lt;=301,E219/3,E219/4))))</f>
        <v>750.89663999999993</v>
      </c>
      <c r="G219" s="89"/>
      <c r="H219" s="90"/>
      <c r="I219" s="37"/>
    </row>
    <row r="220" spans="1:16" s="72" customFormat="1" ht="15.75" customHeight="1" x14ac:dyDescent="0.25">
      <c r="A220" s="85">
        <f t="shared" ref="A220:A223" si="14">A219+1</f>
        <v>3</v>
      </c>
      <c r="B220" s="86"/>
      <c r="C220" s="46">
        <v>1</v>
      </c>
      <c r="D220" s="49">
        <f>(42.95)*(10.764)</f>
        <v>462.31380000000001</v>
      </c>
      <c r="E220" s="71">
        <v>0</v>
      </c>
      <c r="F220" s="71">
        <f>D220*(($F$165)+1)+(IF(E220&lt;101,E220,IF(E220&lt;201,E220/2,IF(E220&lt;=301,E220/3,E220/4))))</f>
        <v>739.70208000000002</v>
      </c>
      <c r="G220" s="89"/>
      <c r="H220" s="90"/>
      <c r="I220" s="37"/>
    </row>
    <row r="221" spans="1:16" s="72" customFormat="1" ht="15.75" customHeight="1" x14ac:dyDescent="0.25">
      <c r="A221" s="85">
        <f t="shared" si="14"/>
        <v>4</v>
      </c>
      <c r="B221" s="86"/>
      <c r="C221" s="46">
        <v>2</v>
      </c>
      <c r="D221" s="49">
        <f>(61.84)*(10.764)</f>
        <v>665.64576</v>
      </c>
      <c r="E221" s="71">
        <v>0</v>
      </c>
      <c r="F221" s="71">
        <f>D221*(($F$165)+1)+(IF(E221&lt;101,E221,IF(E221&lt;201,E221/2,IF(E221&lt;=301,E221/3,E221/4))))</f>
        <v>1065.033216</v>
      </c>
      <c r="G221" s="89"/>
      <c r="H221" s="90"/>
      <c r="I221" s="37"/>
    </row>
    <row r="222" spans="1:16" s="72" customFormat="1" ht="15.75" customHeight="1" x14ac:dyDescent="0.25">
      <c r="A222" s="85">
        <f t="shared" si="14"/>
        <v>5</v>
      </c>
      <c r="B222" s="86"/>
      <c r="C222" s="46">
        <v>1</v>
      </c>
      <c r="D222" s="49">
        <f>(42.14)*(10.764)</f>
        <v>453.59495999999996</v>
      </c>
      <c r="E222" s="71">
        <v>0</v>
      </c>
      <c r="F222" s="71">
        <f>D222*(($F$165)+1)+(IF(E222&lt;101,E222,IF(E222&lt;201,E222/2,IF(E222&lt;=301,E222/3,E222/4))))</f>
        <v>725.751936</v>
      </c>
      <c r="G222" s="89"/>
      <c r="H222" s="90"/>
      <c r="I222" s="37"/>
    </row>
    <row r="223" spans="1:16" s="72" customFormat="1" ht="15.75" customHeight="1" x14ac:dyDescent="0.25">
      <c r="A223" s="85">
        <f t="shared" si="14"/>
        <v>6</v>
      </c>
      <c r="B223" s="86"/>
      <c r="C223" s="106" t="s">
        <v>194</v>
      </c>
      <c r="D223" s="107"/>
      <c r="E223" s="107"/>
      <c r="F223" s="108"/>
      <c r="G223" s="89"/>
      <c r="H223" s="90"/>
      <c r="I223" s="37"/>
    </row>
    <row r="224" spans="1:16" s="72" customFormat="1" ht="15.75" customHeight="1" x14ac:dyDescent="0.25">
      <c r="A224" s="85">
        <f t="shared" ref="A224" si="15">A223+1</f>
        <v>7</v>
      </c>
      <c r="B224" s="86"/>
      <c r="C224" s="46">
        <v>1</v>
      </c>
      <c r="D224" s="49">
        <f>(41.35)*(10.764)</f>
        <v>445.09139999999996</v>
      </c>
      <c r="E224" s="71">
        <v>0</v>
      </c>
      <c r="F224" s="71">
        <f>D224*(($F$165)+1)+(IF(E224&lt;101,E224,IF(E224&lt;201,E224/2,IF(E224&lt;=301,E224/3,E224/4))))</f>
        <v>712.14624000000003</v>
      </c>
      <c r="G224" s="91"/>
      <c r="H224" s="92"/>
      <c r="I224" s="37"/>
    </row>
    <row r="225" spans="1:14" s="72" customFormat="1" x14ac:dyDescent="0.25">
      <c r="A225" s="93" t="s">
        <v>237</v>
      </c>
      <c r="B225" s="94"/>
      <c r="C225" s="94"/>
      <c r="D225" s="94"/>
      <c r="E225" s="94"/>
      <c r="F225" s="94"/>
      <c r="G225" s="94"/>
      <c r="H225" s="95"/>
      <c r="J225" s="37"/>
    </row>
    <row r="226" spans="1:14" s="47" customFormat="1" ht="15.75" customHeight="1" x14ac:dyDescent="0.25">
      <c r="A226" s="93" t="s">
        <v>192</v>
      </c>
      <c r="B226" s="94"/>
      <c r="C226" s="94"/>
      <c r="D226" s="94"/>
      <c r="E226" s="94"/>
      <c r="F226" s="94"/>
      <c r="G226" s="94"/>
      <c r="H226" s="95"/>
      <c r="J226" s="37"/>
    </row>
    <row r="227" spans="1:14" s="47" customFormat="1" x14ac:dyDescent="0.25">
      <c r="A227" s="93" t="s">
        <v>197</v>
      </c>
      <c r="B227" s="94"/>
      <c r="C227" s="94"/>
      <c r="D227" s="94"/>
      <c r="E227" s="94"/>
      <c r="F227" s="94"/>
      <c r="G227" s="94"/>
      <c r="H227" s="95"/>
      <c r="J227" s="49">
        <f>10.764</f>
        <v>10.763999999999999</v>
      </c>
      <c r="K227" s="47">
        <f>10.764</f>
        <v>10.763999999999999</v>
      </c>
    </row>
    <row r="228" spans="1:14" s="47" customFormat="1" x14ac:dyDescent="0.25">
      <c r="A228" s="93" t="s">
        <v>201</v>
      </c>
      <c r="B228" s="94"/>
      <c r="C228" s="94"/>
      <c r="D228" s="94"/>
      <c r="E228" s="94"/>
      <c r="F228" s="94"/>
      <c r="G228" s="94"/>
      <c r="H228" s="95"/>
      <c r="J228" s="50"/>
    </row>
    <row r="229" spans="1:14" s="47" customFormat="1" ht="30.75" customHeight="1" x14ac:dyDescent="0.25">
      <c r="A229" s="93" t="s">
        <v>193</v>
      </c>
      <c r="B229" s="94"/>
      <c r="C229" s="94"/>
      <c r="D229" s="94"/>
      <c r="E229" s="94"/>
      <c r="F229" s="94"/>
      <c r="G229" s="94"/>
      <c r="H229" s="95"/>
      <c r="J229" s="37"/>
    </row>
    <row r="230" spans="1:14" s="47" customFormat="1" ht="15.75" customHeight="1" x14ac:dyDescent="0.25">
      <c r="A230" s="85">
        <v>1</v>
      </c>
      <c r="B230" s="86"/>
      <c r="C230" s="46">
        <v>1</v>
      </c>
      <c r="D230" s="49">
        <f>(41.79)*(10.764)</f>
        <v>449.82755999999995</v>
      </c>
      <c r="E230" s="56">
        <v>0</v>
      </c>
      <c r="F230" s="56">
        <f t="shared" ref="F230:F237" si="16">D230*(($F$165)+1)+(IF(E230&lt;101,E230,IF(E230&lt;201,E230/2,IF(E230&lt;=301,E230/3,E230/4))))</f>
        <v>719.72409599999992</v>
      </c>
      <c r="G230" s="87" t="str">
        <f>A229</f>
        <v>1st to 3rd, 5th to 8th, 10th to 13th, 15th to 18th, 20th to 23rd, 25th to 28th, 30th to 33rd &amp; 35th Floor For Residential</v>
      </c>
      <c r="H230" s="88"/>
      <c r="I230" s="37"/>
      <c r="J230" s="47">
        <f>2.89*4.95+2.13*1.22+2.13*2.44+1.18*1.37+3.05*3.43</f>
        <v>34.179400000000001</v>
      </c>
      <c r="K230" s="47">
        <f>37.76*10.764</f>
        <v>406.44863999999995</v>
      </c>
      <c r="L230" s="121"/>
      <c r="M230" s="121"/>
      <c r="N230" s="37"/>
    </row>
    <row r="231" spans="1:14" s="47" customFormat="1" ht="15.75" customHeight="1" x14ac:dyDescent="0.25">
      <c r="A231" s="85">
        <f t="shared" ref="A231:A237" si="17">A230+1</f>
        <v>2</v>
      </c>
      <c r="B231" s="86"/>
      <c r="C231" s="46">
        <v>1</v>
      </c>
      <c r="D231" s="49">
        <f>(41.9)*(10.764)</f>
        <v>451.01159999999993</v>
      </c>
      <c r="E231" s="56">
        <v>0</v>
      </c>
      <c r="F231" s="56">
        <f t="shared" si="16"/>
        <v>721.61855999999989</v>
      </c>
      <c r="G231" s="89" t="str">
        <f t="shared" ref="G231:G237" si="18">G230</f>
        <v>1st to 3rd, 5th to 8th, 10th to 13th, 15th to 18th, 20th to 23rd, 25th to 28th, 30th to 33rd &amp; 35th Floor For Residential</v>
      </c>
      <c r="H231" s="90"/>
      <c r="I231" s="37"/>
      <c r="K231" s="47">
        <f>42.01*10.764</f>
        <v>452.19563999999997</v>
      </c>
      <c r="L231" s="121"/>
      <c r="M231" s="121"/>
      <c r="N231" s="37"/>
    </row>
    <row r="232" spans="1:14" s="47" customFormat="1" ht="15.75" customHeight="1" x14ac:dyDescent="0.25">
      <c r="A232" s="85">
        <f t="shared" si="17"/>
        <v>3</v>
      </c>
      <c r="B232" s="86"/>
      <c r="C232" s="46">
        <v>1</v>
      </c>
      <c r="D232" s="49">
        <f>(42.38)*(10.764)</f>
        <v>456.17831999999999</v>
      </c>
      <c r="E232" s="56">
        <v>0</v>
      </c>
      <c r="F232" s="56">
        <f t="shared" si="16"/>
        <v>729.885312</v>
      </c>
      <c r="G232" s="89" t="str">
        <f t="shared" si="18"/>
        <v>1st to 3rd, 5th to 8th, 10th to 13th, 15th to 18th, 20th to 23rd, 25th to 28th, 30th to 33rd &amp; 35th Floor For Residential</v>
      </c>
      <c r="H232" s="90"/>
      <c r="I232" s="37"/>
      <c r="L232" s="121"/>
      <c r="M232" s="121"/>
      <c r="N232" s="37"/>
    </row>
    <row r="233" spans="1:14" s="47" customFormat="1" ht="15.75" customHeight="1" x14ac:dyDescent="0.25">
      <c r="A233" s="85">
        <f t="shared" si="17"/>
        <v>4</v>
      </c>
      <c r="B233" s="86"/>
      <c r="C233" s="46">
        <v>1</v>
      </c>
      <c r="D233" s="49">
        <f>(42.33)*(10.764)</f>
        <v>455.64011999999997</v>
      </c>
      <c r="E233" s="56">
        <v>0</v>
      </c>
      <c r="F233" s="56">
        <f t="shared" si="16"/>
        <v>729.02419199999997</v>
      </c>
      <c r="G233" s="89" t="str">
        <f t="shared" si="18"/>
        <v>1st to 3rd, 5th to 8th, 10th to 13th, 15th to 18th, 20th to 23rd, 25th to 28th, 30th to 33rd &amp; 35th Floor For Residential</v>
      </c>
      <c r="H233" s="90"/>
      <c r="I233" s="37"/>
      <c r="L233" s="121"/>
      <c r="M233" s="121"/>
      <c r="N233" s="37"/>
    </row>
    <row r="234" spans="1:14" s="47" customFormat="1" ht="15.75" customHeight="1" x14ac:dyDescent="0.25">
      <c r="A234" s="85">
        <f t="shared" si="17"/>
        <v>5</v>
      </c>
      <c r="B234" s="86"/>
      <c r="C234" s="46">
        <v>1</v>
      </c>
      <c r="D234" s="49">
        <f>(42.04)*(10.764)</f>
        <v>452.51855999999998</v>
      </c>
      <c r="E234" s="56">
        <v>0</v>
      </c>
      <c r="F234" s="56">
        <f t="shared" si="16"/>
        <v>724.02969600000006</v>
      </c>
      <c r="G234" s="89" t="str">
        <f t="shared" si="18"/>
        <v>1st to 3rd, 5th to 8th, 10th to 13th, 15th to 18th, 20th to 23rd, 25th to 28th, 30th to 33rd &amp; 35th Floor For Residential</v>
      </c>
      <c r="H234" s="90"/>
      <c r="I234" s="37"/>
      <c r="L234" s="121"/>
      <c r="M234" s="121"/>
      <c r="N234" s="37"/>
    </row>
    <row r="235" spans="1:14" s="47" customFormat="1" ht="15.75" customHeight="1" x14ac:dyDescent="0.25">
      <c r="A235" s="85">
        <f t="shared" si="17"/>
        <v>6</v>
      </c>
      <c r="B235" s="86"/>
      <c r="C235" s="46">
        <v>1</v>
      </c>
      <c r="D235" s="49">
        <f>(37.76)*(10.764)</f>
        <v>406.44863999999995</v>
      </c>
      <c r="E235" s="56">
        <v>0</v>
      </c>
      <c r="F235" s="56">
        <f t="shared" si="16"/>
        <v>650.31782399999997</v>
      </c>
      <c r="G235" s="89" t="str">
        <f t="shared" si="18"/>
        <v>1st to 3rd, 5th to 8th, 10th to 13th, 15th to 18th, 20th to 23rd, 25th to 28th, 30th to 33rd &amp; 35th Floor For Residential</v>
      </c>
      <c r="H235" s="90"/>
      <c r="I235" s="37"/>
      <c r="L235" s="121"/>
      <c r="M235" s="121"/>
      <c r="N235" s="37"/>
    </row>
    <row r="236" spans="1:14" s="47" customFormat="1" ht="15.75" customHeight="1" x14ac:dyDescent="0.25">
      <c r="A236" s="85">
        <f t="shared" si="17"/>
        <v>7</v>
      </c>
      <c r="B236" s="86"/>
      <c r="C236" s="46">
        <v>1</v>
      </c>
      <c r="D236" s="49">
        <f>(37.7)*(10.764)</f>
        <v>405.80279999999999</v>
      </c>
      <c r="E236" s="56">
        <v>0</v>
      </c>
      <c r="F236" s="56">
        <f t="shared" si="16"/>
        <v>649.28448000000003</v>
      </c>
      <c r="G236" s="89" t="str">
        <f t="shared" si="18"/>
        <v>1st to 3rd, 5th to 8th, 10th to 13th, 15th to 18th, 20th to 23rd, 25th to 28th, 30th to 33rd &amp; 35th Floor For Residential</v>
      </c>
      <c r="H236" s="90"/>
      <c r="I236" s="37"/>
      <c r="L236" s="121"/>
      <c r="M236" s="121"/>
      <c r="N236" s="37"/>
    </row>
    <row r="237" spans="1:14" s="47" customFormat="1" ht="15.75" customHeight="1" x14ac:dyDescent="0.25">
      <c r="A237" s="85">
        <f t="shared" si="17"/>
        <v>8</v>
      </c>
      <c r="B237" s="86"/>
      <c r="C237" s="46">
        <v>1</v>
      </c>
      <c r="D237" s="49">
        <f>(42.01)*(10.764)</f>
        <v>452.19563999999997</v>
      </c>
      <c r="E237" s="56">
        <v>0</v>
      </c>
      <c r="F237" s="56">
        <f t="shared" si="16"/>
        <v>723.51302399999997</v>
      </c>
      <c r="G237" s="91" t="str">
        <f t="shared" si="18"/>
        <v>1st to 3rd, 5th to 8th, 10th to 13th, 15th to 18th, 20th to 23rd, 25th to 28th, 30th to 33rd &amp; 35th Floor For Residential</v>
      </c>
      <c r="H237" s="92"/>
      <c r="I237" s="37"/>
      <c r="L237" s="121"/>
      <c r="M237" s="121"/>
      <c r="N237" s="37"/>
    </row>
    <row r="238" spans="1:14" s="47" customFormat="1" x14ac:dyDescent="0.25">
      <c r="A238" s="93" t="s">
        <v>202</v>
      </c>
      <c r="B238" s="94"/>
      <c r="C238" s="94"/>
      <c r="D238" s="94"/>
      <c r="E238" s="94"/>
      <c r="F238" s="94"/>
      <c r="G238" s="94"/>
      <c r="H238" s="95"/>
      <c r="J238" s="37"/>
    </row>
    <row r="239" spans="1:14" s="47" customFormat="1" ht="15.75" customHeight="1" x14ac:dyDescent="0.25">
      <c r="A239" s="85">
        <v>1</v>
      </c>
      <c r="B239" s="86"/>
      <c r="C239" s="46">
        <v>1</v>
      </c>
      <c r="D239" s="49">
        <f>(41.79)*(10.764)</f>
        <v>449.82755999999995</v>
      </c>
      <c r="E239" s="56">
        <v>0</v>
      </c>
      <c r="F239" s="56">
        <f t="shared" ref="F239:F245" si="19">D239*(($F$165)+1)+(IF(E239&lt;101,E239,IF(E239&lt;201,E239/2,IF(E239&lt;=301,E239/3,E239/4))))</f>
        <v>719.72409599999992</v>
      </c>
      <c r="G239" s="87" t="str">
        <f>A238</f>
        <v>4th, 9th, 14th, 19th, 24th, 29th &amp; 34th Floor For Residential (Part Refuge Area)</v>
      </c>
      <c r="H239" s="88"/>
      <c r="I239" s="37"/>
      <c r="J239" s="47">
        <f>7400000/F239</f>
        <v>10281.717732012687</v>
      </c>
      <c r="L239" s="121"/>
      <c r="M239" s="121"/>
      <c r="N239" s="37"/>
    </row>
    <row r="240" spans="1:14" s="47" customFormat="1" ht="15.75" customHeight="1" x14ac:dyDescent="0.25">
      <c r="A240" s="85">
        <f t="shared" ref="A240:A246" si="20">A239+1</f>
        <v>2</v>
      </c>
      <c r="B240" s="86"/>
      <c r="C240" s="46">
        <v>1</v>
      </c>
      <c r="D240" s="49">
        <f>(41.9)*(10.764)</f>
        <v>451.01159999999993</v>
      </c>
      <c r="E240" s="56">
        <v>0</v>
      </c>
      <c r="F240" s="56">
        <f t="shared" si="19"/>
        <v>721.61855999999989</v>
      </c>
      <c r="G240" s="89" t="str">
        <f t="shared" ref="G240:G246" si="21">G239</f>
        <v>4th, 9th, 14th, 19th, 24th, 29th &amp; 34th Floor For Residential (Part Refuge Area)</v>
      </c>
      <c r="H240" s="90"/>
      <c r="I240" s="37"/>
      <c r="J240" s="48">
        <f>7700000/F240</f>
        <v>10670.457256531763</v>
      </c>
      <c r="L240" s="121"/>
      <c r="M240" s="121"/>
      <c r="N240" s="37"/>
    </row>
    <row r="241" spans="1:14" s="47" customFormat="1" ht="15.75" customHeight="1" x14ac:dyDescent="0.25">
      <c r="A241" s="85">
        <f t="shared" si="20"/>
        <v>3</v>
      </c>
      <c r="B241" s="86"/>
      <c r="C241" s="46">
        <v>1</v>
      </c>
      <c r="D241" s="49">
        <f>(42.38)*(10.764)</f>
        <v>456.17831999999999</v>
      </c>
      <c r="E241" s="56">
        <v>0</v>
      </c>
      <c r="F241" s="56">
        <f t="shared" si="19"/>
        <v>729.885312</v>
      </c>
      <c r="G241" s="89" t="str">
        <f t="shared" si="21"/>
        <v>4th, 9th, 14th, 19th, 24th, 29th &amp; 34th Floor For Residential (Part Refuge Area)</v>
      </c>
      <c r="H241" s="90"/>
      <c r="I241" s="37"/>
      <c r="L241" s="121"/>
      <c r="M241" s="121"/>
      <c r="N241" s="37"/>
    </row>
    <row r="242" spans="1:14" s="47" customFormat="1" ht="15.75" customHeight="1" x14ac:dyDescent="0.25">
      <c r="A242" s="85">
        <f t="shared" si="20"/>
        <v>4</v>
      </c>
      <c r="B242" s="86"/>
      <c r="C242" s="46">
        <v>1</v>
      </c>
      <c r="D242" s="49">
        <f>(42.33)*(10.764)</f>
        <v>455.64011999999997</v>
      </c>
      <c r="E242" s="56">
        <v>0</v>
      </c>
      <c r="F242" s="56">
        <f t="shared" si="19"/>
        <v>729.02419199999997</v>
      </c>
      <c r="G242" s="89" t="str">
        <f t="shared" si="21"/>
        <v>4th, 9th, 14th, 19th, 24th, 29th &amp; 34th Floor For Residential (Part Refuge Area)</v>
      </c>
      <c r="H242" s="90"/>
      <c r="I242" s="37"/>
      <c r="L242" s="121"/>
      <c r="M242" s="121"/>
      <c r="N242" s="37"/>
    </row>
    <row r="243" spans="1:14" s="47" customFormat="1" ht="15.75" customHeight="1" x14ac:dyDescent="0.25">
      <c r="A243" s="85">
        <f t="shared" si="20"/>
        <v>5</v>
      </c>
      <c r="B243" s="86"/>
      <c r="C243" s="46">
        <v>1</v>
      </c>
      <c r="D243" s="49">
        <f>(42.04)*(10.764)</f>
        <v>452.51855999999998</v>
      </c>
      <c r="E243" s="56">
        <v>0</v>
      </c>
      <c r="F243" s="56">
        <f t="shared" si="19"/>
        <v>724.02969600000006</v>
      </c>
      <c r="G243" s="89" t="str">
        <f t="shared" si="21"/>
        <v>4th, 9th, 14th, 19th, 24th, 29th &amp; 34th Floor For Residential (Part Refuge Area)</v>
      </c>
      <c r="H243" s="90"/>
      <c r="I243" s="37"/>
      <c r="L243" s="121"/>
      <c r="M243" s="121"/>
      <c r="N243" s="37"/>
    </row>
    <row r="244" spans="1:14" s="47" customFormat="1" ht="15.75" customHeight="1" x14ac:dyDescent="0.25">
      <c r="A244" s="85">
        <f t="shared" si="20"/>
        <v>6</v>
      </c>
      <c r="B244" s="86"/>
      <c r="C244" s="46">
        <v>1</v>
      </c>
      <c r="D244" s="49">
        <f>(37.76)*(10.764)</f>
        <v>406.44863999999995</v>
      </c>
      <c r="E244" s="56">
        <v>0</v>
      </c>
      <c r="F244" s="56">
        <f t="shared" si="19"/>
        <v>650.31782399999997</v>
      </c>
      <c r="G244" s="89" t="str">
        <f t="shared" si="21"/>
        <v>4th, 9th, 14th, 19th, 24th, 29th &amp; 34th Floor For Residential (Part Refuge Area)</v>
      </c>
      <c r="H244" s="90"/>
      <c r="I244" s="37"/>
      <c r="L244" s="121"/>
      <c r="M244" s="121"/>
      <c r="N244" s="37"/>
    </row>
    <row r="245" spans="1:14" s="47" customFormat="1" ht="15.75" customHeight="1" x14ac:dyDescent="0.25">
      <c r="A245" s="85">
        <f t="shared" si="20"/>
        <v>7</v>
      </c>
      <c r="B245" s="86"/>
      <c r="C245" s="46">
        <v>1</v>
      </c>
      <c r="D245" s="49">
        <f>(37.7)*(10.764)</f>
        <v>405.80279999999999</v>
      </c>
      <c r="E245" s="56">
        <v>0</v>
      </c>
      <c r="F245" s="56">
        <f t="shared" si="19"/>
        <v>649.28448000000003</v>
      </c>
      <c r="G245" s="89" t="str">
        <f t="shared" si="21"/>
        <v>4th, 9th, 14th, 19th, 24th, 29th &amp; 34th Floor For Residential (Part Refuge Area)</v>
      </c>
      <c r="H245" s="90"/>
      <c r="I245" s="37"/>
      <c r="L245" s="121"/>
      <c r="M245" s="121"/>
      <c r="N245" s="37"/>
    </row>
    <row r="246" spans="1:14" s="47" customFormat="1" ht="15.75" customHeight="1" x14ac:dyDescent="0.25">
      <c r="A246" s="85">
        <f t="shared" si="20"/>
        <v>8</v>
      </c>
      <c r="B246" s="86"/>
      <c r="C246" s="106" t="s">
        <v>194</v>
      </c>
      <c r="D246" s="107"/>
      <c r="E246" s="107"/>
      <c r="F246" s="108"/>
      <c r="G246" s="91" t="str">
        <f t="shared" si="21"/>
        <v>4th, 9th, 14th, 19th, 24th, 29th &amp; 34th Floor For Residential (Part Refuge Area)</v>
      </c>
      <c r="H246" s="92"/>
      <c r="I246" s="37"/>
      <c r="L246" s="121"/>
      <c r="M246" s="121"/>
      <c r="N246" s="37"/>
    </row>
    <row r="247" spans="1:14" s="47" customFormat="1" x14ac:dyDescent="0.25">
      <c r="A247" s="93" t="s">
        <v>237</v>
      </c>
      <c r="B247" s="94"/>
      <c r="C247" s="94"/>
      <c r="D247" s="94"/>
      <c r="E247" s="94"/>
      <c r="F247" s="94"/>
      <c r="G247" s="94"/>
      <c r="H247" s="95"/>
      <c r="J247" s="37"/>
    </row>
    <row r="248" spans="1:14" s="47" customFormat="1" x14ac:dyDescent="0.25">
      <c r="A248" s="93" t="s">
        <v>195</v>
      </c>
      <c r="B248" s="94"/>
      <c r="C248" s="94"/>
      <c r="D248" s="94"/>
      <c r="E248" s="94"/>
      <c r="F248" s="94"/>
      <c r="G248" s="94"/>
      <c r="H248" s="95"/>
      <c r="J248" s="37"/>
    </row>
    <row r="249" spans="1:14" s="47" customFormat="1" x14ac:dyDescent="0.25">
      <c r="A249" s="93" t="s">
        <v>197</v>
      </c>
      <c r="B249" s="94"/>
      <c r="C249" s="94"/>
      <c r="D249" s="94"/>
      <c r="E249" s="94"/>
      <c r="F249" s="94"/>
      <c r="G249" s="94"/>
      <c r="H249" s="95"/>
      <c r="J249" s="37"/>
    </row>
    <row r="250" spans="1:14" s="47" customFormat="1" x14ac:dyDescent="0.25">
      <c r="A250" s="93" t="s">
        <v>201</v>
      </c>
      <c r="B250" s="94"/>
      <c r="C250" s="94"/>
      <c r="D250" s="94"/>
      <c r="E250" s="94"/>
      <c r="F250" s="94"/>
      <c r="G250" s="94"/>
      <c r="H250" s="95"/>
      <c r="J250" s="50"/>
    </row>
    <row r="251" spans="1:14" s="47" customFormat="1" ht="30.75" customHeight="1" x14ac:dyDescent="0.25">
      <c r="A251" s="93" t="s">
        <v>193</v>
      </c>
      <c r="B251" s="94"/>
      <c r="C251" s="94"/>
      <c r="D251" s="94"/>
      <c r="E251" s="94"/>
      <c r="F251" s="94"/>
      <c r="G251" s="94"/>
      <c r="H251" s="95"/>
      <c r="J251" s="37"/>
    </row>
    <row r="252" spans="1:14" s="47" customFormat="1" ht="15.75" customHeight="1" x14ac:dyDescent="0.25">
      <c r="A252" s="85">
        <v>1</v>
      </c>
      <c r="B252" s="86"/>
      <c r="C252" s="46">
        <v>2</v>
      </c>
      <c r="D252" s="49">
        <f>(60.86)*(10.764)</f>
        <v>655.09703999999999</v>
      </c>
      <c r="E252" s="56">
        <v>0</v>
      </c>
      <c r="F252" s="56">
        <f t="shared" ref="F252:F259" si="22">D252*(($F$165)+1)+(IF(E252&lt;101,E252,IF(E252&lt;201,E252/2,IF(E252&lt;=301,E252/3,E252/4))))</f>
        <v>1048.155264</v>
      </c>
      <c r="G252" s="87" t="str">
        <f>A251</f>
        <v>1st to 3rd, 5th to 8th, 10th to 13th, 15th to 18th, 20th to 23rd, 25th to 28th, 30th to 33rd &amp; 35th Floor For Residential</v>
      </c>
      <c r="H252" s="88"/>
      <c r="I252" s="37"/>
      <c r="L252" s="121"/>
      <c r="M252" s="121"/>
      <c r="N252" s="37"/>
    </row>
    <row r="253" spans="1:14" s="47" customFormat="1" ht="15.75" customHeight="1" x14ac:dyDescent="0.25">
      <c r="A253" s="85">
        <f t="shared" ref="A253:A259" si="23">A252+1</f>
        <v>2</v>
      </c>
      <c r="B253" s="86"/>
      <c r="C253" s="46">
        <v>2</v>
      </c>
      <c r="D253" s="49">
        <f>(61.23)*(10.764)</f>
        <v>659.07971999999995</v>
      </c>
      <c r="E253" s="56">
        <v>0</v>
      </c>
      <c r="F253" s="56">
        <f t="shared" si="22"/>
        <v>1054.527552</v>
      </c>
      <c r="G253" s="89"/>
      <c r="H253" s="90"/>
      <c r="I253" s="37"/>
      <c r="L253" s="121"/>
      <c r="M253" s="121"/>
      <c r="N253" s="37"/>
    </row>
    <row r="254" spans="1:14" s="47" customFormat="1" ht="15.75" customHeight="1" x14ac:dyDescent="0.25">
      <c r="A254" s="85">
        <f t="shared" si="23"/>
        <v>3</v>
      </c>
      <c r="B254" s="86"/>
      <c r="C254" s="46">
        <v>2</v>
      </c>
      <c r="D254" s="49">
        <f>(62.56)*(10.764)</f>
        <v>673.39584000000002</v>
      </c>
      <c r="E254" s="56">
        <v>0</v>
      </c>
      <c r="F254" s="56">
        <f t="shared" si="22"/>
        <v>1077.433344</v>
      </c>
      <c r="G254" s="89"/>
      <c r="H254" s="90"/>
      <c r="I254" s="37"/>
      <c r="L254" s="121"/>
      <c r="M254" s="121"/>
      <c r="N254" s="37"/>
    </row>
    <row r="255" spans="1:14" s="47" customFormat="1" ht="15.75" customHeight="1" x14ac:dyDescent="0.25">
      <c r="A255" s="85">
        <f t="shared" si="23"/>
        <v>4</v>
      </c>
      <c r="B255" s="86"/>
      <c r="C255" s="46">
        <v>2</v>
      </c>
      <c r="D255" s="49">
        <f>(60.34)*(10.764)</f>
        <v>649.49976000000004</v>
      </c>
      <c r="E255" s="56">
        <v>0</v>
      </c>
      <c r="F255" s="56">
        <f t="shared" si="22"/>
        <v>1039.1996160000001</v>
      </c>
      <c r="G255" s="89"/>
      <c r="H255" s="90"/>
      <c r="I255" s="37"/>
      <c r="L255" s="121"/>
      <c r="M255" s="121"/>
      <c r="N255" s="37"/>
    </row>
    <row r="256" spans="1:14" s="47" customFormat="1" ht="15.75" customHeight="1" x14ac:dyDescent="0.25">
      <c r="A256" s="85">
        <f t="shared" si="23"/>
        <v>5</v>
      </c>
      <c r="B256" s="86"/>
      <c r="C256" s="46">
        <v>2</v>
      </c>
      <c r="D256" s="49">
        <f>(61.42)*(10.764)</f>
        <v>661.12487999999996</v>
      </c>
      <c r="E256" s="56">
        <v>0</v>
      </c>
      <c r="F256" s="56">
        <f t="shared" si="22"/>
        <v>1057.799808</v>
      </c>
      <c r="G256" s="89"/>
      <c r="H256" s="90"/>
      <c r="I256" s="37"/>
      <c r="L256" s="121"/>
      <c r="M256" s="121"/>
      <c r="N256" s="37"/>
    </row>
    <row r="257" spans="1:14" s="47" customFormat="1" ht="15.75" customHeight="1" x14ac:dyDescent="0.25">
      <c r="A257" s="85">
        <f t="shared" si="23"/>
        <v>6</v>
      </c>
      <c r="B257" s="86"/>
      <c r="C257" s="46">
        <v>2</v>
      </c>
      <c r="D257" s="49">
        <f>(60.02)*(10.764)</f>
        <v>646.05528000000004</v>
      </c>
      <c r="E257" s="56">
        <v>0</v>
      </c>
      <c r="F257" s="56">
        <f t="shared" si="22"/>
        <v>1033.6884480000001</v>
      </c>
      <c r="G257" s="89"/>
      <c r="H257" s="90"/>
      <c r="I257" s="37">
        <f>F257*11500+200000</f>
        <v>12087417.152000001</v>
      </c>
      <c r="L257" s="121"/>
      <c r="M257" s="121"/>
      <c r="N257" s="37"/>
    </row>
    <row r="258" spans="1:14" s="47" customFormat="1" ht="15.75" customHeight="1" x14ac:dyDescent="0.25">
      <c r="A258" s="85">
        <f t="shared" si="23"/>
        <v>7</v>
      </c>
      <c r="B258" s="86"/>
      <c r="C258" s="46">
        <v>2</v>
      </c>
      <c r="D258" s="49">
        <f>(62.28)*(10.764)</f>
        <v>670.38191999999992</v>
      </c>
      <c r="E258" s="56">
        <v>0</v>
      </c>
      <c r="F258" s="56">
        <f t="shared" si="22"/>
        <v>1072.6110719999999</v>
      </c>
      <c r="G258" s="89"/>
      <c r="H258" s="90"/>
      <c r="I258" s="37"/>
      <c r="L258" s="121"/>
      <c r="M258" s="121"/>
      <c r="N258" s="37"/>
    </row>
    <row r="259" spans="1:14" s="47" customFormat="1" ht="15.75" customHeight="1" x14ac:dyDescent="0.25">
      <c r="A259" s="85">
        <f t="shared" si="23"/>
        <v>8</v>
      </c>
      <c r="B259" s="86"/>
      <c r="C259" s="46">
        <v>2</v>
      </c>
      <c r="D259" s="49">
        <f>(62.15)*(10.764)</f>
        <v>668.98259999999993</v>
      </c>
      <c r="E259" s="56">
        <v>0</v>
      </c>
      <c r="F259" s="56">
        <f t="shared" si="22"/>
        <v>1070.3721599999999</v>
      </c>
      <c r="G259" s="91"/>
      <c r="H259" s="92"/>
      <c r="I259" s="37"/>
      <c r="L259" s="121"/>
      <c r="M259" s="121"/>
      <c r="N259" s="37"/>
    </row>
    <row r="260" spans="1:14" s="47" customFormat="1" ht="15.75" customHeight="1" x14ac:dyDescent="0.25">
      <c r="A260" s="93" t="s">
        <v>202</v>
      </c>
      <c r="B260" s="94"/>
      <c r="C260" s="94"/>
      <c r="D260" s="94"/>
      <c r="E260" s="94"/>
      <c r="F260" s="94"/>
      <c r="G260" s="94"/>
      <c r="H260" s="95"/>
      <c r="J260" s="37"/>
    </row>
    <row r="261" spans="1:14" s="47" customFormat="1" ht="15.75" customHeight="1" x14ac:dyDescent="0.25">
      <c r="A261" s="85">
        <v>1</v>
      </c>
      <c r="B261" s="86"/>
      <c r="C261" s="46">
        <v>2</v>
      </c>
      <c r="D261" s="49">
        <f>(60.86)*(10.764)</f>
        <v>655.09703999999999</v>
      </c>
      <c r="E261" s="56">
        <v>0</v>
      </c>
      <c r="F261" s="56">
        <f t="shared" ref="F261:F267" si="24">D261*(($F$165)+1)+(IF(E261&lt;101,E261,IF(E261&lt;201,E261/2,IF(E261&lt;=301,E261/3,E261/4))))</f>
        <v>1048.155264</v>
      </c>
      <c r="G261" s="87" t="str">
        <f>A260</f>
        <v>4th, 9th, 14th, 19th, 24th, 29th &amp; 34th Floor For Residential (Part Refuge Area)</v>
      </c>
      <c r="H261" s="88"/>
      <c r="I261" s="37">
        <f>11300000/F261</f>
        <v>10780.845537021507</v>
      </c>
      <c r="J261" s="47">
        <f>17000/1.6</f>
        <v>10625</v>
      </c>
      <c r="L261" s="121"/>
      <c r="M261" s="121"/>
      <c r="N261" s="37"/>
    </row>
    <row r="262" spans="1:14" s="47" customFormat="1" ht="15.75" customHeight="1" x14ac:dyDescent="0.25">
      <c r="A262" s="85">
        <f t="shared" ref="A262:A268" si="25">A261+1</f>
        <v>2</v>
      </c>
      <c r="B262" s="86"/>
      <c r="C262" s="46">
        <v>2</v>
      </c>
      <c r="D262" s="49">
        <f>(61.23)*(10.764)</f>
        <v>659.07971999999995</v>
      </c>
      <c r="E262" s="56">
        <v>0</v>
      </c>
      <c r="F262" s="56">
        <f t="shared" si="24"/>
        <v>1054.527552</v>
      </c>
      <c r="G262" s="89" t="str">
        <f t="shared" ref="G262:G268" si="26">G261</f>
        <v>4th, 9th, 14th, 19th, 24th, 29th &amp; 34th Floor For Residential (Part Refuge Area)</v>
      </c>
      <c r="H262" s="90"/>
      <c r="I262" s="37"/>
      <c r="L262" s="121"/>
      <c r="M262" s="121"/>
      <c r="N262" s="37"/>
    </row>
    <row r="263" spans="1:14" s="47" customFormat="1" ht="15.75" customHeight="1" x14ac:dyDescent="0.25">
      <c r="A263" s="85">
        <f t="shared" si="25"/>
        <v>3</v>
      </c>
      <c r="B263" s="86"/>
      <c r="C263" s="46">
        <v>2</v>
      </c>
      <c r="D263" s="49">
        <f>(62.56)*(10.764)</f>
        <v>673.39584000000002</v>
      </c>
      <c r="E263" s="56">
        <v>0</v>
      </c>
      <c r="F263" s="56">
        <f t="shared" si="24"/>
        <v>1077.433344</v>
      </c>
      <c r="G263" s="89" t="str">
        <f t="shared" si="26"/>
        <v>4th, 9th, 14th, 19th, 24th, 29th &amp; 34th Floor For Residential (Part Refuge Area)</v>
      </c>
      <c r="H263" s="90"/>
      <c r="I263" s="37"/>
      <c r="L263" s="121"/>
      <c r="M263" s="121"/>
      <c r="N263" s="37"/>
    </row>
    <row r="264" spans="1:14" s="47" customFormat="1" ht="15.75" customHeight="1" x14ac:dyDescent="0.25">
      <c r="A264" s="85">
        <f t="shared" si="25"/>
        <v>4</v>
      </c>
      <c r="B264" s="86"/>
      <c r="C264" s="46">
        <v>2</v>
      </c>
      <c r="D264" s="49">
        <f>(60.34)*(10.764)</f>
        <v>649.49976000000004</v>
      </c>
      <c r="E264" s="56">
        <v>0</v>
      </c>
      <c r="F264" s="56">
        <f t="shared" si="24"/>
        <v>1039.1996160000001</v>
      </c>
      <c r="G264" s="89" t="str">
        <f t="shared" si="26"/>
        <v>4th, 9th, 14th, 19th, 24th, 29th &amp; 34th Floor For Residential (Part Refuge Area)</v>
      </c>
      <c r="H264" s="90"/>
      <c r="I264" s="37"/>
      <c r="L264" s="121"/>
      <c r="M264" s="121"/>
      <c r="N264" s="37"/>
    </row>
    <row r="265" spans="1:14" s="47" customFormat="1" ht="15.75" customHeight="1" x14ac:dyDescent="0.25">
      <c r="A265" s="85">
        <f t="shared" si="25"/>
        <v>5</v>
      </c>
      <c r="B265" s="86"/>
      <c r="C265" s="46">
        <v>2</v>
      </c>
      <c r="D265" s="49">
        <f>(61.42)*(10.764)</f>
        <v>661.12487999999996</v>
      </c>
      <c r="E265" s="56">
        <v>0</v>
      </c>
      <c r="F265" s="56">
        <f t="shared" si="24"/>
        <v>1057.799808</v>
      </c>
      <c r="G265" s="89" t="str">
        <f t="shared" si="26"/>
        <v>4th, 9th, 14th, 19th, 24th, 29th &amp; 34th Floor For Residential (Part Refuge Area)</v>
      </c>
      <c r="H265" s="90"/>
      <c r="I265" s="37"/>
      <c r="L265" s="121"/>
      <c r="M265" s="121"/>
      <c r="N265" s="37"/>
    </row>
    <row r="266" spans="1:14" s="47" customFormat="1" ht="15.75" customHeight="1" x14ac:dyDescent="0.25">
      <c r="A266" s="85">
        <f t="shared" si="25"/>
        <v>6</v>
      </c>
      <c r="B266" s="86"/>
      <c r="C266" s="46">
        <v>2</v>
      </c>
      <c r="D266" s="49">
        <f>(60.02)*(10.764)</f>
        <v>646.05528000000004</v>
      </c>
      <c r="E266" s="56">
        <v>0</v>
      </c>
      <c r="F266" s="56">
        <f t="shared" si="24"/>
        <v>1033.6884480000001</v>
      </c>
      <c r="G266" s="89" t="str">
        <f t="shared" si="26"/>
        <v>4th, 9th, 14th, 19th, 24th, 29th &amp; 34th Floor For Residential (Part Refuge Area)</v>
      </c>
      <c r="H266" s="90"/>
      <c r="I266" s="37"/>
      <c r="L266" s="121"/>
      <c r="M266" s="121"/>
      <c r="N266" s="37"/>
    </row>
    <row r="267" spans="1:14" s="47" customFormat="1" ht="15.75" customHeight="1" x14ac:dyDescent="0.25">
      <c r="A267" s="85">
        <f t="shared" si="25"/>
        <v>7</v>
      </c>
      <c r="B267" s="86"/>
      <c r="C267" s="46" t="s">
        <v>196</v>
      </c>
      <c r="D267" s="49">
        <f>(72.41)*(10.764)</f>
        <v>779.4212399999999</v>
      </c>
      <c r="E267" s="56">
        <v>0</v>
      </c>
      <c r="F267" s="56">
        <f t="shared" si="24"/>
        <v>1247.0739839999999</v>
      </c>
      <c r="G267" s="89" t="str">
        <f t="shared" si="26"/>
        <v>4th, 9th, 14th, 19th, 24th, 29th &amp; 34th Floor For Residential (Part Refuge Area)</v>
      </c>
      <c r="H267" s="90"/>
      <c r="I267" s="37"/>
      <c r="L267" s="121"/>
      <c r="M267" s="121"/>
      <c r="N267" s="37"/>
    </row>
    <row r="268" spans="1:14" s="47" customFormat="1" ht="15.75" customHeight="1" x14ac:dyDescent="0.25">
      <c r="A268" s="85">
        <f t="shared" si="25"/>
        <v>8</v>
      </c>
      <c r="B268" s="86"/>
      <c r="C268" s="106" t="s">
        <v>194</v>
      </c>
      <c r="D268" s="107"/>
      <c r="E268" s="107"/>
      <c r="F268" s="108"/>
      <c r="G268" s="91" t="str">
        <f t="shared" si="26"/>
        <v>4th, 9th, 14th, 19th, 24th, 29th &amp; 34th Floor For Residential (Part Refuge Area)</v>
      </c>
      <c r="H268" s="92"/>
      <c r="I268" s="37"/>
      <c r="L268" s="121"/>
      <c r="M268" s="121"/>
      <c r="N268" s="37"/>
    </row>
    <row r="269" spans="1:14" s="47" customFormat="1" x14ac:dyDescent="0.25">
      <c r="A269" s="93" t="s">
        <v>237</v>
      </c>
      <c r="B269" s="94"/>
      <c r="C269" s="94"/>
      <c r="D269" s="94"/>
      <c r="E269" s="94"/>
      <c r="F269" s="94"/>
      <c r="G269" s="94"/>
      <c r="H269" s="95"/>
      <c r="J269" s="37"/>
    </row>
    <row r="270" spans="1:14" s="43" customFormat="1" hidden="1" x14ac:dyDescent="0.25">
      <c r="A270" s="93" t="s">
        <v>119</v>
      </c>
      <c r="B270" s="94"/>
      <c r="C270" s="94"/>
      <c r="D270" s="94"/>
      <c r="E270" s="94"/>
      <c r="F270" s="94"/>
      <c r="G270" s="94"/>
      <c r="H270" s="95"/>
      <c r="J270" s="37"/>
    </row>
    <row r="271" spans="1:14" s="43" customFormat="1" hidden="1" x14ac:dyDescent="0.25">
      <c r="A271" s="85">
        <v>1</v>
      </c>
      <c r="B271" s="86"/>
      <c r="C271" s="46"/>
      <c r="D271" s="56"/>
      <c r="E271" s="56">
        <v>0</v>
      </c>
      <c r="F271" s="56">
        <f>D271*(($F$165)+1)+(IF(E271&lt;101,E271,IF(E271&lt;201,E271/2,IF(E271&lt;=301,E271/3,E271/4))))</f>
        <v>0</v>
      </c>
      <c r="G271" s="85" t="str">
        <f>A270</f>
        <v>Ground Floor</v>
      </c>
      <c r="H271" s="86"/>
      <c r="I271" s="37"/>
      <c r="L271" s="121"/>
      <c r="M271" s="121"/>
      <c r="N271" s="37"/>
    </row>
    <row r="272" spans="1:14" s="43" customFormat="1" hidden="1" x14ac:dyDescent="0.25">
      <c r="A272" s="85">
        <f t="shared" ref="A272:A274" si="27">A271+1</f>
        <v>2</v>
      </c>
      <c r="B272" s="86"/>
      <c r="C272" s="46"/>
      <c r="D272" s="56"/>
      <c r="E272" s="56">
        <v>0</v>
      </c>
      <c r="F272" s="56">
        <f>D272*(($F$165)+1)+(IF(E272&lt;101,E272,IF(E272&lt;201,E272/2,IF(E272&lt;=301,E272/3,E272/4))))</f>
        <v>0</v>
      </c>
      <c r="G272" s="85" t="str">
        <f t="shared" ref="G272:G274" si="28">G271</f>
        <v>Ground Floor</v>
      </c>
      <c r="H272" s="86"/>
      <c r="I272" s="37"/>
      <c r="L272" s="121"/>
      <c r="M272" s="121"/>
      <c r="N272" s="37"/>
    </row>
    <row r="273" spans="1:16" s="43" customFormat="1" hidden="1" x14ac:dyDescent="0.25">
      <c r="A273" s="85">
        <f t="shared" si="27"/>
        <v>3</v>
      </c>
      <c r="B273" s="86"/>
      <c r="C273" s="46"/>
      <c r="D273" s="56"/>
      <c r="E273" s="56">
        <v>0</v>
      </c>
      <c r="F273" s="56">
        <f>D273*(($F$165)+1)+(IF(E273&lt;101,E273,IF(E273&lt;201,E273/2,IF(E273&lt;=301,E273/3,E273/4))))</f>
        <v>0</v>
      </c>
      <c r="G273" s="85" t="str">
        <f t="shared" si="28"/>
        <v>Ground Floor</v>
      </c>
      <c r="H273" s="86"/>
      <c r="I273" s="37"/>
      <c r="L273" s="121"/>
      <c r="M273" s="121"/>
      <c r="N273" s="37"/>
    </row>
    <row r="274" spans="1:16" s="43" customFormat="1" hidden="1" x14ac:dyDescent="0.25">
      <c r="A274" s="85">
        <f t="shared" si="27"/>
        <v>4</v>
      </c>
      <c r="B274" s="86"/>
      <c r="C274" s="46"/>
      <c r="D274" s="56"/>
      <c r="E274" s="56">
        <v>0</v>
      </c>
      <c r="F274" s="56">
        <f>D274*(($F$165)+1)+(IF(E274&lt;101,E274,IF(E274&lt;201,E274/2,IF(E274&lt;=301,E274/3,E274/4))))</f>
        <v>0</v>
      </c>
      <c r="G274" s="85" t="str">
        <f t="shared" si="28"/>
        <v>Ground Floor</v>
      </c>
      <c r="H274" s="86"/>
      <c r="I274" s="37"/>
      <c r="L274" s="121"/>
      <c r="M274" s="121"/>
      <c r="N274" s="37"/>
    </row>
    <row r="275" spans="1:16" s="43" customFormat="1" hidden="1" x14ac:dyDescent="0.25">
      <c r="A275" s="122" t="s">
        <v>120</v>
      </c>
      <c r="B275" s="122"/>
      <c r="C275" s="122"/>
      <c r="D275" s="122"/>
      <c r="E275" s="122"/>
      <c r="F275" s="122"/>
      <c r="G275" s="122"/>
      <c r="H275" s="122"/>
      <c r="I275" s="37"/>
      <c r="L275" s="121"/>
      <c r="M275" s="121"/>
    </row>
    <row r="276" spans="1:16" s="43" customFormat="1" hidden="1" x14ac:dyDescent="0.25">
      <c r="A276" s="109">
        <f>LEFT(A275,SUM(LEN(A275)-LEN(SUBSTITUTE(A275,{"0","1","2","3","4","5","6","7","8","9"},""))))*100+1</f>
        <v>201</v>
      </c>
      <c r="B276" s="109"/>
      <c r="C276" s="46"/>
      <c r="D276" s="56"/>
      <c r="E276" s="56">
        <v>0</v>
      </c>
      <c r="F276" s="56">
        <f t="shared" ref="F276:F277" si="29">D276*(($F$165)+1)+(IF(E276&lt;101,E276,IF(E276&lt;201,E276/2,IF(E276&lt;=301,E276/3,E276/4))))</f>
        <v>0</v>
      </c>
      <c r="G276" s="109" t="str">
        <f>A275</f>
        <v>2nd Floor</v>
      </c>
      <c r="H276" s="109"/>
      <c r="I276" s="37"/>
      <c r="N276" s="37"/>
    </row>
    <row r="277" spans="1:16" s="43" customFormat="1" hidden="1" x14ac:dyDescent="0.25">
      <c r="A277" s="109">
        <f>A276+1</f>
        <v>202</v>
      </c>
      <c r="B277" s="109"/>
      <c r="C277" s="46"/>
      <c r="D277" s="56"/>
      <c r="E277" s="56">
        <v>0</v>
      </c>
      <c r="F277" s="56">
        <f t="shared" si="29"/>
        <v>0</v>
      </c>
      <c r="G277" s="109" t="str">
        <f>G276</f>
        <v>2nd Floor</v>
      </c>
      <c r="H277" s="109"/>
      <c r="I277" s="37"/>
      <c r="N277" s="37"/>
    </row>
    <row r="278" spans="1:16" s="43" customFormat="1" hidden="1" x14ac:dyDescent="0.25">
      <c r="A278" s="109">
        <f>A277+1</f>
        <v>203</v>
      </c>
      <c r="B278" s="109"/>
      <c r="C278" s="46"/>
      <c r="D278" s="56"/>
      <c r="E278" s="56">
        <v>0</v>
      </c>
      <c r="F278" s="56">
        <f>D278*(($F$165)+1)+(IF(E278&lt;101,E278,IF(E278&lt;201,E278/2,IF(E278&lt;=301,E278/3,E278/4))))</f>
        <v>0</v>
      </c>
      <c r="G278" s="109" t="str">
        <f>G277</f>
        <v>2nd Floor</v>
      </c>
      <c r="H278" s="109"/>
      <c r="I278" s="37"/>
      <c r="N278" s="37"/>
    </row>
    <row r="279" spans="1:16" s="43" customFormat="1" hidden="1" x14ac:dyDescent="0.25">
      <c r="A279" s="109">
        <f>A278+1</f>
        <v>204</v>
      </c>
      <c r="B279" s="109"/>
      <c r="C279" s="46"/>
      <c r="D279" s="56"/>
      <c r="E279" s="56">
        <v>0</v>
      </c>
      <c r="F279" s="56">
        <f>D279*(($F$165)+1)+(IF(E279&lt;101,E279,IF(E279&lt;201,E279/2,IF(E279&lt;=301,E279/3,E279/4))))</f>
        <v>0</v>
      </c>
      <c r="G279" s="109" t="str">
        <f>G278</f>
        <v>2nd Floor</v>
      </c>
      <c r="H279" s="109"/>
      <c r="I279" s="37"/>
      <c r="N279" s="37"/>
    </row>
    <row r="280" spans="1:16" s="43" customFormat="1" hidden="1" x14ac:dyDescent="0.25">
      <c r="A280" s="109">
        <f>A279+1</f>
        <v>205</v>
      </c>
      <c r="B280" s="109"/>
      <c r="C280" s="46"/>
      <c r="D280" s="56"/>
      <c r="E280" s="56">
        <v>0</v>
      </c>
      <c r="F280" s="56">
        <f>D280*(($F$165)+1)+(IF(E280&lt;101,E280,IF(E280&lt;201,E280/2,IF(E280&lt;=301,E280/3,E280/4))))</f>
        <v>0</v>
      </c>
      <c r="G280" s="109" t="str">
        <f>G279</f>
        <v>2nd Floor</v>
      </c>
      <c r="H280" s="109"/>
      <c r="I280" s="37"/>
      <c r="N280" s="37"/>
    </row>
    <row r="281" spans="1:16" s="43" customFormat="1" ht="15.75" hidden="1" customHeight="1" x14ac:dyDescent="0.25">
      <c r="A281" s="93" t="s">
        <v>155</v>
      </c>
      <c r="B281" s="94"/>
      <c r="C281" s="94"/>
      <c r="D281" s="94"/>
      <c r="E281" s="94"/>
      <c r="F281" s="94"/>
      <c r="G281" s="94"/>
      <c r="H281" s="95"/>
      <c r="I281" s="37"/>
      <c r="P281" s="38"/>
    </row>
    <row r="282" spans="1:16" s="43" customFormat="1" hidden="1" x14ac:dyDescent="0.25">
      <c r="A282" s="85"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10^ROW(INDIRECT("1:"&amp;LEN((LEFT(A281,SUM(LEN(A281)-LEN(SUBSTITUTE(A281,{"0","1","2"},""))))))))/10))*100+1&amp;""&amp;" ,..,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",LEN(A281))),LEN(A281)))))))/10))*100+1</f>
        <v>301 ,.., 1501</v>
      </c>
      <c r="B282" s="86"/>
      <c r="C282" s="46"/>
      <c r="D282" s="56"/>
      <c r="E282" s="56">
        <v>0</v>
      </c>
      <c r="F282" s="56">
        <f>D282*(($F$165)+1)+(IF(E282&lt;101,E282,IF(E282&lt;201,E282/2,IF(E282&lt;=301,E282/3,E282/4))))</f>
        <v>0</v>
      </c>
      <c r="G282" s="85" t="str">
        <f>A281</f>
        <v>3rd, 5th, 7th, 9th, 11th, 13th, 15th Floor</v>
      </c>
      <c r="H282" s="86"/>
      <c r="I282" s="37"/>
    </row>
    <row r="283" spans="1:16" s="43" customFormat="1" hidden="1" x14ac:dyDescent="0.25">
      <c r="A283" s="85" t="str">
        <f ca="1">(SUMPRODUCT(MID(0&amp;(LEFT(A282,SUM(LEN(A282)-LEN(SUBSTITUTE(A282,{"0","1","2"},""))))), LARGE(INDEX(ISNUMBER(--MID((LEFT(A282,SUM(LEN(A282)-LEN(SUBSTITUTE(A282,{"0","1","2"},""))))), ROW(INDIRECT("1:"&amp;LEN((LEFT(A282,SUM(LEN(A282)-LEN(SUBSTITUTE(A282,{"0","1","2"},"")))))))), 1)) * ROW(INDIRECT("1:"&amp;LEN((LEFT(A282,SUM(LEN(A282)-LEN(SUBSTITUTE(A282,{"0","1","2"},"")))))))), 0), ROW(INDIRECT("1:"&amp;LEN((LEFT(A282,SUM(LEN(A282)-LEN(SUBSTITUTE(A282,{"0","1","2"},"")))))))))+1, 1) * 10^ROW(INDIRECT("1:"&amp;LEN((LEFT(A282,SUM(LEN(A282)-LEN(SUBSTITUTE(A282,{"0","1","2"},""))))))))/10))*1+1&amp;""&amp;" ,.., "&amp;""&amp;(SUMPRODUCT(MID(0&amp;(--TRIM(RIGHT(SUBSTITUTE(LEFT(A282,_xlfn.AGGREGATE(16,6,FIND({0,1,2,3,4,5,6,7,8,9},A282,ROW(INDIRECT("1:"&amp;LEN(A282)))),1))," ",REPT(" ",LEN(A282))),LEN(A282)))), LARGE(INDEX(ISNUMBER(--MID((--TRIM(RIGHT(SUBSTITUTE(LEFT(A282,_xlfn.AGGREGATE(16,6,FIND({0,1,2,3,4,5,6,7,8,9},A282,ROW(INDIRECT("1:"&amp;LEN(A282)))),1))," ",REPT(" ",LEN(A282))),LEN(A282)))), ROW(INDIRECT("1:"&amp;LEN((--TRIM(RIGHT(SUBSTITUTE(LEFT(A282,_xlfn.AGGREGATE(16,6,FIND({0,1,2,3,4,5,6,7,8,9},A282,ROW(INDIRECT("1:"&amp;LEN(A282)))),1))," ",REPT(" ",LEN(A282))),LEN(A282))))))), 1)) * ROW(INDIRECT("1:"&amp;LEN((--TRIM(RIGHT(SUBSTITUTE(LEFT(A282,_xlfn.AGGREGATE(16,6,FIND({0,1,2,3,4,5,6,7,8,9},A282,ROW(INDIRECT("1:"&amp;LEN(A282)))),1))," ",REPT(" ",LEN(A282))),LEN(A282))))))), 0), ROW(INDIRECT("1:"&amp;LEN((--TRIM(RIGHT(SUBSTITUTE(LEFT(A282,_xlfn.AGGREGATE(16,6,FIND({0,1,2,3,4,5,6,7,8,9},A282,ROW(INDIRECT("1:"&amp;LEN(A282)))),1))," ",REPT(" ",LEN(A282))),LEN(A282))))))))+1, 1) * 10^ROW(INDIRECT("1:"&amp;LEN((--TRIM(RIGHT(SUBSTITUTE(LEFT(A282,_xlfn.AGGREGATE(16,6,FIND({0,1,2,3,4,5,6,7,8,9},A282,ROW(INDIRECT("1:"&amp;LEN(A282)))),1))," ",REPT(" ",LEN(A282))),LEN(A282)))))))/10))*1+1</f>
        <v>302 ,.., 1502</v>
      </c>
      <c r="B283" s="86"/>
      <c r="C283" s="46"/>
      <c r="D283" s="56"/>
      <c r="E283" s="56">
        <v>0</v>
      </c>
      <c r="F283" s="56">
        <f>D283*(($F$165)+1)+(IF(E283&lt;101,E283,IF(E283&lt;201,E283/2,IF(E283&lt;=301,E283/3,E283/4))))</f>
        <v>0</v>
      </c>
      <c r="G283" s="85" t="str">
        <f>G282</f>
        <v>3rd, 5th, 7th, 9th, 11th, 13th, 15th Floor</v>
      </c>
      <c r="H283" s="86"/>
      <c r="I283" s="37"/>
    </row>
    <row r="284" spans="1:16" s="43" customFormat="1" ht="15.75" hidden="1" customHeight="1" x14ac:dyDescent="0.25">
      <c r="A284" s="85" t="str">
        <f ca="1">(SUMPRODUCT(MID(0&amp;(LEFT(A283,SUM(LEN(A283)-LEN(SUBSTITUTE(A283,{"0","1","2"},""))))), LARGE(INDEX(ISNUMBER(--MID((LEFT(A283,SUM(LEN(A283)-LEN(SUBSTITUTE(A283,{"0","1","2"},""))))), ROW(INDIRECT("1:"&amp;LEN((LEFT(A283,SUM(LEN(A283)-LEN(SUBSTITUTE(A283,{"0","1","2"},"")))))))), 1)) * ROW(INDIRECT("1:"&amp;LEN((LEFT(A283,SUM(LEN(A283)-LEN(SUBSTITUTE(A283,{"0","1","2"},"")))))))), 0), ROW(INDIRECT("1:"&amp;LEN((LEFT(A283,SUM(LEN(A283)-LEN(SUBSTITUTE(A283,{"0","1","2"},"")))))))))+1, 1) * 10^ROW(INDIRECT("1:"&amp;LEN((LEFT(A283,SUM(LEN(A283)-LEN(SUBSTITUTE(A283,{"0","1","2"},""))))))))/10))*1+1&amp;""&amp;" ,.., "&amp;""&amp;(SUMPRODUCT(MID(0&amp;(--TRIM(RIGHT(SUBSTITUTE(LEFT(A283,_xlfn.AGGREGATE(16,6,FIND({0,1,2,3,4,5,6,7,8,9},A283,ROW(INDIRECT("1:"&amp;LEN(A283)))),1))," ",REPT(" ",LEN(A283))),LEN(A283)))), LARGE(INDEX(ISNUMBER(--MID((--TRIM(RIGHT(SUBSTITUTE(LEFT(A283,_xlfn.AGGREGATE(16,6,FIND({0,1,2,3,4,5,6,7,8,9},A283,ROW(INDIRECT("1:"&amp;LEN(A283)))),1))," ",REPT(" ",LEN(A283))),LEN(A283)))), ROW(INDIRECT("1:"&amp;LEN((--TRIM(RIGHT(SUBSTITUTE(LEFT(A283,_xlfn.AGGREGATE(16,6,FIND({0,1,2,3,4,5,6,7,8,9},A283,ROW(INDIRECT("1:"&amp;LEN(A283)))),1))," ",REPT(" ",LEN(A283))),LEN(A283))))))), 1)) * ROW(INDIRECT("1:"&amp;LEN((--TRIM(RIGHT(SUBSTITUTE(LEFT(A283,_xlfn.AGGREGATE(16,6,FIND({0,1,2,3,4,5,6,7,8,9},A283,ROW(INDIRECT("1:"&amp;LEN(A283)))),1))," ",REPT(" ",LEN(A283))),LEN(A283))))))), 0), ROW(INDIRECT("1:"&amp;LEN((--TRIM(RIGHT(SUBSTITUTE(LEFT(A283,_xlfn.AGGREGATE(16,6,FIND({0,1,2,3,4,5,6,7,8,9},A283,ROW(INDIRECT("1:"&amp;LEN(A283)))),1))," ",REPT(" ",LEN(A283))),LEN(A283))))))))+1, 1) * 10^ROW(INDIRECT("1:"&amp;LEN((--TRIM(RIGHT(SUBSTITUTE(LEFT(A283,_xlfn.AGGREGATE(16,6,FIND({0,1,2,3,4,5,6,7,8,9},A283,ROW(INDIRECT("1:"&amp;LEN(A283)))),1))," ",REPT(" ",LEN(A283))),LEN(A283)))))))/10))*1+1</f>
        <v>303 ,.., 1503</v>
      </c>
      <c r="B284" s="86"/>
      <c r="C284" s="46"/>
      <c r="D284" s="56"/>
      <c r="E284" s="56">
        <v>0</v>
      </c>
      <c r="F284" s="56">
        <f>D284*(($F$165)+1)+(IF(E284&lt;101,E284,IF(E284&lt;201,E284/2,IF(E284&lt;=301,E284/3,E284/4))))</f>
        <v>0</v>
      </c>
      <c r="G284" s="85" t="str">
        <f>G283</f>
        <v>3rd, 5th, 7th, 9th, 11th, 13th, 15th Floor</v>
      </c>
      <c r="H284" s="86"/>
      <c r="I284" s="37"/>
    </row>
    <row r="285" spans="1:16" s="43" customFormat="1" ht="15.75" hidden="1" customHeight="1" x14ac:dyDescent="0.25">
      <c r="A285" s="85"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10^ROW(INDIRECT("1:"&amp;LEN((LEFT(A284,SUM(LEN(A284)-LEN(SUBSTITUTE(A284,{"0","1","2"},""))))))))/10))*1+1&amp;""&amp;" ,..,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",LEN(A284))),LEN(A284)))))))/10))*1+1</f>
        <v>304 ,.., 1504</v>
      </c>
      <c r="B285" s="86"/>
      <c r="C285" s="46"/>
      <c r="D285" s="56"/>
      <c r="E285" s="56">
        <v>0</v>
      </c>
      <c r="F285" s="56">
        <f>D285*(($F$165)+1)+(IF(E285&lt;101,E285,IF(E285&lt;201,E285/2,IF(E285&lt;=301,E285/3,E285/4))))</f>
        <v>0</v>
      </c>
      <c r="G285" s="85" t="str">
        <f>G284</f>
        <v>3rd, 5th, 7th, 9th, 11th, 13th, 15th Floor</v>
      </c>
      <c r="H285" s="86"/>
      <c r="I285" s="37"/>
    </row>
    <row r="286" spans="1:16" s="43" customFormat="1" ht="15.75" hidden="1" customHeight="1" x14ac:dyDescent="0.25">
      <c r="A286" s="85" t="str">
        <f ca="1">(SUMPRODUCT(MID(0&amp;(LEFT(A285,SUM(LEN(A285)-LEN(SUBSTITUTE(A285,{"0","1","2"},""))))), LARGE(INDEX(ISNUMBER(--MID((LEFT(A285,SUM(LEN(A285)-LEN(SUBSTITUTE(A285,{"0","1","2"},""))))), ROW(INDIRECT("1:"&amp;LEN((LEFT(A285,SUM(LEN(A285)-LEN(SUBSTITUTE(A285,{"0","1","2"},"")))))))), 1)) * ROW(INDIRECT("1:"&amp;LEN((LEFT(A285,SUM(LEN(A285)-LEN(SUBSTITUTE(A285,{"0","1","2"},"")))))))), 0), ROW(INDIRECT("1:"&amp;LEN((LEFT(A285,SUM(LEN(A285)-LEN(SUBSTITUTE(A285,{"0","1","2"},"")))))))))+1, 1) * 10^ROW(INDIRECT("1:"&amp;LEN((LEFT(A285,SUM(LEN(A285)-LEN(SUBSTITUTE(A285,{"0","1","2"},""))))))))/10))*1+1&amp;""&amp;" ,.., "&amp;""&amp;(SUMPRODUCT(MID(0&amp;(--TRIM(RIGHT(SUBSTITUTE(LEFT(A285,_xlfn.AGGREGATE(16,6,FIND({0,1,2,3,4,5,6,7,8,9},A285,ROW(INDIRECT("1:"&amp;LEN(A285)))),1))," ",REPT(" ",LEN(A285))),LEN(A285)))), LARGE(INDEX(ISNUMBER(--MID((--TRIM(RIGHT(SUBSTITUTE(LEFT(A285,_xlfn.AGGREGATE(16,6,FIND({0,1,2,3,4,5,6,7,8,9},A285,ROW(INDIRECT("1:"&amp;LEN(A285)))),1))," ",REPT(" ",LEN(A285))),LEN(A285)))), ROW(INDIRECT("1:"&amp;LEN((--TRIM(RIGHT(SUBSTITUTE(LEFT(A285,_xlfn.AGGREGATE(16,6,FIND({0,1,2,3,4,5,6,7,8,9},A285,ROW(INDIRECT("1:"&amp;LEN(A285)))),1))," ",REPT(" ",LEN(A285))),LEN(A285))))))), 1)) * ROW(INDIRECT("1:"&amp;LEN((--TRIM(RIGHT(SUBSTITUTE(LEFT(A285,_xlfn.AGGREGATE(16,6,FIND({0,1,2,3,4,5,6,7,8,9},A285,ROW(INDIRECT("1:"&amp;LEN(A285)))),1))," ",REPT(" ",LEN(A285))),LEN(A285))))))), 0), ROW(INDIRECT("1:"&amp;LEN((--TRIM(RIGHT(SUBSTITUTE(LEFT(A285,_xlfn.AGGREGATE(16,6,FIND({0,1,2,3,4,5,6,7,8,9},A285,ROW(INDIRECT("1:"&amp;LEN(A285)))),1))," ",REPT(" ",LEN(A285))),LEN(A285))))))))+1, 1) * 10^ROW(INDIRECT("1:"&amp;LEN((--TRIM(RIGHT(SUBSTITUTE(LEFT(A285,_xlfn.AGGREGATE(16,6,FIND({0,1,2,3,4,5,6,7,8,9},A285,ROW(INDIRECT("1:"&amp;LEN(A285)))),1))," ",REPT(" ",LEN(A285))),LEN(A285)))))))/10))*1+1</f>
        <v>305 ,.., 1505</v>
      </c>
      <c r="B286" s="86"/>
      <c r="C286" s="46"/>
      <c r="D286" s="56"/>
      <c r="E286" s="56">
        <v>0</v>
      </c>
      <c r="F286" s="56">
        <f>D286*(($F$165)+1)+(IF(E286&lt;101,E286,IF(E286&lt;201,E286/2,IF(E286&lt;=301,E286/3,E286/4))))</f>
        <v>0</v>
      </c>
      <c r="G286" s="85" t="str">
        <f>G285</f>
        <v>3rd, 5th, 7th, 9th, 11th, 13th, 15th Floor</v>
      </c>
      <c r="H286" s="86"/>
      <c r="I286" s="37"/>
    </row>
    <row r="287" spans="1:16" s="43" customFormat="1" hidden="1" x14ac:dyDescent="0.25">
      <c r="A287" s="93" t="s">
        <v>149</v>
      </c>
      <c r="B287" s="94"/>
      <c r="C287" s="94"/>
      <c r="D287" s="94"/>
      <c r="E287" s="94"/>
      <c r="F287" s="94"/>
      <c r="G287" s="94"/>
      <c r="H287" s="95"/>
      <c r="I287" s="37"/>
      <c r="P287" s="38"/>
    </row>
    <row r="288" spans="1:16" s="43" customFormat="1" hidden="1" x14ac:dyDescent="0.25">
      <c r="A288" s="85" t="str">
        <f ca="1">(SUMPRODUCT(MID(0&amp;(LEFT(A287,SUM(LEN(A287)-LEN(SUBSTITUTE(A287,{"0","1","2"},""))))), LARGE(INDEX(ISNUMBER(--MID((LEFT(A287,SUM(LEN(A287)-LEN(SUBSTITUTE(A287,{"0","1","2"},""))))), ROW(INDIRECT("1:"&amp;LEN((LEFT(A287,SUM(LEN(A287)-LEN(SUBSTITUTE(A287,{"0","1","2"},"")))))))), 1)) * ROW(INDIRECT("1:"&amp;LEN((LEFT(A287,SUM(LEN(A287)-LEN(SUBSTITUTE(A287,{"0","1","2"},"")))))))), 0), ROW(INDIRECT("1:"&amp;LEN((LEFT(A287,SUM(LEN(A287)-LEN(SUBSTITUTE(A287,{"0","1","2"},"")))))))))+1, 1) * 10^ROW(INDIRECT("1:"&amp;LEN((LEFT(A287,SUM(LEN(A287)-LEN(SUBSTITUTE(A287,{"0","1","2"},""))))))))/10))*100+1&amp;""&amp;" to "&amp;""&amp;(SUMPRODUCT(MID(0&amp;(--TRIM(RIGHT(SUBSTITUTE(LEFT(A287,_xlfn.AGGREGATE(16,6,FIND({0,1,2,3,4,5,6,7,8,9},A287,ROW(INDIRECT("1:"&amp;LEN(A287)))),1))," ",REPT(" ",LEN(A287))),LEN(A287)))), LARGE(INDEX(ISNUMBER(--MID((--TRIM(RIGHT(SUBSTITUTE(LEFT(A287,_xlfn.AGGREGATE(16,6,FIND({0,1,2,3,4,5,6,7,8,9},A287,ROW(INDIRECT("1:"&amp;LEN(A287)))),1))," ",REPT(" ",LEN(A287))),LEN(A287)))), ROW(INDIRECT("1:"&amp;LEN((--TRIM(RIGHT(SUBSTITUTE(LEFT(A287,_xlfn.AGGREGATE(16,6,FIND({0,1,2,3,4,5,6,7,8,9},A287,ROW(INDIRECT("1:"&amp;LEN(A287)))),1))," ",REPT(" ",LEN(A287))),LEN(A287))))))), 1)) * ROW(INDIRECT("1:"&amp;LEN((--TRIM(RIGHT(SUBSTITUTE(LEFT(A287,_xlfn.AGGREGATE(16,6,FIND({0,1,2,3,4,5,6,7,8,9},A287,ROW(INDIRECT("1:"&amp;LEN(A287)))),1))," ",REPT(" ",LEN(A287))),LEN(A287))))))), 0), ROW(INDIRECT("1:"&amp;LEN((--TRIM(RIGHT(SUBSTITUTE(LEFT(A287,_xlfn.AGGREGATE(16,6,FIND({0,1,2,3,4,5,6,7,8,9},A287,ROW(INDIRECT("1:"&amp;LEN(A287)))),1))," ",REPT(" ",LEN(A287))),LEN(A287))))))))+1, 1) * 10^ROW(INDIRECT("1:"&amp;LEN((--TRIM(RIGHT(SUBSTITUTE(LEFT(A287,_xlfn.AGGREGATE(16,6,FIND({0,1,2,3,4,5,6,7,8,9},A287,ROW(INDIRECT("1:"&amp;LEN(A287)))),1))," ",REPT(" ",LEN(A287))),LEN(A287)))))))/10))*100+1</f>
        <v>201 to 501</v>
      </c>
      <c r="B288" s="86"/>
      <c r="C288" s="46"/>
      <c r="D288" s="56"/>
      <c r="E288" s="56">
        <v>0</v>
      </c>
      <c r="F288" s="56">
        <f>D288*(($F$165)+1)+(IF(E288&lt;101,E288,IF(E288&lt;201,E288/2,IF(E288&lt;=301,E288/3,E288/4))))</f>
        <v>0</v>
      </c>
      <c r="G288" s="85" t="str">
        <f>A287</f>
        <v>2nd to 5th Floor</v>
      </c>
      <c r="H288" s="86"/>
      <c r="I288" s="37"/>
    </row>
    <row r="289" spans="1:16" s="43" customFormat="1" hidden="1" x14ac:dyDescent="0.25">
      <c r="A289" s="85" t="str">
        <f ca="1">(SUMPRODUCT(MID(0&amp;(LEFT(A288,SUM(LEN(A288)-LEN(SUBSTITUTE(A288,{"0","1","2"},""))))), LARGE(INDEX(ISNUMBER(--MID((LEFT(A288,SUM(LEN(A288)-LEN(SUBSTITUTE(A288,{"0","1","2"},""))))), ROW(INDIRECT("1:"&amp;LEN((LEFT(A288,SUM(LEN(A288)-LEN(SUBSTITUTE(A288,{"0","1","2"},"")))))))), 1)) * ROW(INDIRECT("1:"&amp;LEN((LEFT(A288,SUM(LEN(A288)-LEN(SUBSTITUTE(A288,{"0","1","2"},"")))))))), 0), ROW(INDIRECT("1:"&amp;LEN((LEFT(A288,SUM(LEN(A288)-LEN(SUBSTITUTE(A288,{"0","1","2"},"")))))))))+1, 1) * 10^ROW(INDIRECT("1:"&amp;LEN((LEFT(A288,SUM(LEN(A288)-LEN(SUBSTITUTE(A288,{"0","1","2"},""))))))))/10))*1+1&amp;""&amp;" to "&amp;""&amp;(SUMPRODUCT(MID(0&amp;(--TRIM(RIGHT(SUBSTITUTE(LEFT(A288,_xlfn.AGGREGATE(16,6,FIND({0,1,2,3,4,5,6,7,8,9},A288,ROW(INDIRECT("1:"&amp;LEN(A288)))),1))," ",REPT(" ",LEN(A288))),LEN(A288)))), LARGE(INDEX(ISNUMBER(--MID((--TRIM(RIGHT(SUBSTITUTE(LEFT(A288,_xlfn.AGGREGATE(16,6,FIND({0,1,2,3,4,5,6,7,8,9},A288,ROW(INDIRECT("1:"&amp;LEN(A288)))),1))," ",REPT(" ",LEN(A288))),LEN(A288)))), ROW(INDIRECT("1:"&amp;LEN((--TRIM(RIGHT(SUBSTITUTE(LEFT(A288,_xlfn.AGGREGATE(16,6,FIND({0,1,2,3,4,5,6,7,8,9},A288,ROW(INDIRECT("1:"&amp;LEN(A288)))),1))," ",REPT(" ",LEN(A288))),LEN(A288))))))), 1)) * ROW(INDIRECT("1:"&amp;LEN((--TRIM(RIGHT(SUBSTITUTE(LEFT(A288,_xlfn.AGGREGATE(16,6,FIND({0,1,2,3,4,5,6,7,8,9},A288,ROW(INDIRECT("1:"&amp;LEN(A288)))),1))," ",REPT(" ",LEN(A288))),LEN(A288))))))), 0), ROW(INDIRECT("1:"&amp;LEN((--TRIM(RIGHT(SUBSTITUTE(LEFT(A288,_xlfn.AGGREGATE(16,6,FIND({0,1,2,3,4,5,6,7,8,9},A288,ROW(INDIRECT("1:"&amp;LEN(A288)))),1))," ",REPT(" ",LEN(A288))),LEN(A288))))))))+1, 1) * 10^ROW(INDIRECT("1:"&amp;LEN((--TRIM(RIGHT(SUBSTITUTE(LEFT(A288,_xlfn.AGGREGATE(16,6,FIND({0,1,2,3,4,5,6,7,8,9},A288,ROW(INDIRECT("1:"&amp;LEN(A288)))),1))," ",REPT(" ",LEN(A288))),LEN(A288)))))))/10))*1+1</f>
        <v>202 to 502</v>
      </c>
      <c r="B289" s="86"/>
      <c r="C289" s="46"/>
      <c r="D289" s="56"/>
      <c r="E289" s="56">
        <v>0</v>
      </c>
      <c r="F289" s="56">
        <f>D289*(($F$165)+1)+(IF(E289&lt;101,E289,IF(E289&lt;201,E289/2,IF(E289&lt;=301,E289/3,E289/4))))</f>
        <v>0</v>
      </c>
      <c r="G289" s="85" t="str">
        <f>G288</f>
        <v>2nd to 5th Floor</v>
      </c>
      <c r="H289" s="86"/>
      <c r="I289" s="37"/>
    </row>
    <row r="290" spans="1:16" s="43" customFormat="1" hidden="1" x14ac:dyDescent="0.25">
      <c r="A290" s="85" t="str">
        <f ca="1">(SUMPRODUCT(MID(0&amp;(LEFT(A289,SUM(LEN(A289)-LEN(SUBSTITUTE(A289,{"0","1","2"},""))))), LARGE(INDEX(ISNUMBER(--MID((LEFT(A289,SUM(LEN(A289)-LEN(SUBSTITUTE(A289,{"0","1","2"},""))))), ROW(INDIRECT("1:"&amp;LEN((LEFT(A289,SUM(LEN(A289)-LEN(SUBSTITUTE(A289,{"0","1","2"},"")))))))), 1)) * ROW(INDIRECT("1:"&amp;LEN((LEFT(A289,SUM(LEN(A289)-LEN(SUBSTITUTE(A289,{"0","1","2"},"")))))))), 0), ROW(INDIRECT("1:"&amp;LEN((LEFT(A289,SUM(LEN(A289)-LEN(SUBSTITUTE(A289,{"0","1","2"},"")))))))))+1, 1) * 10^ROW(INDIRECT("1:"&amp;LEN((LEFT(A289,SUM(LEN(A289)-LEN(SUBSTITUTE(A289,{"0","1","2"},""))))))))/10))*1+1&amp;""&amp;" to "&amp;""&amp;(SUMPRODUCT(MID(0&amp;(--TRIM(RIGHT(SUBSTITUTE(LEFT(A289,_xlfn.AGGREGATE(16,6,FIND({0,1,2,3,4,5,6,7,8,9},A289,ROW(INDIRECT("1:"&amp;LEN(A289)))),1))," ",REPT(" ",LEN(A289))),LEN(A289)))), LARGE(INDEX(ISNUMBER(--MID((--TRIM(RIGHT(SUBSTITUTE(LEFT(A289,_xlfn.AGGREGATE(16,6,FIND({0,1,2,3,4,5,6,7,8,9},A289,ROW(INDIRECT("1:"&amp;LEN(A289)))),1))," ",REPT(" ",LEN(A289))),LEN(A289)))), ROW(INDIRECT("1:"&amp;LEN((--TRIM(RIGHT(SUBSTITUTE(LEFT(A289,_xlfn.AGGREGATE(16,6,FIND({0,1,2,3,4,5,6,7,8,9},A289,ROW(INDIRECT("1:"&amp;LEN(A289)))),1))," ",REPT(" ",LEN(A289))),LEN(A289))))))), 1)) * ROW(INDIRECT("1:"&amp;LEN((--TRIM(RIGHT(SUBSTITUTE(LEFT(A289,_xlfn.AGGREGATE(16,6,FIND({0,1,2,3,4,5,6,7,8,9},A289,ROW(INDIRECT("1:"&amp;LEN(A289)))),1))," ",REPT(" ",LEN(A289))),LEN(A289))))))), 0), ROW(INDIRECT("1:"&amp;LEN((--TRIM(RIGHT(SUBSTITUTE(LEFT(A289,_xlfn.AGGREGATE(16,6,FIND({0,1,2,3,4,5,6,7,8,9},A289,ROW(INDIRECT("1:"&amp;LEN(A289)))),1))," ",REPT(" ",LEN(A289))),LEN(A289))))))))+1, 1) * 10^ROW(INDIRECT("1:"&amp;LEN((--TRIM(RIGHT(SUBSTITUTE(LEFT(A289,_xlfn.AGGREGATE(16,6,FIND({0,1,2,3,4,5,6,7,8,9},A289,ROW(INDIRECT("1:"&amp;LEN(A289)))),1))," ",REPT(" ",LEN(A289))),LEN(A289)))))))/10))*1+1</f>
        <v>203 to 503</v>
      </c>
      <c r="B290" s="86"/>
      <c r="C290" s="46"/>
      <c r="D290" s="56"/>
      <c r="E290" s="56">
        <v>0</v>
      </c>
      <c r="F290" s="56">
        <f>D290*(($F$165)+1)+(IF(E290&lt;101,E290,IF(E290&lt;201,E290/2,IF(E290&lt;=301,E290/3,E290/4))))</f>
        <v>0</v>
      </c>
      <c r="G290" s="85" t="str">
        <f>G289</f>
        <v>2nd to 5th Floor</v>
      </c>
      <c r="H290" s="86"/>
      <c r="I290" s="37"/>
    </row>
    <row r="291" spans="1:16" s="43" customFormat="1" hidden="1" x14ac:dyDescent="0.25">
      <c r="A291" s="85" t="str">
        <f ca="1">(SUMPRODUCT(MID(0&amp;(LEFT(A290,SUM(LEN(A290)-LEN(SUBSTITUTE(A290,{"0","1","2"},""))))), LARGE(INDEX(ISNUMBER(--MID((LEFT(A290,SUM(LEN(A290)-LEN(SUBSTITUTE(A290,{"0","1","2"},""))))), ROW(INDIRECT("1:"&amp;LEN((LEFT(A290,SUM(LEN(A290)-LEN(SUBSTITUTE(A290,{"0","1","2"},"")))))))), 1)) * ROW(INDIRECT("1:"&amp;LEN((LEFT(A290,SUM(LEN(A290)-LEN(SUBSTITUTE(A290,{"0","1","2"},"")))))))), 0), ROW(INDIRECT("1:"&amp;LEN((LEFT(A290,SUM(LEN(A290)-LEN(SUBSTITUTE(A290,{"0","1","2"},"")))))))))+1, 1) * 10^ROW(INDIRECT("1:"&amp;LEN((LEFT(A290,SUM(LEN(A290)-LEN(SUBSTITUTE(A290,{"0","1","2"},""))))))))/10))*1+1&amp;""&amp;" to "&amp;""&amp;(SUMPRODUCT(MID(0&amp;(--TRIM(RIGHT(SUBSTITUTE(LEFT(A290,_xlfn.AGGREGATE(16,6,FIND({0,1,2,3,4,5,6,7,8,9},A290,ROW(INDIRECT("1:"&amp;LEN(A290)))),1))," ",REPT(" ",LEN(A290))),LEN(A290)))), LARGE(INDEX(ISNUMBER(--MID((--TRIM(RIGHT(SUBSTITUTE(LEFT(A290,_xlfn.AGGREGATE(16,6,FIND({0,1,2,3,4,5,6,7,8,9},A290,ROW(INDIRECT("1:"&amp;LEN(A290)))),1))," ",REPT(" ",LEN(A290))),LEN(A290)))), ROW(INDIRECT("1:"&amp;LEN((--TRIM(RIGHT(SUBSTITUTE(LEFT(A290,_xlfn.AGGREGATE(16,6,FIND({0,1,2,3,4,5,6,7,8,9},A290,ROW(INDIRECT("1:"&amp;LEN(A290)))),1))," ",REPT(" ",LEN(A290))),LEN(A290))))))), 1)) * ROW(INDIRECT("1:"&amp;LEN((--TRIM(RIGHT(SUBSTITUTE(LEFT(A290,_xlfn.AGGREGATE(16,6,FIND({0,1,2,3,4,5,6,7,8,9},A290,ROW(INDIRECT("1:"&amp;LEN(A290)))),1))," ",REPT(" ",LEN(A290))),LEN(A290))))))), 0), ROW(INDIRECT("1:"&amp;LEN((--TRIM(RIGHT(SUBSTITUTE(LEFT(A290,_xlfn.AGGREGATE(16,6,FIND({0,1,2,3,4,5,6,7,8,9},A290,ROW(INDIRECT("1:"&amp;LEN(A290)))),1))," ",REPT(" ",LEN(A290))),LEN(A290))))))))+1, 1) * 10^ROW(INDIRECT("1:"&amp;LEN((--TRIM(RIGHT(SUBSTITUTE(LEFT(A290,_xlfn.AGGREGATE(16,6,FIND({0,1,2,3,4,5,6,7,8,9},A290,ROW(INDIRECT("1:"&amp;LEN(A290)))),1))," ",REPT(" ",LEN(A290))),LEN(A290)))))))/10))*1+1</f>
        <v>204 to 504</v>
      </c>
      <c r="B291" s="86"/>
      <c r="C291" s="46"/>
      <c r="D291" s="56"/>
      <c r="E291" s="56">
        <v>0</v>
      </c>
      <c r="F291" s="56">
        <f>D291*(($F$165)+1)+(IF(E291&lt;101,E291,IF(E291&lt;201,E291/2,IF(E291&lt;=301,E291/3,E291/4))))</f>
        <v>0</v>
      </c>
      <c r="G291" s="85" t="str">
        <f>G290</f>
        <v>2nd to 5th Floor</v>
      </c>
      <c r="H291" s="86"/>
      <c r="I291" s="37"/>
    </row>
    <row r="292" spans="1:16" s="43" customFormat="1" hidden="1" x14ac:dyDescent="0.25">
      <c r="A292" s="85" t="str">
        <f ca="1">(SUMPRODUCT(MID(0&amp;(LEFT(A291,SUM(LEN(A291)-LEN(SUBSTITUTE(A291,{"0","1","2"},""))))), LARGE(INDEX(ISNUMBER(--MID((LEFT(A291,SUM(LEN(A291)-LEN(SUBSTITUTE(A291,{"0","1","2"},""))))), ROW(INDIRECT("1:"&amp;LEN((LEFT(A291,SUM(LEN(A291)-LEN(SUBSTITUTE(A291,{"0","1","2"},"")))))))), 1)) * ROW(INDIRECT("1:"&amp;LEN((LEFT(A291,SUM(LEN(A291)-LEN(SUBSTITUTE(A291,{"0","1","2"},"")))))))), 0), ROW(INDIRECT("1:"&amp;LEN((LEFT(A291,SUM(LEN(A291)-LEN(SUBSTITUTE(A291,{"0","1","2"},"")))))))))+1, 1) * 10^ROW(INDIRECT("1:"&amp;LEN((LEFT(A291,SUM(LEN(A291)-LEN(SUBSTITUTE(A291,{"0","1","2"},""))))))))/10))*1+1&amp;""&amp;" to "&amp;""&amp;(SUMPRODUCT(MID(0&amp;(--TRIM(RIGHT(SUBSTITUTE(LEFT(A291,_xlfn.AGGREGATE(16,6,FIND({0,1,2,3,4,5,6,7,8,9},A291,ROW(INDIRECT("1:"&amp;LEN(A291)))),1))," ",REPT(" ",LEN(A291))),LEN(A291)))), LARGE(INDEX(ISNUMBER(--MID((--TRIM(RIGHT(SUBSTITUTE(LEFT(A291,_xlfn.AGGREGATE(16,6,FIND({0,1,2,3,4,5,6,7,8,9},A291,ROW(INDIRECT("1:"&amp;LEN(A291)))),1))," ",REPT(" ",LEN(A291))),LEN(A291)))), ROW(INDIRECT("1:"&amp;LEN((--TRIM(RIGHT(SUBSTITUTE(LEFT(A291,_xlfn.AGGREGATE(16,6,FIND({0,1,2,3,4,5,6,7,8,9},A291,ROW(INDIRECT("1:"&amp;LEN(A291)))),1))," ",REPT(" ",LEN(A291))),LEN(A291))))))), 1)) * ROW(INDIRECT("1:"&amp;LEN((--TRIM(RIGHT(SUBSTITUTE(LEFT(A291,_xlfn.AGGREGATE(16,6,FIND({0,1,2,3,4,5,6,7,8,9},A291,ROW(INDIRECT("1:"&amp;LEN(A291)))),1))," ",REPT(" ",LEN(A291))),LEN(A291))))))), 0), ROW(INDIRECT("1:"&amp;LEN((--TRIM(RIGHT(SUBSTITUTE(LEFT(A291,_xlfn.AGGREGATE(16,6,FIND({0,1,2,3,4,5,6,7,8,9},A291,ROW(INDIRECT("1:"&amp;LEN(A291)))),1))," ",REPT(" ",LEN(A291))),LEN(A291))))))))+1, 1) * 10^ROW(INDIRECT("1:"&amp;LEN((--TRIM(RIGHT(SUBSTITUTE(LEFT(A291,_xlfn.AGGREGATE(16,6,FIND({0,1,2,3,4,5,6,7,8,9},A291,ROW(INDIRECT("1:"&amp;LEN(A291)))),1))," ",REPT(" ",LEN(A291))),LEN(A291)))))))/10))*1+1</f>
        <v>205 to 505</v>
      </c>
      <c r="B292" s="86"/>
      <c r="C292" s="46"/>
      <c r="D292" s="56"/>
      <c r="E292" s="56">
        <v>0</v>
      </c>
      <c r="F292" s="56">
        <f>D292*(($F$165)+1)+(IF(E292&lt;101,E292,IF(E292&lt;201,E292/2,IF(E292&lt;=301,E292/3,E292/4))))</f>
        <v>0</v>
      </c>
      <c r="G292" s="85" t="str">
        <f>G291</f>
        <v>2nd to 5th Floor</v>
      </c>
      <c r="H292" s="86"/>
      <c r="I292" s="37"/>
    </row>
    <row r="293" spans="1:16" s="43" customFormat="1" hidden="1" x14ac:dyDescent="0.25">
      <c r="A293" s="93" t="s">
        <v>150</v>
      </c>
      <c r="B293" s="94"/>
      <c r="C293" s="94"/>
      <c r="D293" s="94"/>
      <c r="E293" s="94"/>
      <c r="F293" s="94"/>
      <c r="G293" s="94"/>
      <c r="H293" s="95"/>
      <c r="I293" s="37"/>
      <c r="P293" s="38"/>
    </row>
    <row r="294" spans="1:16" s="43" customFormat="1" hidden="1" x14ac:dyDescent="0.25">
      <c r="A294" s="85" t="str">
        <f ca="1">(SUMPRODUCT(MID(0&amp;(LEFT(A293,SUM(LEN(A293)-LEN(SUBSTITUTE(A293,{"0","1","2"},""))))), LARGE(INDEX(ISNUMBER(--MID((LEFT(A293,SUM(LEN(A293)-LEN(SUBSTITUTE(A293,{"0","1","2"},""))))), ROW(INDIRECT("1:"&amp;LEN((LEFT(A293,SUM(LEN(A293)-LEN(SUBSTITUTE(A293,{"0","1","2"},"")))))))), 1)) * ROW(INDIRECT("1:"&amp;LEN((LEFT(A293,SUM(LEN(A293)-LEN(SUBSTITUTE(A293,{"0","1","2"},"")))))))), 0), ROW(INDIRECT("1:"&amp;LEN((LEFT(A293,SUM(LEN(A293)-LEN(SUBSTITUTE(A293,{"0","1","2"},"")))))))))+1, 1) * 10^ROW(INDIRECT("1:"&amp;LEN((LEFT(A293,SUM(LEN(A293)-LEN(SUBSTITUTE(A293,{"0","1","2"},""))))))))/10))*100+1&amp;""&amp;" &amp; "&amp;""&amp;(SUMPRODUCT(MID(0&amp;(--TRIM(RIGHT(SUBSTITUTE(LEFT(A293,_xlfn.AGGREGATE(16,6,FIND({0,1,2,3,4,5,6,7,8,9},A293,ROW(INDIRECT("1:"&amp;LEN(A293)))),1))," ",REPT(" ",LEN(A293))),LEN(A293)))), LARGE(INDEX(ISNUMBER(--MID((--TRIM(RIGHT(SUBSTITUTE(LEFT(A293,_xlfn.AGGREGATE(16,6,FIND({0,1,2,3,4,5,6,7,8,9},A293,ROW(INDIRECT("1:"&amp;LEN(A293)))),1))," ",REPT(" ",LEN(A293))),LEN(A293)))), ROW(INDIRECT("1:"&amp;LEN((--TRIM(RIGHT(SUBSTITUTE(LEFT(A293,_xlfn.AGGREGATE(16,6,FIND({0,1,2,3,4,5,6,7,8,9},A293,ROW(INDIRECT("1:"&amp;LEN(A293)))),1))," ",REPT(" ",LEN(A293))),LEN(A293))))))), 1)) * ROW(INDIRECT("1:"&amp;LEN((--TRIM(RIGHT(SUBSTITUTE(LEFT(A293,_xlfn.AGGREGATE(16,6,FIND({0,1,2,3,4,5,6,7,8,9},A293,ROW(INDIRECT("1:"&amp;LEN(A293)))),1))," ",REPT(" ",LEN(A293))),LEN(A293))))))), 0), ROW(INDIRECT("1:"&amp;LEN((--TRIM(RIGHT(SUBSTITUTE(LEFT(A293,_xlfn.AGGREGATE(16,6,FIND({0,1,2,3,4,5,6,7,8,9},A293,ROW(INDIRECT("1:"&amp;LEN(A293)))),1))," ",REPT(" ",LEN(A293))),LEN(A293))))))))+1, 1) * 10^ROW(INDIRECT("1:"&amp;LEN((--TRIM(RIGHT(SUBSTITUTE(LEFT(A293,_xlfn.AGGREGATE(16,6,FIND({0,1,2,3,4,5,6,7,8,9},A293,ROW(INDIRECT("1:"&amp;LEN(A293)))),1))," ",REPT(" ",LEN(A293))),LEN(A293)))))))/10))*100+1</f>
        <v>201 &amp; 501</v>
      </c>
      <c r="B294" s="86"/>
      <c r="C294" s="46"/>
      <c r="D294" s="56"/>
      <c r="E294" s="56">
        <v>0</v>
      </c>
      <c r="F294" s="56">
        <f>D294*(($F$165)+1)+(IF(E294&lt;101,E294,IF(E294&lt;201,E294/2,IF(E294&lt;=301,E294/3,E294/4))))</f>
        <v>0</v>
      </c>
      <c r="G294" s="85" t="str">
        <f>A293</f>
        <v>2nd &amp; 5th Floor</v>
      </c>
      <c r="H294" s="86"/>
      <c r="I294" s="37"/>
    </row>
    <row r="295" spans="1:16" s="43" customFormat="1" hidden="1" x14ac:dyDescent="0.25">
      <c r="A295" s="85" t="str">
        <f ca="1">(SUMPRODUCT(MID(0&amp;(LEFT(A294,SUM(LEN(A294)-LEN(SUBSTITUTE(A294,{"0","1","2"},""))))), LARGE(INDEX(ISNUMBER(--MID((LEFT(A294,SUM(LEN(A294)-LEN(SUBSTITUTE(A294,{"0","1","2"},""))))), ROW(INDIRECT("1:"&amp;LEN((LEFT(A294,SUM(LEN(A294)-LEN(SUBSTITUTE(A294,{"0","1","2"},"")))))))), 1)) * ROW(INDIRECT("1:"&amp;LEN((LEFT(A294,SUM(LEN(A294)-LEN(SUBSTITUTE(A294,{"0","1","2"},"")))))))), 0), ROW(INDIRECT("1:"&amp;LEN((LEFT(A294,SUM(LEN(A294)-LEN(SUBSTITUTE(A294,{"0","1","2"},"")))))))))+1, 1) * 10^ROW(INDIRECT("1:"&amp;LEN((LEFT(A294,SUM(LEN(A294)-LEN(SUBSTITUTE(A294,{"0","1","2"},""))))))))/10))*1+1&amp;""&amp;" &amp; "&amp;""&amp;(SUMPRODUCT(MID(0&amp;(--TRIM(RIGHT(SUBSTITUTE(LEFT(A294,_xlfn.AGGREGATE(16,6,FIND({0,1,2,3,4,5,6,7,8,9},A294,ROW(INDIRECT("1:"&amp;LEN(A294)))),1))," ",REPT(" ",LEN(A294))),LEN(A294)))), LARGE(INDEX(ISNUMBER(--MID((--TRIM(RIGHT(SUBSTITUTE(LEFT(A294,_xlfn.AGGREGATE(16,6,FIND({0,1,2,3,4,5,6,7,8,9},A294,ROW(INDIRECT("1:"&amp;LEN(A294)))),1))," ",REPT(" ",LEN(A294))),LEN(A294)))), ROW(INDIRECT("1:"&amp;LEN((--TRIM(RIGHT(SUBSTITUTE(LEFT(A294,_xlfn.AGGREGATE(16,6,FIND({0,1,2,3,4,5,6,7,8,9},A294,ROW(INDIRECT("1:"&amp;LEN(A294)))),1))," ",REPT(" ",LEN(A294))),LEN(A294))))))), 1)) * ROW(INDIRECT("1:"&amp;LEN((--TRIM(RIGHT(SUBSTITUTE(LEFT(A294,_xlfn.AGGREGATE(16,6,FIND({0,1,2,3,4,5,6,7,8,9},A294,ROW(INDIRECT("1:"&amp;LEN(A294)))),1))," ",REPT(" ",LEN(A294))),LEN(A294))))))), 0), ROW(INDIRECT("1:"&amp;LEN((--TRIM(RIGHT(SUBSTITUTE(LEFT(A294,_xlfn.AGGREGATE(16,6,FIND({0,1,2,3,4,5,6,7,8,9},A294,ROW(INDIRECT("1:"&amp;LEN(A294)))),1))," ",REPT(" ",LEN(A294))),LEN(A294))))))))+1, 1) * 10^ROW(INDIRECT("1:"&amp;LEN((--TRIM(RIGHT(SUBSTITUTE(LEFT(A294,_xlfn.AGGREGATE(16,6,FIND({0,1,2,3,4,5,6,7,8,9},A294,ROW(INDIRECT("1:"&amp;LEN(A294)))),1))," ",REPT(" ",LEN(A294))),LEN(A294)))))))/10))*1+1</f>
        <v>202 &amp; 502</v>
      </c>
      <c r="B295" s="86"/>
      <c r="C295" s="46"/>
      <c r="D295" s="56"/>
      <c r="E295" s="56">
        <v>0</v>
      </c>
      <c r="F295" s="56">
        <f>D295*(($F$165)+1)+(IF(E295&lt;101,E295,IF(E295&lt;201,E295/2,IF(E295&lt;=301,E295/3,E295/4))))</f>
        <v>0</v>
      </c>
      <c r="G295" s="85" t="str">
        <f t="shared" ref="G295:G298" si="30">G294</f>
        <v>2nd &amp; 5th Floor</v>
      </c>
      <c r="H295" s="86"/>
      <c r="I295" s="37"/>
    </row>
    <row r="296" spans="1:16" s="43" customFormat="1" hidden="1" x14ac:dyDescent="0.25">
      <c r="A296" s="85" t="str">
        <f ca="1">(SUMPRODUCT(MID(0&amp;(LEFT(A295,SUM(LEN(A295)-LEN(SUBSTITUTE(A295,{"0","1","2"},""))))), LARGE(INDEX(ISNUMBER(--MID((LEFT(A295,SUM(LEN(A295)-LEN(SUBSTITUTE(A295,{"0","1","2"},""))))), ROW(INDIRECT("1:"&amp;LEN((LEFT(A295,SUM(LEN(A295)-LEN(SUBSTITUTE(A295,{"0","1","2"},"")))))))), 1)) * ROW(INDIRECT("1:"&amp;LEN((LEFT(A295,SUM(LEN(A295)-LEN(SUBSTITUTE(A295,{"0","1","2"},"")))))))), 0), ROW(INDIRECT("1:"&amp;LEN((LEFT(A295,SUM(LEN(A295)-LEN(SUBSTITUTE(A295,{"0","1","2"},"")))))))))+1, 1) * 10^ROW(INDIRECT("1:"&amp;LEN((LEFT(A295,SUM(LEN(A295)-LEN(SUBSTITUTE(A295,{"0","1","2"},""))))))))/10))*1+1&amp;""&amp;" &amp; "&amp;""&amp;(SUMPRODUCT(MID(0&amp;(--TRIM(RIGHT(SUBSTITUTE(LEFT(A295,_xlfn.AGGREGATE(16,6,FIND({0,1,2,3,4,5,6,7,8,9},A295,ROW(INDIRECT("1:"&amp;LEN(A295)))),1))," ",REPT(" ",LEN(A295))),LEN(A295)))), LARGE(INDEX(ISNUMBER(--MID((--TRIM(RIGHT(SUBSTITUTE(LEFT(A295,_xlfn.AGGREGATE(16,6,FIND({0,1,2,3,4,5,6,7,8,9},A295,ROW(INDIRECT("1:"&amp;LEN(A295)))),1))," ",REPT(" ",LEN(A295))),LEN(A295)))), ROW(INDIRECT("1:"&amp;LEN((--TRIM(RIGHT(SUBSTITUTE(LEFT(A295,_xlfn.AGGREGATE(16,6,FIND({0,1,2,3,4,5,6,7,8,9},A295,ROW(INDIRECT("1:"&amp;LEN(A295)))),1))," ",REPT(" ",LEN(A295))),LEN(A295))))))), 1)) * ROW(INDIRECT("1:"&amp;LEN((--TRIM(RIGHT(SUBSTITUTE(LEFT(A295,_xlfn.AGGREGATE(16,6,FIND({0,1,2,3,4,5,6,7,8,9},A295,ROW(INDIRECT("1:"&amp;LEN(A295)))),1))," ",REPT(" ",LEN(A295))),LEN(A295))))))), 0), ROW(INDIRECT("1:"&amp;LEN((--TRIM(RIGHT(SUBSTITUTE(LEFT(A295,_xlfn.AGGREGATE(16,6,FIND({0,1,2,3,4,5,6,7,8,9},A295,ROW(INDIRECT("1:"&amp;LEN(A295)))),1))," ",REPT(" ",LEN(A295))),LEN(A295))))))))+1, 1) * 10^ROW(INDIRECT("1:"&amp;LEN((--TRIM(RIGHT(SUBSTITUTE(LEFT(A295,_xlfn.AGGREGATE(16,6,FIND({0,1,2,3,4,5,6,7,8,9},A295,ROW(INDIRECT("1:"&amp;LEN(A295)))),1))," ",REPT(" ",LEN(A295))),LEN(A295)))))))/10))*1+1</f>
        <v>203 &amp; 503</v>
      </c>
      <c r="B296" s="86"/>
      <c r="C296" s="46"/>
      <c r="D296" s="56"/>
      <c r="E296" s="56">
        <v>0</v>
      </c>
      <c r="F296" s="56">
        <f>D296*(($F$165)+1)+(IF(E296&lt;101,E296,IF(E296&lt;201,E296/2,IF(E296&lt;=301,E296/3,E296/4))))</f>
        <v>0</v>
      </c>
      <c r="G296" s="85" t="str">
        <f t="shared" si="30"/>
        <v>2nd &amp; 5th Floor</v>
      </c>
      <c r="H296" s="86"/>
      <c r="I296" s="37"/>
    </row>
    <row r="297" spans="1:16" s="43" customFormat="1" hidden="1" x14ac:dyDescent="0.25">
      <c r="A297" s="85" t="str">
        <f ca="1">(SUMPRODUCT(MID(0&amp;(LEFT(A296,SUM(LEN(A296)-LEN(SUBSTITUTE(A296,{"0","1","2"},""))))), LARGE(INDEX(ISNUMBER(--MID((LEFT(A296,SUM(LEN(A296)-LEN(SUBSTITUTE(A296,{"0","1","2"},""))))), ROW(INDIRECT("1:"&amp;LEN((LEFT(A296,SUM(LEN(A296)-LEN(SUBSTITUTE(A296,{"0","1","2"},"")))))))), 1)) * ROW(INDIRECT("1:"&amp;LEN((LEFT(A296,SUM(LEN(A296)-LEN(SUBSTITUTE(A296,{"0","1","2"},"")))))))), 0), ROW(INDIRECT("1:"&amp;LEN((LEFT(A296,SUM(LEN(A296)-LEN(SUBSTITUTE(A296,{"0","1","2"},"")))))))))+1, 1) * 10^ROW(INDIRECT("1:"&amp;LEN((LEFT(A296,SUM(LEN(A296)-LEN(SUBSTITUTE(A296,{"0","1","2"},""))))))))/10))*1+1&amp;""&amp;" &amp; "&amp;""&amp;(SUMPRODUCT(MID(0&amp;(--TRIM(RIGHT(SUBSTITUTE(LEFT(A296,_xlfn.AGGREGATE(16,6,FIND({0,1,2,3,4,5,6,7,8,9},A296,ROW(INDIRECT("1:"&amp;LEN(A296)))),1))," ",REPT(" ",LEN(A296))),LEN(A296)))), LARGE(INDEX(ISNUMBER(--MID((--TRIM(RIGHT(SUBSTITUTE(LEFT(A296,_xlfn.AGGREGATE(16,6,FIND({0,1,2,3,4,5,6,7,8,9},A296,ROW(INDIRECT("1:"&amp;LEN(A296)))),1))," ",REPT(" ",LEN(A296))),LEN(A296)))), ROW(INDIRECT("1:"&amp;LEN((--TRIM(RIGHT(SUBSTITUTE(LEFT(A296,_xlfn.AGGREGATE(16,6,FIND({0,1,2,3,4,5,6,7,8,9},A296,ROW(INDIRECT("1:"&amp;LEN(A296)))),1))," ",REPT(" ",LEN(A296))),LEN(A296))))))), 1)) * ROW(INDIRECT("1:"&amp;LEN((--TRIM(RIGHT(SUBSTITUTE(LEFT(A296,_xlfn.AGGREGATE(16,6,FIND({0,1,2,3,4,5,6,7,8,9},A296,ROW(INDIRECT("1:"&amp;LEN(A296)))),1))," ",REPT(" ",LEN(A296))),LEN(A296))))))), 0), ROW(INDIRECT("1:"&amp;LEN((--TRIM(RIGHT(SUBSTITUTE(LEFT(A296,_xlfn.AGGREGATE(16,6,FIND({0,1,2,3,4,5,6,7,8,9},A296,ROW(INDIRECT("1:"&amp;LEN(A296)))),1))," ",REPT(" ",LEN(A296))),LEN(A296))))))))+1, 1) * 10^ROW(INDIRECT("1:"&amp;LEN((--TRIM(RIGHT(SUBSTITUTE(LEFT(A296,_xlfn.AGGREGATE(16,6,FIND({0,1,2,3,4,5,6,7,8,9},A296,ROW(INDIRECT("1:"&amp;LEN(A296)))),1))," ",REPT(" ",LEN(A296))),LEN(A296)))))))/10))*1+1</f>
        <v>204 &amp; 504</v>
      </c>
      <c r="B297" s="86"/>
      <c r="C297" s="46"/>
      <c r="D297" s="56"/>
      <c r="E297" s="56">
        <v>0</v>
      </c>
      <c r="F297" s="56">
        <f>D297*(($F$165)+1)+(IF(E297&lt;101,E297,IF(E297&lt;201,E297/2,IF(E297&lt;=301,E297/3,E297/4))))</f>
        <v>0</v>
      </c>
      <c r="G297" s="85" t="str">
        <f t="shared" si="30"/>
        <v>2nd &amp; 5th Floor</v>
      </c>
      <c r="H297" s="86"/>
      <c r="I297" s="37"/>
    </row>
    <row r="298" spans="1:16" s="43" customFormat="1" hidden="1" x14ac:dyDescent="0.25">
      <c r="A298" s="85" t="str">
        <f ca="1">(SUMPRODUCT(MID(0&amp;(LEFT(A297,SUM(LEN(A297)-LEN(SUBSTITUTE(A297,{"0","1","2"},""))))), LARGE(INDEX(ISNUMBER(--MID((LEFT(A297,SUM(LEN(A297)-LEN(SUBSTITUTE(A297,{"0","1","2"},""))))), ROW(INDIRECT("1:"&amp;LEN((LEFT(A297,SUM(LEN(A297)-LEN(SUBSTITUTE(A297,{"0","1","2"},"")))))))), 1)) * ROW(INDIRECT("1:"&amp;LEN((LEFT(A297,SUM(LEN(A297)-LEN(SUBSTITUTE(A297,{"0","1","2"},"")))))))), 0), ROW(INDIRECT("1:"&amp;LEN((LEFT(A297,SUM(LEN(A297)-LEN(SUBSTITUTE(A297,{"0","1","2"},"")))))))))+1, 1) * 10^ROW(INDIRECT("1:"&amp;LEN((LEFT(A297,SUM(LEN(A297)-LEN(SUBSTITUTE(A297,{"0","1","2"},""))))))))/10))*1+1&amp;""&amp;" &amp; "&amp;""&amp;(SUMPRODUCT(MID(0&amp;(--TRIM(RIGHT(SUBSTITUTE(LEFT(A297,_xlfn.AGGREGATE(16,6,FIND({0,1,2,3,4,5,6,7,8,9},A297,ROW(INDIRECT("1:"&amp;LEN(A297)))),1))," ",REPT(" ",LEN(A297))),LEN(A297)))), LARGE(INDEX(ISNUMBER(--MID((--TRIM(RIGHT(SUBSTITUTE(LEFT(A297,_xlfn.AGGREGATE(16,6,FIND({0,1,2,3,4,5,6,7,8,9},A297,ROW(INDIRECT("1:"&amp;LEN(A297)))),1))," ",REPT(" ",LEN(A297))),LEN(A297)))), ROW(INDIRECT("1:"&amp;LEN((--TRIM(RIGHT(SUBSTITUTE(LEFT(A297,_xlfn.AGGREGATE(16,6,FIND({0,1,2,3,4,5,6,7,8,9},A297,ROW(INDIRECT("1:"&amp;LEN(A297)))),1))," ",REPT(" ",LEN(A297))),LEN(A297))))))), 1)) * ROW(INDIRECT("1:"&amp;LEN((--TRIM(RIGHT(SUBSTITUTE(LEFT(A297,_xlfn.AGGREGATE(16,6,FIND({0,1,2,3,4,5,6,7,8,9},A297,ROW(INDIRECT("1:"&amp;LEN(A297)))),1))," ",REPT(" ",LEN(A297))),LEN(A297))))))), 0), ROW(INDIRECT("1:"&amp;LEN((--TRIM(RIGHT(SUBSTITUTE(LEFT(A297,_xlfn.AGGREGATE(16,6,FIND({0,1,2,3,4,5,6,7,8,9},A297,ROW(INDIRECT("1:"&amp;LEN(A297)))),1))," ",REPT(" ",LEN(A297))),LEN(A297))))))))+1, 1) * 10^ROW(INDIRECT("1:"&amp;LEN((--TRIM(RIGHT(SUBSTITUTE(LEFT(A297,_xlfn.AGGREGATE(16,6,FIND({0,1,2,3,4,5,6,7,8,9},A297,ROW(INDIRECT("1:"&amp;LEN(A297)))),1))," ",REPT(" ",LEN(A297))),LEN(A297)))))))/10))*1+1</f>
        <v>205 &amp; 505</v>
      </c>
      <c r="B298" s="86"/>
      <c r="C298" s="46"/>
      <c r="D298" s="56"/>
      <c r="E298" s="56">
        <v>0</v>
      </c>
      <c r="F298" s="56">
        <f>D298*(($F$165)+1)+(IF(E298&lt;101,E298,IF(E298&lt;201,E298/2,IF(E298&lt;=301,E298/3,E298/4))))</f>
        <v>0</v>
      </c>
      <c r="G298" s="85" t="str">
        <f t="shared" si="30"/>
        <v>2nd &amp; 5th Floor</v>
      </c>
      <c r="H298" s="86"/>
      <c r="I298" s="37"/>
    </row>
    <row r="299" spans="1:16" s="36" customFormat="1" x14ac:dyDescent="0.25">
      <c r="A299" s="146" t="s">
        <v>68</v>
      </c>
      <c r="B299" s="146"/>
      <c r="C299" s="146"/>
      <c r="D299" s="146"/>
      <c r="E299" s="146"/>
      <c r="F299" s="146"/>
      <c r="G299" s="146"/>
      <c r="H299" s="146"/>
    </row>
    <row r="300" spans="1:16" s="36" customFormat="1" ht="51.75" customHeight="1" x14ac:dyDescent="0.25">
      <c r="A300" s="59" t="s">
        <v>159</v>
      </c>
      <c r="B300" s="208" t="s">
        <v>262</v>
      </c>
      <c r="C300" s="209"/>
      <c r="D300" s="209"/>
      <c r="E300" s="209"/>
      <c r="F300" s="209"/>
      <c r="G300" s="209"/>
      <c r="H300" s="210"/>
    </row>
    <row r="301" spans="1:16" s="36" customFormat="1" x14ac:dyDescent="0.25">
      <c r="A301" s="59" t="s">
        <v>159</v>
      </c>
      <c r="B301" s="208" t="str">
        <f>(IF(F164="Saleable area Loading :","We have considered Saleable area of Flats as per our Calculation.","We considered Saleable area of Flat as per Builder area Sheet."))</f>
        <v>We have considered Saleable area of Flats as per our Calculation.</v>
      </c>
      <c r="C301" s="209"/>
      <c r="D301" s="209"/>
      <c r="E301" s="209"/>
      <c r="F301" s="209"/>
      <c r="G301" s="209"/>
      <c r="H301" s="210"/>
    </row>
    <row r="302" spans="1:16" s="36" customFormat="1" hidden="1" x14ac:dyDescent="0.25">
      <c r="A302" s="59" t="s">
        <v>159</v>
      </c>
      <c r="B302" s="208" t="str">
        <f>(IF(F156="Saleable area Loading :","We have considered Saleable area of Commercial as per our Calculation.","We considered Saleable area of Commercial as per Builder area Sheet."))</f>
        <v>We have considered Saleable area of Commercial as per our Calculation.</v>
      </c>
      <c r="C302" s="209"/>
      <c r="D302" s="209"/>
      <c r="E302" s="209"/>
      <c r="F302" s="209"/>
      <c r="G302" s="209"/>
      <c r="H302" s="210"/>
    </row>
    <row r="303" spans="1:16" s="36" customFormat="1" x14ac:dyDescent="0.25">
      <c r="A303" s="59" t="s">
        <v>159</v>
      </c>
      <c r="B303" s="80" t="s">
        <v>126</v>
      </c>
      <c r="C303" s="81"/>
      <c r="D303" s="81"/>
      <c r="E303" s="81"/>
      <c r="F303" s="81"/>
      <c r="G303" s="81"/>
      <c r="H303" s="82"/>
    </row>
    <row r="304" spans="1:16" s="36" customFormat="1" x14ac:dyDescent="0.25">
      <c r="A304" s="59" t="s">
        <v>159</v>
      </c>
      <c r="B304" s="80" t="s">
        <v>260</v>
      </c>
      <c r="C304" s="81"/>
      <c r="D304" s="81"/>
      <c r="E304" s="81"/>
      <c r="F304" s="81"/>
      <c r="G304" s="81"/>
      <c r="H304" s="82"/>
    </row>
    <row r="305" spans="1:9" s="36" customFormat="1" x14ac:dyDescent="0.25">
      <c r="A305" s="59" t="s">
        <v>159</v>
      </c>
      <c r="B305" s="80" t="s">
        <v>158</v>
      </c>
      <c r="C305" s="81"/>
      <c r="D305" s="81"/>
      <c r="E305" s="81"/>
      <c r="F305" s="81"/>
      <c r="G305" s="81"/>
      <c r="H305" s="82"/>
    </row>
    <row r="306" spans="1:9" s="36" customFormat="1" x14ac:dyDescent="0.25">
      <c r="A306" s="59" t="s">
        <v>159</v>
      </c>
      <c r="B306" s="80" t="s">
        <v>127</v>
      </c>
      <c r="C306" s="81"/>
      <c r="D306" s="81"/>
      <c r="E306" s="81"/>
      <c r="F306" s="81"/>
      <c r="G306" s="81"/>
      <c r="H306" s="82"/>
    </row>
    <row r="307" spans="1:9" s="36" customFormat="1" ht="34.5" customHeight="1" x14ac:dyDescent="0.25">
      <c r="A307" s="59" t="s">
        <v>159</v>
      </c>
      <c r="B307" s="80" t="s">
        <v>160</v>
      </c>
      <c r="C307" s="81"/>
      <c r="D307" s="81"/>
      <c r="E307" s="81"/>
      <c r="F307" s="81"/>
      <c r="G307" s="81"/>
      <c r="H307" s="82"/>
    </row>
    <row r="308" spans="1:9" s="36" customFormat="1" x14ac:dyDescent="0.25">
      <c r="A308" s="61" t="s">
        <v>159</v>
      </c>
      <c r="B308" s="80" t="s">
        <v>128</v>
      </c>
      <c r="C308" s="81"/>
      <c r="D308" s="81"/>
      <c r="E308" s="81"/>
      <c r="F308" s="81"/>
      <c r="G308" s="81"/>
      <c r="H308" s="82"/>
    </row>
    <row r="309" spans="1:9" s="36" customFormat="1" x14ac:dyDescent="0.25">
      <c r="A309" s="65" t="s">
        <v>159</v>
      </c>
      <c r="B309" s="80" t="s">
        <v>208</v>
      </c>
      <c r="C309" s="81"/>
      <c r="D309" s="81"/>
      <c r="E309" s="81"/>
      <c r="F309" s="81"/>
      <c r="G309" s="81"/>
      <c r="H309" s="82"/>
    </row>
    <row r="310" spans="1:9" s="36" customFormat="1" ht="30.75" customHeight="1" x14ac:dyDescent="0.25">
      <c r="A310" s="59" t="s">
        <v>159</v>
      </c>
      <c r="B310" s="80" t="s">
        <v>219</v>
      </c>
      <c r="C310" s="81"/>
      <c r="D310" s="81"/>
      <c r="E310" s="81"/>
      <c r="F310" s="81"/>
      <c r="G310" s="81"/>
      <c r="H310" s="82"/>
    </row>
    <row r="311" spans="1:9" s="36" customFormat="1" x14ac:dyDescent="0.25">
      <c r="A311" s="75" t="s">
        <v>159</v>
      </c>
      <c r="B311" s="80" t="s">
        <v>255</v>
      </c>
      <c r="C311" s="81"/>
      <c r="D311" s="81"/>
      <c r="E311" s="81"/>
      <c r="F311" s="81"/>
      <c r="G311" s="81"/>
      <c r="H311" s="82"/>
      <c r="I311" s="36" t="s">
        <v>254</v>
      </c>
    </row>
    <row r="312" spans="1:9" s="36" customFormat="1" x14ac:dyDescent="0.25">
      <c r="A312" s="78" t="s">
        <v>159</v>
      </c>
      <c r="B312" s="80" t="s">
        <v>243</v>
      </c>
      <c r="C312" s="81"/>
      <c r="D312" s="81"/>
      <c r="E312" s="81"/>
      <c r="F312" s="81"/>
      <c r="G312" s="81"/>
      <c r="H312" s="82"/>
    </row>
    <row r="313" spans="1:9" x14ac:dyDescent="0.25">
      <c r="A313" s="206" t="s">
        <v>61</v>
      </c>
      <c r="B313" s="206"/>
      <c r="C313" s="206"/>
      <c r="D313" s="206"/>
      <c r="E313" s="206"/>
      <c r="F313" s="206"/>
      <c r="G313" s="206"/>
      <c r="H313" s="206"/>
    </row>
    <row r="314" spans="1:9" x14ac:dyDescent="0.25">
      <c r="A314" s="141" t="s">
        <v>62</v>
      </c>
      <c r="B314" s="141"/>
      <c r="C314" s="141"/>
      <c r="D314" s="141"/>
      <c r="E314" s="141"/>
      <c r="F314" s="141"/>
      <c r="G314" s="141"/>
      <c r="H314" s="141"/>
    </row>
    <row r="315" spans="1:9" ht="15.75" customHeight="1" x14ac:dyDescent="0.25">
      <c r="A315" s="224" t="s">
        <v>63</v>
      </c>
      <c r="B315" s="224"/>
      <c r="C315" s="224"/>
      <c r="D315" s="224"/>
      <c r="E315" s="224"/>
      <c r="F315" s="224"/>
      <c r="G315" s="224"/>
      <c r="H315" s="224"/>
    </row>
    <row r="316" spans="1:9" x14ac:dyDescent="0.25">
      <c r="A316" s="141" t="s">
        <v>64</v>
      </c>
      <c r="B316" s="141"/>
      <c r="C316" s="141"/>
      <c r="D316" s="141"/>
      <c r="E316" s="141"/>
      <c r="F316" s="141"/>
      <c r="G316" s="141"/>
      <c r="H316" s="141"/>
    </row>
    <row r="317" spans="1:9" x14ac:dyDescent="0.25">
      <c r="A317" s="141" t="s">
        <v>65</v>
      </c>
      <c r="B317" s="141"/>
      <c r="C317" s="141"/>
      <c r="D317" s="141"/>
      <c r="E317" s="141"/>
      <c r="F317" s="141"/>
      <c r="G317" s="141"/>
      <c r="H317" s="141"/>
    </row>
    <row r="318" spans="1:9" x14ac:dyDescent="0.25">
      <c r="A318" s="141" t="s">
        <v>129</v>
      </c>
      <c r="B318" s="141"/>
      <c r="C318" s="141"/>
      <c r="D318" s="141"/>
      <c r="E318" s="141"/>
      <c r="F318" s="141"/>
      <c r="G318" s="141"/>
      <c r="H318" s="141"/>
    </row>
    <row r="319" spans="1:9" x14ac:dyDescent="0.25">
      <c r="A319" s="183" t="s">
        <v>130</v>
      </c>
      <c r="B319" s="183"/>
      <c r="C319" s="183"/>
      <c r="D319" s="183"/>
      <c r="E319" s="183"/>
      <c r="F319" s="183"/>
      <c r="G319" s="183"/>
      <c r="H319" s="183"/>
    </row>
    <row r="320" spans="1:9" x14ac:dyDescent="0.25">
      <c r="A320" s="204" t="s">
        <v>78</v>
      </c>
      <c r="B320" s="204"/>
      <c r="C320" s="204" t="s">
        <v>264</v>
      </c>
      <c r="D320" s="204"/>
      <c r="E320" s="204" t="s">
        <v>106</v>
      </c>
      <c r="F320" s="204"/>
      <c r="G320" s="204" t="s">
        <v>263</v>
      </c>
      <c r="H320" s="204"/>
    </row>
    <row r="321" spans="1:8" x14ac:dyDescent="0.25">
      <c r="A321" s="203" t="s">
        <v>80</v>
      </c>
      <c r="B321" s="203"/>
      <c r="C321" s="203"/>
      <c r="D321" s="203"/>
      <c r="E321" s="203"/>
      <c r="F321" s="203"/>
      <c r="G321" s="203"/>
      <c r="H321" s="203"/>
    </row>
    <row r="322" spans="1:8" x14ac:dyDescent="0.25">
      <c r="A322" s="203"/>
      <c r="B322" s="203"/>
      <c r="C322" s="203"/>
      <c r="D322" s="203"/>
      <c r="E322" s="203"/>
      <c r="F322" s="203"/>
      <c r="G322" s="203"/>
      <c r="H322" s="203"/>
    </row>
    <row r="323" spans="1:8" x14ac:dyDescent="0.25">
      <c r="A323" s="203"/>
      <c r="B323" s="203"/>
      <c r="C323" s="203"/>
      <c r="D323" s="203"/>
      <c r="E323" s="203"/>
      <c r="F323" s="203"/>
      <c r="G323" s="203"/>
      <c r="H323" s="203"/>
    </row>
    <row r="324" spans="1:8" x14ac:dyDescent="0.25">
      <c r="A324" s="203"/>
      <c r="B324" s="203"/>
      <c r="C324" s="203"/>
      <c r="D324" s="203"/>
      <c r="E324" s="203"/>
      <c r="F324" s="203"/>
      <c r="G324" s="203"/>
      <c r="H324" s="203"/>
    </row>
    <row r="325" spans="1:8" x14ac:dyDescent="0.25">
      <c r="A325" s="39" t="s">
        <v>66</v>
      </c>
      <c r="B325" s="40"/>
      <c r="C325" s="40"/>
      <c r="D325" s="39" t="str">
        <f>E8</f>
        <v>Aaradhya Parkwood 1 &amp; 2</v>
      </c>
      <c r="F325" s="40"/>
      <c r="G325" s="40"/>
      <c r="H325" s="40"/>
    </row>
    <row r="326" spans="1:8" x14ac:dyDescent="0.25">
      <c r="A326" s="40"/>
      <c r="B326" s="40"/>
      <c r="C326" s="40"/>
      <c r="D326" s="40"/>
      <c r="E326" s="40"/>
      <c r="F326" s="40"/>
      <c r="G326" s="40"/>
      <c r="H326" s="40"/>
    </row>
    <row r="327" spans="1:8" x14ac:dyDescent="0.25">
      <c r="A327" s="40"/>
      <c r="B327" s="40"/>
      <c r="C327" s="40"/>
      <c r="D327" s="40"/>
      <c r="E327" s="40"/>
      <c r="F327" s="40"/>
      <c r="G327" s="40"/>
      <c r="H327" s="40"/>
    </row>
    <row r="328" spans="1:8" ht="15" customHeight="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92" spans="1:1" x14ac:dyDescent="0.25">
      <c r="A392" s="42" t="s">
        <v>174</v>
      </c>
    </row>
    <row r="426" hidden="1" x14ac:dyDescent="0.25"/>
    <row r="427" hidden="1" x14ac:dyDescent="0.25"/>
    <row r="428" hidden="1" x14ac:dyDescent="0.25"/>
    <row r="429" hidden="1" x14ac:dyDescent="0.25"/>
    <row r="430" hidden="1" x14ac:dyDescent="0.25"/>
    <row r="431" hidden="1" x14ac:dyDescent="0.25"/>
    <row r="432" hidden="1" x14ac:dyDescent="0.25"/>
    <row r="433" spans="1:1" hidden="1" x14ac:dyDescent="0.25"/>
    <row r="436" spans="1:1" x14ac:dyDescent="0.25">
      <c r="A436" s="42" t="s">
        <v>67</v>
      </c>
    </row>
  </sheetData>
  <mergeCells count="561">
    <mergeCell ref="B309:H309"/>
    <mergeCell ref="J155:M155"/>
    <mergeCell ref="L241:M241"/>
    <mergeCell ref="A242:B242"/>
    <mergeCell ref="L242:M242"/>
    <mergeCell ref="L259:M259"/>
    <mergeCell ref="A260:H260"/>
    <mergeCell ref="A261:B261"/>
    <mergeCell ref="L261:M261"/>
    <mergeCell ref="G252:H259"/>
    <mergeCell ref="A259:B259"/>
    <mergeCell ref="A253:B253"/>
    <mergeCell ref="L253:M253"/>
    <mergeCell ref="A254:B254"/>
    <mergeCell ref="L254:M254"/>
    <mergeCell ref="A255:B255"/>
    <mergeCell ref="L255:M255"/>
    <mergeCell ref="L252:M252"/>
    <mergeCell ref="B308:H308"/>
    <mergeCell ref="L266:M266"/>
    <mergeCell ref="A267:B267"/>
    <mergeCell ref="L267:M267"/>
    <mergeCell ref="A268:B268"/>
    <mergeCell ref="C268:F268"/>
    <mergeCell ref="L268:M268"/>
    <mergeCell ref="A263:B263"/>
    <mergeCell ref="L263:M263"/>
    <mergeCell ref="A264:B264"/>
    <mergeCell ref="L264:M264"/>
    <mergeCell ref="A265:B265"/>
    <mergeCell ref="L265:M265"/>
    <mergeCell ref="G261:H268"/>
    <mergeCell ref="A266:B266"/>
    <mergeCell ref="L262:M262"/>
    <mergeCell ref="A290:B290"/>
    <mergeCell ref="A279:B279"/>
    <mergeCell ref="G280:H280"/>
    <mergeCell ref="G286:H286"/>
    <mergeCell ref="G285:H285"/>
    <mergeCell ref="A132:E132"/>
    <mergeCell ref="F132:H132"/>
    <mergeCell ref="G289:H289"/>
    <mergeCell ref="A283:B283"/>
    <mergeCell ref="A285:B285"/>
    <mergeCell ref="A272:B272"/>
    <mergeCell ref="G272:H272"/>
    <mergeCell ref="G278:H278"/>
    <mergeCell ref="A236:B236"/>
    <mergeCell ref="A237:B237"/>
    <mergeCell ref="A248:H248"/>
    <mergeCell ref="A251:H251"/>
    <mergeCell ref="A252:B252"/>
    <mergeCell ref="A230:B230"/>
    <mergeCell ref="A234:B234"/>
    <mergeCell ref="G177:H182"/>
    <mergeCell ref="F138:H138"/>
    <mergeCell ref="E145:F145"/>
    <mergeCell ref="G145:H145"/>
    <mergeCell ref="L231:M231"/>
    <mergeCell ref="A232:B232"/>
    <mergeCell ref="L232:M232"/>
    <mergeCell ref="A233:B233"/>
    <mergeCell ref="A146:B146"/>
    <mergeCell ref="C146:D146"/>
    <mergeCell ref="E146:F146"/>
    <mergeCell ref="G146:H146"/>
    <mergeCell ref="F137:H137"/>
    <mergeCell ref="E143:F143"/>
    <mergeCell ref="A143:B143"/>
    <mergeCell ref="A145:B145"/>
    <mergeCell ref="A227:H227"/>
    <mergeCell ref="A166:H166"/>
    <mergeCell ref="A137:E137"/>
    <mergeCell ref="C144:D144"/>
    <mergeCell ref="E144:F144"/>
    <mergeCell ref="A139:E139"/>
    <mergeCell ref="F139:H139"/>
    <mergeCell ref="G159:H159"/>
    <mergeCell ref="G160:H160"/>
    <mergeCell ref="G162:H162"/>
    <mergeCell ref="A154:H154"/>
    <mergeCell ref="A231:B231"/>
    <mergeCell ref="L258:M258"/>
    <mergeCell ref="L246:M246"/>
    <mergeCell ref="C246:F246"/>
    <mergeCell ref="L234:M234"/>
    <mergeCell ref="L235:M235"/>
    <mergeCell ref="L236:M236"/>
    <mergeCell ref="L237:M237"/>
    <mergeCell ref="L230:M230"/>
    <mergeCell ref="G239:H246"/>
    <mergeCell ref="L243:M243"/>
    <mergeCell ref="L244:M244"/>
    <mergeCell ref="L245:M245"/>
    <mergeCell ref="L239:M239"/>
    <mergeCell ref="A238:H238"/>
    <mergeCell ref="A239:B239"/>
    <mergeCell ref="A240:B240"/>
    <mergeCell ref="L240:M240"/>
    <mergeCell ref="L233:M233"/>
    <mergeCell ref="G230:H237"/>
    <mergeCell ref="A235:B235"/>
    <mergeCell ref="A256:B256"/>
    <mergeCell ref="L256:M256"/>
    <mergeCell ref="A257:B257"/>
    <mergeCell ref="L257:M257"/>
    <mergeCell ref="C17:H17"/>
    <mergeCell ref="E42:H42"/>
    <mergeCell ref="A42:D42"/>
    <mergeCell ref="A318:H318"/>
    <mergeCell ref="A315:H315"/>
    <mergeCell ref="G291:H291"/>
    <mergeCell ref="A276:B276"/>
    <mergeCell ref="A148:B148"/>
    <mergeCell ref="D164:D165"/>
    <mergeCell ref="E164:E165"/>
    <mergeCell ref="G164:H165"/>
    <mergeCell ref="A119:B119"/>
    <mergeCell ref="A120:B120"/>
    <mergeCell ref="A121:B121"/>
    <mergeCell ref="A111:B111"/>
    <mergeCell ref="C111:H111"/>
    <mergeCell ref="A106:B106"/>
    <mergeCell ref="F126:H126"/>
    <mergeCell ref="G144:H144"/>
    <mergeCell ref="A49:B49"/>
    <mergeCell ref="C49:E49"/>
    <mergeCell ref="A131:E131"/>
    <mergeCell ref="F131:H131"/>
    <mergeCell ref="A245:B245"/>
    <mergeCell ref="G49:H49"/>
    <mergeCell ref="G51:H51"/>
    <mergeCell ref="D55:H55"/>
    <mergeCell ref="C51:E51"/>
    <mergeCell ref="A58:C61"/>
    <mergeCell ref="D58:H58"/>
    <mergeCell ref="D61:H61"/>
    <mergeCell ref="C50:E50"/>
    <mergeCell ref="A53:B53"/>
    <mergeCell ref="C53:E53"/>
    <mergeCell ref="A50:B50"/>
    <mergeCell ref="A54:H54"/>
    <mergeCell ref="A55:C55"/>
    <mergeCell ref="A56:C56"/>
    <mergeCell ref="D56:H56"/>
    <mergeCell ref="G53:H53"/>
    <mergeCell ref="C52:H52"/>
    <mergeCell ref="D60:H60"/>
    <mergeCell ref="D59:H59"/>
    <mergeCell ref="B306:H306"/>
    <mergeCell ref="B302:H302"/>
    <mergeCell ref="A296:B296"/>
    <mergeCell ref="G296:H296"/>
    <mergeCell ref="G295:H295"/>
    <mergeCell ref="A293:H293"/>
    <mergeCell ref="A294:B294"/>
    <mergeCell ref="A295:B295"/>
    <mergeCell ref="A298:B298"/>
    <mergeCell ref="G298:H298"/>
    <mergeCell ref="A297:B297"/>
    <mergeCell ref="G297:H297"/>
    <mergeCell ref="B300:H300"/>
    <mergeCell ref="B304:H304"/>
    <mergeCell ref="G294:H294"/>
    <mergeCell ref="B301:H301"/>
    <mergeCell ref="A321:H324"/>
    <mergeCell ref="A320:B320"/>
    <mergeCell ref="E320:F320"/>
    <mergeCell ref="C320:D320"/>
    <mergeCell ref="G320:H320"/>
    <mergeCell ref="A142:H142"/>
    <mergeCell ref="A140:E140"/>
    <mergeCell ref="F140:H140"/>
    <mergeCell ref="A141:E141"/>
    <mergeCell ref="F141:H141"/>
    <mergeCell ref="A275:H275"/>
    <mergeCell ref="A284:B284"/>
    <mergeCell ref="A144:B144"/>
    <mergeCell ref="A316:H316"/>
    <mergeCell ref="A147:H147"/>
    <mergeCell ref="A319:H319"/>
    <mergeCell ref="A317:H317"/>
    <mergeCell ref="B303:H303"/>
    <mergeCell ref="A258:B258"/>
    <mergeCell ref="A313:H313"/>
    <mergeCell ref="A314:H314"/>
    <mergeCell ref="E148:F148"/>
    <mergeCell ref="B310:H310"/>
    <mergeCell ref="G161:H161"/>
    <mergeCell ref="C97:H97"/>
    <mergeCell ref="A105:B105"/>
    <mergeCell ref="A64:C64"/>
    <mergeCell ref="D64:H64"/>
    <mergeCell ref="C99:H99"/>
    <mergeCell ref="A102:B102"/>
    <mergeCell ref="A104:B104"/>
    <mergeCell ref="E100:F100"/>
    <mergeCell ref="A65:C65"/>
    <mergeCell ref="D65:H65"/>
    <mergeCell ref="A68:C68"/>
    <mergeCell ref="D68:H68"/>
    <mergeCell ref="A66:C66"/>
    <mergeCell ref="D66:H66"/>
    <mergeCell ref="A67:C67"/>
    <mergeCell ref="D67:H67"/>
    <mergeCell ref="A101:B101"/>
    <mergeCell ref="G100:H100"/>
    <mergeCell ref="E73:F82"/>
    <mergeCell ref="G73:H82"/>
    <mergeCell ref="A74:B74"/>
    <mergeCell ref="A75:B75"/>
    <mergeCell ref="A76:B76"/>
    <mergeCell ref="A77:B77"/>
    <mergeCell ref="A1:H1"/>
    <mergeCell ref="A2:H2"/>
    <mergeCell ref="A3:D3"/>
    <mergeCell ref="E3:H3"/>
    <mergeCell ref="A4:D4"/>
    <mergeCell ref="A8:D8"/>
    <mergeCell ref="E8:H8"/>
    <mergeCell ref="A9:D9"/>
    <mergeCell ref="E9:H9"/>
    <mergeCell ref="E4:H4"/>
    <mergeCell ref="A11:D11"/>
    <mergeCell ref="A5:D5"/>
    <mergeCell ref="E5:H5"/>
    <mergeCell ref="A6:D6"/>
    <mergeCell ref="E6:H6"/>
    <mergeCell ref="A7:D7"/>
    <mergeCell ref="E7:H7"/>
    <mergeCell ref="A16:B16"/>
    <mergeCell ref="A12:D12"/>
    <mergeCell ref="E12:H12"/>
    <mergeCell ref="A10:D10"/>
    <mergeCell ref="E10:H10"/>
    <mergeCell ref="A13:D14"/>
    <mergeCell ref="E13:F13"/>
    <mergeCell ref="E14:F14"/>
    <mergeCell ref="G13:H13"/>
    <mergeCell ref="G14:H14"/>
    <mergeCell ref="F11:H11"/>
    <mergeCell ref="A22:D23"/>
    <mergeCell ref="E22:H23"/>
    <mergeCell ref="A15:B15"/>
    <mergeCell ref="C15:H15"/>
    <mergeCell ref="C16:H16"/>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17:B17"/>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A37:H37"/>
    <mergeCell ref="A36:B36"/>
    <mergeCell ref="C36:E36"/>
    <mergeCell ref="C38:H38"/>
    <mergeCell ref="A41:D41"/>
    <mergeCell ref="E41:H41"/>
    <mergeCell ref="F33:H33"/>
    <mergeCell ref="F34:H34"/>
    <mergeCell ref="A40:H40"/>
    <mergeCell ref="F36:H36"/>
    <mergeCell ref="A38:B38"/>
    <mergeCell ref="A39:B39"/>
    <mergeCell ref="C39:H39"/>
    <mergeCell ref="A43:D43"/>
    <mergeCell ref="E43:H43"/>
    <mergeCell ref="E44:H44"/>
    <mergeCell ref="E45:H45"/>
    <mergeCell ref="E46:H46"/>
    <mergeCell ref="A44:D44"/>
    <mergeCell ref="A86:B86"/>
    <mergeCell ref="E86:F86"/>
    <mergeCell ref="G86:H86"/>
    <mergeCell ref="A45:D45"/>
    <mergeCell ref="A46:D46"/>
    <mergeCell ref="A47:H47"/>
    <mergeCell ref="D57:H57"/>
    <mergeCell ref="A57:C57"/>
    <mergeCell ref="G50:H50"/>
    <mergeCell ref="A51:B52"/>
    <mergeCell ref="A69:B69"/>
    <mergeCell ref="C69:H69"/>
    <mergeCell ref="A71:B71"/>
    <mergeCell ref="C71:H71"/>
    <mergeCell ref="A72:B72"/>
    <mergeCell ref="E72:F72"/>
    <mergeCell ref="G72:H72"/>
    <mergeCell ref="A73:B73"/>
    <mergeCell ref="A113:B113"/>
    <mergeCell ref="C113:H113"/>
    <mergeCell ref="A114:B114"/>
    <mergeCell ref="E114:F114"/>
    <mergeCell ref="A62:C62"/>
    <mergeCell ref="A63:C63"/>
    <mergeCell ref="D62:H62"/>
    <mergeCell ref="E101:F110"/>
    <mergeCell ref="G101:H110"/>
    <mergeCell ref="A109:B109"/>
    <mergeCell ref="A110:B110"/>
    <mergeCell ref="D63:H63"/>
    <mergeCell ref="A87:B87"/>
    <mergeCell ref="E87:F96"/>
    <mergeCell ref="G87:H96"/>
    <mergeCell ref="A88:B88"/>
    <mergeCell ref="A89:B89"/>
    <mergeCell ref="A90:B90"/>
    <mergeCell ref="A91:B91"/>
    <mergeCell ref="A107:B107"/>
    <mergeCell ref="A100:B100"/>
    <mergeCell ref="A103:B103"/>
    <mergeCell ref="A99:B99"/>
    <mergeCell ref="A97:B97"/>
    <mergeCell ref="L272:M272"/>
    <mergeCell ref="A273:B273"/>
    <mergeCell ref="G273:H273"/>
    <mergeCell ref="L273:M273"/>
    <mergeCell ref="L162:M162"/>
    <mergeCell ref="L161:M161"/>
    <mergeCell ref="L160:M160"/>
    <mergeCell ref="L159:M159"/>
    <mergeCell ref="A108:B108"/>
    <mergeCell ref="C151:D151"/>
    <mergeCell ref="E151:F151"/>
    <mergeCell ref="G151:H151"/>
    <mergeCell ref="F134:H134"/>
    <mergeCell ref="A126:E126"/>
    <mergeCell ref="A158:H158"/>
    <mergeCell ref="E156:E157"/>
    <mergeCell ref="G156:H157"/>
    <mergeCell ref="A115:B115"/>
    <mergeCell ref="E115:F124"/>
    <mergeCell ref="A122:B122"/>
    <mergeCell ref="A123:B123"/>
    <mergeCell ref="A124:B124"/>
    <mergeCell ref="F125:H125"/>
    <mergeCell ref="F130:H130"/>
    <mergeCell ref="L275:M275"/>
    <mergeCell ref="A163:H163"/>
    <mergeCell ref="A164:A165"/>
    <mergeCell ref="A280:B280"/>
    <mergeCell ref="A277:B277"/>
    <mergeCell ref="A278:B278"/>
    <mergeCell ref="A288:B288"/>
    <mergeCell ref="A289:B289"/>
    <mergeCell ref="C164:C165"/>
    <mergeCell ref="A270:H270"/>
    <mergeCell ref="A269:H269"/>
    <mergeCell ref="A228:H228"/>
    <mergeCell ref="A249:H249"/>
    <mergeCell ref="A247:H247"/>
    <mergeCell ref="A250:H250"/>
    <mergeCell ref="A241:B241"/>
    <mergeCell ref="A262:B262"/>
    <mergeCell ref="A246:B246"/>
    <mergeCell ref="L274:M274"/>
    <mergeCell ref="G271:H271"/>
    <mergeCell ref="L271:M271"/>
    <mergeCell ref="G288:H288"/>
    <mergeCell ref="A286:B286"/>
    <mergeCell ref="G277:H277"/>
    <mergeCell ref="G292:H292"/>
    <mergeCell ref="A299:H299"/>
    <mergeCell ref="A291:B291"/>
    <mergeCell ref="A292:B292"/>
    <mergeCell ref="G290:H290"/>
    <mergeCell ref="C156:C157"/>
    <mergeCell ref="B164:B165"/>
    <mergeCell ref="A287:H287"/>
    <mergeCell ref="A281:H281"/>
    <mergeCell ref="A274:B274"/>
    <mergeCell ref="G284:H284"/>
    <mergeCell ref="G282:H282"/>
    <mergeCell ref="A271:B271"/>
    <mergeCell ref="A226:H226"/>
    <mergeCell ref="A229:H229"/>
    <mergeCell ref="A167:H167"/>
    <mergeCell ref="A168:H168"/>
    <mergeCell ref="A169:H169"/>
    <mergeCell ref="A174:B174"/>
    <mergeCell ref="A175:B175"/>
    <mergeCell ref="A243:B243"/>
    <mergeCell ref="A244:B244"/>
    <mergeCell ref="A282:B282"/>
    <mergeCell ref="G274:H274"/>
    <mergeCell ref="A134:E134"/>
    <mergeCell ref="A136:E136"/>
    <mergeCell ref="A162:B162"/>
    <mergeCell ref="A125:E125"/>
    <mergeCell ref="F129:H129"/>
    <mergeCell ref="F135:H135"/>
    <mergeCell ref="F136:H136"/>
    <mergeCell ref="A130:E130"/>
    <mergeCell ref="A138:E138"/>
    <mergeCell ref="G153:H153"/>
    <mergeCell ref="F128:H128"/>
    <mergeCell ref="A135:E135"/>
    <mergeCell ref="A128:E128"/>
    <mergeCell ref="C145:D145"/>
    <mergeCell ref="C152:D152"/>
    <mergeCell ref="E152:F152"/>
    <mergeCell ref="G152:H152"/>
    <mergeCell ref="C148:D148"/>
    <mergeCell ref="G148:H148"/>
    <mergeCell ref="G143:H143"/>
    <mergeCell ref="C143:D143"/>
    <mergeCell ref="A181:B181"/>
    <mergeCell ref="B307:H307"/>
    <mergeCell ref="A48:B48"/>
    <mergeCell ref="C48:H48"/>
    <mergeCell ref="B305:H305"/>
    <mergeCell ref="G115:H124"/>
    <mergeCell ref="A116:B116"/>
    <mergeCell ref="A117:B117"/>
    <mergeCell ref="A118:B118"/>
    <mergeCell ref="F127:H127"/>
    <mergeCell ref="A127:E127"/>
    <mergeCell ref="G283:H283"/>
    <mergeCell ref="G279:H279"/>
    <mergeCell ref="G276:H276"/>
    <mergeCell ref="D156:D157"/>
    <mergeCell ref="A129:E129"/>
    <mergeCell ref="A159:B159"/>
    <mergeCell ref="A160:B160"/>
    <mergeCell ref="G184:H189"/>
    <mergeCell ref="A185:B185"/>
    <mergeCell ref="A186:B186"/>
    <mergeCell ref="G114:H114"/>
    <mergeCell ref="A133:E133"/>
    <mergeCell ref="F133:H133"/>
    <mergeCell ref="L169:M169"/>
    <mergeCell ref="A170:B170"/>
    <mergeCell ref="A171:B171"/>
    <mergeCell ref="A172:B172"/>
    <mergeCell ref="A173:B173"/>
    <mergeCell ref="G170:H175"/>
    <mergeCell ref="C172:F173"/>
    <mergeCell ref="A176:H176"/>
    <mergeCell ref="A177:B177"/>
    <mergeCell ref="A153:B153"/>
    <mergeCell ref="E153:F153"/>
    <mergeCell ref="A161:B161"/>
    <mergeCell ref="B156:B157"/>
    <mergeCell ref="A156:A157"/>
    <mergeCell ref="C153:D153"/>
    <mergeCell ref="A155:H155"/>
    <mergeCell ref="A179:B179"/>
    <mergeCell ref="A180:B180"/>
    <mergeCell ref="A178:B178"/>
    <mergeCell ref="A191:H191"/>
    <mergeCell ref="A192:H192"/>
    <mergeCell ref="A193:H193"/>
    <mergeCell ref="L193:M193"/>
    <mergeCell ref="A194:B194"/>
    <mergeCell ref="A195:B195"/>
    <mergeCell ref="A196:B196"/>
    <mergeCell ref="A182:B182"/>
    <mergeCell ref="A183:H183"/>
    <mergeCell ref="A184:B184"/>
    <mergeCell ref="A187:B187"/>
    <mergeCell ref="A188:B188"/>
    <mergeCell ref="A189:B189"/>
    <mergeCell ref="C189:F189"/>
    <mergeCell ref="L201:M201"/>
    <mergeCell ref="A202:B202"/>
    <mergeCell ref="G202:H208"/>
    <mergeCell ref="A203:B203"/>
    <mergeCell ref="C203:F208"/>
    <mergeCell ref="A204:B204"/>
    <mergeCell ref="A205:B205"/>
    <mergeCell ref="A206:B206"/>
    <mergeCell ref="A207:B207"/>
    <mergeCell ref="A208:B208"/>
    <mergeCell ref="A201:H201"/>
    <mergeCell ref="C223:F223"/>
    <mergeCell ref="A200:B200"/>
    <mergeCell ref="C195:F200"/>
    <mergeCell ref="G194:H200"/>
    <mergeCell ref="A216:B216"/>
    <mergeCell ref="G210:H216"/>
    <mergeCell ref="A209:H209"/>
    <mergeCell ref="A210:B210"/>
    <mergeCell ref="A211:B211"/>
    <mergeCell ref="A212:B212"/>
    <mergeCell ref="A213:B213"/>
    <mergeCell ref="A214:B214"/>
    <mergeCell ref="A215:B215"/>
    <mergeCell ref="A217:H217"/>
    <mergeCell ref="A199:B199"/>
    <mergeCell ref="A197:B197"/>
    <mergeCell ref="A198:B198"/>
    <mergeCell ref="A78:B78"/>
    <mergeCell ref="A79:B79"/>
    <mergeCell ref="A80:B80"/>
    <mergeCell ref="A81:B81"/>
    <mergeCell ref="A82:B82"/>
    <mergeCell ref="A83:B83"/>
    <mergeCell ref="C83:H83"/>
    <mergeCell ref="A85:B85"/>
    <mergeCell ref="C85:H85"/>
    <mergeCell ref="B312:H312"/>
    <mergeCell ref="A92:B92"/>
    <mergeCell ref="A93:B93"/>
    <mergeCell ref="A94:B94"/>
    <mergeCell ref="A95:B95"/>
    <mergeCell ref="A96:B96"/>
    <mergeCell ref="B311:H311"/>
    <mergeCell ref="A224:B224"/>
    <mergeCell ref="G218:H224"/>
    <mergeCell ref="A190:H190"/>
    <mergeCell ref="A225:H225"/>
    <mergeCell ref="C150:D150"/>
    <mergeCell ref="E150:F150"/>
    <mergeCell ref="G150:H150"/>
    <mergeCell ref="C149:D149"/>
    <mergeCell ref="E149:F149"/>
    <mergeCell ref="G149:H149"/>
    <mergeCell ref="A149:A152"/>
    <mergeCell ref="A218:B218"/>
    <mergeCell ref="A219:B219"/>
    <mergeCell ref="A220:B220"/>
    <mergeCell ref="A221:B221"/>
    <mergeCell ref="A222:B222"/>
    <mergeCell ref="A223:B223"/>
  </mergeCells>
  <hyperlinks>
    <hyperlink ref="C39" r:id="rId1" xr:uid="{00000000-0004-0000-0000-000000000000}"/>
    <hyperlink ref="I65" r:id="rId2" xr:uid="{00000000-0004-0000-0000-000001000000}"/>
  </hyperlinks>
  <printOptions horizontalCentered="1"/>
  <pageMargins left="0.39370078740157483" right="0.39370078740157483" top="0.82677165354330717" bottom="0.78740157480314965" header="0.15748031496062992" footer="0.19685039370078741"/>
  <pageSetup paperSize="9" scale="94" fitToHeight="0" orientation="portrait" r:id="rId3"/>
  <headerFooter>
    <oddHeader>&amp;C&amp;G</oddHeader>
    <oddFooter>&amp;L&amp;"Times New Roman,Bold"&amp;12Ref No: &amp;F&amp;C&amp;G&amp;R&amp;"Times New Roman,Bold"&amp;12&amp;P</oddFooter>
  </headerFooter>
  <rowBreaks count="6" manualBreakCount="6">
    <brk id="31" max="16383" man="1"/>
    <brk id="96" max="16383" man="1"/>
    <brk id="153" max="16383" man="1"/>
    <brk id="324" max="16383" man="1"/>
    <brk id="391" max="16383" man="1"/>
    <brk id="435"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7109375" defaultRowHeight="15" x14ac:dyDescent="0.25"/>
  <cols>
    <col min="1" max="1" width="8.7109375" style="2"/>
    <col min="2" max="2" width="22.140625" style="2" customWidth="1"/>
    <col min="3" max="3" width="37" style="2" customWidth="1"/>
    <col min="4" max="5" width="11.42578125" style="2" customWidth="1"/>
    <col min="6" max="6" width="14" style="2" customWidth="1"/>
    <col min="7" max="7" width="20" style="2" customWidth="1"/>
    <col min="8" max="8" width="16.42578125" style="2" customWidth="1"/>
    <col min="9" max="16384" width="8.7109375" style="2"/>
  </cols>
  <sheetData>
    <row r="1" spans="1:9" ht="15" customHeight="1" x14ac:dyDescent="0.25">
      <c r="A1" s="1"/>
      <c r="B1" s="1"/>
      <c r="C1" s="1"/>
      <c r="D1" s="1"/>
      <c r="E1" s="1"/>
      <c r="F1" s="1"/>
      <c r="G1" s="1"/>
      <c r="H1" s="1"/>
    </row>
    <row r="2" spans="1:9" ht="15" customHeight="1" x14ac:dyDescent="0.25">
      <c r="A2" s="3"/>
      <c r="B2" s="3"/>
      <c r="C2" s="3"/>
      <c r="D2" s="3"/>
      <c r="E2" s="3"/>
      <c r="F2" s="3"/>
      <c r="G2" s="3"/>
      <c r="H2" s="3"/>
    </row>
    <row r="3" spans="1:9" ht="15.75" customHeight="1" x14ac:dyDescent="0.25">
      <c r="A3" s="3"/>
      <c r="B3" s="228" t="s">
        <v>107</v>
      </c>
      <c r="C3" s="228"/>
      <c r="D3" s="228"/>
      <c r="E3" s="228"/>
      <c r="F3" s="228"/>
      <c r="G3" s="228"/>
      <c r="H3" s="228"/>
    </row>
    <row r="4" spans="1:9" x14ac:dyDescent="0.25">
      <c r="A4" s="3"/>
      <c r="B4" s="4" t="s">
        <v>108</v>
      </c>
      <c r="C4" s="4" t="s">
        <v>109</v>
      </c>
      <c r="D4" s="4" t="s">
        <v>69</v>
      </c>
      <c r="E4" s="4" t="s">
        <v>110</v>
      </c>
      <c r="F4" s="4" t="s">
        <v>116</v>
      </c>
      <c r="G4" s="4" t="s">
        <v>117</v>
      </c>
      <c r="H4" s="4" t="s">
        <v>111</v>
      </c>
    </row>
    <row r="5" spans="1:9" ht="15" customHeight="1" x14ac:dyDescent="0.25">
      <c r="A5" s="3"/>
      <c r="B5" s="6" t="s">
        <v>112</v>
      </c>
      <c r="C5" s="7"/>
      <c r="D5" s="6"/>
      <c r="E5" s="6"/>
      <c r="F5" s="8">
        <f>E5*1.6</f>
        <v>0</v>
      </c>
      <c r="G5" s="8" t="e">
        <f>H5/F5</f>
        <v>#DIV/0!</v>
      </c>
      <c r="H5" s="9"/>
    </row>
    <row r="6" spans="1:9" x14ac:dyDescent="0.25">
      <c r="A6" s="3"/>
      <c r="B6" s="6" t="s">
        <v>112</v>
      </c>
      <c r="C6" s="10"/>
      <c r="D6" s="6"/>
      <c r="E6" s="6"/>
      <c r="F6" s="8">
        <f t="shared" ref="F6:F11" si="0">E6*1.6</f>
        <v>0</v>
      </c>
      <c r="G6" s="8" t="e">
        <f t="shared" ref="G6:G11" si="1">H6/F6</f>
        <v>#DIV/0!</v>
      </c>
      <c r="H6" s="9"/>
    </row>
    <row r="7" spans="1:9" ht="15" customHeight="1" x14ac:dyDescent="0.25">
      <c r="A7" s="3"/>
      <c r="B7" s="6" t="s">
        <v>112</v>
      </c>
      <c r="C7" s="7"/>
      <c r="D7" s="6"/>
      <c r="E7" s="6"/>
      <c r="F7" s="8">
        <f t="shared" si="0"/>
        <v>0</v>
      </c>
      <c r="G7" s="8" t="e">
        <f t="shared" si="1"/>
        <v>#DIV/0!</v>
      </c>
      <c r="H7" s="9"/>
    </row>
    <row r="8" spans="1:9" x14ac:dyDescent="0.25">
      <c r="A8" s="3"/>
      <c r="B8" s="6" t="s">
        <v>112</v>
      </c>
      <c r="C8" s="10"/>
      <c r="D8" s="6"/>
      <c r="E8" s="6"/>
      <c r="F8" s="8">
        <f t="shared" si="0"/>
        <v>0</v>
      </c>
      <c r="G8" s="8" t="e">
        <f t="shared" si="1"/>
        <v>#DIV/0!</v>
      </c>
      <c r="H8" s="9"/>
    </row>
    <row r="9" spans="1:9" ht="15" customHeight="1" x14ac:dyDescent="0.25">
      <c r="A9" s="3"/>
      <c r="B9" s="6" t="s">
        <v>112</v>
      </c>
      <c r="C9" s="10"/>
      <c r="D9" s="6"/>
      <c r="E9" s="6"/>
      <c r="F9" s="8">
        <f t="shared" si="0"/>
        <v>0</v>
      </c>
      <c r="G9" s="8" t="e">
        <f t="shared" si="1"/>
        <v>#DIV/0!</v>
      </c>
      <c r="H9" s="9"/>
    </row>
    <row r="10" spans="1:9" ht="15" customHeight="1" x14ac:dyDescent="0.25">
      <c r="A10" s="3"/>
      <c r="B10" s="6" t="s">
        <v>113</v>
      </c>
      <c r="C10" s="7"/>
      <c r="D10" s="6"/>
      <c r="E10" s="6"/>
      <c r="F10" s="8">
        <f t="shared" si="0"/>
        <v>0</v>
      </c>
      <c r="G10" s="8" t="e">
        <f t="shared" si="1"/>
        <v>#DIV/0!</v>
      </c>
      <c r="H10" s="9"/>
    </row>
    <row r="11" spans="1:9" ht="15" customHeight="1" x14ac:dyDescent="0.25">
      <c r="A11" s="3"/>
      <c r="B11" s="6" t="s">
        <v>113</v>
      </c>
      <c r="C11" s="7"/>
      <c r="D11" s="6"/>
      <c r="E11" s="6"/>
      <c r="F11" s="8">
        <f t="shared" si="0"/>
        <v>0</v>
      </c>
      <c r="G11" s="8" t="e">
        <f t="shared" si="1"/>
        <v>#DIV/0!</v>
      </c>
      <c r="H11" s="9"/>
    </row>
    <row r="12" spans="1:9" ht="15" customHeight="1" x14ac:dyDescent="0.25">
      <c r="A12" s="3"/>
      <c r="B12" s="11" t="s">
        <v>114</v>
      </c>
      <c r="C12" s="6"/>
      <c r="D12" s="6"/>
      <c r="E12" s="6"/>
      <c r="F12" s="6"/>
      <c r="G12" s="12" t="e">
        <f>AVERAGE(G5:G11)</f>
        <v>#DIV/0!</v>
      </c>
      <c r="H12" s="6"/>
    </row>
    <row r="13" spans="1:9" ht="15" customHeight="1" x14ac:dyDescent="0.25">
      <c r="A13" s="1"/>
      <c r="B13" s="11" t="s">
        <v>115</v>
      </c>
      <c r="C13" s="13"/>
      <c r="D13" s="13"/>
      <c r="E13" s="13"/>
      <c r="F13" s="14"/>
      <c r="G13" s="11"/>
      <c r="H13" s="11"/>
      <c r="I13" s="5"/>
    </row>
    <row r="14" spans="1:9" ht="15" customHeight="1" x14ac:dyDescent="0.25">
      <c r="B14" s="1"/>
      <c r="C14" s="1"/>
      <c r="D14" s="1"/>
      <c r="E14" s="1"/>
    </row>
    <row r="15" spans="1:9" ht="15" customHeight="1" x14ac:dyDescent="0.25">
      <c r="B15" s="1"/>
      <c r="C15" s="1"/>
      <c r="D15" s="1"/>
      <c r="E15" s="1"/>
    </row>
    <row r="16" spans="1:9" ht="15" customHeight="1" x14ac:dyDescent="0.25">
      <c r="B16" s="1"/>
      <c r="C16" s="1"/>
      <c r="D16" s="1"/>
      <c r="E16" s="1"/>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C30" sqref="C3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2025-07-10T07:11:01Z</cp:lastPrinted>
  <dcterms:created xsi:type="dcterms:W3CDTF">2019-07-16T09:29:46Z</dcterms:created>
  <dcterms:modified xsi:type="dcterms:W3CDTF">2025-07-10T07:16:59Z</dcterms:modified>
</cp:coreProperties>
</file>