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3C9DF6AD-D939-4E9D-863C-1A250A1D6779}"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8" i="1" l="1"/>
  <c r="J128" i="1" s="1"/>
  <c r="J238" i="1"/>
  <c r="D249" i="1"/>
  <c r="E204" i="1"/>
  <c r="H118" i="1"/>
  <c r="J126" i="1" l="1"/>
  <c r="D130" i="1"/>
  <c r="D128" i="1"/>
  <c r="D126" i="1"/>
  <c r="D124" i="1"/>
  <c r="D129" i="1"/>
  <c r="D127" i="1"/>
  <c r="D125" i="1"/>
  <c r="D123" i="1"/>
  <c r="J121" i="1"/>
  <c r="J122" i="1"/>
  <c r="C121" i="1" s="1"/>
  <c r="J120" i="1"/>
  <c r="J117" i="1"/>
  <c r="J119" i="1" s="1"/>
  <c r="J123" i="1"/>
  <c r="J124" i="1" s="1"/>
  <c r="J129" i="1" s="1"/>
  <c r="J130" i="1" s="1"/>
  <c r="C122" i="1" s="1"/>
  <c r="J125" i="1"/>
  <c r="J127" i="1"/>
  <c r="E272" i="1"/>
  <c r="D272" i="1"/>
  <c r="E271" i="1"/>
  <c r="D271" i="1"/>
  <c r="F271" i="1" s="1"/>
  <c r="H271" i="1" s="1"/>
  <c r="E270" i="1"/>
  <c r="D270" i="1"/>
  <c r="E269" i="1"/>
  <c r="D269" i="1"/>
  <c r="E268" i="1"/>
  <c r="D268" i="1"/>
  <c r="F268" i="1" s="1"/>
  <c r="H268" i="1" s="1"/>
  <c r="E267" i="1"/>
  <c r="D267" i="1"/>
  <c r="F267" i="1" s="1"/>
  <c r="H267" i="1" s="1"/>
  <c r="E266" i="1"/>
  <c r="D266" i="1"/>
  <c r="E265" i="1"/>
  <c r="D265" i="1"/>
  <c r="E261" i="1"/>
  <c r="D261" i="1"/>
  <c r="F261" i="1" s="1"/>
  <c r="H261" i="1" s="1"/>
  <c r="E260" i="1"/>
  <c r="D260" i="1"/>
  <c r="F260" i="1" s="1"/>
  <c r="H260" i="1" s="1"/>
  <c r="E259" i="1"/>
  <c r="D259" i="1"/>
  <c r="E258" i="1"/>
  <c r="D258" i="1"/>
  <c r="E257" i="1"/>
  <c r="D257" i="1"/>
  <c r="F257" i="1" s="1"/>
  <c r="H257" i="1" s="1"/>
  <c r="E256" i="1"/>
  <c r="D256" i="1"/>
  <c r="E255" i="1"/>
  <c r="D255" i="1"/>
  <c r="E254" i="1"/>
  <c r="D254" i="1"/>
  <c r="E250" i="1"/>
  <c r="D250" i="1"/>
  <c r="E249" i="1"/>
  <c r="E248" i="1"/>
  <c r="D248" i="1"/>
  <c r="E247" i="1"/>
  <c r="D247" i="1"/>
  <c r="E246" i="1"/>
  <c r="D246" i="1"/>
  <c r="E245" i="1"/>
  <c r="D245" i="1"/>
  <c r="E244" i="1"/>
  <c r="D244" i="1"/>
  <c r="E243" i="1"/>
  <c r="D243" i="1"/>
  <c r="E238" i="1"/>
  <c r="D238" i="1"/>
  <c r="E237" i="1"/>
  <c r="D237" i="1"/>
  <c r="E236" i="1"/>
  <c r="D236" i="1"/>
  <c r="E235" i="1"/>
  <c r="D235" i="1"/>
  <c r="E233" i="1"/>
  <c r="D233" i="1"/>
  <c r="E232" i="1"/>
  <c r="D232" i="1"/>
  <c r="E229" i="1"/>
  <c r="D229" i="1"/>
  <c r="E228" i="1"/>
  <c r="D228" i="1"/>
  <c r="E227" i="1"/>
  <c r="D227" i="1"/>
  <c r="E226" i="1"/>
  <c r="D226" i="1"/>
  <c r="E224" i="1"/>
  <c r="D224" i="1"/>
  <c r="E223" i="1"/>
  <c r="D223" i="1"/>
  <c r="E219" i="1"/>
  <c r="D219" i="1"/>
  <c r="E218" i="1"/>
  <c r="D218" i="1"/>
  <c r="E217" i="1"/>
  <c r="D217" i="1"/>
  <c r="E216" i="1"/>
  <c r="D216" i="1"/>
  <c r="E214" i="1"/>
  <c r="D214" i="1"/>
  <c r="E213" i="1"/>
  <c r="D213" i="1"/>
  <c r="E210" i="1"/>
  <c r="D210" i="1"/>
  <c r="E209" i="1"/>
  <c r="D209" i="1"/>
  <c r="E208" i="1"/>
  <c r="D208" i="1"/>
  <c r="E207" i="1"/>
  <c r="D207" i="1"/>
  <c r="E205" i="1"/>
  <c r="D205" i="1"/>
  <c r="D204" i="1"/>
  <c r="F270" i="1"/>
  <c r="H270" i="1" s="1"/>
  <c r="F266" i="1"/>
  <c r="H266" i="1" s="1"/>
  <c r="F272" i="1"/>
  <c r="H272" i="1" s="1"/>
  <c r="A266" i="1"/>
  <c r="A267" i="1" s="1"/>
  <c r="A268" i="1" s="1"/>
  <c r="A269" i="1" s="1"/>
  <c r="A270" i="1" s="1"/>
  <c r="A271" i="1" s="1"/>
  <c r="A272" i="1" s="1"/>
  <c r="F255" i="1"/>
  <c r="H255" i="1" s="1"/>
  <c r="A255" i="1"/>
  <c r="A256" i="1" s="1"/>
  <c r="A257" i="1" s="1"/>
  <c r="A258" i="1" s="1"/>
  <c r="A259" i="1" s="1"/>
  <c r="A260" i="1" s="1"/>
  <c r="A261" i="1" s="1"/>
  <c r="J204" i="1"/>
  <c r="I204" i="1"/>
  <c r="E121" i="1" l="1"/>
  <c r="D122" i="1"/>
  <c r="G121" i="1"/>
  <c r="D121" i="1"/>
  <c r="J118" i="1" s="1"/>
  <c r="F254" i="1"/>
  <c r="F258" i="1"/>
  <c r="H258" i="1" s="1"/>
  <c r="F265" i="1"/>
  <c r="F269" i="1"/>
  <c r="H269" i="1" s="1"/>
  <c r="F259" i="1"/>
  <c r="H259" i="1" s="1"/>
  <c r="F256" i="1"/>
  <c r="H256" i="1" s="1"/>
  <c r="F250" i="1"/>
  <c r="H250" i="1" s="1"/>
  <c r="F249" i="1"/>
  <c r="H249" i="1" s="1"/>
  <c r="F248" i="1"/>
  <c r="H248" i="1" s="1"/>
  <c r="F247" i="1"/>
  <c r="H247" i="1" s="1"/>
  <c r="F246" i="1"/>
  <c r="H246" i="1" s="1"/>
  <c r="F245" i="1"/>
  <c r="H245" i="1" s="1"/>
  <c r="F244" i="1"/>
  <c r="H244" i="1" s="1"/>
  <c r="J244" i="1" s="1"/>
  <c r="A244" i="1"/>
  <c r="A245" i="1" s="1"/>
  <c r="A246" i="1" s="1"/>
  <c r="A247" i="1" s="1"/>
  <c r="A248" i="1" s="1"/>
  <c r="A249" i="1" s="1"/>
  <c r="A250" i="1" s="1"/>
  <c r="F243" i="1"/>
  <c r="F238" i="1"/>
  <c r="H238" i="1" s="1"/>
  <c r="F237" i="1"/>
  <c r="H237" i="1" s="1"/>
  <c r="F236" i="1"/>
  <c r="H236" i="1" s="1"/>
  <c r="A236" i="1"/>
  <c r="A237" i="1" s="1"/>
  <c r="A238" i="1" s="1"/>
  <c r="F235" i="1"/>
  <c r="H235" i="1" s="1"/>
  <c r="F229" i="1"/>
  <c r="H229" i="1" s="1"/>
  <c r="F228" i="1"/>
  <c r="H228" i="1" s="1"/>
  <c r="F227" i="1"/>
  <c r="H227" i="1" s="1"/>
  <c r="J227" i="1" s="1"/>
  <c r="A227" i="1"/>
  <c r="A228" i="1" s="1"/>
  <c r="A229" i="1" s="1"/>
  <c r="F226" i="1"/>
  <c r="H226" i="1" s="1"/>
  <c r="F233" i="1"/>
  <c r="H233" i="1" s="1"/>
  <c r="A233" i="1"/>
  <c r="F232" i="1"/>
  <c r="F224" i="1"/>
  <c r="H224" i="1" s="1"/>
  <c r="A224" i="1"/>
  <c r="J223" i="1"/>
  <c r="I223" i="1"/>
  <c r="F223" i="1"/>
  <c r="F219" i="1"/>
  <c r="H219" i="1" s="1"/>
  <c r="F217" i="1"/>
  <c r="H217" i="1" s="1"/>
  <c r="F216" i="1"/>
  <c r="H216" i="1" s="1"/>
  <c r="F210" i="1"/>
  <c r="H210" i="1" s="1"/>
  <c r="J205" i="1" s="1"/>
  <c r="F209" i="1"/>
  <c r="H209" i="1" s="1"/>
  <c r="I208" i="1"/>
  <c r="I207" i="1"/>
  <c r="F218" i="1"/>
  <c r="H218" i="1" s="1"/>
  <c r="A217" i="1"/>
  <c r="A218" i="1" s="1"/>
  <c r="A219" i="1" s="1"/>
  <c r="A208" i="1"/>
  <c r="A209" i="1" s="1"/>
  <c r="A210" i="1" s="1"/>
  <c r="I118" i="1" l="1"/>
  <c r="I119" i="1" s="1"/>
  <c r="H243" i="1"/>
  <c r="G184" i="1" s="1"/>
  <c r="E184" i="1"/>
  <c r="C184" i="1"/>
  <c r="H223" i="1"/>
  <c r="G182" i="1" s="1"/>
  <c r="E182" i="1"/>
  <c r="C182" i="1"/>
  <c r="H232" i="1"/>
  <c r="G183" i="1" s="1"/>
  <c r="C183" i="1"/>
  <c r="E183" i="1"/>
  <c r="H254" i="1"/>
  <c r="G185" i="1" s="1"/>
  <c r="E185" i="1"/>
  <c r="C185" i="1"/>
  <c r="H265" i="1"/>
  <c r="G186" i="1" s="1"/>
  <c r="C186" i="1"/>
  <c r="E186" i="1"/>
  <c r="F208" i="1"/>
  <c r="H208" i="1" s="1"/>
  <c r="F207" i="1"/>
  <c r="H207" i="1" s="1"/>
  <c r="J207" i="1" s="1"/>
  <c r="J160" i="1" s="1"/>
  <c r="I160" i="1" s="1"/>
  <c r="F214" i="1"/>
  <c r="H214" i="1" s="1"/>
  <c r="A214" i="1"/>
  <c r="F213" i="1"/>
  <c r="F205" i="1"/>
  <c r="H205" i="1" s="1"/>
  <c r="A205" i="1"/>
  <c r="F204" i="1"/>
  <c r="C51" i="1"/>
  <c r="I117" i="1" l="1"/>
  <c r="C119" i="1" s="1"/>
  <c r="H213" i="1"/>
  <c r="G181" i="1" s="1"/>
  <c r="C181" i="1"/>
  <c r="E181" i="1"/>
  <c r="H204" i="1"/>
  <c r="G180" i="1" s="1"/>
  <c r="G187" i="1" s="1"/>
  <c r="E180" i="1"/>
  <c r="C180" i="1"/>
  <c r="C187" i="1" s="1"/>
  <c r="E187" i="1" l="1"/>
  <c r="F194" i="1"/>
  <c r="H194" i="1" s="1"/>
  <c r="E31" i="1" l="1"/>
  <c r="E26" i="1"/>
  <c r="F274" i="1" l="1"/>
  <c r="H274"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304" i="1" l="1"/>
  <c r="F195" i="1" l="1"/>
  <c r="H195" i="1" s="1"/>
  <c r="F196" i="1"/>
  <c r="H196" i="1" s="1"/>
  <c r="F197" i="1"/>
  <c r="H197" i="1" s="1"/>
  <c r="G58" i="1" l="1"/>
  <c r="C58" i="1"/>
  <c r="G56" i="1"/>
  <c r="C56" i="1"/>
  <c r="S33" i="1" l="1"/>
  <c r="F11" i="5" l="1"/>
  <c r="G11" i="5" s="1"/>
  <c r="F10" i="5"/>
  <c r="G10" i="5" s="1"/>
  <c r="F9" i="5"/>
  <c r="G9" i="5" s="1"/>
  <c r="F8" i="5"/>
  <c r="G8" i="5" s="1"/>
  <c r="F7" i="5"/>
  <c r="G7" i="5" s="1"/>
  <c r="F6" i="5"/>
  <c r="G6" i="5" s="1"/>
  <c r="F5" i="5"/>
  <c r="G5" i="5" s="1"/>
  <c r="G12" i="5" s="1"/>
  <c r="D327" i="1"/>
  <c r="B305" i="1"/>
  <c r="F301" i="1"/>
  <c r="H301" i="1" s="1"/>
  <c r="F300" i="1"/>
  <c r="H300" i="1" s="1"/>
  <c r="F299" i="1"/>
  <c r="H299" i="1" s="1"/>
  <c r="F298" i="1"/>
  <c r="H298" i="1" s="1"/>
  <c r="F297" i="1"/>
  <c r="H297" i="1" s="1"/>
  <c r="F295" i="1"/>
  <c r="H295" i="1" s="1"/>
  <c r="F294" i="1"/>
  <c r="H294" i="1" s="1"/>
  <c r="F293" i="1"/>
  <c r="H293" i="1" s="1"/>
  <c r="F292" i="1"/>
  <c r="H292" i="1" s="1"/>
  <c r="F291" i="1"/>
  <c r="H291" i="1" s="1"/>
  <c r="F289" i="1"/>
  <c r="H289" i="1" s="1"/>
  <c r="F288" i="1"/>
  <c r="H288" i="1" s="1"/>
  <c r="F287" i="1"/>
  <c r="H287" i="1" s="1"/>
  <c r="F286" i="1"/>
  <c r="H286" i="1" s="1"/>
  <c r="F285" i="1"/>
  <c r="H285" i="1" s="1"/>
  <c r="F283" i="1"/>
  <c r="H283" i="1" s="1"/>
  <c r="F282" i="1"/>
  <c r="H282" i="1" s="1"/>
  <c r="F281" i="1"/>
  <c r="H281" i="1" s="1"/>
  <c r="F280" i="1"/>
  <c r="H280" i="1" s="1"/>
  <c r="F279" i="1"/>
  <c r="H279" i="1" s="1"/>
  <c r="A279" i="1"/>
  <c r="A280" i="1" s="1"/>
  <c r="A281" i="1" s="1"/>
  <c r="A282" i="1" s="1"/>
  <c r="A283" i="1" s="1"/>
  <c r="F277" i="1"/>
  <c r="H277" i="1" s="1"/>
  <c r="F276" i="1"/>
  <c r="H276" i="1" s="1"/>
  <c r="F275" i="1"/>
  <c r="H275" i="1" s="1"/>
  <c r="A275" i="1"/>
  <c r="A276" i="1" s="1"/>
  <c r="A277" i="1" s="1"/>
  <c r="A195" i="1"/>
  <c r="A196" i="1" s="1"/>
  <c r="A197" i="1" s="1"/>
  <c r="G188" i="1"/>
  <c r="E188" i="1"/>
  <c r="C188" i="1"/>
  <c r="F172" i="1"/>
  <c r="C75" i="1"/>
  <c r="B76" i="1" s="1"/>
  <c r="D62" i="1"/>
  <c r="G51" i="1"/>
  <c r="G52" i="1" s="1"/>
  <c r="E44" i="1"/>
  <c r="E45" i="1" s="1"/>
  <c r="E28" i="1"/>
  <c r="C16" i="1"/>
  <c r="I15" i="1"/>
  <c r="Z13" i="1"/>
  <c r="E8" i="1"/>
  <c r="E3" i="1"/>
  <c r="D69" i="1" s="1"/>
  <c r="A285" i="1"/>
  <c r="A291" i="1"/>
  <c r="A297" i="1"/>
  <c r="J85" i="1" l="1"/>
  <c r="J83" i="1"/>
  <c r="J84" i="1"/>
  <c r="J86" i="1"/>
  <c r="H76" i="1"/>
  <c r="A292" i="1"/>
  <c r="A298" i="1"/>
  <c r="A286" i="1"/>
  <c r="J75" i="1" l="1"/>
  <c r="J77" i="1" s="1"/>
  <c r="D82" i="1"/>
  <c r="J79" i="1"/>
  <c r="D81" i="1"/>
  <c r="J81" i="1"/>
  <c r="D88" i="1"/>
  <c r="J78" i="1"/>
  <c r="D87" i="1"/>
  <c r="J80" i="1"/>
  <c r="C79" i="1" s="1"/>
  <c r="D79" i="1" s="1"/>
  <c r="D86" i="1"/>
  <c r="D85" i="1"/>
  <c r="D84" i="1"/>
  <c r="D83" i="1"/>
  <c r="B90" i="1"/>
  <c r="A299" i="1"/>
  <c r="H90" i="1"/>
  <c r="A287" i="1"/>
  <c r="A293" i="1"/>
  <c r="J82" i="1" l="1"/>
  <c r="J87" i="1" s="1"/>
  <c r="J88" i="1" s="1"/>
  <c r="C80" i="1"/>
  <c r="J76" i="1" s="1"/>
  <c r="B104" i="1"/>
  <c r="B146" i="1"/>
  <c r="J92" i="1"/>
  <c r="D102" i="1"/>
  <c r="D96" i="1"/>
  <c r="J94" i="1"/>
  <c r="C93" i="1" s="1"/>
  <c r="D100" i="1"/>
  <c r="J89" i="1"/>
  <c r="J91" i="1" s="1"/>
  <c r="D97" i="1"/>
  <c r="D101" i="1"/>
  <c r="D95" i="1"/>
  <c r="D99" i="1"/>
  <c r="J93" i="1"/>
  <c r="D98" i="1"/>
  <c r="J95" i="1"/>
  <c r="J96" i="1" s="1"/>
  <c r="J101" i="1" s="1"/>
  <c r="J100" i="1"/>
  <c r="J99" i="1"/>
  <c r="J98" i="1"/>
  <c r="J97" i="1"/>
  <c r="H104" i="1"/>
  <c r="A300" i="1"/>
  <c r="A288" i="1"/>
  <c r="A294" i="1"/>
  <c r="H146" i="1"/>
  <c r="G79" i="1" l="1"/>
  <c r="D80" i="1"/>
  <c r="I76" i="1" s="1"/>
  <c r="I77" i="1" s="1"/>
  <c r="I75" i="1" s="1"/>
  <c r="C77" i="1" s="1"/>
  <c r="E79" i="1"/>
  <c r="D116" i="1"/>
  <c r="D114" i="1"/>
  <c r="D112" i="1"/>
  <c r="D110" i="1"/>
  <c r="D115" i="1"/>
  <c r="D113" i="1"/>
  <c r="D109" i="1"/>
  <c r="J108" i="1"/>
  <c r="C107" i="1" s="1"/>
  <c r="J106" i="1"/>
  <c r="J103" i="1"/>
  <c r="J105" i="1" s="1"/>
  <c r="D111" i="1"/>
  <c r="J107" i="1"/>
  <c r="J113" i="1"/>
  <c r="J111" i="1"/>
  <c r="J109" i="1"/>
  <c r="J110" i="1" s="1"/>
  <c r="J115" i="1" s="1"/>
  <c r="J116" i="1" s="1"/>
  <c r="C108" i="1" s="1"/>
  <c r="J112" i="1"/>
  <c r="J114" i="1"/>
  <c r="J149" i="1"/>
  <c r="D151" i="1"/>
  <c r="J145" i="1"/>
  <c r="J147" i="1" s="1"/>
  <c r="D157" i="1"/>
  <c r="D153" i="1"/>
  <c r="D156" i="1"/>
  <c r="D152" i="1"/>
  <c r="D155" i="1"/>
  <c r="J148" i="1"/>
  <c r="J150" i="1"/>
  <c r="C149" i="1" s="1"/>
  <c r="D158" i="1"/>
  <c r="D154" i="1"/>
  <c r="J153" i="1"/>
  <c r="J154" i="1"/>
  <c r="J156" i="1"/>
  <c r="J155" i="1"/>
  <c r="J151" i="1"/>
  <c r="J152" i="1" s="1"/>
  <c r="J157" i="1" s="1"/>
  <c r="J102" i="1"/>
  <c r="C94" i="1" s="1"/>
  <c r="E93" i="1" s="1"/>
  <c r="B132" i="1"/>
  <c r="D93" i="1"/>
  <c r="H132" i="1"/>
  <c r="A289" i="1"/>
  <c r="A301" i="1"/>
  <c r="A295" i="1"/>
  <c r="E107" i="1" l="1"/>
  <c r="D108" i="1"/>
  <c r="G107" i="1"/>
  <c r="D107" i="1"/>
  <c r="J104" i="1" s="1"/>
  <c r="J158" i="1"/>
  <c r="G149" i="1"/>
  <c r="D149" i="1"/>
  <c r="D94" i="1"/>
  <c r="I90" i="1" s="1"/>
  <c r="I91" i="1" s="1"/>
  <c r="G93" i="1"/>
  <c r="D73" i="1" s="1"/>
  <c r="D74" i="1" s="1"/>
  <c r="J134" i="1"/>
  <c r="D143" i="1"/>
  <c r="J136" i="1"/>
  <c r="C135" i="1" s="1"/>
  <c r="D142" i="1"/>
  <c r="D141" i="1"/>
  <c r="J135" i="1"/>
  <c r="J131" i="1"/>
  <c r="J133" i="1" s="1"/>
  <c r="D139" i="1"/>
  <c r="D144" i="1"/>
  <c r="D138" i="1"/>
  <c r="D137" i="1"/>
  <c r="D140" i="1"/>
  <c r="J141" i="1"/>
  <c r="J139" i="1"/>
  <c r="J137" i="1"/>
  <c r="J138" i="1" s="1"/>
  <c r="J143" i="1" s="1"/>
  <c r="J144" i="1" s="1"/>
  <c r="C136" i="1" s="1"/>
  <c r="J142" i="1"/>
  <c r="J140" i="1"/>
  <c r="J90" i="1"/>
  <c r="I104" i="1" l="1"/>
  <c r="J146" i="1"/>
  <c r="D150" i="1"/>
  <c r="I146" i="1" s="1"/>
  <c r="I147" i="1" s="1"/>
  <c r="E149" i="1"/>
  <c r="D135" i="1"/>
  <c r="J132" i="1" s="1"/>
  <c r="F74" i="1"/>
  <c r="I89" i="1"/>
  <c r="C91" i="1" s="1"/>
  <c r="E135" i="1"/>
  <c r="D136" i="1"/>
  <c r="G135" i="1"/>
  <c r="I105" i="1" l="1"/>
  <c r="I103" i="1" s="1"/>
  <c r="C105" i="1" s="1"/>
  <c r="I145" i="1"/>
  <c r="C147" i="1" s="1"/>
  <c r="I132" i="1"/>
  <c r="I133" i="1" s="1"/>
  <c r="I131" i="1" l="1"/>
  <c r="C1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6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0"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<sst xmlns="http://schemas.openxmlformats.org/spreadsheetml/2006/main" count="858" uniqueCount="404">
  <si>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</si>
  <si>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</si>
  <si>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</si>
  <si>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</si>
  <si>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</si>
  <si>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</si>
  <si>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</si>
  <si>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</si>
  <si>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</si>
  <si>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</si>
  <si>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</si>
  <si>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</si>
  <si>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</si>
  <si>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</si>
  <si>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</si>
  <si>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</si>
  <si>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</si>
  <si>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</si>
  <si>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</si>
  <si>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</si>
  <si>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</si>
  <si>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</si>
  <si>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</si>
  <si>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</si>
  <si>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</si>
  <si>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</si>
  <si>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</si>
  <si>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</si>
  <si>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</si>
  <si>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</si>
  <si>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</si>
  <si>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</si>
  <si>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</si>
  <si>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</si>
  <si>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</si>
  <si>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</si>
  <si>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</si>
  <si>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</si>
  <si>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</si>
  <si>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</si>
  <si>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</si>
  <si>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</si>
  <si>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</si>
  <si>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</si>
  <si>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</si>
  <si>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</si>
  <si>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</si>
  <si>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</si>
  <si>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</si>
  <si>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</si>
  <si>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</si>
  <si>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</si>
  <si>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</si>
  <si>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</si>
  <si>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</si>
  <si>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</si>
  <si>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</si>
  <si>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</si>
  <si>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</si>
  <si>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</si>
  <si>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</si>
  <si>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</si>
  <si>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</si>
  <si>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</si>
  <si>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</si>
  <si>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</si>
  <si>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</si>
  <si>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</si>
  <si>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</si>
  <si>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</si>
  <si>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</si>
  <si>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</si>
  <si>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</si>
  <si>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</si>
  <si>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</si>
  <si>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</si>
  <si>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</si>
  <si>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</si>
  <si>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</si>
  <si>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</si>
  <si>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</si>
  <si>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</si>
  <si>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</si>
  <si>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</si>
  <si>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</si>
  <si>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</si>
  <si>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</si>
  <si>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</si>
  <si>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</si>
  <si>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</si>
  <si>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</si>
  <si>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</si>
  <si>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</si>
  <si>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</si>
  <si>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</si>
  <si>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</si>
  <si>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</si>
  <si>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</si>
  <si>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</si>
  <si>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</si>
  <si>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</si>
  <si>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</si>
  <si>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</si>
  <si>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</si>
  <si>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</si>
  <si>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</si>
  <si>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</si>
  <si>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</si>
  <si>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</si>
  <si>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</si>
  <si>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</si>
  <si>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</si>
  <si>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</si>
  <si>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</si>
  <si>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</si>
  <si>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</si>
  <si>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</si>
  <si>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</si>
  <si>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</si>
  <si>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</si>
  <si>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</si>
  <si>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</si>
  <si>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</si>
  <si>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</si>
  <si>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</si>
  <si>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</si>
  <si>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</si>
  <si>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</si>
  <si>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</si>
  <si>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</si>
  <si>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</si>
  <si>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</si>
  <si>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</si>
  <si>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</si>
  <si>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</si>
  <si>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</si>
  <si>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</si>
  <si>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</si>
  <si>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</si>
  <si>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</si>
  <si>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</si>
  <si>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</si>
  <si>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</si>
  <si>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</si>
  <si>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</si>
  <si>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</si>
  <si>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</si>
  <si>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</si>
  <si>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</si>
  <si>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</si>
  <si>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</si>
  <si>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</si>
  <si>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</si>
  <si>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</si>
  <si>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</si>
  <si>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</si>
  <si>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</si>
  <si>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</si>
  <si>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</si>
  <si>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</si>
  <si>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</si>
  <si>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</si>
  <si>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</si>
  <si>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</si>
  <si>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</si>
  <si>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</si>
  <si>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</si>
  <si>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</si>
  <si>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</si>
  <si>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</si>
  <si>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</si>
  <si>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</si>
  <si>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</si>
  <si>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</si>
  <si>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</si>
  <si>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</si>
  <si>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</si>
  <si>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</si>
  <si>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</si>
  <si>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</si>
  <si>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</si>
  <si>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</si>
  <si>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</si>
  <si>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</si>
  <si>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</si>
  <si>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</si>
  <si>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</si>
  <si>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</si>
  <si>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</si>
  <si>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</si>
  <si>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</si>
  <si>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</si>
  <si>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</si>
  <si>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</si>
  <si>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</si>
  <si>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</si>
  <si>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</si>
  <si>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</si>
  <si>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</si>
  <si>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</si>
  <si>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</si>
  <si>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</si>
  <si>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</si>
  <si>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</si>
  <si>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</si>
  <si>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</si>
  <si>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</si>
  <si>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</si>
  <si>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</si>
  <si>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</si>
  <si>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</si>
  <si>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</si>
  <si>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</si>
  <si>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</si>
  <si>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</si>
  <si>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</si>
  <si>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</si>
  <si>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</si>
  <si>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</si>
  <si>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</si>
  <si>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</si>
  <si>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</si>
  <si>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</si>
  <si>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</si>
  <si>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</si>
  <si>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</si>
  <si>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</si>
  <si>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</si>
  <si>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</si>
  <si>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</si>
  <si>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</si>
  <si>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</si>
  <si>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</si>
  <si>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</si>
  <si>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</si>
  <si>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</si>
  <si>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</si>
  <si>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</si>
  <si>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</si>
  <si>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</si>
  <si>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</si>
  <si>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</si>
  <si>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</si>
  <si>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</si>
  <si>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</si>
  <si>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</si>
  <si>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</si>
  <si>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</si>
  <si>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</si>
  <si>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</si>
  <si>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</si>
  <si>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</si>
  <si>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</si>
  <si>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</si>
  <si>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</si>
  <si>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</si>
  <si>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</si>
  <si>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</si>
  <si>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</si>
  <si>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</si>
  <si>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</si>
  <si>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</si>
  <si>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</si>
  <si>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</si>
  <si>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</si>
  <si>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</si>
  <si>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</si>
  <si>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</si>
  <si>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</si>
  <si>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</si>
  <si>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</si>
  <si>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</si>
  <si>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</si>
  <si>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</si>
  <si>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</si>
  <si>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</si>
  <si>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</si>
  <si>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</si>
  <si>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</si>
  <si>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</si>
  <si>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</si>
  <si>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</si>
  <si>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</si>
  <si>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</si>
  <si>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</si>
  <si>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</si>
  <si>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</si>
  <si>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</si>
  <si>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</si>
  <si>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</si>
  <si>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</si>
  <si>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</si>
  <si>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</si>
  <si>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</si>
  <si>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</si>
  <si>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</si>
  <si>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</si>
  <si>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</si>
  <si>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</si>
  <si>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</si>
  <si>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</si>
  <si>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</si>
  <si>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</si>
  <si>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</si>
  <si>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</si>
  <si>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</si>
  <si>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</si>
  <si>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</si>
  <si>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</si>
  <si>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</si>
  <si>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</si>
  <si>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</si>
  <si>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</si>
  <si>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</si>
  <si>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</si>
  <si>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</si>
  <si>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</si>
  <si>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</si>
  <si>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</si>
  <si>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</si>
  <si>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</si>
  <si>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</si>
  <si>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</si>
  <si>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</si>
  <si>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</si>
  <si>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</si>
  <si>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</si>
  <si>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</si>
  <si>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</si>
  <si>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</si>
  <si>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</si>
  <si>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</si>
  <si>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</si>
  <si>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</si>
  <si>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</si>
  <si>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</si>
  <si>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</si>
  <si>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</si>
  <si>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</si>
  <si>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</si>
  <si>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</si>
  <si>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Shantee Realty And Life Space</t>
  </si>
  <si>
    <t>Flamingo Residency</t>
  </si>
  <si>
    <t>As per RERA - 31/12/2028</t>
  </si>
  <si>
    <t>P99000076599</t>
  </si>
  <si>
    <t>Building No.1 (Wing A &amp; B)
Building No.2 (Wing A &amp; B)
Building No.3 (Wing A, B &amp; C)</t>
  </si>
  <si>
    <t>https://maps.app.goo.gl/No4qXpjtxCN9evVG7</t>
  </si>
  <si>
    <t>19.394585,72.8230907</t>
  </si>
  <si>
    <t>Survey No</t>
  </si>
  <si>
    <t>155, H.No.1,2 &amp; 3B</t>
  </si>
  <si>
    <t>Diwanman</t>
  </si>
  <si>
    <t>Vasai (West)</t>
  </si>
  <si>
    <t>Internal Road</t>
  </si>
  <si>
    <t>Gokul Aagan</t>
  </si>
  <si>
    <t>Gokul Vatika Apartment</t>
  </si>
  <si>
    <t>Existing Buildings</t>
  </si>
  <si>
    <t>Nalla</t>
  </si>
  <si>
    <t>Krishna Sarovar Apartment</t>
  </si>
  <si>
    <t>Other Plot</t>
  </si>
  <si>
    <t>07 Wings</t>
  </si>
  <si>
    <t>VVCMC/TP/CC/VP/6003/382/2023-24</t>
  </si>
  <si>
    <t>VVCMC/TP/CC/VP-6003/382/2023-24</t>
  </si>
  <si>
    <t>Building No.1 = Gr/Stilt + 1st to 6th Floor (Flats = 52 Nos.)
Building No.2 = Gr/Stilt + 1st to 7th Floor (Flats = 60 Nos.)
Building No.3 = Gr/Stilt + 1st to 7th Floor (Flats = 168 Nos.)
Total Built Up Area = 15572.11 Sq.Mt.</t>
  </si>
  <si>
    <t>Building No.1</t>
  </si>
  <si>
    <t>Wing A</t>
  </si>
  <si>
    <t>Wing B</t>
  </si>
  <si>
    <t>2BHK</t>
  </si>
  <si>
    <t>1BHK</t>
  </si>
  <si>
    <t>Ground Floor for Residential, Society Office, Meter Room &amp; Parking</t>
  </si>
  <si>
    <t>Ground Floor for Residential, Meter Room &amp; Parking</t>
  </si>
  <si>
    <t>1st to 6th Floor for Residential</t>
  </si>
  <si>
    <t>Building No.2</t>
  </si>
  <si>
    <t>1st to 7th Floor for Residential</t>
  </si>
  <si>
    <t>Building No.3</t>
  </si>
  <si>
    <t>Ground Floor for Parking</t>
  </si>
  <si>
    <t>Wing C</t>
  </si>
  <si>
    <t>We considered Gross carpet area = Net carpet + Enclose balcony + A.P. Area.</t>
  </si>
  <si>
    <r>
      <t xml:space="preserve">Shop No.
</t>
    </r>
    <r>
      <rPr>
        <b/>
        <sz val="11"/>
        <rFont val="Times New Roman"/>
        <family val="1"/>
      </rPr>
      <t>(Approved Plan)</t>
    </r>
  </si>
  <si>
    <r>
      <t xml:space="preserve">Flat No.
</t>
    </r>
    <r>
      <rPr>
        <b/>
        <sz val="11"/>
        <rFont val="Times New Roman"/>
        <family val="1"/>
      </rPr>
      <t>(Approved Plan)</t>
    </r>
  </si>
  <si>
    <t>BuilFing No.2</t>
  </si>
  <si>
    <t>Flats - 280</t>
  </si>
  <si>
    <t>Building No.1 (Wing A &amp; B) = Gr/Stilt + 1st to 6th Floor
Building No.2 (Wing A &amp; B) = Gr/Stilt + 1st to 7th Floor
Building No.3 (Wing A, B &amp; C) = Gr/Stilt + 1st to 7th Floor</t>
  </si>
  <si>
    <t>Building No.2 (Wing A &amp; B) = Gr/Stilt + 1st to 7th Floor</t>
  </si>
  <si>
    <t>Building No.3 (Wing A, B &amp; C) = Gr/Stilt + 1st to 7th Floor</t>
  </si>
  <si>
    <t>Society Maintenance (1 Year)</t>
  </si>
  <si>
    <t>Online</t>
  </si>
  <si>
    <t>Visitor</t>
  </si>
  <si>
    <t>MIS</t>
  </si>
  <si>
    <t>Builder</t>
  </si>
  <si>
    <t>Approved Plans, CC, Cost Sheet</t>
  </si>
  <si>
    <t>Building No.1 (Wing A &amp; B) = Gr/Stilt + 1st to 7th Floor</t>
  </si>
  <si>
    <t>Fire Fighting System, Parking Area, Lift</t>
  </si>
  <si>
    <r>
      <t xml:space="preserve">Proposed Amenities :                                                                                                                                                                                                                         </t>
    </r>
    <r>
      <rPr>
        <b/>
        <sz val="12"/>
        <rFont val="Times New Roman"/>
        <family val="1"/>
      </rPr>
      <t xml:space="preserve">                                               </t>
    </r>
  </si>
  <si>
    <t xml:space="preserve">Nalla is located west side to the project. </t>
  </si>
  <si>
    <t>2.5 KM from Vasai Railway Station</t>
  </si>
  <si>
    <t>Building No.3 (Wing C) = Gr/Stilt + 1st to 7th Floor</t>
  </si>
  <si>
    <t>Navanath Bhatkar</t>
  </si>
  <si>
    <t>Mr. Maqbool7709260464</t>
  </si>
  <si>
    <t>Buidling No.2 (Wing B) = Gr/Stilt + 1st to 7th Floor</t>
  </si>
  <si>
    <t>Buidling No.2 (Wing A) = Gr/Stilt + 1st to 7th Floor</t>
  </si>
  <si>
    <t>Building No.3 (Wing A) = Gr/Stilt + 1st to 7th Floor</t>
  </si>
  <si>
    <t>Building No.3 (Wing B) = Gr/Stilt + 1st to 7th Floor</t>
  </si>
  <si>
    <t>Bldg No. 1, 2 &amp; 3 = Construction work is in process at the time of Visit (Labour found).
Bldg No.1 = Work not yet started.</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</si>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</sst>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5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3" fillId="0" borderId="0" xfId="1" applyFont="1" applyAlignment="1">
      <alignment horizontal="center" vertical="center"/>
    </xf>
    <xf numFmtId="0" fontId="27" fillId="0" borderId="0" xfId="1" applyFont="1" applyAlignment="1">
      <alignment horizontal="center" vertical="center"/>
    </xf>
    <xf numFmtId="0" fontId="13" fillId="0" borderId="0" xfId="2" applyFont="1" applyAlignment="1">
      <alignment horizontal="center" vertical="center"/>
    </xf>
    <xf numFmtId="1" fontId="10" fillId="0" borderId="1" xfId="0" applyNumberFormat="1" applyFont="1" applyBorder="1" applyAlignment="1" applyProtection="1">
      <alignment horizontal="center" vertical="center" wrapText="1"/>
      <protection locked="0"/>
    </xf>
    <xf numFmtId="1" fontId="13" fillId="0" borderId="0" xfId="1" applyNumberFormat="1" applyFont="1" applyAlignment="1">
      <alignment horizontal="center" vertical="center"/>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0" fillId="0" borderId="1"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10" fillId="0" borderId="3"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29"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9" fillId="0" borderId="1"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5" fillId="0" borderId="35"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11" fillId="0" borderId="8" xfId="1" applyNumberFormat="1" applyFont="1" applyFill="1" applyBorder="1" applyAlignment="1" applyProtection="1">
      <alignment horizontal="center" vertical="center" wrapText="1"/>
      <protection locked="0"/>
    </xf>
    <xf numFmtId="1" fontId="11" fillId="0" borderId="21" xfId="1" applyNumberFormat="1" applyFont="1" applyFill="1" applyBorder="1" applyAlignment="1" applyProtection="1">
      <alignment horizontal="center" vertical="center" wrapText="1"/>
      <protection locked="0"/>
    </xf>
    <xf numFmtId="1" fontId="11" fillId="0"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jpeg"/><Relationship Id="rId4" Type="http://schemas.openxmlformats.org/officeDocument/2006/relationships/image" Target="../media/image4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15</xdr:row>
      <xdr:rowOff>539750</xdr:rowOff>
    </xdr:from>
    <xdr:to>
      <xdr:col>13</xdr:col>
      <xdr:colOff>514550</xdr:colOff>
      <xdr:row>18</xdr:row>
      <xdr:rowOff>154271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80200" y="4508500"/>
          <a:ext cx="5004000" cy="624171"/>
        </a:xfrm>
        <a:prstGeom prst="rect">
          <a:avLst/>
        </a:prstGeom>
        <a:ln>
          <a:solidFill>
            <a:schemeClr val="tx1"/>
          </a:solidFill>
        </a:ln>
      </xdr:spPr>
    </xdr:pic>
    <xdr:clientData/>
  </xdr:twoCellAnchor>
  <xdr:twoCellAnchor editAs="oneCell">
    <xdr:from>
      <xdr:col>8</xdr:col>
      <xdr:colOff>260350</xdr:colOff>
      <xdr:row>48</xdr:row>
      <xdr:rowOff>19050</xdr:rowOff>
    </xdr:from>
    <xdr:to>
      <xdr:col>12</xdr:col>
      <xdr:colOff>139250</xdr:colOff>
      <xdr:row>52</xdr:row>
      <xdr:rowOff>672958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883400" y="11125200"/>
          <a:ext cx="3600000" cy="1669908"/>
        </a:xfrm>
        <a:prstGeom prst="rect">
          <a:avLst/>
        </a:prstGeom>
        <a:ln>
          <a:solidFill>
            <a:schemeClr val="tx1"/>
          </a:solidFill>
        </a:ln>
      </xdr:spPr>
    </xdr:pic>
    <xdr:clientData/>
  </xdr:twoCellAnchor>
  <xdr:twoCellAnchor editAs="oneCell">
    <xdr:from>
      <xdr:col>0</xdr:col>
      <xdr:colOff>787400</xdr:colOff>
      <xdr:row>370</xdr:row>
      <xdr:rowOff>120650</xdr:rowOff>
    </xdr:from>
    <xdr:to>
      <xdr:col>7</xdr:col>
      <xdr:colOff>38813</xdr:colOff>
      <xdr:row>404</xdr:row>
      <xdr:rowOff>96181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87400" y="56857900"/>
          <a:ext cx="5106113" cy="6668431"/>
        </a:xfrm>
        <a:prstGeom prst="rect">
          <a:avLst/>
        </a:prstGeom>
        <a:ln>
          <a:solidFill>
            <a:schemeClr val="tx1"/>
          </a:solidFill>
        </a:ln>
      </xdr:spPr>
    </xdr:pic>
    <xdr:clientData/>
  </xdr:twoCellAnchor>
  <xdr:twoCellAnchor editAs="oneCell">
    <xdr:from>
      <xdr:col>0</xdr:col>
      <xdr:colOff>787400</xdr:colOff>
      <xdr:row>402</xdr:row>
      <xdr:rowOff>59751</xdr:rowOff>
    </xdr:from>
    <xdr:to>
      <xdr:col>1</xdr:col>
      <xdr:colOff>347300</xdr:colOff>
      <xdr:row>404</xdr:row>
      <xdr:rowOff>96181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87400" y="63096201"/>
          <a:ext cx="360000" cy="430130"/>
        </a:xfrm>
        <a:prstGeom prst="rect">
          <a:avLst/>
        </a:prstGeom>
        <a:ln>
          <a:solidFill>
            <a:schemeClr val="tx1"/>
          </a:solidFill>
        </a:ln>
      </xdr:spPr>
    </xdr:pic>
    <xdr:clientData/>
  </xdr:twoCellAnchor>
  <xdr:twoCellAnchor>
    <xdr:from>
      <xdr:col>2</xdr:col>
      <xdr:colOff>394494</xdr:colOff>
      <xdr:row>383</xdr:row>
      <xdr:rowOff>139285</xdr:rowOff>
    </xdr:from>
    <xdr:to>
      <xdr:col>3</xdr:col>
      <xdr:colOff>78689</xdr:colOff>
      <xdr:row>389</xdr:row>
      <xdr:rowOff>86463</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rot="19426764">
          <a:off x="2032794" y="59435585"/>
          <a:ext cx="573195" cy="112827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299113</xdr:colOff>
      <xdr:row>383</xdr:row>
      <xdr:rowOff>112044</xdr:rowOff>
    </xdr:from>
    <xdr:to>
      <xdr:col>3</xdr:col>
      <xdr:colOff>883559</xdr:colOff>
      <xdr:row>389</xdr:row>
      <xdr:rowOff>15330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rot="18904997">
          <a:off x="2826413" y="59408344"/>
          <a:ext cx="584446" cy="10843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850953</xdr:colOff>
      <xdr:row>389</xdr:row>
      <xdr:rowOff>34053</xdr:rowOff>
    </xdr:from>
    <xdr:to>
      <xdr:col>6</xdr:col>
      <xdr:colOff>172459</xdr:colOff>
      <xdr:row>393</xdr:row>
      <xdr:rowOff>1483</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rot="18185098">
          <a:off x="3941116" y="59948590"/>
          <a:ext cx="754830" cy="18805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1</xdr:col>
      <xdr:colOff>342900</xdr:colOff>
      <xdr:row>381</xdr:row>
      <xdr:rowOff>38100</xdr:rowOff>
    </xdr:from>
    <xdr:ext cx="738728"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43000" y="58940700"/>
          <a:ext cx="738728"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No.1</a:t>
          </a:r>
        </a:p>
      </xdr:txBody>
    </xdr:sp>
    <xdr:clientData/>
  </xdr:oneCellAnchor>
  <xdr:twoCellAnchor>
    <xdr:from>
      <xdr:col>1</xdr:col>
      <xdr:colOff>712264</xdr:colOff>
      <xdr:row>382</xdr:row>
      <xdr:rowOff>105810</xdr:rowOff>
    </xdr:from>
    <xdr:to>
      <xdr:col>2</xdr:col>
      <xdr:colOff>387350</xdr:colOff>
      <xdr:row>384</xdr:row>
      <xdr:rowOff>50800</xdr:rowOff>
    </xdr:to>
    <xdr:cxnSp macro="">
      <xdr:nvCxnSpPr>
        <xdr:cNvPr id="12" name="Straight Arrow Connector 11">
          <a:extLst>
            <a:ext uri="{FF2B5EF4-FFF2-40B4-BE49-F238E27FC236}">
              <a16:creationId xmlns:a16="http://schemas.microsoft.com/office/drawing/2014/main" id="{00000000-0008-0000-0000-00000C000000}"/>
            </a:ext>
          </a:extLst>
        </xdr:cNvPr>
        <xdr:cNvCxnSpPr>
          <a:stCxn id="9" idx="2"/>
        </xdr:cNvCxnSpPr>
      </xdr:nvCxnSpPr>
      <xdr:spPr>
        <a:xfrm>
          <a:off x="1512364" y="59205260"/>
          <a:ext cx="513286" cy="33869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704850</xdr:colOff>
      <xdr:row>381</xdr:row>
      <xdr:rowOff>0</xdr:rowOff>
    </xdr:from>
    <xdr:ext cx="738728"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232150" y="58902600"/>
          <a:ext cx="738728"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No.2</a:t>
          </a:r>
        </a:p>
      </xdr:txBody>
    </xdr:sp>
    <xdr:clientData/>
  </xdr:oneCellAnchor>
  <xdr:twoCellAnchor>
    <xdr:from>
      <xdr:col>3</xdr:col>
      <xdr:colOff>798269</xdr:colOff>
      <xdr:row>382</xdr:row>
      <xdr:rowOff>67710</xdr:rowOff>
    </xdr:from>
    <xdr:to>
      <xdr:col>4</xdr:col>
      <xdr:colOff>115364</xdr:colOff>
      <xdr:row>385</xdr:row>
      <xdr:rowOff>54205</xdr:rowOff>
    </xdr:to>
    <xdr:cxnSp macro="">
      <xdr:nvCxnSpPr>
        <xdr:cNvPr id="16" name="Straight Arrow Connector 15">
          <a:extLst>
            <a:ext uri="{FF2B5EF4-FFF2-40B4-BE49-F238E27FC236}">
              <a16:creationId xmlns:a16="http://schemas.microsoft.com/office/drawing/2014/main" id="{00000000-0008-0000-0000-000010000000}"/>
            </a:ext>
          </a:extLst>
        </xdr:cNvPr>
        <xdr:cNvCxnSpPr>
          <a:stCxn id="15" idx="2"/>
          <a:endCxn id="7" idx="3"/>
        </xdr:cNvCxnSpPr>
      </xdr:nvCxnSpPr>
      <xdr:spPr>
        <a:xfrm flipH="1">
          <a:off x="3325569" y="59167160"/>
          <a:ext cx="275945" cy="57704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133350</xdr:colOff>
      <xdr:row>386</xdr:row>
      <xdr:rowOff>0</xdr:rowOff>
    </xdr:from>
    <xdr:ext cx="738728"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4438650" y="59886850"/>
          <a:ext cx="738728"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No.3</a:t>
          </a:r>
        </a:p>
      </xdr:txBody>
    </xdr:sp>
    <xdr:clientData/>
  </xdr:oneCellAnchor>
  <xdr:twoCellAnchor>
    <xdr:from>
      <xdr:col>5</xdr:col>
      <xdr:colOff>114300</xdr:colOff>
      <xdr:row>387</xdr:row>
      <xdr:rowOff>67710</xdr:rowOff>
    </xdr:from>
    <xdr:to>
      <xdr:col>5</xdr:col>
      <xdr:colOff>502714</xdr:colOff>
      <xdr:row>389</xdr:row>
      <xdr:rowOff>88900</xdr:rowOff>
    </xdr:to>
    <xdr:cxnSp macro="">
      <xdr:nvCxnSpPr>
        <xdr:cNvPr id="19" name="Straight Arrow Connector 18">
          <a:extLst>
            <a:ext uri="{FF2B5EF4-FFF2-40B4-BE49-F238E27FC236}">
              <a16:creationId xmlns:a16="http://schemas.microsoft.com/office/drawing/2014/main" id="{00000000-0008-0000-0000-000013000000}"/>
            </a:ext>
          </a:extLst>
        </xdr:cNvPr>
        <xdr:cNvCxnSpPr>
          <a:stCxn id="18" idx="2"/>
        </xdr:cNvCxnSpPr>
      </xdr:nvCxnSpPr>
      <xdr:spPr>
        <a:xfrm flipH="1">
          <a:off x="4419600" y="60151410"/>
          <a:ext cx="388414" cy="41489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203200</xdr:colOff>
      <xdr:row>390</xdr:row>
      <xdr:rowOff>190500</xdr:rowOff>
    </xdr:from>
    <xdr:ext cx="501650"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rot="2563527">
          <a:off x="1841500" y="60864750"/>
          <a:ext cx="501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Nalla</a:t>
          </a:r>
        </a:p>
      </xdr:txBody>
    </xdr:sp>
    <xdr:clientData/>
  </xdr:oneCellAnchor>
  <xdr:oneCellAnchor>
    <xdr:from>
      <xdr:col>3</xdr:col>
      <xdr:colOff>704850</xdr:colOff>
      <xdr:row>394</xdr:row>
      <xdr:rowOff>69851</xdr:rowOff>
    </xdr:from>
    <xdr:ext cx="501650"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rot="1008774">
          <a:off x="3232150" y="61531501"/>
          <a:ext cx="501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Nalla</a:t>
          </a:r>
        </a:p>
      </xdr:txBody>
    </xdr:sp>
    <xdr:clientData/>
  </xdr:oneCellAnchor>
  <xdr:oneCellAnchor>
    <xdr:from>
      <xdr:col>1</xdr:col>
      <xdr:colOff>455094</xdr:colOff>
      <xdr:row>386</xdr:row>
      <xdr:rowOff>52906</xdr:rowOff>
    </xdr:from>
    <xdr:ext cx="264560" cy="501650"/>
    <xdr:sp macro="" textlink="">
      <xdr:nvSpPr>
        <xdr:cNvPr id="23" name="TextBox 22">
          <a:extLst>
            <a:ext uri="{FF2B5EF4-FFF2-40B4-BE49-F238E27FC236}">
              <a16:creationId xmlns:a16="http://schemas.microsoft.com/office/drawing/2014/main" id="{00000000-0008-0000-0000-000017000000}"/>
            </a:ext>
          </a:extLst>
        </xdr:cNvPr>
        <xdr:cNvSpPr txBox="1"/>
      </xdr:nvSpPr>
      <xdr:spPr>
        <a:xfrm rot="3134465">
          <a:off x="1136649" y="60058301"/>
          <a:ext cx="501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Nalla</a:t>
          </a:r>
        </a:p>
      </xdr:txBody>
    </xdr:sp>
    <xdr:clientData/>
  </xdr:oneCellAnchor>
  <xdr:twoCellAnchor editAs="oneCell">
    <xdr:from>
      <xdr:col>1</xdr:col>
      <xdr:colOff>146050</xdr:colOff>
      <xdr:row>435</xdr:row>
      <xdr:rowOff>46784</xdr:rowOff>
    </xdr:from>
    <xdr:to>
      <xdr:col>6</xdr:col>
      <xdr:colOff>539800</xdr:colOff>
      <xdr:row>454</xdr:row>
      <xdr:rowOff>133834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946150" y="69382434"/>
          <a:ext cx="4680000" cy="3827200"/>
        </a:xfrm>
        <a:prstGeom prst="rect">
          <a:avLst/>
        </a:prstGeom>
        <a:ln>
          <a:solidFill>
            <a:schemeClr val="tx1"/>
          </a:solidFill>
        </a:ln>
      </xdr:spPr>
    </xdr:pic>
    <xdr:clientData/>
  </xdr:twoCellAnchor>
  <xdr:twoCellAnchor editAs="oneCell">
    <xdr:from>
      <xdr:col>0</xdr:col>
      <xdr:colOff>704850</xdr:colOff>
      <xdr:row>413</xdr:row>
      <xdr:rowOff>82550</xdr:rowOff>
    </xdr:from>
    <xdr:to>
      <xdr:col>7</xdr:col>
      <xdr:colOff>70150</xdr:colOff>
      <xdr:row>434</xdr:row>
      <xdr:rowOff>166645</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704850" y="65087500"/>
          <a:ext cx="5220000" cy="4217945"/>
        </a:xfrm>
        <a:prstGeom prst="rect">
          <a:avLst/>
        </a:prstGeom>
        <a:ln>
          <a:solidFill>
            <a:schemeClr val="tx1"/>
          </a:solidFill>
        </a:ln>
      </xdr:spPr>
    </xdr:pic>
    <xdr:clientData/>
  </xdr:twoCellAnchor>
  <xdr:twoCellAnchor>
    <xdr:from>
      <xdr:col>2</xdr:col>
      <xdr:colOff>876300</xdr:colOff>
      <xdr:row>441</xdr:row>
      <xdr:rowOff>34084</xdr:rowOff>
    </xdr:from>
    <xdr:to>
      <xdr:col>3</xdr:col>
      <xdr:colOff>901700</xdr:colOff>
      <xdr:row>451</xdr:row>
      <xdr:rowOff>6350</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rot="254031">
          <a:off x="2514600" y="70550834"/>
          <a:ext cx="914400" cy="194076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2</xdr:col>
      <xdr:colOff>711200</xdr:colOff>
      <xdr:row>437</xdr:row>
      <xdr:rowOff>78534</xdr:rowOff>
    </xdr:from>
    <xdr:ext cx="738728"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2349500" y="69807884"/>
          <a:ext cx="738728"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Nalla</a:t>
          </a:r>
        </a:p>
      </xdr:txBody>
    </xdr:sp>
    <xdr:clientData/>
  </xdr:oneCellAnchor>
  <xdr:twoCellAnchor>
    <xdr:from>
      <xdr:col>3</xdr:col>
      <xdr:colOff>191564</xdr:colOff>
      <xdr:row>438</xdr:row>
      <xdr:rowOff>146244</xdr:rowOff>
    </xdr:from>
    <xdr:to>
      <xdr:col>3</xdr:col>
      <xdr:colOff>196850</xdr:colOff>
      <xdr:row>442</xdr:row>
      <xdr:rowOff>139700</xdr:rowOff>
    </xdr:to>
    <xdr:cxnSp macro="">
      <xdr:nvCxnSpPr>
        <xdr:cNvPr id="28" name="Straight Arrow Connector 27">
          <a:extLst>
            <a:ext uri="{FF2B5EF4-FFF2-40B4-BE49-F238E27FC236}">
              <a16:creationId xmlns:a16="http://schemas.microsoft.com/office/drawing/2014/main" id="{00000000-0008-0000-0000-00001C000000}"/>
            </a:ext>
          </a:extLst>
        </xdr:cNvPr>
        <xdr:cNvCxnSpPr>
          <a:stCxn id="27" idx="2"/>
        </xdr:cNvCxnSpPr>
      </xdr:nvCxnSpPr>
      <xdr:spPr>
        <a:xfrm>
          <a:off x="2718864" y="70072444"/>
          <a:ext cx="5286" cy="780856"/>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644525</xdr:colOff>
      <xdr:row>52</xdr:row>
      <xdr:rowOff>742950</xdr:rowOff>
    </xdr:from>
    <xdr:to>
      <xdr:col>14</xdr:col>
      <xdr:colOff>621625</xdr:colOff>
      <xdr:row>73</xdr:row>
      <xdr:rowOff>50303</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959600" y="12782550"/>
          <a:ext cx="5158700" cy="3650753"/>
        </a:xfrm>
        <a:prstGeom prst="rect">
          <a:avLst/>
        </a:prstGeom>
        <a:ln>
          <a:solidFill>
            <a:schemeClr val="tx1"/>
          </a:solidFill>
        </a:ln>
      </xdr:spPr>
    </xdr:pic>
    <xdr:clientData/>
  </xdr:twoCellAnchor>
  <xdr:twoCellAnchor>
    <xdr:from>
      <xdr:col>8</xdr:col>
      <xdr:colOff>390525</xdr:colOff>
      <xdr:row>326</xdr:row>
      <xdr:rowOff>101600</xdr:rowOff>
    </xdr:from>
    <xdr:to>
      <xdr:col>15</xdr:col>
      <xdr:colOff>561221</xdr:colOff>
      <xdr:row>366</xdr:row>
      <xdr:rowOff>72812</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6705600" y="57765950"/>
          <a:ext cx="6161921" cy="7962687"/>
          <a:chOff x="95250" y="51689000"/>
          <a:chExt cx="6434971" cy="7838862"/>
        </a:xfrm>
      </xdr:grpSpPr>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64834" y="57367862"/>
            <a:ext cx="1618313"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87804" y="51689000"/>
            <a:ext cx="2049863" cy="2736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95250" y="51689000"/>
            <a:ext cx="2049863" cy="2736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480358" y="51689000"/>
            <a:ext cx="2049863" cy="2736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1241" y="54537807"/>
            <a:ext cx="2049863" cy="2736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474367" y="54528431"/>
            <a:ext cx="2049863" cy="2736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477460" y="57367862"/>
            <a:ext cx="1618313"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287804" y="54528431"/>
            <a:ext cx="2049863" cy="2736000"/>
          </a:xfrm>
          <a:prstGeom prst="rect">
            <a:avLst/>
          </a:prstGeom>
          <a:ln>
            <a:solidFill>
              <a:schemeClr val="tx1"/>
            </a:solidFill>
          </a:ln>
        </xdr:spPr>
      </xdr:pic>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95250" y="51689000"/>
            <a:ext cx="537711"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solidFill>
                  <a:sysClr val="windowText" lastClr="000000"/>
                </a:solidFill>
              </a:rPr>
              <a:t>Bldg 2</a:t>
            </a:r>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2287804" y="51689000"/>
            <a:ext cx="537711"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solidFill>
                  <a:sysClr val="windowText" lastClr="000000"/>
                </a:solidFill>
              </a:rPr>
              <a:t>Bldg 2</a:t>
            </a:r>
          </a:p>
        </xdr:txBody>
      </xdr:sp>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4480358" y="51689000"/>
            <a:ext cx="1323542" cy="2730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a:solidFill>
                  <a:sysClr val="windowText" lastClr="000000"/>
                </a:solidFill>
              </a:rPr>
              <a:t>Bldg 3 (A &amp; B Wing)</a:t>
            </a:r>
          </a:p>
        </xdr:txBody>
      </xdr:sp>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01241" y="54528431"/>
            <a:ext cx="1060611"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solidFill>
                  <a:sysClr val="windowText" lastClr="000000"/>
                </a:solidFill>
              </a:rPr>
              <a:t>Bldg 3 (C Wing)</a:t>
            </a:r>
          </a:p>
        </xdr:txBody>
      </xdr:sp>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584200" y="54800500"/>
            <a:ext cx="342900" cy="81280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0</xdr:colOff>
      <xdr:row>328</xdr:row>
      <xdr:rowOff>0</xdr:rowOff>
    </xdr:from>
    <xdr:to>
      <xdr:col>10</xdr:col>
      <xdr:colOff>523442</xdr:colOff>
      <xdr:row>329</xdr:row>
      <xdr:rowOff>76200</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7842250" y="51765200"/>
          <a:ext cx="1323542" cy="2730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IN" sz="1100">
              <a:solidFill>
                <a:sysClr val="windowText" lastClr="000000"/>
              </a:solidFill>
            </a:rPr>
            <a:t>Bldg 3 (A &amp; B Wing)</a:t>
          </a:r>
        </a:p>
      </xdr:txBody>
    </xdr:sp>
    <xdr:clientData/>
  </xdr:twoCellAnchor>
  <xdr:twoCellAnchor>
    <xdr:from>
      <xdr:col>8</xdr:col>
      <xdr:colOff>857250</xdr:colOff>
      <xdr:row>316</xdr:row>
      <xdr:rowOff>114300</xdr:rowOff>
    </xdr:from>
    <xdr:to>
      <xdr:col>9</xdr:col>
      <xdr:colOff>723900</xdr:colOff>
      <xdr:row>318</xdr:row>
      <xdr:rowOff>38100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172325" y="52939950"/>
          <a:ext cx="1028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Bldg</a:t>
          </a:r>
          <a:r>
            <a:rPr lang="en-IN" sz="1400" b="1" baseline="0">
              <a:solidFill>
                <a:srgbClr val="FF0000"/>
              </a:solidFill>
              <a:latin typeface="Times New Roman" panose="02020603050405020304" pitchFamily="18" charset="0"/>
              <a:cs typeface="Times New Roman" panose="02020603050405020304" pitchFamily="18" charset="0"/>
            </a:rPr>
            <a:t> No. 1</a:t>
          </a:r>
          <a:endParaRPr lang="en-IN" sz="1400" b="1">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9</xdr:col>
      <xdr:colOff>628650</xdr:colOff>
      <xdr:row>316</xdr:row>
      <xdr:rowOff>38100</xdr:rowOff>
    </xdr:from>
    <xdr:to>
      <xdr:col>11</xdr:col>
      <xdr:colOff>190500</xdr:colOff>
      <xdr:row>317</xdr:row>
      <xdr:rowOff>161925</xdr:rowOff>
    </xdr:to>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8105775" y="52863750"/>
          <a:ext cx="1028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Bldg</a:t>
          </a:r>
          <a:r>
            <a:rPr lang="en-IN" sz="1400" b="1" baseline="0">
              <a:solidFill>
                <a:srgbClr val="FF0000"/>
              </a:solidFill>
              <a:latin typeface="Times New Roman" panose="02020603050405020304" pitchFamily="18" charset="0"/>
              <a:cs typeface="Times New Roman" panose="02020603050405020304" pitchFamily="18" charset="0"/>
            </a:rPr>
            <a:t> No. 1</a:t>
          </a:r>
          <a:endParaRPr lang="en-IN" sz="1400" b="1">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8</xdr:col>
      <xdr:colOff>790574</xdr:colOff>
      <xdr:row>326</xdr:row>
      <xdr:rowOff>66674</xdr:rowOff>
    </xdr:from>
    <xdr:to>
      <xdr:col>16</xdr:col>
      <xdr:colOff>19050</xdr:colOff>
      <xdr:row>360</xdr:row>
      <xdr:rowOff>18825</xdr:rowOff>
    </xdr:to>
    <xdr:grpSp>
      <xdr:nvGrpSpPr>
        <xdr:cNvPr id="20" name="Group 19">
          <a:extLst>
            <a:ext uri="{FF2B5EF4-FFF2-40B4-BE49-F238E27FC236}">
              <a16:creationId xmlns:a16="http://schemas.microsoft.com/office/drawing/2014/main" id="{EBB92C25-0E04-439C-9510-8A8D1CBF6023}"/>
            </a:ext>
          </a:extLst>
        </xdr:cNvPr>
        <xdr:cNvGrpSpPr/>
      </xdr:nvGrpSpPr>
      <xdr:grpSpPr>
        <a:xfrm>
          <a:off x="7105649" y="57731024"/>
          <a:ext cx="6000751" cy="6743476"/>
          <a:chOff x="104774" y="58035824"/>
          <a:chExt cx="6000751" cy="6743476"/>
        </a:xfrm>
      </xdr:grpSpPr>
      <xdr:pic>
        <xdr:nvPicPr>
          <xdr:cNvPr id="44" name="Picture 43" descr="https://vsjcllp.vsjadon.com/upload/insp-225890-844.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4600576" y="60743139"/>
            <a:ext cx="1504949" cy="20086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14" name="Group 13">
            <a:extLst>
              <a:ext uri="{FF2B5EF4-FFF2-40B4-BE49-F238E27FC236}">
                <a16:creationId xmlns:a16="http://schemas.microsoft.com/office/drawing/2014/main" id="{4FF84559-5A68-4B3F-9EEB-EE799ABEF872}"/>
              </a:ext>
            </a:extLst>
          </xdr:cNvPr>
          <xdr:cNvGrpSpPr/>
        </xdr:nvGrpSpPr>
        <xdr:grpSpPr>
          <a:xfrm>
            <a:off x="104774" y="58035824"/>
            <a:ext cx="5985267" cy="6743476"/>
            <a:chOff x="85724" y="58045349"/>
            <a:chExt cx="5985267" cy="6743476"/>
          </a:xfrm>
        </xdr:grpSpPr>
        <xdr:grpSp>
          <xdr:nvGrpSpPr>
            <xdr:cNvPr id="13" name="Group 12">
              <a:extLst>
                <a:ext uri="{FF2B5EF4-FFF2-40B4-BE49-F238E27FC236}">
                  <a16:creationId xmlns:a16="http://schemas.microsoft.com/office/drawing/2014/main" id="{00000000-0008-0000-0000-00000D000000}"/>
                </a:ext>
              </a:extLst>
            </xdr:cNvPr>
            <xdr:cNvGrpSpPr/>
          </xdr:nvGrpSpPr>
          <xdr:grpSpPr>
            <a:xfrm>
              <a:off x="85724" y="58045349"/>
              <a:ext cx="5985267" cy="6743476"/>
              <a:chOff x="85724" y="55435499"/>
              <a:chExt cx="5985267" cy="6743476"/>
            </a:xfrm>
          </xdr:grpSpPr>
          <xdr:pic>
            <xdr:nvPicPr>
              <xdr:cNvPr id="41" name="Picture 40" descr="https://vsjcllp.vsjadon.com/upload/insp-225890-843.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2468981" y="60372655"/>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25890-845.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2181150" y="554736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5890-851.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69815" y="554736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25890-861.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4182960" y="554736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25890-871.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2989426" y="58146965"/>
                <a:ext cx="1504949" cy="20086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25890-877.jpg">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1015669" y="60370862"/>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25890-928.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98427" y="58164718"/>
                <a:ext cx="2675777" cy="20086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25890-925.jpg">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3924300" y="60378975"/>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2114548" y="55454549"/>
                <a:ext cx="1057277"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IN" sz="1400" b="1">
                    <a:solidFill>
                      <a:srgbClr val="FF0000"/>
                    </a:solidFill>
                    <a:latin typeface="Times New Roman" panose="02020603050405020304" pitchFamily="18" charset="0"/>
                    <a:ea typeface="+mn-ea"/>
                    <a:cs typeface="Times New Roman" panose="02020603050405020304" pitchFamily="18" charset="0"/>
                  </a:rPr>
                  <a:t>Bldg</a:t>
                </a:r>
                <a:r>
                  <a:rPr lang="en-IN" sz="1100" b="1">
                    <a:solidFill>
                      <a:srgbClr val="FF0000"/>
                    </a:solidFill>
                    <a:latin typeface="Times New Roman" panose="02020603050405020304" pitchFamily="18" charset="0"/>
                    <a:ea typeface="+mn-ea"/>
                    <a:cs typeface="Times New Roman" panose="02020603050405020304" pitchFamily="18" charset="0"/>
                  </a:rPr>
                  <a:t> </a:t>
                </a:r>
                <a:r>
                  <a:rPr lang="en-IN" sz="1400" b="1">
                    <a:solidFill>
                      <a:srgbClr val="FF0000"/>
                    </a:solidFill>
                    <a:latin typeface="Times New Roman" panose="02020603050405020304" pitchFamily="18" charset="0"/>
                    <a:ea typeface="+mn-ea"/>
                    <a:cs typeface="Times New Roman" panose="02020603050405020304" pitchFamily="18" charset="0"/>
                  </a:rPr>
                  <a:t>No. 2 (Wing B)</a:t>
                </a:r>
              </a:p>
            </xdr:txBody>
          </xdr:sp>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4533899" y="58092974"/>
                <a:ext cx="990601"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IN" sz="1400" b="1">
                    <a:solidFill>
                      <a:srgbClr val="FF0000"/>
                    </a:solidFill>
                    <a:latin typeface="Times New Roman" panose="02020603050405020304" pitchFamily="18" charset="0"/>
                    <a:ea typeface="+mn-ea"/>
                    <a:cs typeface="Times New Roman" panose="02020603050405020304" pitchFamily="18" charset="0"/>
                  </a:rPr>
                  <a:t>Bldg No. 3 (Wing C)</a:t>
                </a:r>
              </a:p>
            </xdr:txBody>
          </xdr:sp>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4143375" y="55435499"/>
                <a:ext cx="10287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Bldg</a:t>
                </a:r>
                <a:r>
                  <a:rPr lang="en-IN" sz="1400" b="1" baseline="0">
                    <a:solidFill>
                      <a:srgbClr val="FF0000"/>
                    </a:solidFill>
                    <a:latin typeface="Times New Roman" panose="02020603050405020304" pitchFamily="18" charset="0"/>
                    <a:cs typeface="Times New Roman" panose="02020603050405020304" pitchFamily="18" charset="0"/>
                  </a:rPr>
                  <a:t> No. 3 (Wing A)</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152400" y="58150125"/>
                <a:ext cx="1028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IN" sz="1400" b="1">
                    <a:solidFill>
                      <a:srgbClr val="FF0000"/>
                    </a:solidFill>
                    <a:latin typeface="Times New Roman" panose="02020603050405020304" pitchFamily="18" charset="0"/>
                    <a:ea typeface="+mn-ea"/>
                    <a:cs typeface="Times New Roman" panose="02020603050405020304" pitchFamily="18" charset="0"/>
                  </a:rPr>
                  <a:t>Bldg No. 1</a:t>
                </a:r>
              </a:p>
            </xdr:txBody>
          </xdr:sp>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85724" y="55473599"/>
                <a:ext cx="1028701"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IN" sz="1400" b="1">
                    <a:solidFill>
                      <a:srgbClr val="FF0000"/>
                    </a:solidFill>
                    <a:latin typeface="Times New Roman" panose="02020603050405020304" pitchFamily="18" charset="0"/>
                    <a:ea typeface="+mn-ea"/>
                    <a:cs typeface="Times New Roman" panose="02020603050405020304" pitchFamily="18" charset="0"/>
                  </a:rPr>
                  <a:t>Bldg No. 2 (Wing A &amp; B)</a:t>
                </a:r>
              </a:p>
            </xdr:txBody>
          </xdr:sp>
        </xdr:grpSp>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590925" y="60731399"/>
              <a:ext cx="981076"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Bldg</a:t>
              </a:r>
              <a:r>
                <a:rPr lang="en-IN" sz="1400" b="1" baseline="0">
                  <a:solidFill>
                    <a:srgbClr val="FF0000"/>
                  </a:solidFill>
                  <a:latin typeface="Times New Roman" panose="02020603050405020304" pitchFamily="18" charset="0"/>
                  <a:cs typeface="Times New Roman" panose="02020603050405020304" pitchFamily="18" charset="0"/>
                </a:rPr>
                <a:t> No. 3 (Wing B)</a:t>
              </a:r>
              <a:endParaRPr lang="en-IN" sz="1400" b="1">
                <a:solidFill>
                  <a:srgbClr val="FF0000"/>
                </a:solidFill>
                <a:latin typeface="Times New Roman" panose="02020603050405020304" pitchFamily="18" charset="0"/>
                <a:cs typeface="Times New Roman" panose="02020603050405020304" pitchFamily="18" charset="0"/>
              </a:endParaRPr>
            </a:p>
          </xdr:txBody>
        </xdr:sp>
      </xdr:grpSp>
    </xdr:grpSp>
    <xdr:clientData/>
  </xdr:twoCellAnchor>
  <xdr:twoCellAnchor>
    <xdr:from>
      <xdr:col>0</xdr:col>
      <xdr:colOff>76200</xdr:colOff>
      <xdr:row>327</xdr:row>
      <xdr:rowOff>76199</xdr:rowOff>
    </xdr:from>
    <xdr:to>
      <xdr:col>7</xdr:col>
      <xdr:colOff>638175</xdr:colOff>
      <xdr:row>360</xdr:row>
      <xdr:rowOff>113580</xdr:rowOff>
    </xdr:to>
    <xdr:grpSp>
      <xdr:nvGrpSpPr>
        <xdr:cNvPr id="63" name="Group 62">
          <a:extLst>
            <a:ext uri="{FF2B5EF4-FFF2-40B4-BE49-F238E27FC236}">
              <a16:creationId xmlns:a16="http://schemas.microsoft.com/office/drawing/2014/main" id="{41481C32-E8B4-4AE3-AF81-67BB1B654880}"/>
            </a:ext>
          </a:extLst>
        </xdr:cNvPr>
        <xdr:cNvGrpSpPr/>
      </xdr:nvGrpSpPr>
      <xdr:grpSpPr>
        <a:xfrm>
          <a:off x="76200" y="57940574"/>
          <a:ext cx="6143625" cy="6628681"/>
          <a:chOff x="283827" y="617300"/>
          <a:chExt cx="6290346" cy="6828706"/>
        </a:xfrm>
      </xdr:grpSpPr>
      <xdr:grpSp>
        <xdr:nvGrpSpPr>
          <xdr:cNvPr id="64" name="Group 63">
            <a:extLst>
              <a:ext uri="{FF2B5EF4-FFF2-40B4-BE49-F238E27FC236}">
                <a16:creationId xmlns:a16="http://schemas.microsoft.com/office/drawing/2014/main" id="{44EDD8F7-2BE4-49AA-8BD0-C0C2406BDF14}"/>
              </a:ext>
            </a:extLst>
          </xdr:cNvPr>
          <xdr:cNvGrpSpPr/>
        </xdr:nvGrpSpPr>
        <xdr:grpSpPr>
          <a:xfrm>
            <a:off x="283827" y="617300"/>
            <a:ext cx="6290346" cy="6828706"/>
            <a:chOff x="167526" y="348359"/>
            <a:chExt cx="6290346" cy="6828706"/>
          </a:xfrm>
        </xdr:grpSpPr>
        <xdr:pic>
          <xdr:nvPicPr>
            <xdr:cNvPr id="81" name="Picture 80">
              <a:extLst>
                <a:ext uri="{FF2B5EF4-FFF2-40B4-BE49-F238E27FC236}">
                  <a16:creationId xmlns:a16="http://schemas.microsoft.com/office/drawing/2014/main" id="{D3602786-65B7-474B-A5B3-56687FBBDDE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84594" y="348359"/>
              <a:ext cx="3746037" cy="2520000"/>
            </a:xfrm>
            <a:prstGeom prst="rect">
              <a:avLst/>
            </a:prstGeom>
            <a:ln>
              <a:solidFill>
                <a:schemeClr val="tx1"/>
              </a:solidFill>
            </a:ln>
          </xdr:spPr>
        </xdr:pic>
        <xdr:pic>
          <xdr:nvPicPr>
            <xdr:cNvPr id="82" name="Picture 81">
              <a:extLst>
                <a:ext uri="{FF2B5EF4-FFF2-40B4-BE49-F238E27FC236}">
                  <a16:creationId xmlns:a16="http://schemas.microsoft.com/office/drawing/2014/main" id="{D7435C7D-EAA2-48D2-A7A2-1AFA1A251FF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163196" y="348359"/>
              <a:ext cx="2294675" cy="2520000"/>
            </a:xfrm>
            <a:prstGeom prst="rect">
              <a:avLst/>
            </a:prstGeom>
            <a:ln>
              <a:solidFill>
                <a:schemeClr val="tx1"/>
              </a:solidFill>
            </a:ln>
          </xdr:spPr>
        </xdr:pic>
        <xdr:pic>
          <xdr:nvPicPr>
            <xdr:cNvPr id="83" name="Picture 82">
              <a:extLst>
                <a:ext uri="{FF2B5EF4-FFF2-40B4-BE49-F238E27FC236}">
                  <a16:creationId xmlns:a16="http://schemas.microsoft.com/office/drawing/2014/main" id="{99CC77CB-71B2-440B-8074-E86D33531CC6}"/>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370758" y="3042712"/>
              <a:ext cx="1483452" cy="1980000"/>
            </a:xfrm>
            <a:prstGeom prst="rect">
              <a:avLst/>
            </a:prstGeom>
            <a:ln>
              <a:solidFill>
                <a:schemeClr val="tx1"/>
              </a:solidFill>
            </a:ln>
          </xdr:spPr>
        </xdr:pic>
        <xdr:pic>
          <xdr:nvPicPr>
            <xdr:cNvPr id="84" name="Picture 83">
              <a:extLst>
                <a:ext uri="{FF2B5EF4-FFF2-40B4-BE49-F238E27FC236}">
                  <a16:creationId xmlns:a16="http://schemas.microsoft.com/office/drawing/2014/main" id="{3555699F-AF0A-4CB7-9CA6-283A0B5D97D5}"/>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767097" y="3042712"/>
              <a:ext cx="1483452" cy="1980000"/>
            </a:xfrm>
            <a:prstGeom prst="rect">
              <a:avLst/>
            </a:prstGeom>
            <a:ln>
              <a:solidFill>
                <a:schemeClr val="tx1"/>
              </a:solidFill>
            </a:ln>
          </xdr:spPr>
        </xdr:pic>
        <xdr:pic>
          <xdr:nvPicPr>
            <xdr:cNvPr id="85" name="Picture 84">
              <a:extLst>
                <a:ext uri="{FF2B5EF4-FFF2-40B4-BE49-F238E27FC236}">
                  <a16:creationId xmlns:a16="http://schemas.microsoft.com/office/drawing/2014/main" id="{9D417113-AD8C-4F58-9AAC-4A8C8CF1385D}"/>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67526" y="3042712"/>
              <a:ext cx="1483452" cy="1980000"/>
            </a:xfrm>
            <a:prstGeom prst="rect">
              <a:avLst/>
            </a:prstGeom>
            <a:ln>
              <a:solidFill>
                <a:schemeClr val="tx1"/>
              </a:solidFill>
            </a:ln>
          </xdr:spPr>
        </xdr:pic>
        <xdr:pic>
          <xdr:nvPicPr>
            <xdr:cNvPr id="86" name="Picture 85">
              <a:extLst>
                <a:ext uri="{FF2B5EF4-FFF2-40B4-BE49-F238E27FC236}">
                  <a16:creationId xmlns:a16="http://schemas.microsoft.com/office/drawing/2014/main" id="{04CE90A8-3757-4FEF-9DCE-B15D041F0AAB}"/>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974419" y="3042712"/>
              <a:ext cx="1483452" cy="1980000"/>
            </a:xfrm>
            <a:prstGeom prst="rect">
              <a:avLst/>
            </a:prstGeom>
            <a:ln>
              <a:solidFill>
                <a:schemeClr val="tx1"/>
              </a:solidFill>
            </a:ln>
          </xdr:spPr>
        </xdr:pic>
        <xdr:pic>
          <xdr:nvPicPr>
            <xdr:cNvPr id="87" name="Picture 86">
              <a:extLst>
                <a:ext uri="{FF2B5EF4-FFF2-40B4-BE49-F238E27FC236}">
                  <a16:creationId xmlns:a16="http://schemas.microsoft.com/office/drawing/2014/main" id="{1D895AD5-9BB9-486C-BBC7-98AE2300EEED}"/>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84594" y="5197065"/>
              <a:ext cx="1483453" cy="1980000"/>
            </a:xfrm>
            <a:prstGeom prst="rect">
              <a:avLst/>
            </a:prstGeom>
            <a:ln>
              <a:solidFill>
                <a:schemeClr val="tx1"/>
              </a:solidFill>
            </a:ln>
          </xdr:spPr>
        </xdr:pic>
        <xdr:pic>
          <xdr:nvPicPr>
            <xdr:cNvPr id="88" name="Picture 87">
              <a:extLst>
                <a:ext uri="{FF2B5EF4-FFF2-40B4-BE49-F238E27FC236}">
                  <a16:creationId xmlns:a16="http://schemas.microsoft.com/office/drawing/2014/main" id="{682EA470-2C85-4881-8B6A-7D6D36A6EFB7}"/>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761948" y="5197065"/>
              <a:ext cx="1483453" cy="1980000"/>
            </a:xfrm>
            <a:prstGeom prst="rect">
              <a:avLst/>
            </a:prstGeom>
            <a:ln>
              <a:solidFill>
                <a:schemeClr val="tx1"/>
              </a:solidFill>
            </a:ln>
          </xdr:spPr>
        </xdr:pic>
        <xdr:pic>
          <xdr:nvPicPr>
            <xdr:cNvPr id="89" name="Picture 88">
              <a:extLst>
                <a:ext uri="{FF2B5EF4-FFF2-40B4-BE49-F238E27FC236}">
                  <a16:creationId xmlns:a16="http://schemas.microsoft.com/office/drawing/2014/main" id="{2A01214D-BBD6-4CAB-9A07-9F53505A214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3370758" y="5197065"/>
              <a:ext cx="1483453" cy="1980000"/>
            </a:xfrm>
            <a:prstGeom prst="rect">
              <a:avLst/>
            </a:prstGeom>
            <a:ln>
              <a:solidFill>
                <a:schemeClr val="tx1"/>
              </a:solidFill>
            </a:ln>
          </xdr:spPr>
        </xdr:pic>
        <xdr:pic>
          <xdr:nvPicPr>
            <xdr:cNvPr id="90" name="Picture 89">
              <a:extLst>
                <a:ext uri="{FF2B5EF4-FFF2-40B4-BE49-F238E27FC236}">
                  <a16:creationId xmlns:a16="http://schemas.microsoft.com/office/drawing/2014/main" id="{6EE3749F-0B6B-47C1-B2A9-97C1639C0E7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4974419" y="5197065"/>
              <a:ext cx="1483453" cy="1980000"/>
            </a:xfrm>
            <a:prstGeom prst="rect">
              <a:avLst/>
            </a:prstGeom>
            <a:ln>
              <a:solidFill>
                <a:schemeClr val="tx1"/>
              </a:solidFill>
            </a:ln>
          </xdr:spPr>
        </xdr:pic>
      </xdr:grpSp>
      <xdr:sp macro="" textlink="">
        <xdr:nvSpPr>
          <xdr:cNvPr id="66" name="TextBox 62">
            <a:extLst>
              <a:ext uri="{FF2B5EF4-FFF2-40B4-BE49-F238E27FC236}">
                <a16:creationId xmlns:a16="http://schemas.microsoft.com/office/drawing/2014/main" id="{63BB731A-BB93-42BD-AEB0-AB46421E74C2}"/>
              </a:ext>
            </a:extLst>
          </xdr:cNvPr>
          <xdr:cNvSpPr txBox="1"/>
        </xdr:nvSpPr>
        <xdr:spPr>
          <a:xfrm>
            <a:off x="1847006" y="1697994"/>
            <a:ext cx="1011474" cy="4821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a:t>
            </a:r>
            <a:r>
              <a:rPr lang="en-US" b="1">
                <a:solidFill>
                  <a:srgbClr val="FF0000"/>
                </a:solidFill>
              </a:rPr>
              <a:t>1</a:t>
            </a:r>
            <a:endParaRPr lang="en-IN" b="1">
              <a:solidFill>
                <a:srgbClr val="FF0000"/>
              </a:solidFill>
            </a:endParaRPr>
          </a:p>
        </xdr:txBody>
      </xdr:sp>
      <xdr:sp macro="" textlink="">
        <xdr:nvSpPr>
          <xdr:cNvPr id="67" name="TextBox 63">
            <a:extLst>
              <a:ext uri="{FF2B5EF4-FFF2-40B4-BE49-F238E27FC236}">
                <a16:creationId xmlns:a16="http://schemas.microsoft.com/office/drawing/2014/main" id="{917D8E99-5531-4C27-9166-C9797F109E1F}"/>
              </a:ext>
            </a:extLst>
          </xdr:cNvPr>
          <xdr:cNvSpPr txBox="1"/>
        </xdr:nvSpPr>
        <xdr:spPr>
          <a:xfrm>
            <a:off x="4210262" y="951523"/>
            <a:ext cx="91242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2A</a:t>
            </a:r>
            <a:endParaRPr lang="en-IN" b="1">
              <a:solidFill>
                <a:srgbClr val="FF0000"/>
              </a:solidFill>
            </a:endParaRPr>
          </a:p>
        </xdr:txBody>
      </xdr:sp>
      <xdr:sp macro="" textlink="">
        <xdr:nvSpPr>
          <xdr:cNvPr id="68" name="TextBox 64">
            <a:extLst>
              <a:ext uri="{FF2B5EF4-FFF2-40B4-BE49-F238E27FC236}">
                <a16:creationId xmlns:a16="http://schemas.microsoft.com/office/drawing/2014/main" id="{BB925AFE-D90C-46DE-BB8C-B9864617D0C0}"/>
              </a:ext>
            </a:extLst>
          </xdr:cNvPr>
          <xdr:cNvSpPr txBox="1"/>
        </xdr:nvSpPr>
        <xdr:spPr>
          <a:xfrm>
            <a:off x="5142202" y="660545"/>
            <a:ext cx="90281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2B</a:t>
            </a:r>
            <a:endParaRPr lang="en-IN" b="1">
              <a:solidFill>
                <a:srgbClr val="FF0000"/>
              </a:solidFill>
            </a:endParaRPr>
          </a:p>
        </xdr:txBody>
      </xdr:sp>
      <xdr:sp macro="" textlink="">
        <xdr:nvSpPr>
          <xdr:cNvPr id="75" name="TextBox 65">
            <a:extLst>
              <a:ext uri="{FF2B5EF4-FFF2-40B4-BE49-F238E27FC236}">
                <a16:creationId xmlns:a16="http://schemas.microsoft.com/office/drawing/2014/main" id="{6F185A02-CA54-4462-96A7-521915A390E9}"/>
              </a:ext>
            </a:extLst>
          </xdr:cNvPr>
          <xdr:cNvSpPr txBox="1"/>
        </xdr:nvSpPr>
        <xdr:spPr>
          <a:xfrm>
            <a:off x="454650" y="3336218"/>
            <a:ext cx="1155513" cy="385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2A</a:t>
            </a:r>
            <a:endParaRPr lang="en-IN" b="1">
              <a:solidFill>
                <a:srgbClr val="FF0000"/>
              </a:solidFill>
            </a:endParaRPr>
          </a:p>
        </xdr:txBody>
      </xdr:sp>
      <xdr:sp macro="" textlink="">
        <xdr:nvSpPr>
          <xdr:cNvPr id="76" name="TextBox 66">
            <a:extLst>
              <a:ext uri="{FF2B5EF4-FFF2-40B4-BE49-F238E27FC236}">
                <a16:creationId xmlns:a16="http://schemas.microsoft.com/office/drawing/2014/main" id="{5195CB9C-DACB-4D51-A750-D3ADE768F877}"/>
              </a:ext>
            </a:extLst>
          </xdr:cNvPr>
          <xdr:cNvSpPr txBox="1"/>
        </xdr:nvSpPr>
        <xdr:spPr>
          <a:xfrm>
            <a:off x="1938102" y="3296670"/>
            <a:ext cx="969141" cy="385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2B</a:t>
            </a:r>
            <a:endParaRPr lang="en-IN" b="1">
              <a:solidFill>
                <a:srgbClr val="FF0000"/>
              </a:solidFill>
            </a:endParaRPr>
          </a:p>
        </xdr:txBody>
      </xdr:sp>
      <xdr:sp macro="" textlink="">
        <xdr:nvSpPr>
          <xdr:cNvPr id="78" name="TextBox 67">
            <a:extLst>
              <a:ext uri="{FF2B5EF4-FFF2-40B4-BE49-F238E27FC236}">
                <a16:creationId xmlns:a16="http://schemas.microsoft.com/office/drawing/2014/main" id="{390B08A0-E38A-4B3C-82FE-59EEACA86DAE}"/>
              </a:ext>
            </a:extLst>
          </xdr:cNvPr>
          <xdr:cNvSpPr txBox="1"/>
        </xdr:nvSpPr>
        <xdr:spPr>
          <a:xfrm>
            <a:off x="3515800" y="3354475"/>
            <a:ext cx="91242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3A</a:t>
            </a:r>
            <a:endParaRPr lang="en-IN" b="1">
              <a:solidFill>
                <a:srgbClr val="FF0000"/>
              </a:solidFill>
            </a:endParaRPr>
          </a:p>
        </xdr:txBody>
      </xdr:sp>
      <xdr:sp macro="" textlink="">
        <xdr:nvSpPr>
          <xdr:cNvPr id="79" name="TextBox 68">
            <a:extLst>
              <a:ext uri="{FF2B5EF4-FFF2-40B4-BE49-F238E27FC236}">
                <a16:creationId xmlns:a16="http://schemas.microsoft.com/office/drawing/2014/main" id="{6C4BDBCC-F22B-4107-A219-E3B24D78750D}"/>
              </a:ext>
            </a:extLst>
          </xdr:cNvPr>
          <xdr:cNvSpPr txBox="1"/>
        </xdr:nvSpPr>
        <xdr:spPr>
          <a:xfrm>
            <a:off x="5381040" y="4357970"/>
            <a:ext cx="1037093" cy="385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3B</a:t>
            </a:r>
            <a:endParaRPr lang="en-IN" b="1">
              <a:solidFill>
                <a:srgbClr val="FF0000"/>
              </a:solidFill>
            </a:endParaRPr>
          </a:p>
        </xdr:txBody>
      </xdr:sp>
      <xdr:sp macro="" textlink="">
        <xdr:nvSpPr>
          <xdr:cNvPr id="80" name="TextBox 69">
            <a:extLst>
              <a:ext uri="{FF2B5EF4-FFF2-40B4-BE49-F238E27FC236}">
                <a16:creationId xmlns:a16="http://schemas.microsoft.com/office/drawing/2014/main" id="{C75BBFBB-E54F-4BB7-B72B-1A81F3B4EB36}"/>
              </a:ext>
            </a:extLst>
          </xdr:cNvPr>
          <xdr:cNvSpPr txBox="1"/>
        </xdr:nvSpPr>
        <xdr:spPr>
          <a:xfrm>
            <a:off x="554586" y="6787406"/>
            <a:ext cx="977556" cy="385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3C</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34</xdr:row>
      <xdr:rowOff>146042</xdr:rowOff>
    </xdr:from>
    <xdr:to>
      <xdr:col>5</xdr:col>
      <xdr:colOff>671752</xdr:colOff>
      <xdr:row>51</xdr:row>
      <xdr:rowOff>114731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12588" y="6593160"/>
          <a:ext cx="6401693" cy="3143689"/>
        </a:xfrm>
        <a:prstGeom prst="rect">
          <a:avLst/>
        </a:prstGeom>
        <a:ln>
          <a:solidFill>
            <a:schemeClr val="tx1"/>
          </a:solidFill>
        </a:ln>
      </xdr:spPr>
    </xdr:pic>
    <xdr:clientData/>
  </xdr:twoCellAnchor>
  <xdr:twoCellAnchor editAs="oneCell">
    <xdr:from>
      <xdr:col>4</xdr:col>
      <xdr:colOff>658509</xdr:colOff>
      <xdr:row>14</xdr:row>
      <xdr:rowOff>0</xdr:rowOff>
    </xdr:from>
    <xdr:to>
      <xdr:col>10</xdr:col>
      <xdr:colOff>507861</xdr:colOff>
      <xdr:row>34</xdr:row>
      <xdr:rowOff>4861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201685" y="2696882"/>
          <a:ext cx="5400000" cy="3755097"/>
        </a:xfrm>
        <a:prstGeom prst="rect">
          <a:avLst/>
        </a:prstGeom>
        <a:ln>
          <a:solidFill>
            <a:schemeClr val="tx1"/>
          </a:solidFill>
        </a:ln>
      </xdr:spPr>
    </xdr:pic>
    <xdr:clientData/>
  </xdr:twoCellAnchor>
  <xdr:twoCellAnchor editAs="oneCell">
    <xdr:from>
      <xdr:col>1</xdr:col>
      <xdr:colOff>0</xdr:colOff>
      <xdr:row>14</xdr:row>
      <xdr:rowOff>0</xdr:rowOff>
    </xdr:from>
    <xdr:to>
      <xdr:col>4</xdr:col>
      <xdr:colOff>469412</xdr:colOff>
      <xdr:row>33</xdr:row>
      <xdr:rowOff>156086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12588" y="2696882"/>
          <a:ext cx="5400000" cy="3719557"/>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o4qXpjtxCN9evVG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413"/>
  <sheetViews>
    <sheetView tabSelected="1" view="pageBreakPreview" topLeftCell="A324" zoomScaleNormal="100" zoomScaleSheetLayoutView="100" zoomScalePageLayoutView="85" workbookViewId="0">
      <selection activeCell="I325" sqref="I325"/>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01" t="s">
        <v>165</v>
      </c>
      <c r="B1" s="201"/>
      <c r="C1" s="201"/>
      <c r="D1" s="201"/>
      <c r="E1" s="201"/>
      <c r="F1" s="201"/>
      <c r="G1" s="201"/>
      <c r="H1" s="201"/>
    </row>
    <row r="2" spans="1:26" ht="16.5" customHeight="1" x14ac:dyDescent="0.25">
      <c r="A2" s="142" t="s">
        <v>0</v>
      </c>
      <c r="B2" s="142"/>
      <c r="C2" s="142"/>
      <c r="D2" s="142"/>
      <c r="E2" s="142"/>
      <c r="F2" s="142"/>
      <c r="G2" s="142"/>
      <c r="H2" s="142"/>
    </row>
    <row r="3" spans="1:26" x14ac:dyDescent="0.25">
      <c r="A3" s="156" t="s">
        <v>1</v>
      </c>
      <c r="B3" s="156"/>
      <c r="C3" s="156"/>
      <c r="D3" s="156"/>
      <c r="E3" s="156" t="str">
        <f ca="1">TEXT(TODAY(),"DD/MM/YYYY")</f>
        <v>11/07/2025</v>
      </c>
      <c r="F3" s="156"/>
      <c r="G3" s="156"/>
      <c r="H3" s="156"/>
      <c r="K3" s="52" t="s">
        <v>239</v>
      </c>
      <c r="L3" s="49" t="s">
        <v>237</v>
      </c>
      <c r="M3" s="49" t="s">
        <v>242</v>
      </c>
      <c r="N3" s="49" t="s">
        <v>240</v>
      </c>
      <c r="O3" s="49" t="s">
        <v>241</v>
      </c>
      <c r="P3" s="49" t="s">
        <v>243</v>
      </c>
    </row>
    <row r="4" spans="1:26" ht="15" customHeight="1" x14ac:dyDescent="0.25">
      <c r="A4" s="156" t="s">
        <v>236</v>
      </c>
      <c r="B4" s="156"/>
      <c r="C4" s="156"/>
      <c r="D4" s="156"/>
      <c r="E4" s="156" t="s">
        <v>237</v>
      </c>
      <c r="F4" s="156"/>
      <c r="G4" s="156"/>
      <c r="H4" s="156"/>
      <c r="K4" s="48" t="s">
        <v>238</v>
      </c>
      <c r="L4" s="49" t="s">
        <v>171</v>
      </c>
      <c r="M4" s="49" t="s">
        <v>247</v>
      </c>
      <c r="N4" s="49" t="s">
        <v>249</v>
      </c>
      <c r="O4" s="49" t="s">
        <v>251</v>
      </c>
      <c r="P4" s="49"/>
    </row>
    <row r="5" spans="1:26" ht="15" customHeight="1" x14ac:dyDescent="0.25">
      <c r="A5" s="156" t="s">
        <v>2</v>
      </c>
      <c r="B5" s="156"/>
      <c r="C5" s="156"/>
      <c r="D5" s="156"/>
      <c r="E5" s="156" t="s">
        <v>171</v>
      </c>
      <c r="F5" s="156"/>
      <c r="G5" s="156"/>
      <c r="H5" s="156"/>
      <c r="K5" s="48"/>
      <c r="L5" s="49" t="s">
        <v>244</v>
      </c>
      <c r="M5" s="49" t="s">
        <v>248</v>
      </c>
      <c r="N5" s="49" t="s">
        <v>250</v>
      </c>
      <c r="O5" s="49" t="s">
        <v>252</v>
      </c>
      <c r="P5" s="49"/>
    </row>
    <row r="6" spans="1:26" x14ac:dyDescent="0.25">
      <c r="A6" s="156" t="s">
        <v>3</v>
      </c>
      <c r="B6" s="156"/>
      <c r="C6" s="156"/>
      <c r="D6" s="156"/>
      <c r="E6" s="202">
        <v>45847</v>
      </c>
      <c r="F6" s="156"/>
      <c r="G6" s="156"/>
      <c r="H6" s="156"/>
      <c r="K6" s="48"/>
      <c r="L6" s="49" t="s">
        <v>245</v>
      </c>
      <c r="M6" s="49"/>
      <c r="N6" s="49"/>
      <c r="O6" s="49" t="s">
        <v>253</v>
      </c>
      <c r="P6" s="49"/>
    </row>
    <row r="7" spans="1:26" ht="16.5" customHeight="1" x14ac:dyDescent="0.25">
      <c r="A7" s="156" t="s">
        <v>4</v>
      </c>
      <c r="B7" s="156"/>
      <c r="C7" s="156"/>
      <c r="D7" s="156"/>
      <c r="E7" s="156" t="s">
        <v>341</v>
      </c>
      <c r="F7" s="156"/>
      <c r="G7" s="156"/>
      <c r="H7" s="156"/>
      <c r="K7" s="48"/>
      <c r="L7" s="49" t="s">
        <v>246</v>
      </c>
      <c r="M7" s="49"/>
      <c r="N7" s="49"/>
      <c r="O7" s="49" t="s">
        <v>253</v>
      </c>
      <c r="P7" s="49"/>
    </row>
    <row r="8" spans="1:26" ht="15" customHeight="1" x14ac:dyDescent="0.25">
      <c r="A8" s="156" t="s">
        <v>5</v>
      </c>
      <c r="B8" s="156"/>
      <c r="C8" s="156"/>
      <c r="D8" s="156"/>
      <c r="E8" s="156" t="str">
        <f>E7</f>
        <v>Shantee Realty And Life Space</v>
      </c>
      <c r="F8" s="156"/>
      <c r="G8" s="156"/>
      <c r="H8" s="156"/>
      <c r="K8" s="48"/>
      <c r="L8" s="49"/>
      <c r="M8" s="49"/>
      <c r="N8" s="49"/>
      <c r="O8" s="49" t="s">
        <v>254</v>
      </c>
      <c r="P8" s="49"/>
    </row>
    <row r="9" spans="1:26" x14ac:dyDescent="0.25">
      <c r="A9" s="156" t="s">
        <v>6</v>
      </c>
      <c r="B9" s="156"/>
      <c r="C9" s="156"/>
      <c r="D9" s="156"/>
      <c r="E9" s="124" t="s">
        <v>342</v>
      </c>
      <c r="F9" s="124"/>
      <c r="G9" s="124"/>
      <c r="H9" s="124"/>
      <c r="K9" s="48"/>
      <c r="L9" s="49"/>
      <c r="M9" s="49"/>
      <c r="N9" s="49"/>
      <c r="O9" s="49" t="s">
        <v>255</v>
      </c>
      <c r="P9" s="49"/>
    </row>
    <row r="10" spans="1:26" x14ac:dyDescent="0.25">
      <c r="A10" s="156" t="s">
        <v>168</v>
      </c>
      <c r="B10" s="156"/>
      <c r="C10" s="156"/>
      <c r="D10" s="156"/>
      <c r="E10" s="156">
        <v>2502331171</v>
      </c>
      <c r="F10" s="156"/>
      <c r="G10" s="156"/>
      <c r="H10" s="156"/>
      <c r="K10" s="48"/>
      <c r="L10" s="49"/>
      <c r="M10" s="49"/>
      <c r="N10" s="49"/>
      <c r="O10" s="49"/>
      <c r="P10" s="49"/>
    </row>
    <row r="11" spans="1:26" x14ac:dyDescent="0.25">
      <c r="A11" s="156" t="s">
        <v>169</v>
      </c>
      <c r="B11" s="156"/>
      <c r="C11" s="156"/>
      <c r="D11" s="156"/>
      <c r="E11" s="156" t="s">
        <v>397</v>
      </c>
      <c r="F11" s="156"/>
      <c r="G11" s="156"/>
      <c r="H11" s="156"/>
    </row>
    <row r="12" spans="1:26" ht="47.45" customHeight="1" x14ac:dyDescent="0.25">
      <c r="A12" s="156" t="s">
        <v>7</v>
      </c>
      <c r="B12" s="156"/>
      <c r="C12" s="156"/>
      <c r="D12" s="156"/>
      <c r="E12" s="153" t="s">
        <v>345</v>
      </c>
      <c r="F12" s="156"/>
      <c r="G12" s="156"/>
      <c r="H12" s="156"/>
    </row>
    <row r="13" spans="1:26" x14ac:dyDescent="0.25">
      <c r="A13" s="156" t="s">
        <v>172</v>
      </c>
      <c r="B13" s="156"/>
      <c r="C13" s="156"/>
      <c r="D13" s="156"/>
      <c r="E13" s="156" t="s">
        <v>28</v>
      </c>
      <c r="F13" s="156"/>
      <c r="G13" s="156"/>
      <c r="H13" s="156"/>
      <c r="S13" s="49" t="s">
        <v>181</v>
      </c>
      <c r="T13" s="49" t="s">
        <v>190</v>
      </c>
      <c r="U13" s="49" t="s">
        <v>173</v>
      </c>
      <c r="V13" s="49" t="s">
        <v>195</v>
      </c>
      <c r="W13" s="49" t="s">
        <v>213</v>
      </c>
      <c r="X13"/>
      <c r="Y13" t="s">
        <v>195</v>
      </c>
      <c r="Z13" t="e">
        <f ca="1">OFFSET($S$13,1,MATCH($G20,$S$13:$W$13,0)-1,15,1)</f>
        <v>#VALUE!</v>
      </c>
    </row>
    <row r="14" spans="1:26" x14ac:dyDescent="0.25">
      <c r="A14" s="156" t="s">
        <v>282</v>
      </c>
      <c r="B14" s="156"/>
      <c r="C14" s="156"/>
      <c r="D14" s="156"/>
      <c r="E14" s="153" t="s">
        <v>389</v>
      </c>
      <c r="F14" s="153"/>
      <c r="G14" s="153"/>
      <c r="H14" s="153"/>
      <c r="S14" s="49" t="s">
        <v>181</v>
      </c>
      <c r="T14" s="49" t="s">
        <v>188</v>
      </c>
      <c r="U14" s="49" t="s">
        <v>210</v>
      </c>
      <c r="V14" s="49" t="s">
        <v>196</v>
      </c>
      <c r="W14" s="49" t="s">
        <v>214</v>
      </c>
      <c r="X14"/>
      <c r="Y14"/>
      <c r="Z14"/>
    </row>
    <row r="15" spans="1:26" x14ac:dyDescent="0.25">
      <c r="A15" s="156" t="s">
        <v>8</v>
      </c>
      <c r="B15" s="156"/>
      <c r="C15" s="156"/>
      <c r="D15" s="156"/>
      <c r="E15" s="153" t="s">
        <v>344</v>
      </c>
      <c r="F15" s="156"/>
      <c r="G15" s="156"/>
      <c r="H15" s="156"/>
      <c r="I15" s="139" t="e">
        <f ca="1">OFFSET($D$5,1,MATCH($J13,$D$5:$H$5,0)-1,15,1)</f>
        <v>#N/A</v>
      </c>
      <c r="J15" s="140"/>
      <c r="K15" s="140"/>
      <c r="L15" s="140"/>
      <c r="M15" s="140"/>
      <c r="N15" s="140"/>
      <c r="O15" s="140"/>
      <c r="P15" s="140"/>
      <c r="S15" s="49" t="s">
        <v>182</v>
      </c>
      <c r="T15" s="49" t="s">
        <v>189</v>
      </c>
      <c r="U15" s="49" t="s">
        <v>211</v>
      </c>
      <c r="V15" s="49" t="s">
        <v>197</v>
      </c>
      <c r="W15" s="49" t="s">
        <v>227</v>
      </c>
      <c r="X15"/>
      <c r="Y15"/>
      <c r="Z15"/>
    </row>
    <row r="16" spans="1:26" ht="48.75" customHeight="1" x14ac:dyDescent="0.25">
      <c r="A16" s="153" t="s">
        <v>9</v>
      </c>
      <c r="B16" s="153"/>
      <c r="C16" s="153" t="str">
        <f>CONCATENATE((IF(OR(E9="",E9="NA"),"",E9)),", ",(IF(OR(A17="",A17="NA"),"",A17)),".",(IF(OR(C17="",C17="NA"),"",C17)),", near ",(IF(OR(C22="",C22="NA"),"",C22)),", ",(IF(OR(C19="",C19="NA"),"",C19)),", ",(IF(OR(C18="",C18="NA"),"",C18)),", ",(IF(OR(G19="",G19="NA"),"",G19)),", ",(IF(OR(C20="",C20="NA"),"",C20)),", ",(IF(OR(C21="",C21="NA"),"",C21)),", ",(IF(OR(G20="",G20="NA"),"",G20))," - ",(IF(OR(G21="",G21="NA"),"",G21)),".")</f>
        <v>Flamingo Residency, Survey No.155, H.No.1,2 &amp; 3B, near Gokul Vatika Apartment, Internal Road, Gokul Aagan, Diwanman, Vasai (West), Vasai, Palghar - 401202.</v>
      </c>
      <c r="D16" s="153"/>
      <c r="E16" s="153"/>
      <c r="F16" s="153"/>
      <c r="G16" s="153"/>
      <c r="H16" s="153"/>
      <c r="S16" s="49" t="s">
        <v>183</v>
      </c>
      <c r="T16" s="49" t="s">
        <v>191</v>
      </c>
      <c r="U16" s="49" t="s">
        <v>212</v>
      </c>
      <c r="V16" s="49" t="s">
        <v>198</v>
      </c>
      <c r="W16" s="49" t="s">
        <v>215</v>
      </c>
      <c r="X16"/>
      <c r="Y16"/>
      <c r="Z16"/>
    </row>
    <row r="17" spans="1:26" x14ac:dyDescent="0.25">
      <c r="A17" s="153" t="s">
        <v>348</v>
      </c>
      <c r="B17" s="153"/>
      <c r="C17" s="153" t="s">
        <v>349</v>
      </c>
      <c r="D17" s="153"/>
      <c r="E17" s="153"/>
      <c r="F17" s="153"/>
      <c r="G17" s="153"/>
      <c r="H17" s="153"/>
      <c r="S17" s="49" t="s">
        <v>184</v>
      </c>
      <c r="T17" s="49" t="s">
        <v>192</v>
      </c>
      <c r="U17" s="49" t="s">
        <v>173</v>
      </c>
      <c r="V17" s="49" t="s">
        <v>199</v>
      </c>
      <c r="W17" s="49" t="s">
        <v>216</v>
      </c>
      <c r="X17"/>
      <c r="Y17"/>
      <c r="Z17"/>
    </row>
    <row r="18" spans="1:26" ht="15.75" customHeight="1" x14ac:dyDescent="0.25">
      <c r="A18" s="153" t="s">
        <v>163</v>
      </c>
      <c r="B18" s="153"/>
      <c r="C18" s="153" t="s">
        <v>353</v>
      </c>
      <c r="D18" s="153"/>
      <c r="E18" s="153"/>
      <c r="F18" s="153"/>
      <c r="G18" s="153"/>
      <c r="H18" s="153"/>
      <c r="S18" s="49" t="s">
        <v>185</v>
      </c>
      <c r="T18" s="49" t="s">
        <v>190</v>
      </c>
      <c r="U18" s="49"/>
      <c r="V18" s="49" t="s">
        <v>200</v>
      </c>
      <c r="W18" s="49" t="s">
        <v>217</v>
      </c>
      <c r="X18"/>
      <c r="Y18"/>
      <c r="Z18"/>
    </row>
    <row r="19" spans="1:26" ht="15.75" customHeight="1" x14ac:dyDescent="0.25">
      <c r="A19" s="153" t="s">
        <v>10</v>
      </c>
      <c r="B19" s="153"/>
      <c r="C19" s="156" t="s">
        <v>352</v>
      </c>
      <c r="D19" s="156"/>
      <c r="E19" s="153" t="s">
        <v>70</v>
      </c>
      <c r="F19" s="153"/>
      <c r="G19" s="153" t="s">
        <v>350</v>
      </c>
      <c r="H19" s="153"/>
      <c r="S19" s="49" t="s">
        <v>186</v>
      </c>
      <c r="T19" s="49" t="s">
        <v>193</v>
      </c>
      <c r="U19" s="49"/>
      <c r="V19" s="49" t="s">
        <v>201</v>
      </c>
      <c r="W19" s="49" t="s">
        <v>218</v>
      </c>
      <c r="X19"/>
      <c r="Y19"/>
      <c r="Z19"/>
    </row>
    <row r="20" spans="1:26" x14ac:dyDescent="0.25">
      <c r="A20" s="156" t="s">
        <v>12</v>
      </c>
      <c r="B20" s="156"/>
      <c r="C20" s="153" t="s">
        <v>351</v>
      </c>
      <c r="D20" s="153"/>
      <c r="E20" s="153" t="s">
        <v>11</v>
      </c>
      <c r="F20" s="153"/>
      <c r="G20" s="203" t="s">
        <v>190</v>
      </c>
      <c r="H20" s="203"/>
      <c r="S20" s="49" t="s">
        <v>187</v>
      </c>
      <c r="T20" s="49" t="s">
        <v>194</v>
      </c>
      <c r="U20" s="49"/>
      <c r="V20" s="49" t="s">
        <v>202</v>
      </c>
      <c r="W20" s="49" t="s">
        <v>219</v>
      </c>
      <c r="X20"/>
      <c r="Y20"/>
      <c r="Z20"/>
    </row>
    <row r="21" spans="1:26" x14ac:dyDescent="0.25">
      <c r="A21" s="156" t="s">
        <v>71</v>
      </c>
      <c r="B21" s="156"/>
      <c r="C21" s="153" t="s">
        <v>191</v>
      </c>
      <c r="D21" s="153"/>
      <c r="E21" s="153" t="s">
        <v>13</v>
      </c>
      <c r="F21" s="153"/>
      <c r="G21" s="153">
        <v>401202</v>
      </c>
      <c r="H21" s="153"/>
      <c r="S21" s="49"/>
      <c r="T21" s="49"/>
      <c r="U21" s="49"/>
      <c r="V21" s="49" t="s">
        <v>203</v>
      </c>
      <c r="W21" s="49" t="s">
        <v>220</v>
      </c>
      <c r="X21"/>
      <c r="Y21"/>
      <c r="Z21"/>
    </row>
    <row r="22" spans="1:26" ht="32.25" customHeight="1" x14ac:dyDescent="0.25">
      <c r="A22" s="156" t="s">
        <v>119</v>
      </c>
      <c r="B22" s="156"/>
      <c r="C22" s="153" t="s">
        <v>354</v>
      </c>
      <c r="D22" s="153"/>
      <c r="E22" s="153" t="s">
        <v>14</v>
      </c>
      <c r="F22" s="153"/>
      <c r="G22" s="153" t="s">
        <v>394</v>
      </c>
      <c r="H22" s="153"/>
      <c r="S22" s="49"/>
      <c r="T22" s="49"/>
      <c r="U22" s="49"/>
      <c r="V22" s="49" t="s">
        <v>204</v>
      </c>
      <c r="W22" s="49" t="s">
        <v>221</v>
      </c>
      <c r="X22"/>
      <c r="Y22"/>
      <c r="Z22"/>
    </row>
    <row r="23" spans="1:26" ht="15" customHeight="1" x14ac:dyDescent="0.25">
      <c r="A23" s="153" t="s">
        <v>73</v>
      </c>
      <c r="B23" s="153"/>
      <c r="C23" s="153"/>
      <c r="D23" s="153"/>
      <c r="E23" s="156" t="s">
        <v>15</v>
      </c>
      <c r="F23" s="156"/>
      <c r="G23" s="156"/>
      <c r="H23" s="156"/>
      <c r="S23" s="49"/>
      <c r="T23" s="49"/>
      <c r="U23" s="49"/>
      <c r="V23" s="49" t="s">
        <v>205</v>
      </c>
      <c r="W23" s="49" t="s">
        <v>222</v>
      </c>
      <c r="X23"/>
      <c r="Y23"/>
      <c r="Z23"/>
    </row>
    <row r="24" spans="1:26" ht="18.75" customHeight="1" x14ac:dyDescent="0.25">
      <c r="A24" s="153"/>
      <c r="B24" s="153"/>
      <c r="C24" s="153"/>
      <c r="D24" s="153"/>
      <c r="E24" s="156"/>
      <c r="F24" s="156"/>
      <c r="G24" s="156"/>
      <c r="H24" s="156"/>
      <c r="S24" s="49"/>
      <c r="T24" s="49"/>
      <c r="U24" s="49"/>
      <c r="V24" s="49" t="s">
        <v>206</v>
      </c>
      <c r="W24" s="49" t="s">
        <v>223</v>
      </c>
      <c r="X24"/>
      <c r="Y24"/>
      <c r="Z24"/>
    </row>
    <row r="25" spans="1:26" ht="15" customHeight="1" x14ac:dyDescent="0.25">
      <c r="A25" s="170" t="s">
        <v>16</v>
      </c>
      <c r="B25" s="170"/>
      <c r="C25" s="170"/>
      <c r="D25" s="170"/>
      <c r="E25" s="153" t="s">
        <v>17</v>
      </c>
      <c r="F25" s="153"/>
      <c r="G25" s="153"/>
      <c r="H25" s="153"/>
      <c r="S25" s="49"/>
      <c r="T25" s="49"/>
      <c r="U25" s="49"/>
      <c r="V25" s="49" t="s">
        <v>207</v>
      </c>
      <c r="W25" s="49" t="s">
        <v>224</v>
      </c>
      <c r="X25"/>
      <c r="Y25"/>
      <c r="Z25"/>
    </row>
    <row r="26" spans="1:26" ht="15" customHeight="1" x14ac:dyDescent="0.25">
      <c r="A26" s="144" t="s">
        <v>18</v>
      </c>
      <c r="B26" s="144"/>
      <c r="C26" s="144"/>
      <c r="D26" s="144"/>
      <c r="E26" s="153" t="str">
        <f>IF(AND(G20="Mumbai"),"Upper Class","Middle Class")</f>
        <v>Middle Class</v>
      </c>
      <c r="F26" s="153"/>
      <c r="G26" s="153"/>
      <c r="H26" s="153"/>
      <c r="S26" s="49"/>
      <c r="T26" s="49"/>
      <c r="U26" s="49"/>
      <c r="V26" s="49" t="s">
        <v>208</v>
      </c>
      <c r="W26" s="49" t="s">
        <v>225</v>
      </c>
      <c r="X26"/>
      <c r="Y26"/>
      <c r="Z26"/>
    </row>
    <row r="27" spans="1:26" x14ac:dyDescent="0.25">
      <c r="A27" s="144" t="s">
        <v>19</v>
      </c>
      <c r="B27" s="144"/>
      <c r="C27" s="144"/>
      <c r="D27" s="144"/>
      <c r="E27" s="153" t="s">
        <v>20</v>
      </c>
      <c r="F27" s="153"/>
      <c r="G27" s="153"/>
      <c r="H27" s="153"/>
      <c r="S27" s="49"/>
      <c r="T27" s="49"/>
      <c r="U27" s="49"/>
      <c r="V27" s="49" t="s">
        <v>209</v>
      </c>
      <c r="W27" s="49" t="s">
        <v>226</v>
      </c>
      <c r="X27"/>
      <c r="Y27"/>
      <c r="Z27"/>
    </row>
    <row r="28" spans="1:26" ht="15.75" customHeight="1" x14ac:dyDescent="0.25">
      <c r="A28" s="144" t="s">
        <v>21</v>
      </c>
      <c r="B28" s="144"/>
      <c r="C28" s="144"/>
      <c r="D28" s="144"/>
      <c r="E28" s="153" t="str">
        <f>IF(AND(G20="Mumbai"),"Developed","Developing")</f>
        <v>Developing</v>
      </c>
      <c r="F28" s="153"/>
      <c r="G28" s="153"/>
      <c r="H28" s="153"/>
    </row>
    <row r="29" spans="1:26" x14ac:dyDescent="0.25">
      <c r="A29" s="144" t="s">
        <v>22</v>
      </c>
      <c r="B29" s="144"/>
      <c r="C29" s="144"/>
      <c r="D29" s="144"/>
      <c r="E29" s="153" t="s">
        <v>23</v>
      </c>
      <c r="F29" s="153"/>
      <c r="G29" s="153"/>
      <c r="H29" s="153"/>
    </row>
    <row r="30" spans="1:26" ht="15.75" customHeight="1" x14ac:dyDescent="0.25">
      <c r="A30" s="144" t="s">
        <v>78</v>
      </c>
      <c r="B30" s="144"/>
      <c r="C30" s="144"/>
      <c r="D30" s="144"/>
      <c r="E30" s="153" t="s">
        <v>79</v>
      </c>
      <c r="F30" s="153"/>
      <c r="G30" s="153"/>
      <c r="H30" s="153"/>
    </row>
    <row r="31" spans="1:26" ht="15" customHeight="1" x14ac:dyDescent="0.25">
      <c r="A31" s="144" t="s">
        <v>30</v>
      </c>
      <c r="B31" s="144"/>
      <c r="C31" s="144"/>
      <c r="D31" s="144"/>
      <c r="E31" s="15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53"/>
      <c r="G31" s="153"/>
      <c r="H31" s="153"/>
    </row>
    <row r="32" spans="1:26" ht="15.75" customHeight="1" x14ac:dyDescent="0.25">
      <c r="A32" s="144" t="s">
        <v>90</v>
      </c>
      <c r="B32" s="144"/>
      <c r="C32" s="144"/>
      <c r="D32" s="144"/>
      <c r="E32" s="153" t="s">
        <v>31</v>
      </c>
      <c r="F32" s="153"/>
      <c r="G32" s="153"/>
      <c r="H32" s="153"/>
    </row>
    <row r="33" spans="1:19" s="19" customFormat="1" x14ac:dyDescent="0.25">
      <c r="A33" s="211" t="s">
        <v>91</v>
      </c>
      <c r="B33" s="211"/>
      <c r="C33" s="208" t="s">
        <v>174</v>
      </c>
      <c r="D33" s="209"/>
      <c r="E33" s="210"/>
      <c r="F33" s="208" t="s">
        <v>29</v>
      </c>
      <c r="G33" s="209"/>
      <c r="H33" s="210"/>
      <c r="S33" s="19" t="e">
        <f ca="1">OFFSET($S$13,1,MATCH($G20,$S$13:$W$13,0)-1,15,1)</f>
        <v>#VALUE!</v>
      </c>
    </row>
    <row r="34" spans="1:19" s="19" customFormat="1" x14ac:dyDescent="0.25">
      <c r="A34" s="204" t="s">
        <v>24</v>
      </c>
      <c r="B34" s="204" t="s">
        <v>28</v>
      </c>
      <c r="C34" s="205" t="s">
        <v>358</v>
      </c>
      <c r="D34" s="206"/>
      <c r="E34" s="207"/>
      <c r="F34" s="205" t="s">
        <v>355</v>
      </c>
      <c r="G34" s="206"/>
      <c r="H34" s="207"/>
    </row>
    <row r="35" spans="1:19" x14ac:dyDescent="0.25">
      <c r="A35" s="204" t="s">
        <v>25</v>
      </c>
      <c r="B35" s="204" t="s">
        <v>28</v>
      </c>
      <c r="C35" s="205" t="s">
        <v>356</v>
      </c>
      <c r="D35" s="206"/>
      <c r="E35" s="207"/>
      <c r="F35" s="205" t="s">
        <v>356</v>
      </c>
      <c r="G35" s="206"/>
      <c r="H35" s="207"/>
    </row>
    <row r="36" spans="1:19" s="19" customFormat="1" x14ac:dyDescent="0.25">
      <c r="A36" s="204" t="s">
        <v>27</v>
      </c>
      <c r="B36" s="204" t="s">
        <v>28</v>
      </c>
      <c r="C36" s="205" t="s">
        <v>356</v>
      </c>
      <c r="D36" s="206"/>
      <c r="E36" s="207"/>
      <c r="F36" s="205" t="s">
        <v>356</v>
      </c>
      <c r="G36" s="206"/>
      <c r="H36" s="207"/>
    </row>
    <row r="37" spans="1:19" x14ac:dyDescent="0.25">
      <c r="A37" s="204" t="s">
        <v>26</v>
      </c>
      <c r="B37" s="204" t="s">
        <v>28</v>
      </c>
      <c r="C37" s="205" t="s">
        <v>358</v>
      </c>
      <c r="D37" s="206"/>
      <c r="E37" s="207"/>
      <c r="F37" s="205" t="s">
        <v>357</v>
      </c>
      <c r="G37" s="206"/>
      <c r="H37" s="207"/>
    </row>
    <row r="38" spans="1:19" x14ac:dyDescent="0.25">
      <c r="A38" s="144" t="s">
        <v>283</v>
      </c>
      <c r="B38" s="144"/>
      <c r="C38" s="144"/>
      <c r="D38" s="144"/>
      <c r="E38" s="144"/>
      <c r="F38" s="144"/>
      <c r="G38" s="144"/>
      <c r="H38" s="144"/>
    </row>
    <row r="39" spans="1:19" ht="15.75" customHeight="1" x14ac:dyDescent="0.25">
      <c r="A39" s="144" t="s">
        <v>166</v>
      </c>
      <c r="B39" s="144"/>
      <c r="C39" s="199" t="s">
        <v>347</v>
      </c>
      <c r="D39" s="199"/>
      <c r="E39" s="199"/>
      <c r="F39" s="199"/>
      <c r="G39" s="199"/>
      <c r="H39" s="199"/>
    </row>
    <row r="40" spans="1:19" x14ac:dyDescent="0.25">
      <c r="A40" s="144" t="s">
        <v>162</v>
      </c>
      <c r="B40" s="144"/>
      <c r="C40" s="228" t="s">
        <v>346</v>
      </c>
      <c r="D40" s="153"/>
      <c r="E40" s="153"/>
      <c r="F40" s="153"/>
      <c r="G40" s="153"/>
      <c r="H40" s="153"/>
    </row>
    <row r="41" spans="1:19" x14ac:dyDescent="0.25">
      <c r="A41" s="199" t="s">
        <v>32</v>
      </c>
      <c r="B41" s="199"/>
      <c r="C41" s="199"/>
      <c r="D41" s="199"/>
      <c r="E41" s="199"/>
      <c r="F41" s="199"/>
      <c r="G41" s="199"/>
      <c r="H41" s="199"/>
    </row>
    <row r="42" spans="1:19" x14ac:dyDescent="0.25">
      <c r="A42" s="144" t="s">
        <v>33</v>
      </c>
      <c r="B42" s="144"/>
      <c r="C42" s="144"/>
      <c r="D42" s="144"/>
      <c r="E42" s="219">
        <v>6362.99</v>
      </c>
      <c r="F42" s="219"/>
      <c r="G42" s="219"/>
      <c r="H42" s="219"/>
    </row>
    <row r="43" spans="1:19" x14ac:dyDescent="0.25">
      <c r="A43" s="144" t="s">
        <v>34</v>
      </c>
      <c r="B43" s="144"/>
      <c r="C43" s="144"/>
      <c r="D43" s="144"/>
      <c r="E43" s="155">
        <v>1.1000000000000001</v>
      </c>
      <c r="F43" s="155"/>
      <c r="G43" s="155"/>
      <c r="H43" s="155"/>
    </row>
    <row r="44" spans="1:19" x14ac:dyDescent="0.25">
      <c r="A44" s="144" t="s">
        <v>35</v>
      </c>
      <c r="B44" s="144"/>
      <c r="C44" s="144"/>
      <c r="D44" s="144"/>
      <c r="E44" s="155">
        <f>E46/E42-E43</f>
        <v>1.3472944323344844</v>
      </c>
      <c r="F44" s="155"/>
      <c r="G44" s="155"/>
      <c r="H44" s="155"/>
    </row>
    <row r="45" spans="1:19" x14ac:dyDescent="0.25">
      <c r="A45" s="144" t="s">
        <v>36</v>
      </c>
      <c r="B45" s="144"/>
      <c r="C45" s="144"/>
      <c r="D45" s="144"/>
      <c r="E45" s="155">
        <f>E43+E44</f>
        <v>2.4472944323344845</v>
      </c>
      <c r="F45" s="155"/>
      <c r="G45" s="155"/>
      <c r="H45" s="155"/>
    </row>
    <row r="46" spans="1:19" x14ac:dyDescent="0.25">
      <c r="A46" s="144" t="s">
        <v>89</v>
      </c>
      <c r="B46" s="144"/>
      <c r="C46" s="144"/>
      <c r="D46" s="144"/>
      <c r="E46" s="212">
        <v>15572.11</v>
      </c>
      <c r="F46" s="212"/>
      <c r="G46" s="212"/>
      <c r="H46" s="212"/>
    </row>
    <row r="47" spans="1:19" x14ac:dyDescent="0.25">
      <c r="A47" s="156" t="s">
        <v>37</v>
      </c>
      <c r="B47" s="156"/>
      <c r="C47" s="156"/>
      <c r="D47" s="156"/>
      <c r="E47" s="156" t="s">
        <v>359</v>
      </c>
      <c r="F47" s="156"/>
      <c r="G47" s="156"/>
      <c r="H47" s="156"/>
    </row>
    <row r="48" spans="1:19" x14ac:dyDescent="0.25">
      <c r="A48" s="199" t="s">
        <v>38</v>
      </c>
      <c r="B48" s="199"/>
      <c r="C48" s="199"/>
      <c r="D48" s="199"/>
      <c r="E48" s="199"/>
      <c r="F48" s="199"/>
      <c r="G48" s="199"/>
      <c r="H48" s="199"/>
    </row>
    <row r="49" spans="1:24" ht="33.75" customHeight="1" x14ac:dyDescent="0.25">
      <c r="A49" s="115" t="s">
        <v>151</v>
      </c>
      <c r="B49" s="117"/>
      <c r="C49" s="214" t="s">
        <v>278</v>
      </c>
      <c r="D49" s="215"/>
      <c r="E49" s="215"/>
      <c r="F49" s="215"/>
      <c r="G49" s="215"/>
      <c r="H49" s="216"/>
      <c r="R49" t="s">
        <v>256</v>
      </c>
      <c r="S49" s="53" t="s">
        <v>173</v>
      </c>
      <c r="T49" s="53" t="s">
        <v>181</v>
      </c>
      <c r="U49" s="53" t="s">
        <v>195</v>
      </c>
      <c r="V49" s="53" t="s">
        <v>190</v>
      </c>
    </row>
    <row r="50" spans="1:24" ht="15.75" customHeight="1" x14ac:dyDescent="0.25">
      <c r="A50" s="115" t="s">
        <v>39</v>
      </c>
      <c r="B50" s="117"/>
      <c r="C50" s="115" t="s">
        <v>360</v>
      </c>
      <c r="D50" s="116"/>
      <c r="E50" s="117"/>
      <c r="F50" s="17" t="s">
        <v>40</v>
      </c>
      <c r="G50" s="217">
        <v>45338</v>
      </c>
      <c r="H50" s="218"/>
      <c r="R50"/>
      <c r="S50" s="53" t="s">
        <v>257</v>
      </c>
      <c r="T50" s="53" t="s">
        <v>262</v>
      </c>
      <c r="U50" s="53" t="s">
        <v>273</v>
      </c>
      <c r="V50" s="53" t="s">
        <v>278</v>
      </c>
    </row>
    <row r="51" spans="1:24" x14ac:dyDescent="0.25">
      <c r="A51" s="115" t="s">
        <v>41</v>
      </c>
      <c r="B51" s="117"/>
      <c r="C51" s="115" t="str">
        <f>C50</f>
        <v>VVCMC/TP/CC/VP/6003/382/2023-24</v>
      </c>
      <c r="D51" s="116"/>
      <c r="E51" s="117"/>
      <c r="F51" s="17" t="s">
        <v>40</v>
      </c>
      <c r="G51" s="217">
        <f>G50</f>
        <v>45338</v>
      </c>
      <c r="H51" s="218"/>
      <c r="R51"/>
      <c r="S51" s="53" t="s">
        <v>258</v>
      </c>
      <c r="T51" s="53" t="s">
        <v>263</v>
      </c>
      <c r="U51" s="53" t="s">
        <v>271</v>
      </c>
      <c r="V51" s="53" t="s">
        <v>279</v>
      </c>
    </row>
    <row r="52" spans="1:24" s="20" customFormat="1" ht="15.75" customHeight="1" x14ac:dyDescent="0.25">
      <c r="A52" s="221" t="s">
        <v>155</v>
      </c>
      <c r="B52" s="222"/>
      <c r="C52" s="115" t="s">
        <v>361</v>
      </c>
      <c r="D52" s="116"/>
      <c r="E52" s="117"/>
      <c r="F52" s="17" t="s">
        <v>40</v>
      </c>
      <c r="G52" s="217">
        <f>G51</f>
        <v>45338</v>
      </c>
      <c r="H52" s="218"/>
      <c r="R52"/>
      <c r="S52" s="53" t="s">
        <v>259</v>
      </c>
      <c r="T52" s="53" t="s">
        <v>264</v>
      </c>
      <c r="U52" s="53" t="s">
        <v>261</v>
      </c>
      <c r="V52" s="53" t="s">
        <v>280</v>
      </c>
    </row>
    <row r="53" spans="1:24" s="20" customFormat="1" ht="64.5" customHeight="1" x14ac:dyDescent="0.25">
      <c r="A53" s="223"/>
      <c r="B53" s="224"/>
      <c r="C53" s="115" t="s">
        <v>362</v>
      </c>
      <c r="D53" s="116"/>
      <c r="E53" s="116"/>
      <c r="F53" s="116"/>
      <c r="G53" s="116"/>
      <c r="H53" s="117"/>
      <c r="R53"/>
      <c r="S53" s="53" t="s">
        <v>260</v>
      </c>
      <c r="T53" s="53" t="s">
        <v>267</v>
      </c>
      <c r="U53" s="53" t="s">
        <v>274</v>
      </c>
      <c r="V53" s="71"/>
    </row>
    <row r="54" spans="1:24" s="20" customFormat="1" hidden="1" x14ac:dyDescent="0.25">
      <c r="A54" s="173" t="s">
        <v>284</v>
      </c>
      <c r="B54" s="174"/>
      <c r="C54" s="115"/>
      <c r="D54" s="116"/>
      <c r="E54" s="117"/>
      <c r="F54" s="17" t="s">
        <v>40</v>
      </c>
      <c r="G54" s="115"/>
      <c r="H54" s="117"/>
      <c r="R54"/>
      <c r="S54" s="53" t="s">
        <v>259</v>
      </c>
      <c r="T54" s="53" t="s">
        <v>264</v>
      </c>
      <c r="U54" s="53" t="s">
        <v>261</v>
      </c>
      <c r="V54" s="53" t="s">
        <v>280</v>
      </c>
    </row>
    <row r="55" spans="1:24" s="20" customFormat="1" ht="32.25" hidden="1" customHeight="1" x14ac:dyDescent="0.25">
      <c r="A55" s="175"/>
      <c r="B55" s="176"/>
      <c r="C55" s="233"/>
      <c r="D55" s="234"/>
      <c r="E55" s="234"/>
      <c r="F55" s="234"/>
      <c r="G55" s="234"/>
      <c r="H55" s="235"/>
      <c r="R55"/>
      <c r="S55" s="53" t="s">
        <v>261</v>
      </c>
      <c r="T55" s="53" t="s">
        <v>265</v>
      </c>
      <c r="U55" s="53" t="s">
        <v>275</v>
      </c>
      <c r="V55" s="72"/>
      <c r="W55" s="18"/>
      <c r="X55" s="18"/>
    </row>
    <row r="56" spans="1:24" s="20" customFormat="1" ht="34.5" hidden="1" customHeight="1" x14ac:dyDescent="0.25">
      <c r="A56" s="173" t="s">
        <v>285</v>
      </c>
      <c r="B56" s="174"/>
      <c r="C56" s="115">
        <f>C55</f>
        <v>0</v>
      </c>
      <c r="D56" s="116"/>
      <c r="E56" s="117"/>
      <c r="F56" s="17" t="s">
        <v>40</v>
      </c>
      <c r="G56" s="115">
        <f>G55</f>
        <v>0</v>
      </c>
      <c r="H56" s="117"/>
      <c r="R56"/>
      <c r="S56" s="72"/>
      <c r="T56" s="53" t="s">
        <v>266</v>
      </c>
      <c r="U56" s="53" t="s">
        <v>276</v>
      </c>
      <c r="V56" s="72"/>
      <c r="W56" s="18"/>
      <c r="X56" s="18"/>
    </row>
    <row r="57" spans="1:24" s="20" customFormat="1" ht="41.25" hidden="1" customHeight="1" x14ac:dyDescent="0.25">
      <c r="A57" s="175"/>
      <c r="B57" s="176"/>
      <c r="C57" s="115"/>
      <c r="D57" s="116"/>
      <c r="E57" s="116"/>
      <c r="F57" s="116"/>
      <c r="G57" s="116"/>
      <c r="H57" s="117"/>
      <c r="R57"/>
      <c r="S57" s="72"/>
      <c r="T57" s="53" t="s">
        <v>268</v>
      </c>
      <c r="U57" s="53" t="s">
        <v>277</v>
      </c>
      <c r="V57" s="72"/>
      <c r="W57" s="18"/>
      <c r="X57" s="18"/>
    </row>
    <row r="58" spans="1:24" s="20" customFormat="1" ht="15.75" hidden="1" customHeight="1" x14ac:dyDescent="0.25">
      <c r="A58" s="173" t="s">
        <v>286</v>
      </c>
      <c r="B58" s="174"/>
      <c r="C58" s="115">
        <f>C57</f>
        <v>0</v>
      </c>
      <c r="D58" s="116"/>
      <c r="E58" s="117"/>
      <c r="F58" s="17" t="s">
        <v>40</v>
      </c>
      <c r="G58" s="115">
        <f>G57</f>
        <v>0</v>
      </c>
      <c r="H58" s="117"/>
      <c r="R58"/>
      <c r="S58" s="72"/>
      <c r="T58" s="53" t="s">
        <v>269</v>
      </c>
      <c r="U58" s="72" t="s">
        <v>300</v>
      </c>
      <c r="V58" s="72"/>
      <c r="W58" s="18"/>
      <c r="X58" s="18"/>
    </row>
    <row r="59" spans="1:24" s="20" customFormat="1" ht="33.75" hidden="1" customHeight="1" x14ac:dyDescent="0.25">
      <c r="A59" s="175"/>
      <c r="B59" s="176"/>
      <c r="C59" s="115"/>
      <c r="D59" s="116"/>
      <c r="E59" s="116"/>
      <c r="F59" s="116"/>
      <c r="G59" s="116"/>
      <c r="H59" s="117"/>
      <c r="R59"/>
      <c r="S59" s="72"/>
      <c r="T59" s="53" t="s">
        <v>270</v>
      </c>
      <c r="U59" s="72"/>
      <c r="V59" s="72"/>
      <c r="W59" s="18"/>
      <c r="X59" s="18"/>
    </row>
    <row r="60" spans="1:24" ht="39.75" customHeight="1" x14ac:dyDescent="0.25">
      <c r="A60" s="147" t="s">
        <v>42</v>
      </c>
      <c r="B60" s="148"/>
      <c r="C60" s="147" t="s">
        <v>103</v>
      </c>
      <c r="D60" s="149"/>
      <c r="E60" s="148"/>
      <c r="F60" s="40" t="s">
        <v>40</v>
      </c>
      <c r="G60" s="171" t="s">
        <v>28</v>
      </c>
      <c r="H60" s="172"/>
      <c r="R60"/>
      <c r="S60" s="72"/>
      <c r="T60" s="53" t="s">
        <v>272</v>
      </c>
      <c r="U60" s="72"/>
      <c r="V60" s="72"/>
    </row>
    <row r="61" spans="1:24" x14ac:dyDescent="0.25">
      <c r="A61" s="169" t="s">
        <v>44</v>
      </c>
      <c r="B61" s="169"/>
      <c r="C61" s="169"/>
      <c r="D61" s="169"/>
      <c r="E61" s="169"/>
      <c r="F61" s="169"/>
      <c r="G61" s="169"/>
      <c r="H61" s="169"/>
      <c r="S61" s="72"/>
      <c r="T61" s="53" t="s">
        <v>281</v>
      </c>
      <c r="U61" s="72"/>
      <c r="V61" s="72"/>
    </row>
    <row r="62" spans="1:24" x14ac:dyDescent="0.25">
      <c r="A62" s="170" t="s">
        <v>88</v>
      </c>
      <c r="B62" s="170"/>
      <c r="C62" s="170"/>
      <c r="D62" s="144">
        <f>E46</f>
        <v>15572.11</v>
      </c>
      <c r="E62" s="144"/>
      <c r="F62" s="144"/>
      <c r="G62" s="144"/>
      <c r="H62" s="144"/>
      <c r="R62"/>
    </row>
    <row r="63" spans="1:24" x14ac:dyDescent="0.25">
      <c r="A63" s="153" t="s">
        <v>45</v>
      </c>
      <c r="B63" s="156"/>
      <c r="C63" s="156"/>
      <c r="D63" s="156" t="s">
        <v>380</v>
      </c>
      <c r="E63" s="156"/>
      <c r="F63" s="156"/>
      <c r="G63" s="156"/>
      <c r="H63" s="156"/>
      <c r="I63" s="21"/>
      <c r="R63"/>
    </row>
    <row r="64" spans="1:24" ht="48.75" customHeight="1" x14ac:dyDescent="0.25">
      <c r="A64" s="177" t="s">
        <v>46</v>
      </c>
      <c r="B64" s="178"/>
      <c r="C64" s="213"/>
      <c r="D64" s="194" t="s">
        <v>381</v>
      </c>
      <c r="E64" s="154"/>
      <c r="F64" s="154"/>
      <c r="G64" s="154"/>
      <c r="H64" s="154"/>
      <c r="R64"/>
    </row>
    <row r="65" spans="1:19" ht="15.75" customHeight="1" x14ac:dyDescent="0.25">
      <c r="A65" s="177" t="s">
        <v>86</v>
      </c>
      <c r="B65" s="178"/>
      <c r="C65" s="178"/>
      <c r="D65" s="156" t="s">
        <v>390</v>
      </c>
      <c r="E65" s="156"/>
      <c r="F65" s="156"/>
      <c r="G65" s="156"/>
      <c r="H65" s="156"/>
      <c r="R65"/>
    </row>
    <row r="66" spans="1:19" ht="15.75" customHeight="1" x14ac:dyDescent="0.25">
      <c r="A66" s="179"/>
      <c r="B66" s="180"/>
      <c r="C66" s="180"/>
      <c r="D66" s="156" t="s">
        <v>382</v>
      </c>
      <c r="E66" s="156"/>
      <c r="F66" s="156"/>
      <c r="G66" s="156"/>
      <c r="H66" s="156"/>
      <c r="R66"/>
    </row>
    <row r="67" spans="1:19" ht="15.75" customHeight="1" x14ac:dyDescent="0.25">
      <c r="A67" s="181"/>
      <c r="B67" s="182"/>
      <c r="C67" s="182"/>
      <c r="D67" s="156" t="s">
        <v>383</v>
      </c>
      <c r="E67" s="156"/>
      <c r="F67" s="156"/>
      <c r="G67" s="156"/>
      <c r="H67" s="156"/>
      <c r="S67"/>
    </row>
    <row r="68" spans="1:19" ht="15.75" customHeight="1" x14ac:dyDescent="0.25">
      <c r="A68" s="156" t="s">
        <v>43</v>
      </c>
      <c r="B68" s="156"/>
      <c r="C68" s="156"/>
      <c r="D68" s="220" t="s">
        <v>343</v>
      </c>
      <c r="E68" s="220"/>
      <c r="F68" s="220"/>
      <c r="G68" s="220"/>
      <c r="H68" s="220"/>
      <c r="J68" s="22"/>
      <c r="K68" s="21"/>
      <c r="N68" s="21"/>
      <c r="S68"/>
    </row>
    <row r="69" spans="1:19" ht="15.75" customHeight="1" x14ac:dyDescent="0.25">
      <c r="A69" s="156" t="s">
        <v>84</v>
      </c>
      <c r="B69" s="156"/>
      <c r="C69" s="156"/>
      <c r="D69" s="186" t="str">
        <f>(IF(G60="NA","60 Years After Completion",IF(G60&lt;&gt;"NA",""&amp;60-ROUNDDOWN((E3-G60)/360,0)&amp;" Years"," ")))</f>
        <v>60 Years After Completion</v>
      </c>
      <c r="E69" s="186"/>
      <c r="F69" s="186"/>
      <c r="G69" s="186"/>
      <c r="H69" s="186"/>
      <c r="N69" s="21"/>
      <c r="S69"/>
    </row>
    <row r="70" spans="1:19" ht="15.75" customHeight="1" x14ac:dyDescent="0.25">
      <c r="A70" s="156" t="s">
        <v>85</v>
      </c>
      <c r="B70" s="156"/>
      <c r="C70" s="156"/>
      <c r="D70" s="153" t="s">
        <v>23</v>
      </c>
      <c r="E70" s="153"/>
      <c r="F70" s="153"/>
      <c r="G70" s="153"/>
      <c r="H70" s="153"/>
      <c r="J70" s="23"/>
      <c r="K70" s="23"/>
      <c r="S70"/>
    </row>
    <row r="71" spans="1:19" x14ac:dyDescent="0.25">
      <c r="A71" s="156" t="s">
        <v>392</v>
      </c>
      <c r="B71" s="156"/>
      <c r="C71" s="156"/>
      <c r="D71" s="153" t="s">
        <v>391</v>
      </c>
      <c r="E71" s="153"/>
      <c r="F71" s="153"/>
      <c r="G71" s="153"/>
      <c r="H71" s="153"/>
      <c r="S71"/>
    </row>
    <row r="72" spans="1:19" x14ac:dyDescent="0.25">
      <c r="A72" s="153" t="s">
        <v>147</v>
      </c>
      <c r="B72" s="153"/>
      <c r="C72" s="153"/>
      <c r="D72" s="153" t="s">
        <v>28</v>
      </c>
      <c r="E72" s="153"/>
      <c r="F72" s="153"/>
      <c r="G72" s="153"/>
      <c r="H72" s="153"/>
      <c r="I72" s="24"/>
      <c r="J72" s="24"/>
      <c r="K72" s="24"/>
      <c r="L72" s="24"/>
      <c r="M72" s="24"/>
      <c r="N72" s="24"/>
    </row>
    <row r="73" spans="1:19" ht="15.75" customHeight="1" x14ac:dyDescent="0.25">
      <c r="A73" s="154" t="s">
        <v>83</v>
      </c>
      <c r="B73" s="154"/>
      <c r="C73" s="154"/>
      <c r="D73" s="194" t="str">
        <f ca="1">(IF(G93&gt;95%,"Nothing",IF(G93&gt;0%,"Cement, Aggregate, Steel, etc",IF(G93=0%,"Work not yet Started"))))</f>
        <v>Cement, Aggregate, Steel, etc</v>
      </c>
      <c r="E73" s="194"/>
      <c r="F73" s="194"/>
      <c r="G73" s="194"/>
      <c r="H73" s="194"/>
      <c r="J73" s="23"/>
      <c r="S73"/>
    </row>
    <row r="74" spans="1:19" ht="33.75" customHeight="1" thickBot="1" x14ac:dyDescent="0.3">
      <c r="A74" s="194" t="s">
        <v>116</v>
      </c>
      <c r="B74" s="194"/>
      <c r="C74" s="194"/>
      <c r="D74" s="194" t="str">
        <f ca="1">(IF(D73="Nothing","Yes",IF(D73="Cement, Aggregate, Steel, etc","Under Construction",IF(D73="Work not yet Started","Work not yet Started"))))</f>
        <v>Under Construction</v>
      </c>
      <c r="E74" s="194"/>
      <c r="F74" s="194" t="str">
        <f ca="1">(IF(D73="Nothing","Yes",IF(D73="Cement, Aggregate, Steel, etc","Under Construction",IF(D73="Work not yet Started","Work not yet Started"))))</f>
        <v>Under Construction</v>
      </c>
      <c r="G74" s="194"/>
      <c r="H74" s="194"/>
      <c r="S74"/>
    </row>
    <row r="75" spans="1:19" ht="15.75" customHeight="1" x14ac:dyDescent="0.25">
      <c r="A75" s="118" t="s">
        <v>137</v>
      </c>
      <c r="B75" s="119"/>
      <c r="C75" s="120" t="str">
        <f>D65</f>
        <v>Building No.1 (Wing A &amp; B) = Gr/Stilt + 1st to 7th Floor</v>
      </c>
      <c r="D75" s="121"/>
      <c r="E75" s="121"/>
      <c r="F75" s="121"/>
      <c r="G75" s="121"/>
      <c r="H75" s="122"/>
      <c r="I75" s="42" t="str">
        <f ca="1">IF(D88=100%,"All work Completed. Possession granted to the Building.",IF(D87=100%,"All work Completed, Waiting for OC",I76&amp;""&amp;I77&amp;""&amp;J76&amp;""&amp;J75&amp;" "&amp;J77))</f>
        <v xml:space="preserve">Excavation Completed, Footing work is process </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139</v>
      </c>
      <c r="B76" s="46">
        <f>IF(AND(ISNUMBER(SEARCH("1B",C75))),1,IF(AND(ISNUMBER(SEARCH("2B",C75))),2,IF(AND(ISNUMBER(SEARCH("3B",C75))),3,IF(AND(ISNUMBER(SEARCH("4B",C75))),4,IF(ISNUMBER(SEARCH("5B",C75)),5,0)))))</f>
        <v>0</v>
      </c>
      <c r="C76" s="46" t="s">
        <v>69</v>
      </c>
      <c r="D76" s="46">
        <v>1</v>
      </c>
      <c r="E76" s="46" t="s">
        <v>68</v>
      </c>
      <c r="F76" s="46">
        <v>0</v>
      </c>
      <c r="G76" s="46" t="s">
        <v>77</v>
      </c>
      <c r="H76" s="16">
        <f ca="1">--TRIM(RIGHT(SUBSTITUTE(LEFT(C75,_xlfn.AGGREGATE(16,6,FIND({0,1,2,3,4,5,6,7,8,9},C75,ROW(INDIRECT("1:"&amp;LEN(C75)))),1))," ",REPT(" ",LEN(C75))),LEN(C75)))</f>
        <v>7</v>
      </c>
      <c r="I76" s="44" t="str">
        <f ca="1">IF(D79=100%,"Excavation","")&amp;IF(D80=100%,", Plinth","")&amp;IF(D81=100%,", RCC Slab","")&amp;IF(D82=100%,", Brickwork","")&amp;IF(D83=100%,", Internal Plaster","")&amp;IF(D84=100%,", External Plaster","")&amp;IF(D85=100%,", Flooring","")&amp;IF(D86=100%,", Painting","")&amp;IF(D87=100%,", Building common Amenities","")</f>
        <v>Excavation</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Footing work is process</v>
      </c>
      <c r="S76"/>
    </row>
    <row r="77" spans="1:19" x14ac:dyDescent="0.25">
      <c r="A77" s="123" t="s">
        <v>87</v>
      </c>
      <c r="B77" s="124"/>
      <c r="C77" s="125" t="str">
        <f ca="1">I75</f>
        <v xml:space="preserve">Excavation Completed, Footing work is process </v>
      </c>
      <c r="D77" s="125"/>
      <c r="E77" s="125"/>
      <c r="F77" s="125"/>
      <c r="G77" s="125"/>
      <c r="H77" s="126"/>
      <c r="I77" s="44" t="str">
        <f ca="1">IF(I76&lt;&gt;""," Completed","")</f>
        <v xml:space="preserve"> Completed</v>
      </c>
      <c r="J77" s="45" t="str">
        <f ca="1">IF(J75&lt;&gt;"","Completed","")</f>
        <v/>
      </c>
      <c r="S77"/>
    </row>
    <row r="78" spans="1:19" ht="15.75" customHeight="1" x14ac:dyDescent="0.25">
      <c r="A78" s="127" t="s">
        <v>47</v>
      </c>
      <c r="B78" s="128"/>
      <c r="C78" s="90" t="s">
        <v>136</v>
      </c>
      <c r="D78" s="90" t="s">
        <v>80</v>
      </c>
      <c r="E78" s="128" t="s">
        <v>82</v>
      </c>
      <c r="F78" s="128"/>
      <c r="G78" s="128" t="s">
        <v>81</v>
      </c>
      <c r="H78" s="129"/>
      <c r="I78" s="13" t="s">
        <v>138</v>
      </c>
      <c r="J78" s="25">
        <f ca="1">H76*25%</f>
        <v>1.75</v>
      </c>
      <c r="S78"/>
    </row>
    <row r="79" spans="1:19" x14ac:dyDescent="0.25">
      <c r="A79" s="127" t="s">
        <v>125</v>
      </c>
      <c r="B79" s="128"/>
      <c r="C79" s="90">
        <f ca="1">J80</f>
        <v>7</v>
      </c>
      <c r="D79" s="91">
        <f ca="1">((100/H76)*C79)/100</f>
        <v>1</v>
      </c>
      <c r="E79" s="130">
        <f ca="1">(((C80/H76*10)+(40/(D76+F76+H76)*C81)+(7.5/(H76)*C82)+(7.5/(H76)*C83)+(10/H76*C84)+(10/H76*C85)+(5/H76*C86)+(5/H76*C87)+(5/H76*C88))/100)</f>
        <v>2.5000000000000001E-2</v>
      </c>
      <c r="F79" s="131"/>
      <c r="G79" s="130">
        <f ca="1">((((C79/H76)*20)+((C80/H76)*25)+(30/(H76+F76+D76)*C81)+(5/H76*C82)+(5/H76*C83)+(5/H76*C84)+(5/H76*C85)+(0/H76*C86)+(0/H76*C87)+(5/H76*C88))/100)</f>
        <v>0.26250000000000001</v>
      </c>
      <c r="H79" s="136"/>
      <c r="I79" s="13" t="s">
        <v>98</v>
      </c>
      <c r="J79" s="26">
        <f ca="1">H76*50%</f>
        <v>3.5</v>
      </c>
    </row>
    <row r="80" spans="1:19" x14ac:dyDescent="0.25">
      <c r="A80" s="127" t="s">
        <v>48</v>
      </c>
      <c r="B80" s="128"/>
      <c r="C80" s="94">
        <f ca="1">J81</f>
        <v>1.75</v>
      </c>
      <c r="D80" s="91">
        <f ca="1">((100/H76)*C80)/100</f>
        <v>0.25</v>
      </c>
      <c r="E80" s="132"/>
      <c r="F80" s="133"/>
      <c r="G80" s="132"/>
      <c r="H80" s="137"/>
      <c r="I80" s="13" t="s">
        <v>99</v>
      </c>
      <c r="J80" s="26">
        <f ca="1">H76</f>
        <v>7</v>
      </c>
      <c r="S80"/>
    </row>
    <row r="81" spans="1:19" ht="15.75" customHeight="1" x14ac:dyDescent="0.25">
      <c r="A81" s="127" t="s">
        <v>126</v>
      </c>
      <c r="B81" s="128"/>
      <c r="C81" s="90">
        <v>0</v>
      </c>
      <c r="D81" s="91">
        <f ca="1">((100/(D76+F76+H76))*C81)/100</f>
        <v>0</v>
      </c>
      <c r="E81" s="132"/>
      <c r="F81" s="133"/>
      <c r="G81" s="132"/>
      <c r="H81" s="137"/>
      <c r="I81" s="13" t="s">
        <v>100</v>
      </c>
      <c r="J81" s="27">
        <f ca="1">(IF(B76&gt;1,(H76/(B76+2)),H76/4))</f>
        <v>1.75</v>
      </c>
      <c r="S81"/>
    </row>
    <row r="82" spans="1:19" ht="15.75" customHeight="1" x14ac:dyDescent="0.25">
      <c r="A82" s="127" t="s">
        <v>133</v>
      </c>
      <c r="B82" s="128" t="s">
        <v>127</v>
      </c>
      <c r="C82" s="90">
        <v>0</v>
      </c>
      <c r="D82" s="91">
        <f ca="1">((100/H76)*C82)/100</f>
        <v>0</v>
      </c>
      <c r="E82" s="132"/>
      <c r="F82" s="133"/>
      <c r="G82" s="132"/>
      <c r="H82" s="137"/>
      <c r="I82" s="13" t="s">
        <v>101</v>
      </c>
      <c r="J82" s="27">
        <f ca="1">(IF(B76&gt;1,(H76/(B76+2)+J81),H76/4+J81))</f>
        <v>3.5</v>
      </c>
    </row>
    <row r="83" spans="1:19" ht="15.75" customHeight="1" x14ac:dyDescent="0.25">
      <c r="A83" s="127" t="s">
        <v>134</v>
      </c>
      <c r="B83" s="128" t="s">
        <v>127</v>
      </c>
      <c r="C83" s="90">
        <v>0</v>
      </c>
      <c r="D83" s="91">
        <f ca="1">((100/H76)*C83)/100</f>
        <v>0</v>
      </c>
      <c r="E83" s="132"/>
      <c r="F83" s="133"/>
      <c r="G83" s="132"/>
      <c r="H83" s="137"/>
      <c r="I83" s="13" t="s">
        <v>145</v>
      </c>
      <c r="J83" s="27">
        <f>(IF(B76&gt;1,(H76/(B76+2)+J82),0))</f>
        <v>0</v>
      </c>
    </row>
    <row r="84" spans="1:19" ht="15" customHeight="1" x14ac:dyDescent="0.25">
      <c r="A84" s="127" t="s">
        <v>132</v>
      </c>
      <c r="B84" s="128" t="s">
        <v>129</v>
      </c>
      <c r="C84" s="90">
        <v>0</v>
      </c>
      <c r="D84" s="91">
        <f ca="1">((100/(H76))*C84)/100</f>
        <v>0</v>
      </c>
      <c r="E84" s="132"/>
      <c r="F84" s="133"/>
      <c r="G84" s="132"/>
      <c r="H84" s="137"/>
      <c r="I84" s="13" t="s">
        <v>140</v>
      </c>
      <c r="J84" s="27">
        <f>(IF(B76&gt;2,(H76/(B76+2)+J83),0))</f>
        <v>0</v>
      </c>
    </row>
    <row r="85" spans="1:19" ht="15.75" customHeight="1" x14ac:dyDescent="0.25">
      <c r="A85" s="127" t="s">
        <v>128</v>
      </c>
      <c r="B85" s="128" t="s">
        <v>128</v>
      </c>
      <c r="C85" s="90">
        <v>0</v>
      </c>
      <c r="D85" s="91">
        <f ca="1">((100/H76)*C85)/100</f>
        <v>0</v>
      </c>
      <c r="E85" s="132"/>
      <c r="F85" s="133"/>
      <c r="G85" s="132"/>
      <c r="H85" s="137"/>
      <c r="I85" s="13" t="s">
        <v>141</v>
      </c>
      <c r="J85" s="28">
        <f>(IF(B76&gt;3,(H76/(B76+2)+J84),0))</f>
        <v>0</v>
      </c>
    </row>
    <row r="86" spans="1:19" ht="15.75" customHeight="1" x14ac:dyDescent="0.25">
      <c r="A86" s="127" t="s">
        <v>135</v>
      </c>
      <c r="B86" s="128"/>
      <c r="C86" s="90">
        <v>0</v>
      </c>
      <c r="D86" s="91">
        <f ca="1">((100/H76)*C86)/100</f>
        <v>0</v>
      </c>
      <c r="E86" s="132"/>
      <c r="F86" s="133"/>
      <c r="G86" s="132"/>
      <c r="H86" s="137"/>
      <c r="I86" s="13" t="s">
        <v>142</v>
      </c>
      <c r="J86" s="27">
        <f>(IF(B76&gt;4,(H76/(B76+2)+J85),0))</f>
        <v>0</v>
      </c>
    </row>
    <row r="87" spans="1:19" ht="15.75" customHeight="1" x14ac:dyDescent="0.25">
      <c r="A87" s="127" t="s">
        <v>130</v>
      </c>
      <c r="B87" s="128" t="s">
        <v>130</v>
      </c>
      <c r="C87" s="90">
        <v>0</v>
      </c>
      <c r="D87" s="91">
        <f ca="1">((100/(H76))*C87)/100</f>
        <v>0</v>
      </c>
      <c r="E87" s="132"/>
      <c r="F87" s="133"/>
      <c r="G87" s="132"/>
      <c r="H87" s="137"/>
      <c r="I87" s="13" t="s">
        <v>146</v>
      </c>
      <c r="J87" s="27">
        <f ca="1">(IF(B76=1,(H76/(B76+3)+J82),IF(B76=0,(H76/4+J82),IF(B76&gt;1,0))))</f>
        <v>5.25</v>
      </c>
    </row>
    <row r="88" spans="1:19" ht="16.5" thickBot="1" x14ac:dyDescent="0.3">
      <c r="A88" s="162" t="s">
        <v>131</v>
      </c>
      <c r="B88" s="163"/>
      <c r="C88" s="92">
        <v>0</v>
      </c>
      <c r="D88" s="93">
        <f ca="1">((100/(H76))*C88)/100</f>
        <v>0</v>
      </c>
      <c r="E88" s="134"/>
      <c r="F88" s="135"/>
      <c r="G88" s="134"/>
      <c r="H88" s="138"/>
      <c r="I88" s="14" t="s">
        <v>102</v>
      </c>
      <c r="J88" s="29">
        <f ca="1">(IF(B76&gt;1.5,(H76/(B76+2)+J82+MAX(0,J83-J82)+MAX(0,J84-J83)+MAX(0,J85-J84)+MAX(0,J86-J85)+MAX(0,J87-J86)),IF(B76=1,(H76/(B76+3)+J87),IF(B76=0,H76/4+J87))))</f>
        <v>7</v>
      </c>
    </row>
    <row r="89" spans="1:19" ht="15.75" customHeight="1" x14ac:dyDescent="0.25">
      <c r="A89" s="118" t="s">
        <v>137</v>
      </c>
      <c r="B89" s="119"/>
      <c r="C89" s="120" t="s">
        <v>399</v>
      </c>
      <c r="D89" s="121"/>
      <c r="E89" s="121"/>
      <c r="F89" s="121"/>
      <c r="G89" s="121"/>
      <c r="H89" s="122"/>
      <c r="I89" s="42" t="str">
        <f ca="1">IF(D102=100%,"All work Completed. Possession granted to the Building.",IF(D101=100%,"All work Completed, Waiting for OC",I90&amp;""&amp;I91&amp;""&amp;J90&amp;""&amp;J89&amp;" "&amp;J91))</f>
        <v>Excavation, Plinth, RCC Slab, Brickwork Completed, Internal Plaster upto 6 Floor, External Plaster upto 5 Floor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Internal Plaster upto 6 Floor, External Plaster upto 5 Floor</v>
      </c>
      <c r="S89"/>
    </row>
    <row r="90" spans="1:19" x14ac:dyDescent="0.25">
      <c r="A90" s="15" t="s">
        <v>139</v>
      </c>
      <c r="B90" s="46">
        <f>IF(AND(ISNUMBER(SEARCH("1B",C89))),1,IF(AND(ISNUMBER(SEARCH("2B",C89))),2,IF(AND(ISNUMBER(SEARCH("3B",C89))),3,IF(AND(ISNUMBER(SEARCH("4B",C89))),4,IF(ISNUMBER(SEARCH("5B",C89)),5,0)))))</f>
        <v>0</v>
      </c>
      <c r="C90" s="46" t="s">
        <v>69</v>
      </c>
      <c r="D90" s="46">
        <v>1</v>
      </c>
      <c r="E90" s="46" t="s">
        <v>68</v>
      </c>
      <c r="F90" s="46">
        <v>0</v>
      </c>
      <c r="G90" s="46" t="s">
        <v>77</v>
      </c>
      <c r="H90" s="16">
        <f ca="1">--TRIM(RIGHT(SUBSTITUTE(LEFT(C89,_xlfn.AGGREGATE(16,6,FIND({0,1,2,3,4,5,6,7,8,9},C89,ROW(INDIRECT("1:"&amp;LEN(C89)))),1))," ",REPT(" ",LEN(C89))),LEN(C89)))</f>
        <v>7</v>
      </c>
      <c r="I90" s="44" t="str">
        <f ca="1">IF(D93=100%,"Excavation","")&amp;IF(D94=100%,", Plinth","")&amp;IF(D95=100%,", RCC Slab","")&amp;IF(D96=100%,", Brickwork","")&amp;IF(D97=100%,", Internal Plaster","")&amp;IF(D98=100%,", External Plaster","")&amp;IF(D99=100%,", Flooring","")&amp;IF(D100=100%,", Painting","")&amp;IF(D101=100%,", Building common Amenities","")</f>
        <v>Excavation, Plinth, RCC Slab, Brickwork</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0.95" customHeight="1" x14ac:dyDescent="0.25">
      <c r="A91" s="123" t="s">
        <v>87</v>
      </c>
      <c r="B91" s="124"/>
      <c r="C91" s="125" t="str">
        <f ca="1">I89</f>
        <v>Excavation, Plinth, RCC Slab, Brickwork Completed, Internal Plaster upto 6 Floor, External Plaster upto 5 Floor Completed</v>
      </c>
      <c r="D91" s="125"/>
      <c r="E91" s="125"/>
      <c r="F91" s="125"/>
      <c r="G91" s="125"/>
      <c r="H91" s="126"/>
      <c r="I91" s="44" t="str">
        <f ca="1">IF(I90&lt;&gt;""," Completed","")</f>
        <v xml:space="preserve"> Completed</v>
      </c>
      <c r="J91" s="45" t="str">
        <f ca="1">IF(J89&lt;&gt;"","Completed","")</f>
        <v>Completed</v>
      </c>
      <c r="S91"/>
    </row>
    <row r="92" spans="1:19" ht="15.75" customHeight="1" x14ac:dyDescent="0.25">
      <c r="A92" s="127" t="s">
        <v>47</v>
      </c>
      <c r="B92" s="128"/>
      <c r="C92" s="90" t="s">
        <v>136</v>
      </c>
      <c r="D92" s="90" t="s">
        <v>80</v>
      </c>
      <c r="E92" s="128" t="s">
        <v>82</v>
      </c>
      <c r="F92" s="128"/>
      <c r="G92" s="128" t="s">
        <v>81</v>
      </c>
      <c r="H92" s="129"/>
      <c r="I92" s="13" t="s">
        <v>138</v>
      </c>
      <c r="J92" s="25">
        <f ca="1">H90*25%</f>
        <v>1.75</v>
      </c>
      <c r="S92"/>
    </row>
    <row r="93" spans="1:19" x14ac:dyDescent="0.25">
      <c r="A93" s="127" t="s">
        <v>125</v>
      </c>
      <c r="B93" s="128"/>
      <c r="C93" s="90">
        <f ca="1">J94</f>
        <v>7</v>
      </c>
      <c r="D93" s="91">
        <f ca="1">((100/H90)*C93)/100</f>
        <v>1</v>
      </c>
      <c r="E93" s="130">
        <f ca="1">(((C94/H90*10)+(40/(D90+F90+H90)*C95)+(7.5/(H90)*C96)+(7.5/(H90)*C97)+(10/H90*C98)+(10/H90*C99)+(5/H90*C100)+(5/H90*C101)+(5/H90*C102))/100)</f>
        <v>0.71071428571428574</v>
      </c>
      <c r="F93" s="131"/>
      <c r="G93" s="130">
        <f ca="1">((((C93/H90)*20)+((C94/H90)*25)+(30/(H90+F90+D90)*C95)+(5/H90*C96)+(5/H90*C97)+(5/H90*C98)+(5/H90*C99)+(0/H90*C100)+(0/H90*C101)+(5/H90*C102))/100)</f>
        <v>0.87857142857142856</v>
      </c>
      <c r="H93" s="136"/>
      <c r="I93" s="13" t="s">
        <v>98</v>
      </c>
      <c r="J93" s="26">
        <f ca="1">H90*50%</f>
        <v>3.5</v>
      </c>
    </row>
    <row r="94" spans="1:19" x14ac:dyDescent="0.25">
      <c r="A94" s="127" t="s">
        <v>48</v>
      </c>
      <c r="B94" s="128"/>
      <c r="C94" s="94">
        <f ca="1">J102</f>
        <v>7</v>
      </c>
      <c r="D94" s="91">
        <f ca="1">((100/H90)*C94)/100</f>
        <v>1</v>
      </c>
      <c r="E94" s="132"/>
      <c r="F94" s="133"/>
      <c r="G94" s="132"/>
      <c r="H94" s="137"/>
      <c r="I94" s="13" t="s">
        <v>99</v>
      </c>
      <c r="J94" s="26">
        <f ca="1">H90</f>
        <v>7</v>
      </c>
      <c r="S94"/>
    </row>
    <row r="95" spans="1:19" ht="15.75" customHeight="1" x14ac:dyDescent="0.25">
      <c r="A95" s="127" t="s">
        <v>126</v>
      </c>
      <c r="B95" s="128"/>
      <c r="C95" s="90">
        <v>8</v>
      </c>
      <c r="D95" s="91">
        <f ca="1">((100/(D90+F90+H90))*C95)/100</f>
        <v>1</v>
      </c>
      <c r="E95" s="132"/>
      <c r="F95" s="133"/>
      <c r="G95" s="132"/>
      <c r="H95" s="137"/>
      <c r="I95" s="13" t="s">
        <v>100</v>
      </c>
      <c r="J95" s="27">
        <f ca="1">(IF(B90&gt;1,(H90/(B90+2)),H90/4))</f>
        <v>1.75</v>
      </c>
      <c r="S95"/>
    </row>
    <row r="96" spans="1:19" ht="15.75" customHeight="1" x14ac:dyDescent="0.25">
      <c r="A96" s="127" t="s">
        <v>133</v>
      </c>
      <c r="B96" s="128" t="s">
        <v>127</v>
      </c>
      <c r="C96" s="90">
        <v>7</v>
      </c>
      <c r="D96" s="91">
        <f ca="1">((100/H90)*C96)/100</f>
        <v>1</v>
      </c>
      <c r="E96" s="132"/>
      <c r="F96" s="133"/>
      <c r="G96" s="132"/>
      <c r="H96" s="137"/>
      <c r="I96" s="13" t="s">
        <v>101</v>
      </c>
      <c r="J96" s="27">
        <f ca="1">(IF(B90&gt;1,(H90/(B90+2)+J95),H90/4+J95))</f>
        <v>3.5</v>
      </c>
    </row>
    <row r="97" spans="1:19" ht="15.75" customHeight="1" x14ac:dyDescent="0.25">
      <c r="A97" s="127" t="s">
        <v>134</v>
      </c>
      <c r="B97" s="128" t="s">
        <v>127</v>
      </c>
      <c r="C97" s="90">
        <v>6</v>
      </c>
      <c r="D97" s="91">
        <f ca="1">((100/H90)*C97)/100</f>
        <v>0.85714285714285721</v>
      </c>
      <c r="E97" s="132"/>
      <c r="F97" s="133"/>
      <c r="G97" s="132"/>
      <c r="H97" s="137"/>
      <c r="I97" s="13" t="s">
        <v>145</v>
      </c>
      <c r="J97" s="27">
        <f>(IF(B90&gt;1,(H90/(B90+2)+J96),0))</f>
        <v>0</v>
      </c>
    </row>
    <row r="98" spans="1:19" ht="15" customHeight="1" x14ac:dyDescent="0.25">
      <c r="A98" s="127" t="s">
        <v>132</v>
      </c>
      <c r="B98" s="128" t="s">
        <v>129</v>
      </c>
      <c r="C98" s="90">
        <v>5</v>
      </c>
      <c r="D98" s="91">
        <f ca="1">((100/(H90))*C98)/100</f>
        <v>0.7142857142857143</v>
      </c>
      <c r="E98" s="132"/>
      <c r="F98" s="133"/>
      <c r="G98" s="132"/>
      <c r="H98" s="137"/>
      <c r="I98" s="13" t="s">
        <v>140</v>
      </c>
      <c r="J98" s="27">
        <f>(IF(B90&gt;2,(H90/(B90+2)+J97),0))</f>
        <v>0</v>
      </c>
    </row>
    <row r="99" spans="1:19" ht="15.75" customHeight="1" x14ac:dyDescent="0.25">
      <c r="A99" s="127" t="s">
        <v>128</v>
      </c>
      <c r="B99" s="128" t="s">
        <v>128</v>
      </c>
      <c r="C99" s="90">
        <v>0</v>
      </c>
      <c r="D99" s="91">
        <f ca="1">((100/H90)*C99)/100</f>
        <v>0</v>
      </c>
      <c r="E99" s="132"/>
      <c r="F99" s="133"/>
      <c r="G99" s="132"/>
      <c r="H99" s="137"/>
      <c r="I99" s="13" t="s">
        <v>141</v>
      </c>
      <c r="J99" s="28">
        <f>(IF(B90&gt;3,(H90/(B90+2)+J98),0))</f>
        <v>0</v>
      </c>
    </row>
    <row r="100" spans="1:19" ht="15.75" customHeight="1" x14ac:dyDescent="0.25">
      <c r="A100" s="127" t="s">
        <v>135</v>
      </c>
      <c r="B100" s="128"/>
      <c r="C100" s="90">
        <v>0</v>
      </c>
      <c r="D100" s="91">
        <f ca="1">((100/H90)*C100)/100</f>
        <v>0</v>
      </c>
      <c r="E100" s="132"/>
      <c r="F100" s="133"/>
      <c r="G100" s="132"/>
      <c r="H100" s="137"/>
      <c r="I100" s="13" t="s">
        <v>142</v>
      </c>
      <c r="J100" s="27">
        <f>(IF(B90&gt;4,(H90/(B90+2)+J99),0))</f>
        <v>0</v>
      </c>
    </row>
    <row r="101" spans="1:19" ht="15.75" customHeight="1" x14ac:dyDescent="0.25">
      <c r="A101" s="127" t="s">
        <v>130</v>
      </c>
      <c r="B101" s="128" t="s">
        <v>130</v>
      </c>
      <c r="C101" s="90">
        <v>0</v>
      </c>
      <c r="D101" s="91">
        <f ca="1">((100/(H90))*C101)/100</f>
        <v>0</v>
      </c>
      <c r="E101" s="132"/>
      <c r="F101" s="133"/>
      <c r="G101" s="132"/>
      <c r="H101" s="137"/>
      <c r="I101" s="13" t="s">
        <v>146</v>
      </c>
      <c r="J101" s="27">
        <f ca="1">(IF(B90=1,(H90/(B90+3)+J96),IF(B90=0,(H90/4+J96),IF(B90&gt;1,0))))</f>
        <v>5.25</v>
      </c>
    </row>
    <row r="102" spans="1:19" ht="16.5" thickBot="1" x14ac:dyDescent="0.3">
      <c r="A102" s="162" t="s">
        <v>131</v>
      </c>
      <c r="B102" s="163"/>
      <c r="C102" s="92">
        <v>0</v>
      </c>
      <c r="D102" s="93">
        <f ca="1">((100/(H90))*C102)/100</f>
        <v>0</v>
      </c>
      <c r="E102" s="134"/>
      <c r="F102" s="135"/>
      <c r="G102" s="134"/>
      <c r="H102" s="138"/>
      <c r="I102" s="14" t="s">
        <v>102</v>
      </c>
      <c r="J102" s="29">
        <f ca="1">(IF(B90&gt;1.5,(H90/(B90+2)+J96+MAX(0,J97-J96)+MAX(0,J98-J97)+MAX(0,J99-J98)+MAX(0,J100-J99)+MAX(0,J101-J100)),IF(B90=1,(H90/(B90+3)+J101),IF(B90=0,H90/4+J101))))</f>
        <v>7</v>
      </c>
    </row>
    <row r="103" spans="1:19" ht="15.75" customHeight="1" x14ac:dyDescent="0.25">
      <c r="A103" s="118" t="s">
        <v>137</v>
      </c>
      <c r="B103" s="119"/>
      <c r="C103" s="120" t="s">
        <v>398</v>
      </c>
      <c r="D103" s="121"/>
      <c r="E103" s="121"/>
      <c r="F103" s="121"/>
      <c r="G103" s="121"/>
      <c r="H103" s="122"/>
      <c r="I103" s="42" t="str">
        <f ca="1">IF(D116=100%,"All work Completed. Possession granted to the Building.",IF(D115=100%,"All work Completed, Waiting for OC",I104&amp;""&amp;I105&amp;""&amp;J104&amp;""&amp;J103&amp;" "&amp;J105))</f>
        <v>Excavation, Plinth, RCC Slab, Brickwork Completed, Internal Plaster upto 5 Floor, External Plaster upto 4 Floor Completed</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Internal Plaster upto 5 Floor, External Plaster upto 4 Floor</v>
      </c>
      <c r="S103"/>
    </row>
    <row r="104" spans="1:19" x14ac:dyDescent="0.25">
      <c r="A104" s="15" t="s">
        <v>139</v>
      </c>
      <c r="B104" s="46">
        <f>IF(AND(ISNUMBER(SEARCH("1B",C103))),1,IF(AND(ISNUMBER(SEARCH("2B",C103))),2,IF(AND(ISNUMBER(SEARCH("3B",C103))),3,IF(AND(ISNUMBER(SEARCH("4B",C103))),4,IF(ISNUMBER(SEARCH("5B",C103)),5,0)))))</f>
        <v>0</v>
      </c>
      <c r="C104" s="46" t="s">
        <v>69</v>
      </c>
      <c r="D104" s="46">
        <v>1</v>
      </c>
      <c r="E104" s="46" t="s">
        <v>68</v>
      </c>
      <c r="F104" s="46">
        <v>0</v>
      </c>
      <c r="G104" s="46" t="s">
        <v>77</v>
      </c>
      <c r="H104" s="16">
        <f ca="1">--TRIM(RIGHT(SUBSTITUTE(LEFT(C103,_xlfn.AGGREGATE(16,6,FIND({0,1,2,3,4,5,6,7,8,9},C103,ROW(INDIRECT("1:"&amp;LEN(C103)))),1))," ",REPT(" ",LEN(C103))),LEN(C103)))</f>
        <v>7</v>
      </c>
      <c r="I104" s="44" t="str">
        <f ca="1">IF(D107=100%,"Excavation","")&amp;IF(D108=100%,", Plinth","")&amp;IF(D109=100%,", RCC Slab","")&amp;IF(D110=100%,", Brickwork","")&amp;IF(D111=100%,", Internal Plaster","")&amp;IF(D112=100%,", External Plaster","")&amp;IF(D113=100%,", Flooring","")&amp;IF(D114=100%,", Painting","")&amp;IF(D115=100%,", Building common Amenities","")</f>
        <v>Excavation, Plinth, RCC Slab, Brickwork</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0.95" customHeight="1" x14ac:dyDescent="0.25">
      <c r="A105" s="123" t="s">
        <v>87</v>
      </c>
      <c r="B105" s="124"/>
      <c r="C105" s="125" t="str">
        <f ca="1">I103</f>
        <v>Excavation, Plinth, RCC Slab, Brickwork Completed, Internal Plaster upto 5 Floor, External Plaster upto 4 Floor Completed</v>
      </c>
      <c r="D105" s="125"/>
      <c r="E105" s="125"/>
      <c r="F105" s="125"/>
      <c r="G105" s="125"/>
      <c r="H105" s="126"/>
      <c r="I105" s="44" t="str">
        <f ca="1">IF(I104&lt;&gt;""," Completed","")</f>
        <v xml:space="preserve"> Completed</v>
      </c>
      <c r="J105" s="45" t="str">
        <f ca="1">IF(J103&lt;&gt;"","Completed","")</f>
        <v>Completed</v>
      </c>
      <c r="S105"/>
    </row>
    <row r="106" spans="1:19" ht="15.75" customHeight="1" x14ac:dyDescent="0.25">
      <c r="A106" s="127" t="s">
        <v>47</v>
      </c>
      <c r="B106" s="128"/>
      <c r="C106" s="102" t="s">
        <v>136</v>
      </c>
      <c r="D106" s="102" t="s">
        <v>80</v>
      </c>
      <c r="E106" s="128" t="s">
        <v>82</v>
      </c>
      <c r="F106" s="128"/>
      <c r="G106" s="128" t="s">
        <v>81</v>
      </c>
      <c r="H106" s="129"/>
      <c r="I106" s="13" t="s">
        <v>138</v>
      </c>
      <c r="J106" s="25">
        <f ca="1">H104*25%</f>
        <v>1.75</v>
      </c>
      <c r="S106"/>
    </row>
    <row r="107" spans="1:19" x14ac:dyDescent="0.25">
      <c r="A107" s="127" t="s">
        <v>125</v>
      </c>
      <c r="B107" s="128"/>
      <c r="C107" s="102">
        <f ca="1">J108</f>
        <v>7</v>
      </c>
      <c r="D107" s="91">
        <f ca="1">((100/H104)*C107)/100</f>
        <v>1</v>
      </c>
      <c r="E107" s="130">
        <f ca="1">(((C108/H104*10)+(40/(D104+F104+H104)*C109)+(7.5/(H104)*C110)+(7.5/(H104)*C111)+(10/H104*C112)+(10/H104*C113)+(5/H104*C114)+(5/H104*C115)+(5/H104*C116))/100)</f>
        <v>0.68571428571428572</v>
      </c>
      <c r="F107" s="131"/>
      <c r="G107" s="130">
        <f ca="1">((((C107/H104)*20)+((C108/H104)*25)+(30/(H104+F104+D104)*C109)+(5/H104*C110)+(5/H104*C111)+(5/H104*C112)+(5/H104*C113)+(0/H104*C114)+(0/H104*C115)+(5/H104*C116))/100)</f>
        <v>0.86428571428571432</v>
      </c>
      <c r="H107" s="136"/>
      <c r="I107" s="13" t="s">
        <v>98</v>
      </c>
      <c r="J107" s="26">
        <f ca="1">H104*50%</f>
        <v>3.5</v>
      </c>
    </row>
    <row r="108" spans="1:19" x14ac:dyDescent="0.25">
      <c r="A108" s="127" t="s">
        <v>48</v>
      </c>
      <c r="B108" s="128"/>
      <c r="C108" s="94">
        <f ca="1">J116</f>
        <v>7</v>
      </c>
      <c r="D108" s="91">
        <f ca="1">((100/H104)*C108)/100</f>
        <v>1</v>
      </c>
      <c r="E108" s="132"/>
      <c r="F108" s="133"/>
      <c r="G108" s="132"/>
      <c r="H108" s="137"/>
      <c r="I108" s="13" t="s">
        <v>99</v>
      </c>
      <c r="J108" s="26">
        <f ca="1">H104</f>
        <v>7</v>
      </c>
      <c r="S108"/>
    </row>
    <row r="109" spans="1:19" ht="15.75" customHeight="1" x14ac:dyDescent="0.25">
      <c r="A109" s="127" t="s">
        <v>126</v>
      </c>
      <c r="B109" s="128"/>
      <c r="C109" s="102">
        <v>8</v>
      </c>
      <c r="D109" s="91">
        <f ca="1">((100/(D104+F104+H104))*C109)/100</f>
        <v>1</v>
      </c>
      <c r="E109" s="132"/>
      <c r="F109" s="133"/>
      <c r="G109" s="132"/>
      <c r="H109" s="137"/>
      <c r="I109" s="13" t="s">
        <v>100</v>
      </c>
      <c r="J109" s="27">
        <f ca="1">(IF(B104&gt;1,(H104/(B104+2)),H104/4))</f>
        <v>1.75</v>
      </c>
      <c r="S109"/>
    </row>
    <row r="110" spans="1:19" ht="15.75" customHeight="1" x14ac:dyDescent="0.25">
      <c r="A110" s="127" t="s">
        <v>133</v>
      </c>
      <c r="B110" s="128" t="s">
        <v>127</v>
      </c>
      <c r="C110" s="102">
        <v>7</v>
      </c>
      <c r="D110" s="91">
        <f ca="1">((100/H104)*C110)/100</f>
        <v>1</v>
      </c>
      <c r="E110" s="132"/>
      <c r="F110" s="133"/>
      <c r="G110" s="132"/>
      <c r="H110" s="137"/>
      <c r="I110" s="13" t="s">
        <v>101</v>
      </c>
      <c r="J110" s="27">
        <f ca="1">(IF(B104&gt;1,(H104/(B104+2)+J109),H104/4+J109))</f>
        <v>3.5</v>
      </c>
    </row>
    <row r="111" spans="1:19" ht="15.75" customHeight="1" x14ac:dyDescent="0.25">
      <c r="A111" s="127" t="s">
        <v>134</v>
      </c>
      <c r="B111" s="128" t="s">
        <v>127</v>
      </c>
      <c r="C111" s="102">
        <v>5</v>
      </c>
      <c r="D111" s="91">
        <f ca="1">((100/H104)*C111)/100</f>
        <v>0.7142857142857143</v>
      </c>
      <c r="E111" s="132"/>
      <c r="F111" s="133"/>
      <c r="G111" s="132"/>
      <c r="H111" s="137"/>
      <c r="I111" s="13" t="s">
        <v>145</v>
      </c>
      <c r="J111" s="27">
        <f>(IF(B104&gt;1,(H104/(B104+2)+J110),0))</f>
        <v>0</v>
      </c>
    </row>
    <row r="112" spans="1:19" ht="15" customHeight="1" x14ac:dyDescent="0.25">
      <c r="A112" s="127" t="s">
        <v>132</v>
      </c>
      <c r="B112" s="128" t="s">
        <v>129</v>
      </c>
      <c r="C112" s="102">
        <v>4</v>
      </c>
      <c r="D112" s="91">
        <f ca="1">((100/(H104))*C112)/100</f>
        <v>0.57142857142857151</v>
      </c>
      <c r="E112" s="132"/>
      <c r="F112" s="133"/>
      <c r="G112" s="132"/>
      <c r="H112" s="137"/>
      <c r="I112" s="13" t="s">
        <v>140</v>
      </c>
      <c r="J112" s="27">
        <f>(IF(B104&gt;2,(H104/(B104+2)+J111),0))</f>
        <v>0</v>
      </c>
    </row>
    <row r="113" spans="1:19" ht="15.75" customHeight="1" x14ac:dyDescent="0.25">
      <c r="A113" s="127" t="s">
        <v>128</v>
      </c>
      <c r="B113" s="128" t="s">
        <v>128</v>
      </c>
      <c r="C113" s="102">
        <v>0</v>
      </c>
      <c r="D113" s="91">
        <f ca="1">((100/H104)*C113)/100</f>
        <v>0</v>
      </c>
      <c r="E113" s="132"/>
      <c r="F113" s="133"/>
      <c r="G113" s="132"/>
      <c r="H113" s="137"/>
      <c r="I113" s="13" t="s">
        <v>141</v>
      </c>
      <c r="J113" s="28">
        <f>(IF(B104&gt;3,(H104/(B104+2)+J112),0))</f>
        <v>0</v>
      </c>
    </row>
    <row r="114" spans="1:19" ht="15.75" customHeight="1" x14ac:dyDescent="0.25">
      <c r="A114" s="127" t="s">
        <v>135</v>
      </c>
      <c r="B114" s="128"/>
      <c r="C114" s="102">
        <v>0</v>
      </c>
      <c r="D114" s="91">
        <f ca="1">((100/H104)*C114)/100</f>
        <v>0</v>
      </c>
      <c r="E114" s="132"/>
      <c r="F114" s="133"/>
      <c r="G114" s="132"/>
      <c r="H114" s="137"/>
      <c r="I114" s="13" t="s">
        <v>142</v>
      </c>
      <c r="J114" s="27">
        <f>(IF(B104&gt;4,(H104/(B104+2)+J113),0))</f>
        <v>0</v>
      </c>
    </row>
    <row r="115" spans="1:19" ht="15.75" customHeight="1" x14ac:dyDescent="0.25">
      <c r="A115" s="127" t="s">
        <v>130</v>
      </c>
      <c r="B115" s="128" t="s">
        <v>130</v>
      </c>
      <c r="C115" s="102">
        <v>0</v>
      </c>
      <c r="D115" s="91">
        <f ca="1">((100/(H104))*C115)/100</f>
        <v>0</v>
      </c>
      <c r="E115" s="132"/>
      <c r="F115" s="133"/>
      <c r="G115" s="132"/>
      <c r="H115" s="137"/>
      <c r="I115" s="13" t="s">
        <v>146</v>
      </c>
      <c r="J115" s="27">
        <f ca="1">(IF(B104=1,(H104/(B104+3)+J110),IF(B104=0,(H104/4+J110),IF(B104&gt;1,0))))</f>
        <v>5.25</v>
      </c>
    </row>
    <row r="116" spans="1:19" ht="16.5" thickBot="1" x14ac:dyDescent="0.3">
      <c r="A116" s="162" t="s">
        <v>131</v>
      </c>
      <c r="B116" s="163"/>
      <c r="C116" s="103">
        <v>0</v>
      </c>
      <c r="D116" s="93">
        <f ca="1">((100/(H104))*C116)/100</f>
        <v>0</v>
      </c>
      <c r="E116" s="134"/>
      <c r="F116" s="135"/>
      <c r="G116" s="134"/>
      <c r="H116" s="138"/>
      <c r="I116" s="14" t="s">
        <v>102</v>
      </c>
      <c r="J116" s="29">
        <f ca="1">(IF(B104&gt;1.5,(H104/(B104+2)+J110+MAX(0,J111-J110)+MAX(0,J112-J111)+MAX(0,J113-J112)+MAX(0,J114-J113)+MAX(0,J115-J114)),IF(B104=1,(H104/(B104+3)+J115),IF(B104=0,H104/4+J115))))</f>
        <v>7</v>
      </c>
    </row>
    <row r="117" spans="1:19" ht="15.75" customHeight="1" x14ac:dyDescent="0.25">
      <c r="A117" s="118" t="s">
        <v>137</v>
      </c>
      <c r="B117" s="119"/>
      <c r="C117" s="120" t="s">
        <v>400</v>
      </c>
      <c r="D117" s="121"/>
      <c r="E117" s="121"/>
      <c r="F117" s="121"/>
      <c r="G117" s="121"/>
      <c r="H117" s="122"/>
      <c r="I117" s="42" t="str">
        <f ca="1">IF(D130=100%,"All work Completed. Possession granted to the Building.",IF(D129=100%,"All work Completed, Waiting for OC",I118&amp;""&amp;I119&amp;""&amp;J118&amp;""&amp;J117&amp;" "&amp;J119))</f>
        <v>Excavation, Plinth Completed, RCC upto 7 Slab, Brickwork upto 3 Floor Completed</v>
      </c>
      <c r="J117" s="43"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RCC upto 7 Slab, Brickwork upto 3 Floor</v>
      </c>
      <c r="S117"/>
    </row>
    <row r="118" spans="1:19" x14ac:dyDescent="0.25">
      <c r="A118" s="15" t="s">
        <v>139</v>
      </c>
      <c r="B118" s="46">
        <f>IF(AND(ISNUMBER(SEARCH("1B",C117))),1,IF(AND(ISNUMBER(SEARCH("2B",C117))),2,IF(AND(ISNUMBER(SEARCH("3B",C117))),3,IF(AND(ISNUMBER(SEARCH("4B",C117))),4,IF(ISNUMBER(SEARCH("5B",C117)),5,0)))))</f>
        <v>0</v>
      </c>
      <c r="C118" s="46" t="s">
        <v>69</v>
      </c>
      <c r="D118" s="46">
        <v>1</v>
      </c>
      <c r="E118" s="46" t="s">
        <v>68</v>
      </c>
      <c r="F118" s="46">
        <v>0</v>
      </c>
      <c r="G118" s="46" t="s">
        <v>77</v>
      </c>
      <c r="H118" s="16">
        <f ca="1">--TRIM(RIGHT(SUBSTITUTE(LEFT(C117,_xlfn.AGGREGATE(16,6,FIND({0,1,2,3,4,5,6,7,8,9},C117,ROW(INDIRECT("1:"&amp;LEN(C117)))),1))," ",REPT(" ",LEN(C117))),LEN(C117)))</f>
        <v>7</v>
      </c>
      <c r="I118" s="44" t="str">
        <f ca="1">IF(D121=100%,"Excavation","")&amp;IF(D122=100%,", Plinth","")&amp;IF(D123=100%,", RCC Slab","")&amp;IF(D124=100%,", Brickwork","")&amp;IF(D125=100%,", Internal Plaster","")&amp;IF(D126=100%,", External Plaster","")&amp;IF(D127=100%,", Flooring","")&amp;IF(D128=100%,", Painting","")&amp;IF(D129=100%,", Building common Amenities","")</f>
        <v>Excavation, Plinth</v>
      </c>
      <c r="J118" s="45"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x14ac:dyDescent="0.25">
      <c r="A119" s="123" t="s">
        <v>87</v>
      </c>
      <c r="B119" s="124"/>
      <c r="C119" s="125" t="str">
        <f ca="1">I117</f>
        <v>Excavation, Plinth Completed, RCC upto 7 Slab, Brickwork upto 3 Floor Completed</v>
      </c>
      <c r="D119" s="125"/>
      <c r="E119" s="125"/>
      <c r="F119" s="125"/>
      <c r="G119" s="125"/>
      <c r="H119" s="126"/>
      <c r="I119" s="44" t="str">
        <f ca="1">IF(I118&lt;&gt;""," Completed","")</f>
        <v xml:space="preserve"> Completed</v>
      </c>
      <c r="J119" s="45" t="str">
        <f ca="1">IF(J117&lt;&gt;"","Completed","")</f>
        <v>Completed</v>
      </c>
      <c r="S119"/>
    </row>
    <row r="120" spans="1:19" ht="15.75" customHeight="1" x14ac:dyDescent="0.25">
      <c r="A120" s="127" t="s">
        <v>47</v>
      </c>
      <c r="B120" s="128"/>
      <c r="C120" s="104" t="s">
        <v>136</v>
      </c>
      <c r="D120" s="104" t="s">
        <v>80</v>
      </c>
      <c r="E120" s="128" t="s">
        <v>82</v>
      </c>
      <c r="F120" s="128"/>
      <c r="G120" s="128" t="s">
        <v>81</v>
      </c>
      <c r="H120" s="129"/>
      <c r="I120" s="13" t="s">
        <v>138</v>
      </c>
      <c r="J120" s="25">
        <f ca="1">H118*25%</f>
        <v>1.75</v>
      </c>
      <c r="S120"/>
    </row>
    <row r="121" spans="1:19" x14ac:dyDescent="0.25">
      <c r="A121" s="127" t="s">
        <v>125</v>
      </c>
      <c r="B121" s="128"/>
      <c r="C121" s="104">
        <f ca="1">J122</f>
        <v>7</v>
      </c>
      <c r="D121" s="91">
        <f ca="1">((100/H118)*C121)/100</f>
        <v>1</v>
      </c>
      <c r="E121" s="130">
        <f ca="1">(((C122/H118*10)+(40/(D118+F118+H118)*C123)+(7.5/(H118)*C124)+(7.5/(H118)*C125)+(10/H118*C126)+(10/H118*C127)+(5/H118*C128)+(5/H118*C129)+(5/H118*C130))/100)</f>
        <v>0.48214285714285715</v>
      </c>
      <c r="F121" s="131"/>
      <c r="G121" s="130">
        <f ca="1">((((C121/H118)*20)+((C122/H118)*25)+(30/(H118+F118+D118)*C123)+(5/H118*C124)+(5/H118*C125)+(5/H118*C126)+(5/H118*C127)+(0/H118*C128)+(0/H118*C129)+(5/H118*C130))/100)</f>
        <v>0.73392857142857137</v>
      </c>
      <c r="H121" s="136"/>
      <c r="I121" s="13" t="s">
        <v>98</v>
      </c>
      <c r="J121" s="26">
        <f ca="1">H118*50%</f>
        <v>3.5</v>
      </c>
    </row>
    <row r="122" spans="1:19" x14ac:dyDescent="0.25">
      <c r="A122" s="127" t="s">
        <v>48</v>
      </c>
      <c r="B122" s="128"/>
      <c r="C122" s="94">
        <f ca="1">J130</f>
        <v>7</v>
      </c>
      <c r="D122" s="91">
        <f ca="1">((100/H118)*C122)/100</f>
        <v>1</v>
      </c>
      <c r="E122" s="132"/>
      <c r="F122" s="133"/>
      <c r="G122" s="132"/>
      <c r="H122" s="137"/>
      <c r="I122" s="13" t="s">
        <v>99</v>
      </c>
      <c r="J122" s="26">
        <f ca="1">H118</f>
        <v>7</v>
      </c>
      <c r="S122"/>
    </row>
    <row r="123" spans="1:19" ht="15.75" customHeight="1" x14ac:dyDescent="0.25">
      <c r="A123" s="127" t="s">
        <v>126</v>
      </c>
      <c r="B123" s="128"/>
      <c r="C123" s="104">
        <v>7</v>
      </c>
      <c r="D123" s="91">
        <f ca="1">((100/(D118+F118+H118))*C123)/100</f>
        <v>0.875</v>
      </c>
      <c r="E123" s="132"/>
      <c r="F123" s="133"/>
      <c r="G123" s="132"/>
      <c r="H123" s="137"/>
      <c r="I123" s="13" t="s">
        <v>100</v>
      </c>
      <c r="J123" s="27">
        <f ca="1">(IF(B118&gt;1,(H118/(B118+2)),H118/4))</f>
        <v>1.75</v>
      </c>
      <c r="S123"/>
    </row>
    <row r="124" spans="1:19" ht="15.75" customHeight="1" x14ac:dyDescent="0.25">
      <c r="A124" s="127" t="s">
        <v>133</v>
      </c>
      <c r="B124" s="128" t="s">
        <v>127</v>
      </c>
      <c r="C124" s="104">
        <v>3</v>
      </c>
      <c r="D124" s="91">
        <f ca="1">((100/H118)*C124)/100</f>
        <v>0.4285714285714286</v>
      </c>
      <c r="E124" s="132"/>
      <c r="F124" s="133"/>
      <c r="G124" s="132"/>
      <c r="H124" s="137"/>
      <c r="I124" s="13" t="s">
        <v>101</v>
      </c>
      <c r="J124" s="27">
        <f ca="1">(IF(B118&gt;1,(H118/(B118+2)+J123),H118/4+J123))</f>
        <v>3.5</v>
      </c>
    </row>
    <row r="125" spans="1:19" ht="15.75" customHeight="1" x14ac:dyDescent="0.25">
      <c r="A125" s="127" t="s">
        <v>134</v>
      </c>
      <c r="B125" s="128" t="s">
        <v>127</v>
      </c>
      <c r="C125" s="104">
        <v>0</v>
      </c>
      <c r="D125" s="91">
        <f ca="1">((100/H118)*C125)/100</f>
        <v>0</v>
      </c>
      <c r="E125" s="132"/>
      <c r="F125" s="133"/>
      <c r="G125" s="132"/>
      <c r="H125" s="137"/>
      <c r="I125" s="13" t="s">
        <v>145</v>
      </c>
      <c r="J125" s="27">
        <f>(IF(B118&gt;1,(H118/(B118+2)+J124),0))</f>
        <v>0</v>
      </c>
    </row>
    <row r="126" spans="1:19" ht="15" customHeight="1" x14ac:dyDescent="0.25">
      <c r="A126" s="127" t="s">
        <v>132</v>
      </c>
      <c r="B126" s="128" t="s">
        <v>129</v>
      </c>
      <c r="C126" s="104">
        <v>0</v>
      </c>
      <c r="D126" s="91">
        <f ca="1">((100/(H118))*C126)/100</f>
        <v>0</v>
      </c>
      <c r="E126" s="132"/>
      <c r="F126" s="133"/>
      <c r="G126" s="132"/>
      <c r="H126" s="137"/>
      <c r="I126" s="13" t="s">
        <v>140</v>
      </c>
      <c r="J126" s="27">
        <f>(IF(B118&gt;2,(H118/(B118+2)+J125),0))</f>
        <v>0</v>
      </c>
    </row>
    <row r="127" spans="1:19" ht="15.75" customHeight="1" x14ac:dyDescent="0.25">
      <c r="A127" s="127" t="s">
        <v>128</v>
      </c>
      <c r="B127" s="128" t="s">
        <v>128</v>
      </c>
      <c r="C127" s="104">
        <v>0</v>
      </c>
      <c r="D127" s="91">
        <f ca="1">((100/H118)*C127)/100</f>
        <v>0</v>
      </c>
      <c r="E127" s="132"/>
      <c r="F127" s="133"/>
      <c r="G127" s="132"/>
      <c r="H127" s="137"/>
      <c r="I127" s="13" t="s">
        <v>141</v>
      </c>
      <c r="J127" s="28">
        <f>(IF(B118&gt;3,(H118/(B118+2)+J126),0))</f>
        <v>0</v>
      </c>
    </row>
    <row r="128" spans="1:19" ht="15.75" customHeight="1" x14ac:dyDescent="0.25">
      <c r="A128" s="127" t="s">
        <v>135</v>
      </c>
      <c r="B128" s="128"/>
      <c r="C128" s="104">
        <v>0</v>
      </c>
      <c r="D128" s="91">
        <f ca="1">((100/H118)*C128)/100</f>
        <v>0</v>
      </c>
      <c r="E128" s="132"/>
      <c r="F128" s="133"/>
      <c r="G128" s="132"/>
      <c r="H128" s="137"/>
      <c r="I128" s="13" t="s">
        <v>142</v>
      </c>
      <c r="J128" s="27">
        <f>(IF(B118&gt;4,(H118/(B118+2)+J127),0))</f>
        <v>0</v>
      </c>
    </row>
    <row r="129" spans="1:19" ht="15.75" customHeight="1" x14ac:dyDescent="0.25">
      <c r="A129" s="127" t="s">
        <v>130</v>
      </c>
      <c r="B129" s="128" t="s">
        <v>130</v>
      </c>
      <c r="C129" s="104">
        <v>0</v>
      </c>
      <c r="D129" s="91">
        <f ca="1">((100/(H118))*C129)/100</f>
        <v>0</v>
      </c>
      <c r="E129" s="132"/>
      <c r="F129" s="133"/>
      <c r="G129" s="132"/>
      <c r="H129" s="137"/>
      <c r="I129" s="13" t="s">
        <v>146</v>
      </c>
      <c r="J129" s="27">
        <f ca="1">(IF(B118=1,(H118/(B118+3)+J124),IF(B118=0,(H118/4+J124),IF(B118&gt;1,0))))</f>
        <v>5.25</v>
      </c>
    </row>
    <row r="130" spans="1:19" ht="16.5" thickBot="1" x14ac:dyDescent="0.3">
      <c r="A130" s="162" t="s">
        <v>131</v>
      </c>
      <c r="B130" s="163"/>
      <c r="C130" s="105">
        <v>0</v>
      </c>
      <c r="D130" s="93">
        <f ca="1">((100/(H118))*C130)/100</f>
        <v>0</v>
      </c>
      <c r="E130" s="134"/>
      <c r="F130" s="135"/>
      <c r="G130" s="134"/>
      <c r="H130" s="138"/>
      <c r="I130" s="14" t="s">
        <v>102</v>
      </c>
      <c r="J130" s="29">
        <f ca="1">(IF(B118&gt;1.5,(H118/(B118+2)+J124+MAX(0,J125-J124)+MAX(0,J126-J125)+MAX(0,J127-J126)+MAX(0,J128-J127)+MAX(0,J129-J128)),IF(B118=1,(H118/(B118+3)+J129),IF(B118=0,H118/4+J129))))</f>
        <v>7</v>
      </c>
    </row>
    <row r="131" spans="1:19" ht="15.75" customHeight="1" x14ac:dyDescent="0.25">
      <c r="A131" s="118" t="s">
        <v>137</v>
      </c>
      <c r="B131" s="119"/>
      <c r="C131" s="120" t="s">
        <v>401</v>
      </c>
      <c r="D131" s="121"/>
      <c r="E131" s="121"/>
      <c r="F131" s="121"/>
      <c r="G131" s="121"/>
      <c r="H131" s="122"/>
      <c r="I131" s="42" t="str">
        <f ca="1">IF(D144=100%,"All work Completed. Possession granted to the Building.",IF(D143=100%,"All work Completed, Waiting for OC",I132&amp;""&amp;I133&amp;""&amp;J132&amp;""&amp;J131&amp;" "&amp;J133))</f>
        <v>Excavation, Plinth Completed, RCC upto 7 Slab Completed</v>
      </c>
      <c r="J131" s="43"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RCC upto 7 Slab</v>
      </c>
      <c r="S131"/>
    </row>
    <row r="132" spans="1:19" x14ac:dyDescent="0.25">
      <c r="A132" s="15" t="s">
        <v>139</v>
      </c>
      <c r="B132" s="46">
        <f>IF(AND(ISNUMBER(SEARCH("1B",C131))),1,IF(AND(ISNUMBER(SEARCH("2B",C131))),2,IF(AND(ISNUMBER(SEARCH("3B",C131))),3,IF(AND(ISNUMBER(SEARCH("4B",C131))),4,IF(ISNUMBER(SEARCH("5B",C131)),5,0)))))</f>
        <v>0</v>
      </c>
      <c r="C132" s="46" t="s">
        <v>69</v>
      </c>
      <c r="D132" s="46">
        <v>1</v>
      </c>
      <c r="E132" s="46" t="s">
        <v>68</v>
      </c>
      <c r="F132" s="46">
        <v>0</v>
      </c>
      <c r="G132" s="46" t="s">
        <v>77</v>
      </c>
      <c r="H132" s="16">
        <f ca="1">--TRIM(RIGHT(SUBSTITUTE(LEFT(C131,_xlfn.AGGREGATE(16,6,FIND({0,1,2,3,4,5,6,7,8,9},C131,ROW(INDIRECT("1:"&amp;LEN(C131)))),1))," ",REPT(" ",LEN(C131))),LEN(C131)))</f>
        <v>7</v>
      </c>
      <c r="I132" s="44" t="str">
        <f ca="1">IF(D135=100%,"Excavation","")&amp;IF(D136=100%,", Plinth","")&amp;IF(D137=100%,", RCC Slab","")&amp;IF(D138=100%,", Brickwork","")&amp;IF(D139=100%,", Internal Plaster","")&amp;IF(D140=100%,", External Plaster","")&amp;IF(D141=100%,", Flooring","")&amp;IF(D142=100%,", Painting","")&amp;IF(D143=100%,", Building common Amenities","")</f>
        <v>Excavation, Plinth</v>
      </c>
      <c r="J132" s="45" t="str">
        <f ca="1">(IF(C135=0,"Work not yet Started.",IF(D135=25%,"Piling work in process",IF(D135=50%,"Excavation work in process",IF(D135=100%,"","0")))))&amp;(IF(C136=0%,"",IF(C136=J137,", Footing work is process",IF(C136=J138,", Footing work Completed",IF(C136=J139,", 1st Basement Completed",IF(C136=J140,", 1st &amp; 2nd Basement Completed",IF(C136=J141,", 1st to 3rd Basement Completed",IF(C136=J142,", 1st to 4th Basement Completed",IF(C136=J143,", Plinth work is process",IF(C136=J144,"","0"))))))))))</f>
        <v/>
      </c>
      <c r="S132"/>
    </row>
    <row r="133" spans="1:19" x14ac:dyDescent="0.25">
      <c r="A133" s="123" t="s">
        <v>87</v>
      </c>
      <c r="B133" s="124"/>
      <c r="C133" s="125" t="str">
        <f ca="1">I131</f>
        <v>Excavation, Plinth Completed, RCC upto 7 Slab Completed</v>
      </c>
      <c r="D133" s="125"/>
      <c r="E133" s="125"/>
      <c r="F133" s="125"/>
      <c r="G133" s="125"/>
      <c r="H133" s="126"/>
      <c r="I133" s="44" t="str">
        <f ca="1">IF(I132&lt;&gt;""," Completed","")</f>
        <v xml:space="preserve"> Completed</v>
      </c>
      <c r="J133" s="45" t="str">
        <f ca="1">IF(J131&lt;&gt;"","Completed","")</f>
        <v>Completed</v>
      </c>
      <c r="S133"/>
    </row>
    <row r="134" spans="1:19" ht="15.75" customHeight="1" x14ac:dyDescent="0.25">
      <c r="A134" s="127" t="s">
        <v>47</v>
      </c>
      <c r="B134" s="128"/>
      <c r="C134" s="90" t="s">
        <v>136</v>
      </c>
      <c r="D134" s="90" t="s">
        <v>80</v>
      </c>
      <c r="E134" s="128" t="s">
        <v>82</v>
      </c>
      <c r="F134" s="128"/>
      <c r="G134" s="128" t="s">
        <v>81</v>
      </c>
      <c r="H134" s="129"/>
      <c r="I134" s="13" t="s">
        <v>138</v>
      </c>
      <c r="J134" s="25">
        <f ca="1">H132*25%</f>
        <v>1.75</v>
      </c>
      <c r="S134"/>
    </row>
    <row r="135" spans="1:19" x14ac:dyDescent="0.25">
      <c r="A135" s="127" t="s">
        <v>125</v>
      </c>
      <c r="B135" s="128"/>
      <c r="C135" s="90">
        <f ca="1">J136</f>
        <v>7</v>
      </c>
      <c r="D135" s="91">
        <f ca="1">((100/H132)*C135)/100</f>
        <v>1</v>
      </c>
      <c r="E135" s="130">
        <f ca="1">(((C136/H132*10)+(40/(D132+F132+H132)*C137)+(7.5/(H132)*C138)+(7.5/(H132)*C139)+(10/H132*C140)+(10/H132*C141)+(5/H132*C142)+(5/H132*C143)+(5/H132*C144))/100)</f>
        <v>0.45</v>
      </c>
      <c r="F135" s="131"/>
      <c r="G135" s="130">
        <f ca="1">((((C135/H132)*20)+((C136/H132)*25)+(30/(H132+F132+D132)*C137)+(5/H132*C138)+(5/H132*C139)+(5/H132*C140)+(5/H132*C141)+(0/H132*C142)+(0/H132*C143)+(5/H132*C144))/100)</f>
        <v>0.71250000000000002</v>
      </c>
      <c r="H135" s="136"/>
      <c r="I135" s="13" t="s">
        <v>98</v>
      </c>
      <c r="J135" s="26">
        <f ca="1">H132*50%</f>
        <v>3.5</v>
      </c>
    </row>
    <row r="136" spans="1:19" x14ac:dyDescent="0.25">
      <c r="A136" s="127" t="s">
        <v>48</v>
      </c>
      <c r="B136" s="128"/>
      <c r="C136" s="94">
        <f ca="1">J144</f>
        <v>7</v>
      </c>
      <c r="D136" s="91">
        <f ca="1">((100/H132)*C136)/100</f>
        <v>1</v>
      </c>
      <c r="E136" s="132"/>
      <c r="F136" s="133"/>
      <c r="G136" s="132"/>
      <c r="H136" s="137"/>
      <c r="I136" s="13" t="s">
        <v>99</v>
      </c>
      <c r="J136" s="26">
        <f ca="1">H132</f>
        <v>7</v>
      </c>
      <c r="S136"/>
    </row>
    <row r="137" spans="1:19" ht="15.75" customHeight="1" x14ac:dyDescent="0.25">
      <c r="A137" s="127" t="s">
        <v>126</v>
      </c>
      <c r="B137" s="128"/>
      <c r="C137" s="90">
        <v>7</v>
      </c>
      <c r="D137" s="91">
        <f ca="1">((100/(D132+F132+H132))*C137)/100</f>
        <v>0.875</v>
      </c>
      <c r="E137" s="132"/>
      <c r="F137" s="133"/>
      <c r="G137" s="132"/>
      <c r="H137" s="137"/>
      <c r="I137" s="13" t="s">
        <v>100</v>
      </c>
      <c r="J137" s="27">
        <f ca="1">(IF(B132&gt;1,(H132/(B132+2)),H132/4))</f>
        <v>1.75</v>
      </c>
      <c r="S137"/>
    </row>
    <row r="138" spans="1:19" ht="15.75" customHeight="1" x14ac:dyDescent="0.25">
      <c r="A138" s="127" t="s">
        <v>133</v>
      </c>
      <c r="B138" s="128" t="s">
        <v>127</v>
      </c>
      <c r="C138" s="90">
        <v>0</v>
      </c>
      <c r="D138" s="91">
        <f ca="1">((100/H132)*C138)/100</f>
        <v>0</v>
      </c>
      <c r="E138" s="132"/>
      <c r="F138" s="133"/>
      <c r="G138" s="132"/>
      <c r="H138" s="137"/>
      <c r="I138" s="13" t="s">
        <v>101</v>
      </c>
      <c r="J138" s="27">
        <f ca="1">(IF(B132&gt;1,(H132/(B132+2)+J137),H132/4+J137))</f>
        <v>3.5</v>
      </c>
    </row>
    <row r="139" spans="1:19" ht="15.75" customHeight="1" x14ac:dyDescent="0.25">
      <c r="A139" s="127" t="s">
        <v>134</v>
      </c>
      <c r="B139" s="128" t="s">
        <v>127</v>
      </c>
      <c r="C139" s="90">
        <v>0</v>
      </c>
      <c r="D139" s="91">
        <f ca="1">((100/H132)*C139)/100</f>
        <v>0</v>
      </c>
      <c r="E139" s="132"/>
      <c r="F139" s="133"/>
      <c r="G139" s="132"/>
      <c r="H139" s="137"/>
      <c r="I139" s="13" t="s">
        <v>145</v>
      </c>
      <c r="J139" s="27">
        <f>(IF(B132&gt;1,(H132/(B132+2)+J138),0))</f>
        <v>0</v>
      </c>
    </row>
    <row r="140" spans="1:19" ht="15" customHeight="1" x14ac:dyDescent="0.25">
      <c r="A140" s="127" t="s">
        <v>132</v>
      </c>
      <c r="B140" s="128" t="s">
        <v>129</v>
      </c>
      <c r="C140" s="90">
        <v>0</v>
      </c>
      <c r="D140" s="91">
        <f ca="1">((100/(H132))*C140)/100</f>
        <v>0</v>
      </c>
      <c r="E140" s="132"/>
      <c r="F140" s="133"/>
      <c r="G140" s="132"/>
      <c r="H140" s="137"/>
      <c r="I140" s="13" t="s">
        <v>140</v>
      </c>
      <c r="J140" s="27">
        <f>(IF(B132&gt;2,(H132/(B132+2)+J139),0))</f>
        <v>0</v>
      </c>
    </row>
    <row r="141" spans="1:19" ht="15.75" customHeight="1" x14ac:dyDescent="0.25">
      <c r="A141" s="127" t="s">
        <v>128</v>
      </c>
      <c r="B141" s="128" t="s">
        <v>128</v>
      </c>
      <c r="C141" s="90">
        <v>0</v>
      </c>
      <c r="D141" s="91">
        <f ca="1">((100/H132)*C141)/100</f>
        <v>0</v>
      </c>
      <c r="E141" s="132"/>
      <c r="F141" s="133"/>
      <c r="G141" s="132"/>
      <c r="H141" s="137"/>
      <c r="I141" s="13" t="s">
        <v>141</v>
      </c>
      <c r="J141" s="28">
        <f>(IF(B132&gt;3,(H132/(B132+2)+J140),0))</f>
        <v>0</v>
      </c>
    </row>
    <row r="142" spans="1:19" ht="15.75" customHeight="1" x14ac:dyDescent="0.25">
      <c r="A142" s="127" t="s">
        <v>135</v>
      </c>
      <c r="B142" s="128"/>
      <c r="C142" s="90">
        <v>0</v>
      </c>
      <c r="D142" s="91">
        <f ca="1">((100/H132)*C142)/100</f>
        <v>0</v>
      </c>
      <c r="E142" s="132"/>
      <c r="F142" s="133"/>
      <c r="G142" s="132"/>
      <c r="H142" s="137"/>
      <c r="I142" s="13" t="s">
        <v>142</v>
      </c>
      <c r="J142" s="27">
        <f>(IF(B132&gt;4,(H132/(B132+2)+J141),0))</f>
        <v>0</v>
      </c>
    </row>
    <row r="143" spans="1:19" ht="15.75" customHeight="1" x14ac:dyDescent="0.25">
      <c r="A143" s="127" t="s">
        <v>130</v>
      </c>
      <c r="B143" s="128" t="s">
        <v>130</v>
      </c>
      <c r="C143" s="90">
        <v>0</v>
      </c>
      <c r="D143" s="91">
        <f ca="1">((100/(H132))*C143)/100</f>
        <v>0</v>
      </c>
      <c r="E143" s="132"/>
      <c r="F143" s="133"/>
      <c r="G143" s="132"/>
      <c r="H143" s="137"/>
      <c r="I143" s="13" t="s">
        <v>146</v>
      </c>
      <c r="J143" s="27">
        <f ca="1">(IF(B132=1,(H132/(B132+3)+J138),IF(B132=0,(H132/4+J138),IF(B132&gt;1,0))))</f>
        <v>5.25</v>
      </c>
    </row>
    <row r="144" spans="1:19" ht="16.5" thickBot="1" x14ac:dyDescent="0.3">
      <c r="A144" s="162" t="s">
        <v>131</v>
      </c>
      <c r="B144" s="163"/>
      <c r="C144" s="92">
        <v>0</v>
      </c>
      <c r="D144" s="93">
        <f ca="1">((100/(H132))*C144)/100</f>
        <v>0</v>
      </c>
      <c r="E144" s="134"/>
      <c r="F144" s="135"/>
      <c r="G144" s="134"/>
      <c r="H144" s="138"/>
      <c r="I144" s="14" t="s">
        <v>102</v>
      </c>
      <c r="J144" s="29">
        <f ca="1">(IF(B132&gt;1.5,(H132/(B132+2)+J138+MAX(0,J139-J138)+MAX(0,J140-J139)+MAX(0,J141-J140)+MAX(0,J142-J141)+MAX(0,J143-J142)),IF(B132=1,(H132/(B132+3)+J143),IF(B132=0,H132/4+J143))))</f>
        <v>7</v>
      </c>
    </row>
    <row r="145" spans="1:22" ht="15.75" customHeight="1" x14ac:dyDescent="0.25">
      <c r="A145" s="118" t="s">
        <v>137</v>
      </c>
      <c r="B145" s="119"/>
      <c r="C145" s="120" t="s">
        <v>395</v>
      </c>
      <c r="D145" s="121"/>
      <c r="E145" s="121"/>
      <c r="F145" s="121"/>
      <c r="G145" s="121"/>
      <c r="H145" s="122"/>
      <c r="I145" s="42" t="str">
        <f ca="1">IF(D158=100%,"All work Completed. Possession granted to the Building.",IF(D157=100%,"All work Completed, Waiting for OC",I146&amp;""&amp;I147&amp;""&amp;J146&amp;""&amp;J145&amp;" "&amp;J147))</f>
        <v>Excavation, Plinth Completed, RCC upto 4 Slab Completed</v>
      </c>
      <c r="J145" s="43"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RCC upto 4 Slab</v>
      </c>
      <c r="S145"/>
    </row>
    <row r="146" spans="1:22" x14ac:dyDescent="0.25">
      <c r="A146" s="15" t="s">
        <v>139</v>
      </c>
      <c r="B146" s="46">
        <f>IF(AND(ISNUMBER(SEARCH("1B",C145))),1,IF(AND(ISNUMBER(SEARCH("2B",C145))),2,IF(AND(ISNUMBER(SEARCH("3B",C145))),3,IF(AND(ISNUMBER(SEARCH("4B",C145))),4,IF(ISNUMBER(SEARCH("5B",C145)),5,0)))))</f>
        <v>0</v>
      </c>
      <c r="C146" s="46" t="s">
        <v>69</v>
      </c>
      <c r="D146" s="46">
        <v>1</v>
      </c>
      <c r="E146" s="46" t="s">
        <v>68</v>
      </c>
      <c r="F146" s="46">
        <v>0</v>
      </c>
      <c r="G146" s="46" t="s">
        <v>77</v>
      </c>
      <c r="H146" s="16">
        <f ca="1">--TRIM(RIGHT(SUBSTITUTE(LEFT(C145,_xlfn.AGGREGATE(16,6,FIND({0,1,2,3,4,5,6,7,8,9},C145,ROW(INDIRECT("1:"&amp;LEN(C145)))),1))," ",REPT(" ",LEN(C145))),LEN(C145)))</f>
        <v>7</v>
      </c>
      <c r="I146" s="44" t="str">
        <f ca="1">IF(D149=100%,"Excavation","")&amp;IF(D150=100%,", Plinth","")&amp;IF(D151=100%,", RCC Slab","")&amp;IF(D152=100%,", Brickwork","")&amp;IF(D153=100%,", Internal Plaster","")&amp;IF(D154=100%,", External Plaster","")&amp;IF(D155=100%,", Flooring","")&amp;IF(D156=100%,", Painting","")&amp;IF(D157=100%,", Building common Amenities","")</f>
        <v>Excavation, Plinth</v>
      </c>
      <c r="J146" s="45" t="str">
        <f ca="1">(IF(C149=0,"Work not yet Started.",IF(D149=25%,"Piling work in process",IF(D149=50%,"Excavation work in process",IF(D149=100%,"","0")))))&amp;(IF(C150=0%,"",IF(C150=J151,", Footing work is process",IF(C150=J152,", Footing work Completed",IF(C150=J153,", 1st Basement Completed",IF(C150=J154,", 1st &amp; 2nd Basement Completed",IF(C150=J155,", 1st to 3rd Basement Completed",IF(C150=J156,", 1st to 4th Basement Completed",IF(C150=J157,", Plinth work is process",IF(C150=J158,"","0"))))))))))</f>
        <v/>
      </c>
      <c r="S146"/>
    </row>
    <row r="147" spans="1:22" x14ac:dyDescent="0.25">
      <c r="A147" s="123" t="s">
        <v>87</v>
      </c>
      <c r="B147" s="124"/>
      <c r="C147" s="125" t="str">
        <f ca="1">I145</f>
        <v>Excavation, Plinth Completed, RCC upto 4 Slab Completed</v>
      </c>
      <c r="D147" s="125"/>
      <c r="E147" s="125"/>
      <c r="F147" s="125"/>
      <c r="G147" s="125"/>
      <c r="H147" s="126"/>
      <c r="I147" s="44" t="str">
        <f ca="1">IF(I146&lt;&gt;""," Completed","")</f>
        <v xml:space="preserve"> Completed</v>
      </c>
      <c r="J147" s="45" t="str">
        <f ca="1">IF(J145&lt;&gt;"","Completed","")</f>
        <v>Completed</v>
      </c>
      <c r="S147"/>
    </row>
    <row r="148" spans="1:22" ht="15.75" customHeight="1" x14ac:dyDescent="0.25">
      <c r="A148" s="127" t="s">
        <v>47</v>
      </c>
      <c r="B148" s="128"/>
      <c r="C148" s="100" t="s">
        <v>136</v>
      </c>
      <c r="D148" s="100" t="s">
        <v>80</v>
      </c>
      <c r="E148" s="128" t="s">
        <v>82</v>
      </c>
      <c r="F148" s="128"/>
      <c r="G148" s="128" t="s">
        <v>81</v>
      </c>
      <c r="H148" s="129"/>
      <c r="I148" s="13" t="s">
        <v>138</v>
      </c>
      <c r="J148" s="25">
        <f ca="1">H146*25%</f>
        <v>1.75</v>
      </c>
      <c r="S148"/>
    </row>
    <row r="149" spans="1:22" x14ac:dyDescent="0.25">
      <c r="A149" s="127" t="s">
        <v>125</v>
      </c>
      <c r="B149" s="128"/>
      <c r="C149" s="100">
        <f ca="1">J150</f>
        <v>7</v>
      </c>
      <c r="D149" s="91">
        <f ca="1">((100/H146)*C149)/100</f>
        <v>1</v>
      </c>
      <c r="E149" s="130">
        <f ca="1">(((C150/H146*10)+(40/(D146+F146+H146)*C151)+(7.5/(H146)*C152)+(7.5/(H146)*C153)+(10/H146*C154)+(10/H146*C155)+(5/H146*C156)+(5/H146*C157)+(5/H146*C158))/100)</f>
        <v>0.3</v>
      </c>
      <c r="F149" s="131"/>
      <c r="G149" s="130">
        <f ca="1">((((C149/H146)*20)+((C150/H146)*25)+(30/(H146+F146+D146)*C151)+(5/H146*C152)+(5/H146*C153)+(5/H146*C154)+(5/H146*C155)+(0/H146*C156)+(0/H146*C157)+(5/H146*C158))/100)</f>
        <v>0.6</v>
      </c>
      <c r="H149" s="136"/>
      <c r="I149" s="13" t="s">
        <v>98</v>
      </c>
      <c r="J149" s="26">
        <f ca="1">H146*50%</f>
        <v>3.5</v>
      </c>
    </row>
    <row r="150" spans="1:22" x14ac:dyDescent="0.25">
      <c r="A150" s="127" t="s">
        <v>48</v>
      </c>
      <c r="B150" s="128"/>
      <c r="C150" s="94">
        <v>7</v>
      </c>
      <c r="D150" s="91">
        <f ca="1">((100/H146)*C150)/100</f>
        <v>1</v>
      </c>
      <c r="E150" s="132"/>
      <c r="F150" s="133"/>
      <c r="G150" s="132"/>
      <c r="H150" s="137"/>
      <c r="I150" s="13" t="s">
        <v>99</v>
      </c>
      <c r="J150" s="26">
        <f ca="1">H146</f>
        <v>7</v>
      </c>
      <c r="S150"/>
    </row>
    <row r="151" spans="1:22" ht="15.75" customHeight="1" x14ac:dyDescent="0.25">
      <c r="A151" s="127" t="s">
        <v>126</v>
      </c>
      <c r="B151" s="128"/>
      <c r="C151" s="100">
        <v>4</v>
      </c>
      <c r="D151" s="91">
        <f ca="1">((100/(D146+F146+H146))*C151)/100</f>
        <v>0.5</v>
      </c>
      <c r="E151" s="132"/>
      <c r="F151" s="133"/>
      <c r="G151" s="132"/>
      <c r="H151" s="137"/>
      <c r="I151" s="13" t="s">
        <v>100</v>
      </c>
      <c r="J151" s="27">
        <f ca="1">(IF(B146&gt;1,(H146/(B146+2)),H146/4))</f>
        <v>1.75</v>
      </c>
      <c r="S151"/>
    </row>
    <row r="152" spans="1:22" ht="15.75" customHeight="1" x14ac:dyDescent="0.25">
      <c r="A152" s="127" t="s">
        <v>133</v>
      </c>
      <c r="B152" s="128" t="s">
        <v>127</v>
      </c>
      <c r="C152" s="100">
        <v>0</v>
      </c>
      <c r="D152" s="91">
        <f ca="1">((100/H146)*C152)/100</f>
        <v>0</v>
      </c>
      <c r="E152" s="132"/>
      <c r="F152" s="133"/>
      <c r="G152" s="132"/>
      <c r="H152" s="137"/>
      <c r="I152" s="13" t="s">
        <v>101</v>
      </c>
      <c r="J152" s="27">
        <f ca="1">(IF(B146&gt;1,(H146/(B146+2)+J151),H146/4+J151))</f>
        <v>3.5</v>
      </c>
    </row>
    <row r="153" spans="1:22" ht="15.75" customHeight="1" x14ac:dyDescent="0.25">
      <c r="A153" s="127" t="s">
        <v>134</v>
      </c>
      <c r="B153" s="128" t="s">
        <v>127</v>
      </c>
      <c r="C153" s="100">
        <v>0</v>
      </c>
      <c r="D153" s="91">
        <f ca="1">((100/H146)*C153)/100</f>
        <v>0</v>
      </c>
      <c r="E153" s="132"/>
      <c r="F153" s="133"/>
      <c r="G153" s="132"/>
      <c r="H153" s="137"/>
      <c r="I153" s="13" t="s">
        <v>145</v>
      </c>
      <c r="J153" s="27">
        <f>(IF(B146&gt;1,(H146/(B146+2)+J152),0))</f>
        <v>0</v>
      </c>
    </row>
    <row r="154" spans="1:22" ht="15" customHeight="1" x14ac:dyDescent="0.25">
      <c r="A154" s="127" t="s">
        <v>132</v>
      </c>
      <c r="B154" s="128" t="s">
        <v>129</v>
      </c>
      <c r="C154" s="100">
        <v>0</v>
      </c>
      <c r="D154" s="91">
        <f ca="1">((100/(H146))*C154)/100</f>
        <v>0</v>
      </c>
      <c r="E154" s="132"/>
      <c r="F154" s="133"/>
      <c r="G154" s="132"/>
      <c r="H154" s="137"/>
      <c r="I154" s="13" t="s">
        <v>140</v>
      </c>
      <c r="J154" s="27">
        <f>(IF(B146&gt;2,(H146/(B146+2)+J153),0))</f>
        <v>0</v>
      </c>
    </row>
    <row r="155" spans="1:22" ht="15.75" customHeight="1" x14ac:dyDescent="0.25">
      <c r="A155" s="127" t="s">
        <v>128</v>
      </c>
      <c r="B155" s="128" t="s">
        <v>128</v>
      </c>
      <c r="C155" s="100">
        <v>0</v>
      </c>
      <c r="D155" s="91">
        <f ca="1">((100/H146)*C155)/100</f>
        <v>0</v>
      </c>
      <c r="E155" s="132"/>
      <c r="F155" s="133"/>
      <c r="G155" s="132"/>
      <c r="H155" s="137"/>
      <c r="I155" s="13" t="s">
        <v>141</v>
      </c>
      <c r="J155" s="28">
        <f>(IF(B146&gt;3,(H146/(B146+2)+J154),0))</f>
        <v>0</v>
      </c>
    </row>
    <row r="156" spans="1:22" ht="15.75" customHeight="1" x14ac:dyDescent="0.25">
      <c r="A156" s="127" t="s">
        <v>135</v>
      </c>
      <c r="B156" s="128"/>
      <c r="C156" s="100">
        <v>0</v>
      </c>
      <c r="D156" s="91">
        <f ca="1">((100/H146)*C156)/100</f>
        <v>0</v>
      </c>
      <c r="E156" s="132"/>
      <c r="F156" s="133"/>
      <c r="G156" s="132"/>
      <c r="H156" s="137"/>
      <c r="I156" s="13" t="s">
        <v>142</v>
      </c>
      <c r="J156" s="27">
        <f>(IF(B146&gt;4,(H146/(B146+2)+J155),0))</f>
        <v>0</v>
      </c>
    </row>
    <row r="157" spans="1:22" ht="15.75" customHeight="1" x14ac:dyDescent="0.25">
      <c r="A157" s="127" t="s">
        <v>130</v>
      </c>
      <c r="B157" s="128" t="s">
        <v>130</v>
      </c>
      <c r="C157" s="100">
        <v>0</v>
      </c>
      <c r="D157" s="91">
        <f ca="1">((100/(H146))*C157)/100</f>
        <v>0</v>
      </c>
      <c r="E157" s="132"/>
      <c r="F157" s="133"/>
      <c r="G157" s="132"/>
      <c r="H157" s="137"/>
      <c r="I157" s="13" t="s">
        <v>146</v>
      </c>
      <c r="J157" s="27">
        <f ca="1">(IF(B146=1,(H146/(B146+3)+J152),IF(B146=0,(H146/4+J152),IF(B146&gt;1,0))))</f>
        <v>5.25</v>
      </c>
    </row>
    <row r="158" spans="1:22" ht="16.5" thickBot="1" x14ac:dyDescent="0.3">
      <c r="A158" s="162" t="s">
        <v>131</v>
      </c>
      <c r="B158" s="163"/>
      <c r="C158" s="101">
        <v>0</v>
      </c>
      <c r="D158" s="93">
        <f ca="1">((100/(H146))*C158)/100</f>
        <v>0</v>
      </c>
      <c r="E158" s="134"/>
      <c r="F158" s="135"/>
      <c r="G158" s="134"/>
      <c r="H158" s="138"/>
      <c r="I158" s="14" t="s">
        <v>102</v>
      </c>
      <c r="J158" s="29">
        <f ca="1">(IF(B146&gt;1.5,(H146/(B146+2)+J152+MAX(0,J153-J152)+MAX(0,J154-J153)+MAX(0,J155-J154)+MAX(0,J156-J155)+MAX(0,J157-J156)),IF(B146=1,(H146/(B146+3)+J157),IF(B146=0,H146/4+J157))))</f>
        <v>7</v>
      </c>
    </row>
    <row r="159" spans="1:22" x14ac:dyDescent="0.25">
      <c r="A159" s="247" t="s">
        <v>157</v>
      </c>
      <c r="B159" s="247"/>
      <c r="C159" s="247"/>
      <c r="D159" s="247"/>
      <c r="E159" s="247"/>
      <c r="F159" s="189" t="s">
        <v>161</v>
      </c>
      <c r="G159" s="189"/>
      <c r="H159" s="189"/>
      <c r="I159" s="95"/>
      <c r="J159" s="95" t="s">
        <v>385</v>
      </c>
      <c r="K159" s="95" t="s">
        <v>386</v>
      </c>
      <c r="L159" s="95" t="s">
        <v>387</v>
      </c>
      <c r="M159" s="95" t="s">
        <v>388</v>
      </c>
      <c r="N159" s="95"/>
      <c r="R159" t="s">
        <v>256</v>
      </c>
      <c r="S159" t="s">
        <v>173</v>
      </c>
      <c r="T159" t="s">
        <v>180</v>
      </c>
      <c r="U159" t="s">
        <v>195</v>
      </c>
      <c r="V159" t="s">
        <v>190</v>
      </c>
    </row>
    <row r="160" spans="1:22" x14ac:dyDescent="0.25">
      <c r="A160" s="144" t="s">
        <v>159</v>
      </c>
      <c r="B160" s="144"/>
      <c r="C160" s="144"/>
      <c r="D160" s="144"/>
      <c r="E160" s="144"/>
      <c r="F160" s="141">
        <v>6200</v>
      </c>
      <c r="G160" s="141"/>
      <c r="H160" s="141"/>
      <c r="I160" s="99">
        <f>AVERAGE(J160:M160)</f>
        <v>6117.5377772325883</v>
      </c>
      <c r="J160" s="99">
        <f>AVERAGE(J207,J227,J244)</f>
        <v>6570.151108930354</v>
      </c>
      <c r="K160" s="95">
        <v>5500</v>
      </c>
      <c r="L160" s="95">
        <v>6500</v>
      </c>
      <c r="M160" s="95">
        <v>5900</v>
      </c>
      <c r="N160" s="95"/>
      <c r="R160"/>
      <c r="S160">
        <v>800000</v>
      </c>
      <c r="T160">
        <v>150000</v>
      </c>
      <c r="U160">
        <v>100000</v>
      </c>
      <c r="V160">
        <v>100000</v>
      </c>
    </row>
    <row r="161" spans="1:22" hidden="1" x14ac:dyDescent="0.25">
      <c r="A161" s="144" t="s">
        <v>158</v>
      </c>
      <c r="B161" s="144"/>
      <c r="C161" s="144"/>
      <c r="D161" s="144"/>
      <c r="E161" s="144"/>
      <c r="F161" s="141"/>
      <c r="G161" s="141"/>
      <c r="H161" s="141"/>
      <c r="I161" s="95"/>
      <c r="J161" s="95"/>
      <c r="K161" s="95"/>
      <c r="L161" s="95"/>
      <c r="M161" s="95"/>
      <c r="N161" s="95"/>
      <c r="R161"/>
      <c r="S161">
        <v>900000</v>
      </c>
      <c r="T161">
        <v>200000</v>
      </c>
      <c r="U161">
        <v>150000</v>
      </c>
      <c r="V161">
        <v>150000</v>
      </c>
    </row>
    <row r="162" spans="1:22" hidden="1" x14ac:dyDescent="0.25">
      <c r="A162" s="144" t="s">
        <v>160</v>
      </c>
      <c r="B162" s="144"/>
      <c r="C162" s="144"/>
      <c r="D162" s="144"/>
      <c r="E162" s="144"/>
      <c r="F162" s="141"/>
      <c r="G162" s="141"/>
      <c r="H162" s="141"/>
      <c r="I162" s="95"/>
      <c r="J162" s="95"/>
      <c r="K162" s="95"/>
      <c r="L162" s="95"/>
      <c r="M162" s="95"/>
      <c r="N162" s="95"/>
      <c r="R162"/>
      <c r="S162">
        <v>1000000</v>
      </c>
      <c r="T162">
        <v>250000</v>
      </c>
      <c r="U162">
        <v>200000</v>
      </c>
      <c r="V162">
        <v>200000</v>
      </c>
    </row>
    <row r="163" spans="1:22" s="30" customFormat="1" hidden="1" x14ac:dyDescent="0.25">
      <c r="A163" s="144" t="s">
        <v>176</v>
      </c>
      <c r="B163" s="144"/>
      <c r="C163" s="144"/>
      <c r="D163" s="144"/>
      <c r="E163" s="144"/>
      <c r="F163" s="141"/>
      <c r="G163" s="141"/>
      <c r="H163" s="141"/>
      <c r="I163" s="96"/>
      <c r="J163" s="96"/>
      <c r="K163" s="96"/>
      <c r="L163" s="96"/>
      <c r="M163" s="96"/>
      <c r="N163" s="96"/>
      <c r="R163"/>
      <c r="S163">
        <v>1100000</v>
      </c>
      <c r="T163">
        <v>300000</v>
      </c>
      <c r="U163">
        <v>250000</v>
      </c>
      <c r="V163" s="20">
        <v>250000</v>
      </c>
    </row>
    <row r="164" spans="1:22" s="30" customFormat="1" x14ac:dyDescent="0.25">
      <c r="A164" s="144" t="s">
        <v>92</v>
      </c>
      <c r="B164" s="144"/>
      <c r="C164" s="144"/>
      <c r="D164" s="144"/>
      <c r="E164" s="144"/>
      <c r="F164" s="141">
        <v>100000</v>
      </c>
      <c r="G164" s="141"/>
      <c r="H164" s="141"/>
      <c r="I164" s="96"/>
      <c r="J164" s="96"/>
      <c r="K164" s="96"/>
      <c r="L164" s="96"/>
      <c r="M164" s="96"/>
      <c r="N164" s="96"/>
      <c r="R164"/>
      <c r="S164">
        <v>1200000</v>
      </c>
      <c r="T164">
        <v>350000</v>
      </c>
      <c r="U164">
        <v>300000</v>
      </c>
      <c r="V164">
        <v>300000</v>
      </c>
    </row>
    <row r="165" spans="1:22" s="30" customFormat="1" x14ac:dyDescent="0.25">
      <c r="A165" s="144" t="s">
        <v>384</v>
      </c>
      <c r="B165" s="144"/>
      <c r="C165" s="144"/>
      <c r="D165" s="144"/>
      <c r="E165" s="144"/>
      <c r="F165" s="141">
        <v>30000</v>
      </c>
      <c r="G165" s="141"/>
      <c r="H165" s="141"/>
      <c r="I165" s="96"/>
      <c r="J165" s="96"/>
      <c r="K165" s="96"/>
      <c r="L165" s="96"/>
      <c r="M165" s="96"/>
      <c r="N165" s="96"/>
      <c r="R165"/>
      <c r="S165">
        <v>1600000</v>
      </c>
      <c r="T165">
        <v>700000</v>
      </c>
      <c r="U165">
        <v>600000</v>
      </c>
      <c r="V165"/>
    </row>
    <row r="166" spans="1:22" s="30" customFormat="1" hidden="1" x14ac:dyDescent="0.25">
      <c r="A166" s="144" t="s">
        <v>93</v>
      </c>
      <c r="B166" s="144"/>
      <c r="C166" s="144"/>
      <c r="D166" s="144"/>
      <c r="E166" s="144"/>
      <c r="F166" s="141"/>
      <c r="G166" s="141"/>
      <c r="H166" s="141"/>
      <c r="I166" s="96"/>
      <c r="J166" s="96"/>
      <c r="K166" s="96"/>
      <c r="L166" s="96"/>
      <c r="M166" s="96"/>
      <c r="N166" s="96"/>
      <c r="R166"/>
      <c r="S166">
        <v>1300000</v>
      </c>
      <c r="T166">
        <v>400000</v>
      </c>
      <c r="U166">
        <v>350000</v>
      </c>
      <c r="V166" s="20">
        <v>400000</v>
      </c>
    </row>
    <row r="167" spans="1:22" s="30" customFormat="1" hidden="1" x14ac:dyDescent="0.25">
      <c r="A167" s="144" t="s">
        <v>94</v>
      </c>
      <c r="B167" s="144"/>
      <c r="C167" s="144"/>
      <c r="D167" s="144"/>
      <c r="E167" s="144"/>
      <c r="F167" s="141"/>
      <c r="G167" s="141"/>
      <c r="H167" s="141"/>
      <c r="I167" s="96"/>
      <c r="J167" s="96"/>
      <c r="K167" s="96"/>
      <c r="L167" s="96"/>
      <c r="M167" s="96"/>
      <c r="N167" s="96"/>
      <c r="R167"/>
      <c r="S167">
        <v>1400000</v>
      </c>
      <c r="T167">
        <v>500000</v>
      </c>
      <c r="U167">
        <v>400000</v>
      </c>
      <c r="V167"/>
    </row>
    <row r="168" spans="1:22" s="30" customFormat="1" hidden="1" x14ac:dyDescent="0.25">
      <c r="A168" s="144" t="s">
        <v>95</v>
      </c>
      <c r="B168" s="144"/>
      <c r="C168" s="144"/>
      <c r="D168" s="144"/>
      <c r="E168" s="144"/>
      <c r="F168" s="141"/>
      <c r="G168" s="141"/>
      <c r="H168" s="141"/>
      <c r="I168" s="96"/>
      <c r="J168" s="96"/>
      <c r="K168" s="96"/>
      <c r="L168" s="96"/>
      <c r="M168" s="96"/>
      <c r="N168" s="96"/>
      <c r="R168"/>
      <c r="S168">
        <v>1500000</v>
      </c>
      <c r="T168">
        <v>600000</v>
      </c>
      <c r="U168">
        <v>500000</v>
      </c>
      <c r="V168" s="20"/>
    </row>
    <row r="169" spans="1:22" s="30" customFormat="1" hidden="1" x14ac:dyDescent="0.25">
      <c r="A169" s="144" t="s">
        <v>96</v>
      </c>
      <c r="B169" s="144"/>
      <c r="C169" s="144"/>
      <c r="D169" s="144"/>
      <c r="E169" s="144"/>
      <c r="F169" s="141"/>
      <c r="G169" s="141"/>
      <c r="H169" s="141"/>
      <c r="I169" s="96"/>
      <c r="J169" s="96"/>
      <c r="K169" s="96"/>
      <c r="L169" s="96"/>
      <c r="M169" s="96"/>
      <c r="N169" s="96"/>
      <c r="R169"/>
      <c r="S169">
        <v>1600000</v>
      </c>
      <c r="T169">
        <v>700000</v>
      </c>
      <c r="U169">
        <v>600000</v>
      </c>
      <c r="V169"/>
    </row>
    <row r="170" spans="1:22" s="30" customFormat="1" hidden="1" x14ac:dyDescent="0.25">
      <c r="A170" s="144" t="s">
        <v>97</v>
      </c>
      <c r="B170" s="144"/>
      <c r="C170" s="144"/>
      <c r="D170" s="144"/>
      <c r="E170" s="144"/>
      <c r="F170" s="141"/>
      <c r="G170" s="141"/>
      <c r="H170" s="141"/>
      <c r="I170" s="96"/>
      <c r="J170" s="96"/>
      <c r="K170" s="96"/>
      <c r="L170" s="96"/>
      <c r="M170" s="96"/>
      <c r="N170" s="96"/>
      <c r="R170"/>
      <c r="S170">
        <v>1700000</v>
      </c>
      <c r="T170">
        <v>800000</v>
      </c>
      <c r="U170"/>
      <c r="V170" s="20"/>
    </row>
    <row r="171" spans="1:22" x14ac:dyDescent="0.25">
      <c r="A171" s="144" t="s">
        <v>49</v>
      </c>
      <c r="B171" s="144"/>
      <c r="C171" s="144"/>
      <c r="D171" s="144"/>
      <c r="E171" s="144"/>
      <c r="F171" s="141">
        <v>300000</v>
      </c>
      <c r="G171" s="141"/>
      <c r="H171" s="141"/>
      <c r="I171" s="95"/>
      <c r="J171" s="95"/>
      <c r="K171" s="95"/>
      <c r="L171" s="95"/>
      <c r="M171" s="95"/>
      <c r="N171" s="95"/>
      <c r="R171"/>
      <c r="S171">
        <v>1800000</v>
      </c>
      <c r="T171">
        <v>900000</v>
      </c>
      <c r="U171"/>
    </row>
    <row r="172" spans="1:22" s="31" customFormat="1" x14ac:dyDescent="0.25">
      <c r="A172" s="199" t="s">
        <v>50</v>
      </c>
      <c r="B172" s="199"/>
      <c r="C172" s="199"/>
      <c r="D172" s="199"/>
      <c r="E172" s="199"/>
      <c r="F172" s="141">
        <f>F160*0.8</f>
        <v>4960</v>
      </c>
      <c r="G172" s="141"/>
      <c r="H172" s="141"/>
      <c r="I172" s="97"/>
      <c r="J172" s="97"/>
      <c r="K172" s="97"/>
      <c r="L172" s="97"/>
      <c r="M172" s="97"/>
      <c r="N172" s="97"/>
      <c r="R172" s="18"/>
      <c r="S172" s="18"/>
      <c r="T172">
        <v>1000000</v>
      </c>
      <c r="U172"/>
      <c r="V172" s="18"/>
    </row>
    <row r="173" spans="1:22" s="32" customFormat="1" ht="15.75" hidden="1" customHeight="1" x14ac:dyDescent="0.25">
      <c r="A173" s="198" t="s">
        <v>72</v>
      </c>
      <c r="B173" s="198"/>
      <c r="C173" s="198"/>
      <c r="D173" s="198"/>
      <c r="E173" s="198"/>
      <c r="F173" s="198"/>
      <c r="G173" s="198"/>
      <c r="H173" s="198"/>
      <c r="R173"/>
      <c r="S173" s="18"/>
      <c r="T173"/>
      <c r="U173"/>
      <c r="V173" s="18"/>
    </row>
    <row r="174" spans="1:22" s="32" customFormat="1" ht="15.75" hidden="1" customHeight="1" x14ac:dyDescent="0.25">
      <c r="A174" s="143" t="s">
        <v>51</v>
      </c>
      <c r="B174" s="143"/>
      <c r="C174" s="152" t="s">
        <v>75</v>
      </c>
      <c r="D174" s="152"/>
      <c r="E174" s="150" t="s">
        <v>52</v>
      </c>
      <c r="F174" s="150"/>
      <c r="G174" s="143" t="s">
        <v>53</v>
      </c>
      <c r="H174" s="143"/>
      <c r="R174"/>
      <c r="S174" s="18"/>
      <c r="T174"/>
      <c r="U174" s="18"/>
      <c r="V174" s="18"/>
    </row>
    <row r="175" spans="1:22" s="32" customFormat="1" hidden="1" x14ac:dyDescent="0.25">
      <c r="A175" s="151"/>
      <c r="B175" s="151"/>
      <c r="C175" s="229"/>
      <c r="D175" s="229"/>
      <c r="E175" s="230"/>
      <c r="F175" s="230"/>
      <c r="G175" s="161"/>
      <c r="H175" s="161"/>
      <c r="R175"/>
      <c r="S175" s="18"/>
      <c r="T175"/>
      <c r="U175" s="18"/>
      <c r="V175" s="18"/>
    </row>
    <row r="176" spans="1:22" s="32" customFormat="1" hidden="1" x14ac:dyDescent="0.25">
      <c r="A176" s="151"/>
      <c r="B176" s="151"/>
      <c r="C176" s="229"/>
      <c r="D176" s="229"/>
      <c r="E176" s="230"/>
      <c r="F176" s="230"/>
      <c r="G176" s="161"/>
      <c r="H176" s="161"/>
      <c r="R176"/>
      <c r="S176" s="18"/>
      <c r="T176"/>
      <c r="U176" s="18"/>
      <c r="V176" s="18"/>
    </row>
    <row r="177" spans="1:22" s="32" customFormat="1" hidden="1" x14ac:dyDescent="0.25">
      <c r="A177" s="198" t="s">
        <v>150</v>
      </c>
      <c r="B177" s="198"/>
      <c r="C177" s="152"/>
      <c r="D177" s="152"/>
      <c r="E177" s="150"/>
      <c r="F177" s="150"/>
      <c r="G177" s="143"/>
      <c r="H177" s="143"/>
      <c r="R177"/>
      <c r="S177" s="18"/>
      <c r="T177"/>
      <c r="U177" s="18"/>
      <c r="V177" s="18"/>
    </row>
    <row r="178" spans="1:22" s="32" customFormat="1" x14ac:dyDescent="0.25">
      <c r="A178" s="198" t="s">
        <v>67</v>
      </c>
      <c r="B178" s="198"/>
      <c r="C178" s="198"/>
      <c r="D178" s="198"/>
      <c r="E178" s="198"/>
      <c r="F178" s="198"/>
      <c r="G178" s="198"/>
      <c r="H178" s="198"/>
      <c r="T178"/>
    </row>
    <row r="179" spans="1:22" s="32" customFormat="1" ht="15.75" customHeight="1" x14ac:dyDescent="0.25">
      <c r="A179" s="143" t="s">
        <v>51</v>
      </c>
      <c r="B179" s="143"/>
      <c r="C179" s="152" t="s">
        <v>75</v>
      </c>
      <c r="D179" s="152"/>
      <c r="E179" s="150" t="s">
        <v>52</v>
      </c>
      <c r="F179" s="150"/>
      <c r="G179" s="143" t="s">
        <v>53</v>
      </c>
      <c r="H179" s="143"/>
      <c r="T179"/>
    </row>
    <row r="180" spans="1:22" s="32" customFormat="1" x14ac:dyDescent="0.25">
      <c r="A180" s="244" t="s">
        <v>363</v>
      </c>
      <c r="B180" s="81" t="s">
        <v>364</v>
      </c>
      <c r="C180" s="195">
        <f>COUNT(F204:F205)+COUNT(F207:F210)*6</f>
        <v>26</v>
      </c>
      <c r="D180" s="195"/>
      <c r="E180" s="195">
        <f>SUM(F204:F205)+SUM(F207:F210)*6</f>
        <v>14848.937999999998</v>
      </c>
      <c r="F180" s="195"/>
      <c r="G180" s="195">
        <f>SUM(H204:H205)+SUM(H207:H210)*6</f>
        <v>21530.960099999997</v>
      </c>
      <c r="H180" s="195"/>
      <c r="T180"/>
    </row>
    <row r="181" spans="1:22" s="32" customFormat="1" x14ac:dyDescent="0.25">
      <c r="A181" s="245"/>
      <c r="B181" s="81" t="s">
        <v>365</v>
      </c>
      <c r="C181" s="195">
        <f>COUNT(F213:F214)+COUNT(F216:F219)*6</f>
        <v>26</v>
      </c>
      <c r="D181" s="195"/>
      <c r="E181" s="195">
        <f>SUM(F213:F214)+SUM(F216:F219)*6</f>
        <v>14848.937999999998</v>
      </c>
      <c r="F181" s="195"/>
      <c r="G181" s="195">
        <f>SUM(H213:H214)+SUM(H216:H219)*6</f>
        <v>21530.960099999997</v>
      </c>
      <c r="H181" s="195"/>
      <c r="T181"/>
    </row>
    <row r="182" spans="1:22" s="32" customFormat="1" x14ac:dyDescent="0.25">
      <c r="A182" s="244" t="s">
        <v>379</v>
      </c>
      <c r="B182" s="81" t="s">
        <v>364</v>
      </c>
      <c r="C182" s="195">
        <f>COUNT(F223:F224)+COUNT(F226:F229)*7</f>
        <v>30</v>
      </c>
      <c r="D182" s="195"/>
      <c r="E182" s="195">
        <f>SUM(F223:F224)+SUM(F226:F229)*7</f>
        <v>17157.277799999996</v>
      </c>
      <c r="F182" s="195"/>
      <c r="G182" s="195">
        <f>SUM(H223:H224)+SUM(H226:H229)*7</f>
        <v>24878.052809999997</v>
      </c>
      <c r="H182" s="195"/>
      <c r="T182"/>
    </row>
    <row r="183" spans="1:22" s="32" customFormat="1" x14ac:dyDescent="0.25">
      <c r="A183" s="245"/>
      <c r="B183" s="81" t="s">
        <v>365</v>
      </c>
      <c r="C183" s="195">
        <f>COUNT(F232:F233)+COUNT(F235:F238)*7</f>
        <v>30</v>
      </c>
      <c r="D183" s="195"/>
      <c r="E183" s="195">
        <f>SUM(F232:F233)+SUM(F235:F238)*7</f>
        <v>17157.277799999996</v>
      </c>
      <c r="F183" s="195"/>
      <c r="G183" s="195">
        <f>SUM(H232:H233)+SUM(H235:H238)*7</f>
        <v>24878.052809999997</v>
      </c>
      <c r="H183" s="195"/>
      <c r="T183"/>
    </row>
    <row r="184" spans="1:22" s="32" customFormat="1" x14ac:dyDescent="0.25">
      <c r="A184" s="244" t="s">
        <v>373</v>
      </c>
      <c r="B184" s="81" t="s">
        <v>364</v>
      </c>
      <c r="C184" s="195">
        <f>COUNT(F243:F250)*7</f>
        <v>56</v>
      </c>
      <c r="D184" s="195"/>
      <c r="E184" s="195">
        <f>SUM(F243:F250)*7</f>
        <v>30146.358059999995</v>
      </c>
      <c r="F184" s="195"/>
      <c r="G184" s="195">
        <f>SUM(H243:H250)*7</f>
        <v>43712.219186999995</v>
      </c>
      <c r="H184" s="195"/>
      <c r="T184"/>
    </row>
    <row r="185" spans="1:22" s="32" customFormat="1" x14ac:dyDescent="0.25">
      <c r="A185" s="246"/>
      <c r="B185" s="81" t="s">
        <v>365</v>
      </c>
      <c r="C185" s="195">
        <f>COUNT(F254:F261)*7</f>
        <v>56</v>
      </c>
      <c r="D185" s="195"/>
      <c r="E185" s="195">
        <f>SUM(F254:F261)*7</f>
        <v>26526.263399999996</v>
      </c>
      <c r="F185" s="195"/>
      <c r="G185" s="195">
        <f>SUM(H254:H261)*7</f>
        <v>38463.081929999993</v>
      </c>
      <c r="H185" s="195"/>
      <c r="T185"/>
    </row>
    <row r="186" spans="1:22" s="32" customFormat="1" x14ac:dyDescent="0.25">
      <c r="A186" s="245"/>
      <c r="B186" s="81" t="s">
        <v>375</v>
      </c>
      <c r="C186" s="195">
        <f>COUNT(F265:F272)*7</f>
        <v>56</v>
      </c>
      <c r="D186" s="195"/>
      <c r="E186" s="195">
        <f>SUM(F265:F272)*7</f>
        <v>30054.433499999999</v>
      </c>
      <c r="F186" s="195"/>
      <c r="G186" s="195">
        <f>SUM(H265:H272)*7</f>
        <v>43578.928574999998</v>
      </c>
      <c r="H186" s="195"/>
      <c r="T186"/>
    </row>
    <row r="187" spans="1:22" s="32" customFormat="1" x14ac:dyDescent="0.25">
      <c r="A187" s="198" t="s">
        <v>150</v>
      </c>
      <c r="B187" s="198"/>
      <c r="C187" s="164">
        <f>SUM(C180:C186)</f>
        <v>280</v>
      </c>
      <c r="D187" s="152"/>
      <c r="E187" s="239">
        <f>SUM(E180:E186)</f>
        <v>150739.48655999999</v>
      </c>
      <c r="F187" s="150"/>
      <c r="G187" s="143">
        <f>SUM(G180:G186)</f>
        <v>218572.25551199997</v>
      </c>
      <c r="H187" s="143"/>
      <c r="T187"/>
    </row>
    <row r="188" spans="1:22" s="32" customFormat="1" ht="16.5" hidden="1" thickBot="1" x14ac:dyDescent="0.3">
      <c r="A188" s="225" t="s">
        <v>167</v>
      </c>
      <c r="B188" s="226"/>
      <c r="C188" s="227">
        <f>C177+C187</f>
        <v>280</v>
      </c>
      <c r="D188" s="227"/>
      <c r="E188" s="240">
        <f>E177+E187</f>
        <v>150739.48655999999</v>
      </c>
      <c r="F188" s="240"/>
      <c r="G188" s="231">
        <f>G177+G187</f>
        <v>218572.25551199997</v>
      </c>
      <c r="H188" s="232"/>
      <c r="T188"/>
    </row>
    <row r="189" spans="1:22" s="31" customFormat="1" x14ac:dyDescent="0.25">
      <c r="A189" s="191" t="s">
        <v>54</v>
      </c>
      <c r="B189" s="191"/>
      <c r="C189" s="191"/>
      <c r="D189" s="191"/>
      <c r="E189" s="191"/>
      <c r="F189" s="191"/>
      <c r="G189" s="191"/>
      <c r="H189" s="191"/>
      <c r="T189" s="32"/>
    </row>
    <row r="190" spans="1:22" x14ac:dyDescent="0.25">
      <c r="A190" s="142" t="s">
        <v>175</v>
      </c>
      <c r="B190" s="142"/>
      <c r="C190" s="142"/>
      <c r="D190" s="142"/>
      <c r="E190" s="142"/>
      <c r="F190" s="142"/>
      <c r="G190" s="142"/>
      <c r="H190" s="142"/>
      <c r="T190" s="32"/>
    </row>
    <row r="191" spans="1:22" ht="47.25" hidden="1" customHeight="1" x14ac:dyDescent="0.25">
      <c r="A191" s="159" t="s">
        <v>377</v>
      </c>
      <c r="B191" s="159" t="s">
        <v>177</v>
      </c>
      <c r="C191" s="159" t="s">
        <v>55</v>
      </c>
      <c r="D191" s="159" t="s">
        <v>234</v>
      </c>
      <c r="E191" s="187" t="s">
        <v>156</v>
      </c>
      <c r="F191" s="159" t="s">
        <v>56</v>
      </c>
      <c r="G191" s="187" t="s">
        <v>57</v>
      </c>
      <c r="H191" s="85" t="s">
        <v>148</v>
      </c>
      <c r="T191" s="32"/>
    </row>
    <row r="192" spans="1:22" s="34" customFormat="1" hidden="1" x14ac:dyDescent="0.25">
      <c r="A192" s="160"/>
      <c r="B192" s="160"/>
      <c r="C192" s="160"/>
      <c r="D192" s="160"/>
      <c r="E192" s="188"/>
      <c r="F192" s="160"/>
      <c r="G192" s="188"/>
      <c r="H192" s="86">
        <v>0.45</v>
      </c>
      <c r="T192" s="32"/>
    </row>
    <row r="193" spans="1:20" s="34" customFormat="1" hidden="1" x14ac:dyDescent="0.25">
      <c r="A193" s="183" t="s">
        <v>117</v>
      </c>
      <c r="B193" s="184"/>
      <c r="C193" s="184"/>
      <c r="D193" s="184"/>
      <c r="E193" s="184"/>
      <c r="F193" s="184"/>
      <c r="G193" s="184"/>
      <c r="H193" s="185"/>
      <c r="J193" s="33"/>
      <c r="T193" s="32"/>
    </row>
    <row r="194" spans="1:20" s="34" customFormat="1" ht="15.75" hidden="1" customHeight="1" x14ac:dyDescent="0.25">
      <c r="A194" s="145">
        <v>1</v>
      </c>
      <c r="B194" s="146"/>
      <c r="C194" s="87"/>
      <c r="D194" s="87">
        <v>0</v>
      </c>
      <c r="E194" s="87">
        <v>0</v>
      </c>
      <c r="F194" s="87">
        <f>D194+(IF(E194&lt;201,E194,IF(E194&lt;301,E194/2,E194/3)))</f>
        <v>0</v>
      </c>
      <c r="G194" s="88">
        <v>0</v>
      </c>
      <c r="H194" s="87">
        <f>(F194+(IF(G194&lt;101,G194,IF(G194&lt;201,G194/2,IF(G194&lt;=301,G194/3,G194/4)))))*(($H$192)+1)</f>
        <v>0</v>
      </c>
      <c r="I194" s="33"/>
      <c r="L194" s="106"/>
      <c r="M194" s="106"/>
      <c r="N194" s="33"/>
      <c r="T194" s="32"/>
    </row>
    <row r="195" spans="1:20" s="34" customFormat="1" ht="15.75" hidden="1" customHeight="1" x14ac:dyDescent="0.25">
      <c r="A195" s="145">
        <f>A194+1</f>
        <v>2</v>
      </c>
      <c r="B195" s="146"/>
      <c r="C195" s="87"/>
      <c r="D195" s="87"/>
      <c r="E195" s="87">
        <v>0</v>
      </c>
      <c r="F195" s="87">
        <f t="shared" ref="F195:F197" si="0">D195+(IF(E195&lt;201,E195,IF(E195&lt;301,E195/2,E195/3)))</f>
        <v>0</v>
      </c>
      <c r="G195" s="87">
        <v>0</v>
      </c>
      <c r="H195" s="87">
        <f t="shared" ref="H195:H197" si="1">(F195+(IF(G195&lt;101,G195,IF(G195&lt;201,G195/2,IF(G195&lt;=301,G195/3,G195/4)))))*(($H$192)+1)</f>
        <v>0</v>
      </c>
      <c r="I195" s="33"/>
      <c r="L195" s="106"/>
      <c r="M195" s="106"/>
      <c r="N195" s="33"/>
      <c r="T195" s="31"/>
    </row>
    <row r="196" spans="1:20" s="34" customFormat="1" ht="15.75" hidden="1" customHeight="1" x14ac:dyDescent="0.25">
      <c r="A196" s="145">
        <f>A195+1</f>
        <v>3</v>
      </c>
      <c r="B196" s="146"/>
      <c r="C196" s="87"/>
      <c r="D196" s="87"/>
      <c r="E196" s="87">
        <v>0</v>
      </c>
      <c r="F196" s="87">
        <f t="shared" si="0"/>
        <v>0</v>
      </c>
      <c r="G196" s="87">
        <v>0</v>
      </c>
      <c r="H196" s="87">
        <f t="shared" si="1"/>
        <v>0</v>
      </c>
      <c r="I196" s="33"/>
      <c r="L196" s="106"/>
      <c r="M196" s="106"/>
      <c r="N196" s="33"/>
      <c r="T196" s="18"/>
    </row>
    <row r="197" spans="1:20" s="34" customFormat="1" ht="15.75" hidden="1" customHeight="1" x14ac:dyDescent="0.25">
      <c r="A197" s="145">
        <f>A196+1</f>
        <v>4</v>
      </c>
      <c r="B197" s="146"/>
      <c r="C197" s="87"/>
      <c r="D197" s="87"/>
      <c r="E197" s="87">
        <v>0</v>
      </c>
      <c r="F197" s="87">
        <f t="shared" si="0"/>
        <v>0</v>
      </c>
      <c r="G197" s="87">
        <v>0</v>
      </c>
      <c r="H197" s="87">
        <f t="shared" si="1"/>
        <v>0</v>
      </c>
      <c r="I197" s="33"/>
      <c r="L197" s="106"/>
      <c r="M197" s="106"/>
      <c r="N197" s="33"/>
      <c r="T197" s="18"/>
    </row>
    <row r="198" spans="1:20" s="34" customFormat="1" hidden="1" x14ac:dyDescent="0.25">
      <c r="A198" s="145"/>
      <c r="B198" s="190"/>
      <c r="C198" s="190"/>
      <c r="D198" s="190"/>
      <c r="E198" s="190"/>
      <c r="F198" s="190"/>
      <c r="G198" s="190"/>
      <c r="H198" s="146"/>
      <c r="I198" s="33"/>
      <c r="N198" s="33"/>
    </row>
    <row r="199" spans="1:20" ht="47.25" customHeight="1" x14ac:dyDescent="0.25">
      <c r="A199" s="192" t="s">
        <v>378</v>
      </c>
      <c r="B199" s="159" t="s">
        <v>178</v>
      </c>
      <c r="C199" s="159" t="s">
        <v>55</v>
      </c>
      <c r="D199" s="159" t="s">
        <v>234</v>
      </c>
      <c r="E199" s="159" t="s">
        <v>233</v>
      </c>
      <c r="F199" s="159" t="s">
        <v>56</v>
      </c>
      <c r="G199" s="187" t="s">
        <v>57</v>
      </c>
      <c r="H199" s="85" t="s">
        <v>148</v>
      </c>
      <c r="I199" s="33"/>
      <c r="T199" s="34"/>
    </row>
    <row r="200" spans="1:20" s="34" customFormat="1" x14ac:dyDescent="0.25">
      <c r="A200" s="193"/>
      <c r="B200" s="160"/>
      <c r="C200" s="160"/>
      <c r="D200" s="160"/>
      <c r="E200" s="160"/>
      <c r="F200" s="160"/>
      <c r="G200" s="188"/>
      <c r="H200" s="86">
        <v>0.45</v>
      </c>
      <c r="I200" s="33"/>
    </row>
    <row r="201" spans="1:20" s="77" customFormat="1" x14ac:dyDescent="0.25">
      <c r="A201" s="248" t="s">
        <v>363</v>
      </c>
      <c r="B201" s="249"/>
      <c r="C201" s="249"/>
      <c r="D201" s="249"/>
      <c r="E201" s="249"/>
      <c r="F201" s="249"/>
      <c r="G201" s="249"/>
      <c r="H201" s="250"/>
      <c r="J201" s="33"/>
    </row>
    <row r="202" spans="1:20" s="77" customFormat="1" x14ac:dyDescent="0.25">
      <c r="A202" s="183" t="s">
        <v>364</v>
      </c>
      <c r="B202" s="184"/>
      <c r="C202" s="184"/>
      <c r="D202" s="184"/>
      <c r="E202" s="184"/>
      <c r="F202" s="184"/>
      <c r="G202" s="184"/>
      <c r="H202" s="185"/>
      <c r="J202" s="89">
        <v>10.763999999999999</v>
      </c>
    </row>
    <row r="203" spans="1:20" s="77" customFormat="1" x14ac:dyDescent="0.25">
      <c r="A203" s="183" t="s">
        <v>368</v>
      </c>
      <c r="B203" s="184"/>
      <c r="C203" s="184"/>
      <c r="D203" s="184"/>
      <c r="E203" s="184"/>
      <c r="F203" s="184"/>
      <c r="G203" s="184"/>
      <c r="H203" s="185"/>
      <c r="J203" s="33"/>
    </row>
    <row r="204" spans="1:20" s="77" customFormat="1" ht="15.75" customHeight="1" x14ac:dyDescent="0.25">
      <c r="A204" s="145">
        <v>1</v>
      </c>
      <c r="B204" s="146"/>
      <c r="C204" s="87" t="s">
        <v>366</v>
      </c>
      <c r="D204" s="89">
        <f>(48.5)*10.764</f>
        <v>522.05399999999997</v>
      </c>
      <c r="E204" s="89">
        <f>(7.4)*10.764</f>
        <v>79.653599999999997</v>
      </c>
      <c r="F204" s="87">
        <f>D204+E204</f>
        <v>601.70759999999996</v>
      </c>
      <c r="G204" s="87">
        <v>0</v>
      </c>
      <c r="H204" s="87">
        <f>F204*(($H$200)+1)+(IF(G204&lt;101,G204,IF(G204&lt;201,G204/2,IF(G204&lt;=301,G204/3,G204/4))))</f>
        <v>872.47601999999995</v>
      </c>
      <c r="I204" s="33">
        <f>2.7*3.4+3*2.7+3*2.75+3.35*2.8+2*1.05+1.05*2+1.65*1.45+0.9*(3+1.65)</f>
        <v>45.6875</v>
      </c>
      <c r="J204" s="77">
        <f>1.5*2.7+1*3.35</f>
        <v>7.4</v>
      </c>
      <c r="L204" s="106"/>
      <c r="M204" s="106"/>
      <c r="N204" s="33"/>
    </row>
    <row r="205" spans="1:20" s="77" customFormat="1" ht="15.75" customHeight="1" x14ac:dyDescent="0.25">
      <c r="A205" s="107">
        <f>A204+1</f>
        <v>2</v>
      </c>
      <c r="B205" s="108"/>
      <c r="C205" s="76" t="s">
        <v>367</v>
      </c>
      <c r="D205" s="89">
        <f>(29.5)*10.764</f>
        <v>317.53799999999995</v>
      </c>
      <c r="E205" s="89">
        <f>(7.4)*10.764</f>
        <v>79.653599999999997</v>
      </c>
      <c r="F205" s="76">
        <f>D205+E205</f>
        <v>397.19159999999994</v>
      </c>
      <c r="G205" s="76">
        <v>0</v>
      </c>
      <c r="H205" s="76">
        <f>F205*(($H$200)+1)+(IF(G205&lt;101,G205,IF(G205&lt;201,G205/2,IF(G205&lt;=301,G205/3,G205/4))))</f>
        <v>575.92781999999988</v>
      </c>
      <c r="I205" s="33"/>
      <c r="J205" s="77">
        <f>4240000/H210</f>
        <v>6312.1473662209692</v>
      </c>
      <c r="L205" s="106"/>
      <c r="M205" s="106"/>
      <c r="N205" s="33"/>
    </row>
    <row r="206" spans="1:20" s="79" customFormat="1" x14ac:dyDescent="0.25">
      <c r="A206" s="112" t="s">
        <v>370</v>
      </c>
      <c r="B206" s="113"/>
      <c r="C206" s="113"/>
      <c r="D206" s="113"/>
      <c r="E206" s="113"/>
      <c r="F206" s="113"/>
      <c r="G206" s="113"/>
      <c r="H206" s="114"/>
      <c r="J206" s="33"/>
    </row>
    <row r="207" spans="1:20" s="79" customFormat="1" ht="15.75" customHeight="1" x14ac:dyDescent="0.25">
      <c r="A207" s="107">
        <v>1</v>
      </c>
      <c r="B207" s="108"/>
      <c r="C207" s="78" t="s">
        <v>367</v>
      </c>
      <c r="D207" s="89">
        <f>(29.5)*10.764</f>
        <v>317.53799999999995</v>
      </c>
      <c r="E207" s="89">
        <f>(7.5+0.75*(2.75+2.25+3.05))*10.764</f>
        <v>145.71765000000002</v>
      </c>
      <c r="F207" s="78">
        <f>D207+E207</f>
        <v>463.25564999999995</v>
      </c>
      <c r="G207" s="78">
        <v>0</v>
      </c>
      <c r="H207" s="78">
        <f>F207*(($H$200)+1)+(IF(G207&lt;101,G207,IF(G207&lt;201,G207/2,IF(G207&lt;=301,G207/3,G207/4))))</f>
        <v>671.72069249999993</v>
      </c>
      <c r="I207" s="83">
        <f>1.5*2.75+1.1*3.05</f>
        <v>7.48</v>
      </c>
      <c r="J207" s="33">
        <f>4240000/H207</f>
        <v>6312.1473662209692</v>
      </c>
      <c r="L207" s="106"/>
      <c r="M207" s="106"/>
      <c r="N207" s="33"/>
    </row>
    <row r="208" spans="1:20" s="79" customFormat="1" ht="15.75" customHeight="1" x14ac:dyDescent="0.25">
      <c r="A208" s="107">
        <f>A207+1</f>
        <v>2</v>
      </c>
      <c r="B208" s="108"/>
      <c r="C208" s="78" t="s">
        <v>366</v>
      </c>
      <c r="D208" s="89">
        <f>(48.5)*10.764</f>
        <v>522.05399999999997</v>
      </c>
      <c r="E208" s="89">
        <f>(8.9+0.75*(2.7+3+3.35))*10.764</f>
        <v>168.86024999999998</v>
      </c>
      <c r="F208" s="78">
        <f>D208+E208</f>
        <v>690.91424999999992</v>
      </c>
      <c r="G208" s="78">
        <v>0</v>
      </c>
      <c r="H208" s="78">
        <f>F208*(($H$200)+1)+(IF(G208&lt;101,G208,IF(G208&lt;201,G208/2,IF(G208&lt;=301,G208/3,G208/4))))</f>
        <v>1001.8256624999999</v>
      </c>
      <c r="I208" s="84">
        <f>1.5*2.7+1*3.35+1*1.5</f>
        <v>8.9</v>
      </c>
      <c r="L208" s="106"/>
      <c r="M208" s="106"/>
      <c r="N208" s="33"/>
    </row>
    <row r="209" spans="1:20" s="79" customFormat="1" ht="15.75" customHeight="1" x14ac:dyDescent="0.25">
      <c r="A209" s="107">
        <f>A208+1</f>
        <v>3</v>
      </c>
      <c r="B209" s="108"/>
      <c r="C209" s="78" t="s">
        <v>366</v>
      </c>
      <c r="D209" s="89">
        <f>(48.5)*10.764</f>
        <v>522.05399999999997</v>
      </c>
      <c r="E209" s="89">
        <f>(8.9+0.75*(2.7+3+3.35))*10.764</f>
        <v>168.86024999999998</v>
      </c>
      <c r="F209" s="78">
        <f>D209+E209</f>
        <v>690.91424999999992</v>
      </c>
      <c r="G209" s="78">
        <v>0</v>
      </c>
      <c r="H209" s="78">
        <f>F209*(($H$200)+1)+(IF(G209&lt;101,G209,IF(G209&lt;201,G209/2,IF(G209&lt;=301,G209/3,G209/4))))</f>
        <v>1001.8256624999999</v>
      </c>
      <c r="I209" s="33"/>
      <c r="L209" s="106"/>
      <c r="M209" s="106"/>
      <c r="N209" s="33"/>
    </row>
    <row r="210" spans="1:20" s="79" customFormat="1" ht="15.75" customHeight="1" x14ac:dyDescent="0.25">
      <c r="A210" s="107">
        <f>A209+1</f>
        <v>4</v>
      </c>
      <c r="B210" s="108"/>
      <c r="C210" s="78" t="s">
        <v>367</v>
      </c>
      <c r="D210" s="89">
        <f>(29.5)*10.764</f>
        <v>317.53799999999995</v>
      </c>
      <c r="E210" s="89">
        <f>(7.5+0.75*(2.75+2.25+3.05))*10.764</f>
        <v>145.71765000000002</v>
      </c>
      <c r="F210" s="78">
        <f>D210+E210</f>
        <v>463.25564999999995</v>
      </c>
      <c r="G210" s="78">
        <v>0</v>
      </c>
      <c r="H210" s="78">
        <f>F210*(($H$200)+1)+(IF(G210&lt;101,G210,IF(G210&lt;201,G210/2,IF(G210&lt;=301,G210/3,G210/4))))</f>
        <v>671.72069249999993</v>
      </c>
      <c r="I210" s="33"/>
      <c r="L210" s="106"/>
      <c r="M210" s="106"/>
      <c r="N210" s="33"/>
      <c r="T210" s="18"/>
    </row>
    <row r="211" spans="1:20" s="77" customFormat="1" x14ac:dyDescent="0.25">
      <c r="A211" s="112" t="s">
        <v>365</v>
      </c>
      <c r="B211" s="113"/>
      <c r="C211" s="113"/>
      <c r="D211" s="113"/>
      <c r="E211" s="113"/>
      <c r="F211" s="113"/>
      <c r="G211" s="113"/>
      <c r="H211" s="114"/>
      <c r="J211" s="33"/>
    </row>
    <row r="212" spans="1:20" s="77" customFormat="1" x14ac:dyDescent="0.25">
      <c r="A212" s="112" t="s">
        <v>369</v>
      </c>
      <c r="B212" s="113"/>
      <c r="C212" s="113"/>
      <c r="D212" s="113"/>
      <c r="E212" s="113"/>
      <c r="F212" s="113"/>
      <c r="G212" s="113"/>
      <c r="H212" s="114"/>
      <c r="J212" s="33"/>
    </row>
    <row r="213" spans="1:20" s="77" customFormat="1" ht="15.75" customHeight="1" x14ac:dyDescent="0.25">
      <c r="A213" s="107">
        <v>1</v>
      </c>
      <c r="B213" s="108"/>
      <c r="C213" s="76" t="s">
        <v>367</v>
      </c>
      <c r="D213" s="89">
        <f>(29.5)*10.764</f>
        <v>317.53799999999995</v>
      </c>
      <c r="E213" s="89">
        <f>(7.4)*10.764</f>
        <v>79.653599999999997</v>
      </c>
      <c r="F213" s="76">
        <f>D213+E213</f>
        <v>397.19159999999994</v>
      </c>
      <c r="G213" s="76">
        <v>0</v>
      </c>
      <c r="H213" s="76">
        <f>F213*(($H$200)+1)+(IF(G213&lt;101,G213,IF(G213&lt;201,G213/2,IF(G213&lt;=301,G213/3,G213/4))))</f>
        <v>575.92781999999988</v>
      </c>
      <c r="I213" s="33"/>
      <c r="L213" s="106"/>
      <c r="M213" s="106"/>
      <c r="N213" s="33"/>
    </row>
    <row r="214" spans="1:20" s="77" customFormat="1" ht="15.75" customHeight="1" x14ac:dyDescent="0.25">
      <c r="A214" s="107">
        <f>A213+1</f>
        <v>2</v>
      </c>
      <c r="B214" s="108"/>
      <c r="C214" s="76" t="s">
        <v>366</v>
      </c>
      <c r="D214" s="89">
        <f>(48.5)*10.764</f>
        <v>522.05399999999997</v>
      </c>
      <c r="E214" s="89">
        <f>(7.4)*10.764</f>
        <v>79.653599999999997</v>
      </c>
      <c r="F214" s="76">
        <f>D214+E214</f>
        <v>601.70759999999996</v>
      </c>
      <c r="G214" s="76">
        <v>0</v>
      </c>
      <c r="H214" s="76">
        <f>F214*(($H$200)+1)+(IF(G214&lt;101,G214,IF(G214&lt;201,G214/2,IF(G214&lt;=301,G214/3,G214/4))))</f>
        <v>872.47601999999995</v>
      </c>
      <c r="I214" s="33"/>
      <c r="L214" s="106"/>
      <c r="M214" s="106"/>
      <c r="N214" s="33"/>
    </row>
    <row r="215" spans="1:20" s="79" customFormat="1" x14ac:dyDescent="0.25">
      <c r="A215" s="112" t="s">
        <v>370</v>
      </c>
      <c r="B215" s="113"/>
      <c r="C215" s="113"/>
      <c r="D215" s="113"/>
      <c r="E215" s="113"/>
      <c r="F215" s="113"/>
      <c r="G215" s="113"/>
      <c r="H215" s="114"/>
      <c r="J215" s="33"/>
    </row>
    <row r="216" spans="1:20" s="79" customFormat="1" ht="15.75" customHeight="1" x14ac:dyDescent="0.25">
      <c r="A216" s="107">
        <v>1</v>
      </c>
      <c r="B216" s="108"/>
      <c r="C216" s="78" t="s">
        <v>367</v>
      </c>
      <c r="D216" s="89">
        <f>(29.5)*10.764</f>
        <v>317.53799999999995</v>
      </c>
      <c r="E216" s="89">
        <f>(7.5+0.75*(2.75+2.25+3.05))*10.764</f>
        <v>145.71765000000002</v>
      </c>
      <c r="F216" s="78">
        <f>D216+E216</f>
        <v>463.25564999999995</v>
      </c>
      <c r="G216" s="78">
        <v>0</v>
      </c>
      <c r="H216" s="78">
        <f>F216*(($H$200)+1)+(IF(G216&lt;101,G216,IF(G216&lt;201,G216/2,IF(G216&lt;=301,G216/3,G216/4))))</f>
        <v>671.72069249999993</v>
      </c>
      <c r="I216" s="33"/>
      <c r="L216" s="106"/>
      <c r="M216" s="106"/>
      <c r="N216" s="33"/>
    </row>
    <row r="217" spans="1:20" s="79" customFormat="1" ht="15.75" customHeight="1" x14ac:dyDescent="0.25">
      <c r="A217" s="107">
        <f>A216+1</f>
        <v>2</v>
      </c>
      <c r="B217" s="108"/>
      <c r="C217" s="78" t="s">
        <v>366</v>
      </c>
      <c r="D217" s="89">
        <f>(48.5)*10.764</f>
        <v>522.05399999999997</v>
      </c>
      <c r="E217" s="89">
        <f>(8.9+0.75*(2.7+3+3.35))*10.764</f>
        <v>168.86024999999998</v>
      </c>
      <c r="F217" s="78">
        <f>D217+E217</f>
        <v>690.91424999999992</v>
      </c>
      <c r="G217" s="78">
        <v>0</v>
      </c>
      <c r="H217" s="78">
        <f>F217*(($H$200)+1)+(IF(G217&lt;101,G217,IF(G217&lt;201,G217/2,IF(G217&lt;=301,G217/3,G217/4))))</f>
        <v>1001.8256624999999</v>
      </c>
      <c r="I217" s="33"/>
      <c r="L217" s="106"/>
      <c r="M217" s="106"/>
      <c r="N217" s="33"/>
    </row>
    <row r="218" spans="1:20" s="79" customFormat="1" ht="15.75" customHeight="1" x14ac:dyDescent="0.25">
      <c r="A218" s="107">
        <f>A217+1</f>
        <v>3</v>
      </c>
      <c r="B218" s="108"/>
      <c r="C218" s="78" t="s">
        <v>366</v>
      </c>
      <c r="D218" s="89">
        <f>(48.5)*10.764</f>
        <v>522.05399999999997</v>
      </c>
      <c r="E218" s="89">
        <f>(8.9+0.75*(2.7+3+3.35))*10.764</f>
        <v>168.86024999999998</v>
      </c>
      <c r="F218" s="78">
        <f>D218+E218</f>
        <v>690.91424999999992</v>
      </c>
      <c r="G218" s="78">
        <v>0</v>
      </c>
      <c r="H218" s="78">
        <f>F218*(($H$200)+1)+(IF(G218&lt;101,G218,IF(G218&lt;201,G218/2,IF(G218&lt;=301,G218/3,G218/4))))</f>
        <v>1001.8256624999999</v>
      </c>
      <c r="I218" s="33"/>
      <c r="L218" s="106"/>
      <c r="M218" s="106"/>
      <c r="N218" s="33"/>
    </row>
    <row r="219" spans="1:20" s="79" customFormat="1" ht="15.75" customHeight="1" x14ac:dyDescent="0.25">
      <c r="A219" s="107">
        <f>A218+1</f>
        <v>4</v>
      </c>
      <c r="B219" s="108"/>
      <c r="C219" s="78" t="s">
        <v>367</v>
      </c>
      <c r="D219" s="89">
        <f>(29.5)*10.764</f>
        <v>317.53799999999995</v>
      </c>
      <c r="E219" s="89">
        <f>(7.5+0.75*(2.75+2.25+3.05))*10.764</f>
        <v>145.71765000000002</v>
      </c>
      <c r="F219" s="78">
        <f>D219+E219</f>
        <v>463.25564999999995</v>
      </c>
      <c r="G219" s="78">
        <v>0</v>
      </c>
      <c r="H219" s="78">
        <f>F219*(($H$200)+1)+(IF(G219&lt;101,G219,IF(G219&lt;201,G219/2,IF(G219&lt;=301,G219/3,G219/4))))</f>
        <v>671.72069249999993</v>
      </c>
      <c r="I219" s="33"/>
      <c r="L219" s="106"/>
      <c r="M219" s="106"/>
      <c r="N219" s="33"/>
      <c r="T219" s="18"/>
    </row>
    <row r="220" spans="1:20" s="79" customFormat="1" x14ac:dyDescent="0.25">
      <c r="A220" s="109" t="s">
        <v>371</v>
      </c>
      <c r="B220" s="110"/>
      <c r="C220" s="110"/>
      <c r="D220" s="110"/>
      <c r="E220" s="110"/>
      <c r="F220" s="110"/>
      <c r="G220" s="110"/>
      <c r="H220" s="111"/>
      <c r="J220" s="33"/>
    </row>
    <row r="221" spans="1:20" s="79" customFormat="1" x14ac:dyDescent="0.25">
      <c r="A221" s="112" t="s">
        <v>364</v>
      </c>
      <c r="B221" s="113"/>
      <c r="C221" s="113"/>
      <c r="D221" s="113"/>
      <c r="E221" s="113"/>
      <c r="F221" s="113"/>
      <c r="G221" s="113"/>
      <c r="H221" s="114"/>
      <c r="J221" s="33"/>
    </row>
    <row r="222" spans="1:20" s="79" customFormat="1" x14ac:dyDescent="0.25">
      <c r="A222" s="112" t="s">
        <v>368</v>
      </c>
      <c r="B222" s="113"/>
      <c r="C222" s="113"/>
      <c r="D222" s="113"/>
      <c r="E222" s="113"/>
      <c r="F222" s="113"/>
      <c r="G222" s="113"/>
      <c r="H222" s="114"/>
      <c r="J222" s="33"/>
    </row>
    <row r="223" spans="1:20" s="79" customFormat="1" ht="15.75" customHeight="1" x14ac:dyDescent="0.25">
      <c r="A223" s="107">
        <v>1</v>
      </c>
      <c r="B223" s="108"/>
      <c r="C223" s="78" t="s">
        <v>366</v>
      </c>
      <c r="D223" s="89">
        <f>(48.5)*10.764</f>
        <v>522.05399999999997</v>
      </c>
      <c r="E223" s="89">
        <f>(7.4)*10.764</f>
        <v>79.653599999999997</v>
      </c>
      <c r="F223" s="78">
        <f>D223+E223</f>
        <v>601.70759999999996</v>
      </c>
      <c r="G223" s="78">
        <v>0</v>
      </c>
      <c r="H223" s="78">
        <f>F223*(($H$200)+1)+(IF(G223&lt;101,G223,IF(G223&lt;201,G223/2,IF(G223&lt;=301,G223/3,G223/4))))</f>
        <v>872.47601999999995</v>
      </c>
      <c r="I223" s="33">
        <f>2.7*3.4+3*2.7+3*2.75+3.35*2.8+2*1.05+1.05*2+1.65*1.45+0.9*(3+1.65)</f>
        <v>45.6875</v>
      </c>
      <c r="J223" s="79">
        <f>1.5*2.7+1*3.35</f>
        <v>7.4</v>
      </c>
      <c r="L223" s="106"/>
      <c r="M223" s="106"/>
      <c r="N223" s="33"/>
    </row>
    <row r="224" spans="1:20" s="79" customFormat="1" ht="15.75" customHeight="1" x14ac:dyDescent="0.25">
      <c r="A224" s="107">
        <f>A223+1</f>
        <v>2</v>
      </c>
      <c r="B224" s="108"/>
      <c r="C224" s="78" t="s">
        <v>367</v>
      </c>
      <c r="D224" s="89">
        <f>(29.5)*10.764</f>
        <v>317.53799999999995</v>
      </c>
      <c r="E224" s="89">
        <f>(7.4)*10.764</f>
        <v>79.653599999999997</v>
      </c>
      <c r="F224" s="78">
        <f>D224+E224</f>
        <v>397.19159999999994</v>
      </c>
      <c r="G224" s="78">
        <v>0</v>
      </c>
      <c r="H224" s="78">
        <f>F224*(($H$200)+1)+(IF(G224&lt;101,G224,IF(G224&lt;201,G224/2,IF(G224&lt;=301,G224/3,G224/4))))</f>
        <v>575.92781999999988</v>
      </c>
      <c r="I224" s="33"/>
      <c r="L224" s="106"/>
      <c r="M224" s="106"/>
      <c r="N224" s="33"/>
    </row>
    <row r="225" spans="1:20" s="79" customFormat="1" x14ac:dyDescent="0.25">
      <c r="A225" s="112" t="s">
        <v>372</v>
      </c>
      <c r="B225" s="113"/>
      <c r="C225" s="113"/>
      <c r="D225" s="113"/>
      <c r="E225" s="113"/>
      <c r="F225" s="113"/>
      <c r="G225" s="113"/>
      <c r="H225" s="114"/>
      <c r="J225" s="33"/>
    </row>
    <row r="226" spans="1:20" s="79" customFormat="1" ht="15.75" customHeight="1" x14ac:dyDescent="0.25">
      <c r="A226" s="107">
        <v>1</v>
      </c>
      <c r="B226" s="108"/>
      <c r="C226" s="78" t="s">
        <v>367</v>
      </c>
      <c r="D226" s="89">
        <f>(29.5)*10.764</f>
        <v>317.53799999999995</v>
      </c>
      <c r="E226" s="89">
        <f>(7.5+0.75*(2.75+2.25+3.05))*10.764</f>
        <v>145.71765000000002</v>
      </c>
      <c r="F226" s="78">
        <f>D226+E226</f>
        <v>463.25564999999995</v>
      </c>
      <c r="G226" s="78">
        <v>0</v>
      </c>
      <c r="H226" s="78">
        <f>F226*(($H$200)+1)+(IF(G226&lt;101,G226,IF(G226&lt;201,G226/2,IF(G226&lt;=301,G226/3,G226/4))))</f>
        <v>671.72069249999993</v>
      </c>
      <c r="I226" s="33"/>
      <c r="L226" s="106"/>
      <c r="M226" s="106"/>
      <c r="N226" s="33"/>
    </row>
    <row r="227" spans="1:20" s="79" customFormat="1" ht="15.75" customHeight="1" x14ac:dyDescent="0.25">
      <c r="A227" s="107">
        <f>A226+1</f>
        <v>2</v>
      </c>
      <c r="B227" s="108"/>
      <c r="C227" s="78" t="s">
        <v>366</v>
      </c>
      <c r="D227" s="89">
        <f>(48.5)*10.764</f>
        <v>522.05399999999997</v>
      </c>
      <c r="E227" s="89">
        <f>(8.9+0.75*(2.7+3+3.35))*10.764</f>
        <v>168.86024999999998</v>
      </c>
      <c r="F227" s="78">
        <f>D227+E227</f>
        <v>690.91424999999992</v>
      </c>
      <c r="G227" s="78">
        <v>0</v>
      </c>
      <c r="H227" s="78">
        <f>F227*(($H$200)+1)+(IF(G227&lt;101,G227,IF(G227&lt;201,G227/2,IF(G227&lt;=301,G227/3,G227/4))))</f>
        <v>1001.8256624999999</v>
      </c>
      <c r="I227" s="33"/>
      <c r="J227" s="33">
        <f>6788000/H227</f>
        <v>6775.6299864199182</v>
      </c>
      <c r="L227" s="106"/>
      <c r="M227" s="106"/>
      <c r="N227" s="33"/>
    </row>
    <row r="228" spans="1:20" s="79" customFormat="1" ht="15.75" customHeight="1" x14ac:dyDescent="0.25">
      <c r="A228" s="107">
        <f>A227+1</f>
        <v>3</v>
      </c>
      <c r="B228" s="108"/>
      <c r="C228" s="78" t="s">
        <v>366</v>
      </c>
      <c r="D228" s="89">
        <f>(48.5)*10.764</f>
        <v>522.05399999999997</v>
      </c>
      <c r="E228" s="89">
        <f>(8.9+0.75*(2.7+3+3.35))*10.764</f>
        <v>168.86024999999998</v>
      </c>
      <c r="F228" s="78">
        <f>D228+E228</f>
        <v>690.91424999999992</v>
      </c>
      <c r="G228" s="78">
        <v>0</v>
      </c>
      <c r="H228" s="78">
        <f>F228*(($H$200)+1)+(IF(G228&lt;101,G228,IF(G228&lt;201,G228/2,IF(G228&lt;=301,G228/3,G228/4))))</f>
        <v>1001.8256624999999</v>
      </c>
      <c r="I228" s="33"/>
      <c r="L228" s="106"/>
      <c r="M228" s="106"/>
      <c r="N228" s="33"/>
    </row>
    <row r="229" spans="1:20" s="79" customFormat="1" ht="15.75" customHeight="1" x14ac:dyDescent="0.25">
      <c r="A229" s="107">
        <f>A228+1</f>
        <v>4</v>
      </c>
      <c r="B229" s="108"/>
      <c r="C229" s="78" t="s">
        <v>367</v>
      </c>
      <c r="D229" s="89">
        <f>(29.5)*10.764</f>
        <v>317.53799999999995</v>
      </c>
      <c r="E229" s="89">
        <f>(7.5+0.75*(2.75+2.25+3.05))*10.764</f>
        <v>145.71765000000002</v>
      </c>
      <c r="F229" s="78">
        <f>D229+E229</f>
        <v>463.25564999999995</v>
      </c>
      <c r="G229" s="78">
        <v>0</v>
      </c>
      <c r="H229" s="78">
        <f>F229*(($H$200)+1)+(IF(G229&lt;101,G229,IF(G229&lt;201,G229/2,IF(G229&lt;=301,G229/3,G229/4))))</f>
        <v>671.72069249999993</v>
      </c>
      <c r="I229" s="33"/>
      <c r="L229" s="106"/>
      <c r="M229" s="106"/>
      <c r="N229" s="33"/>
      <c r="T229" s="18"/>
    </row>
    <row r="230" spans="1:20" s="79" customFormat="1" x14ac:dyDescent="0.25">
      <c r="A230" s="112" t="s">
        <v>365</v>
      </c>
      <c r="B230" s="113"/>
      <c r="C230" s="113"/>
      <c r="D230" s="113"/>
      <c r="E230" s="113"/>
      <c r="F230" s="113"/>
      <c r="G230" s="113"/>
      <c r="H230" s="114"/>
      <c r="J230" s="33"/>
    </row>
    <row r="231" spans="1:20" s="79" customFormat="1" x14ac:dyDescent="0.25">
      <c r="A231" s="112" t="s">
        <v>369</v>
      </c>
      <c r="B231" s="113"/>
      <c r="C231" s="113"/>
      <c r="D231" s="113"/>
      <c r="E231" s="113"/>
      <c r="F231" s="113"/>
      <c r="G231" s="113"/>
      <c r="H231" s="114"/>
      <c r="J231" s="33"/>
    </row>
    <row r="232" spans="1:20" s="79" customFormat="1" ht="15.75" customHeight="1" x14ac:dyDescent="0.25">
      <c r="A232" s="107">
        <v>1</v>
      </c>
      <c r="B232" s="108"/>
      <c r="C232" s="78" t="s">
        <v>367</v>
      </c>
      <c r="D232" s="89">
        <f>(29.5)*10.764</f>
        <v>317.53799999999995</v>
      </c>
      <c r="E232" s="89">
        <f>(7.4)*10.764</f>
        <v>79.653599999999997</v>
      </c>
      <c r="F232" s="78">
        <f>D232+E232</f>
        <v>397.19159999999994</v>
      </c>
      <c r="G232" s="78">
        <v>0</v>
      </c>
      <c r="H232" s="78">
        <f>F232*(($H$200)+1)+(IF(G232&lt;101,G232,IF(G232&lt;201,G232/2,IF(G232&lt;=301,G232/3,G232/4))))</f>
        <v>575.92781999999988</v>
      </c>
      <c r="I232" s="33"/>
      <c r="L232" s="106"/>
      <c r="M232" s="106"/>
      <c r="N232" s="33"/>
    </row>
    <row r="233" spans="1:20" s="79" customFormat="1" ht="15.75" customHeight="1" x14ac:dyDescent="0.25">
      <c r="A233" s="107">
        <f>A232+1</f>
        <v>2</v>
      </c>
      <c r="B233" s="108"/>
      <c r="C233" s="78" t="s">
        <v>366</v>
      </c>
      <c r="D233" s="89">
        <f>(48.5)*10.764</f>
        <v>522.05399999999997</v>
      </c>
      <c r="E233" s="89">
        <f>(7.4)*10.764</f>
        <v>79.653599999999997</v>
      </c>
      <c r="F233" s="78">
        <f>D233+E233</f>
        <v>601.70759999999996</v>
      </c>
      <c r="G233" s="78">
        <v>0</v>
      </c>
      <c r="H233" s="78">
        <f>F233*(($H$200)+1)+(IF(G233&lt;101,G233,IF(G233&lt;201,G233/2,IF(G233&lt;=301,G233/3,G233/4))))</f>
        <v>872.47601999999995</v>
      </c>
      <c r="I233" s="33"/>
      <c r="L233" s="106"/>
      <c r="M233" s="106"/>
      <c r="N233" s="33"/>
    </row>
    <row r="234" spans="1:20" s="79" customFormat="1" x14ac:dyDescent="0.25">
      <c r="A234" s="112" t="s">
        <v>372</v>
      </c>
      <c r="B234" s="113"/>
      <c r="C234" s="113"/>
      <c r="D234" s="113"/>
      <c r="E234" s="113"/>
      <c r="F234" s="113"/>
      <c r="G234" s="113"/>
      <c r="H234" s="114"/>
      <c r="J234" s="33"/>
    </row>
    <row r="235" spans="1:20" s="79" customFormat="1" ht="15.75" customHeight="1" x14ac:dyDescent="0.25">
      <c r="A235" s="107">
        <v>1</v>
      </c>
      <c r="B235" s="108"/>
      <c r="C235" s="78" t="s">
        <v>367</v>
      </c>
      <c r="D235" s="89">
        <f>(29.5)*10.764</f>
        <v>317.53799999999995</v>
      </c>
      <c r="E235" s="89">
        <f>(7.5+0.75*(2.75+2.25+3.05))*10.764</f>
        <v>145.71765000000002</v>
      </c>
      <c r="F235" s="78">
        <f>D235+E235</f>
        <v>463.25564999999995</v>
      </c>
      <c r="G235" s="78">
        <v>0</v>
      </c>
      <c r="H235" s="78">
        <f>F235*(($H$200)+1)+(IF(G235&lt;101,G235,IF(G235&lt;201,G235/2,IF(G235&lt;=301,G235/3,G235/4))))</f>
        <v>671.72069249999993</v>
      </c>
      <c r="I235" s="33"/>
      <c r="L235" s="106"/>
      <c r="M235" s="106"/>
      <c r="N235" s="33"/>
    </row>
    <row r="236" spans="1:20" s="79" customFormat="1" ht="15.75" customHeight="1" x14ac:dyDescent="0.25">
      <c r="A236" s="107">
        <f>A235+1</f>
        <v>2</v>
      </c>
      <c r="B236" s="108"/>
      <c r="C236" s="78" t="s">
        <v>366</v>
      </c>
      <c r="D236" s="89">
        <f>(48.5)*10.764</f>
        <v>522.05399999999997</v>
      </c>
      <c r="E236" s="89">
        <f>(8.9+0.75*(2.7+3+3.35))*10.764</f>
        <v>168.86024999999998</v>
      </c>
      <c r="F236" s="78">
        <f>D236+E236</f>
        <v>690.91424999999992</v>
      </c>
      <c r="G236" s="78">
        <v>0</v>
      </c>
      <c r="H236" s="78">
        <f>F236*(($H$200)+1)+(IF(G236&lt;101,G236,IF(G236&lt;201,G236/2,IF(G236&lt;=301,G236/3,G236/4))))</f>
        <v>1001.8256624999999</v>
      </c>
      <c r="I236" s="33"/>
      <c r="L236" s="106"/>
      <c r="M236" s="106"/>
      <c r="N236" s="33"/>
    </row>
    <row r="237" spans="1:20" s="79" customFormat="1" ht="15.75" customHeight="1" x14ac:dyDescent="0.25">
      <c r="A237" s="107">
        <f>A236+1</f>
        <v>3</v>
      </c>
      <c r="B237" s="108"/>
      <c r="C237" s="78" t="s">
        <v>366</v>
      </c>
      <c r="D237" s="89">
        <f>(48.5)*10.764</f>
        <v>522.05399999999997</v>
      </c>
      <c r="E237" s="89">
        <f>(8.9+0.75*(2.7+3+3.35))*10.764</f>
        <v>168.86024999999998</v>
      </c>
      <c r="F237" s="78">
        <f>D237+E237</f>
        <v>690.91424999999992</v>
      </c>
      <c r="G237" s="78">
        <v>0</v>
      </c>
      <c r="H237" s="78">
        <f>F237*(($H$200)+1)+(IF(G237&lt;101,G237,IF(G237&lt;201,G237/2,IF(G237&lt;=301,G237/3,G237/4))))</f>
        <v>1001.8256624999999</v>
      </c>
      <c r="I237" s="33"/>
      <c r="L237" s="106"/>
      <c r="M237" s="106"/>
      <c r="N237" s="33"/>
    </row>
    <row r="238" spans="1:20" s="79" customFormat="1" ht="15.75" customHeight="1" x14ac:dyDescent="0.25">
      <c r="A238" s="107">
        <f>A237+1</f>
        <v>4</v>
      </c>
      <c r="B238" s="108"/>
      <c r="C238" s="78" t="s">
        <v>367</v>
      </c>
      <c r="D238" s="89">
        <f>(29.5)*10.764</f>
        <v>317.53799999999995</v>
      </c>
      <c r="E238" s="89">
        <f>(7.5+0.75*(2.75+2.25+3.05))*10.764</f>
        <v>145.71765000000002</v>
      </c>
      <c r="F238" s="78">
        <f>D238+E238</f>
        <v>463.25564999999995</v>
      </c>
      <c r="G238" s="78">
        <v>0</v>
      </c>
      <c r="H238" s="78">
        <f>F238*(($H$200)+1)+(IF(G238&lt;101,G238,IF(G238&lt;201,G238/2,IF(G238&lt;=301,G238/3,G238/4))))</f>
        <v>671.72069249999993</v>
      </c>
      <c r="I238" s="33"/>
      <c r="J238" s="79">
        <f>42</f>
        <v>42</v>
      </c>
      <c r="L238" s="106"/>
      <c r="M238" s="106"/>
      <c r="N238" s="33"/>
      <c r="T238" s="18"/>
    </row>
    <row r="239" spans="1:20" s="79" customFormat="1" x14ac:dyDescent="0.25">
      <c r="A239" s="109" t="s">
        <v>373</v>
      </c>
      <c r="B239" s="110"/>
      <c r="C239" s="110"/>
      <c r="D239" s="110"/>
      <c r="E239" s="110"/>
      <c r="F239" s="110"/>
      <c r="G239" s="110"/>
      <c r="H239" s="111"/>
      <c r="J239" s="33"/>
    </row>
    <row r="240" spans="1:20" s="79" customFormat="1" x14ac:dyDescent="0.25">
      <c r="A240" s="112" t="s">
        <v>364</v>
      </c>
      <c r="B240" s="113"/>
      <c r="C240" s="113"/>
      <c r="D240" s="113"/>
      <c r="E240" s="113"/>
      <c r="F240" s="113"/>
      <c r="G240" s="113"/>
      <c r="H240" s="114"/>
      <c r="J240" s="33"/>
    </row>
    <row r="241" spans="1:20" s="79" customFormat="1" x14ac:dyDescent="0.25">
      <c r="A241" s="112" t="s">
        <v>374</v>
      </c>
      <c r="B241" s="113"/>
      <c r="C241" s="113"/>
      <c r="D241" s="113"/>
      <c r="E241" s="113"/>
      <c r="F241" s="113"/>
      <c r="G241" s="113"/>
      <c r="H241" s="114"/>
      <c r="J241" s="33"/>
    </row>
    <row r="242" spans="1:20" s="79" customFormat="1" x14ac:dyDescent="0.25">
      <c r="A242" s="112" t="s">
        <v>372</v>
      </c>
      <c r="B242" s="113"/>
      <c r="C242" s="113"/>
      <c r="D242" s="113"/>
      <c r="E242" s="113"/>
      <c r="F242" s="113"/>
      <c r="G242" s="113"/>
      <c r="H242" s="114"/>
      <c r="J242" s="33"/>
    </row>
    <row r="243" spans="1:20" s="79" customFormat="1" ht="15.75" customHeight="1" x14ac:dyDescent="0.25">
      <c r="A243" s="107">
        <v>1</v>
      </c>
      <c r="B243" s="108"/>
      <c r="C243" s="78" t="s">
        <v>367</v>
      </c>
      <c r="D243" s="89">
        <f>(29.9)*10.764</f>
        <v>321.84359999999998</v>
      </c>
      <c r="E243" s="89">
        <f>(7.3+0.75*(2.7+2.25+3))*10.764</f>
        <v>142.75754999999998</v>
      </c>
      <c r="F243" s="78">
        <f t="shared" ref="F243:F250" si="2">D243+E243</f>
        <v>464.60114999999996</v>
      </c>
      <c r="G243" s="78">
        <v>0</v>
      </c>
      <c r="H243" s="78">
        <f t="shared" ref="H243:H250" si="3">F243*(($H$200)+1)+(IF(G243&lt;101,G243,IF(G243&lt;201,G243/2,IF(G243&lt;=301,G243/3,G243/4))))</f>
        <v>673.6716674999999</v>
      </c>
      <c r="I243" s="33"/>
      <c r="L243" s="106"/>
      <c r="M243" s="106"/>
      <c r="N243" s="33"/>
    </row>
    <row r="244" spans="1:20" s="79" customFormat="1" ht="15.75" customHeight="1" x14ac:dyDescent="0.25">
      <c r="A244" s="107">
        <f t="shared" ref="A244:A250" si="4">A243+1</f>
        <v>2</v>
      </c>
      <c r="B244" s="108"/>
      <c r="C244" s="78" t="s">
        <v>366</v>
      </c>
      <c r="D244" s="89">
        <f>(49.8)*10.764</f>
        <v>536.04719999999998</v>
      </c>
      <c r="E244" s="89">
        <f>(11+0.75*(2.7+2.3+2.7+3.05))*10.764</f>
        <v>205.18875</v>
      </c>
      <c r="F244" s="78">
        <f t="shared" si="2"/>
        <v>741.23595</v>
      </c>
      <c r="G244" s="78">
        <v>0</v>
      </c>
      <c r="H244" s="78">
        <f t="shared" si="3"/>
        <v>1074.7921274999999</v>
      </c>
      <c r="I244" s="33"/>
      <c r="J244" s="33">
        <f>7118000/H244</f>
        <v>6622.6759741501746</v>
      </c>
      <c r="L244" s="106"/>
      <c r="M244" s="106"/>
      <c r="N244" s="33"/>
    </row>
    <row r="245" spans="1:20" s="79" customFormat="1" ht="15.75" customHeight="1" x14ac:dyDescent="0.25">
      <c r="A245" s="107">
        <f t="shared" si="4"/>
        <v>3</v>
      </c>
      <c r="B245" s="108"/>
      <c r="C245" s="78" t="s">
        <v>366</v>
      </c>
      <c r="D245" s="89">
        <f>(49.8)*10.764</f>
        <v>536.04719999999998</v>
      </c>
      <c r="E245" s="89">
        <f>(11.02+0.75*(2.7+2.3+2.7+3.05))*10.764</f>
        <v>205.40402999999998</v>
      </c>
      <c r="F245" s="78">
        <f t="shared" si="2"/>
        <v>741.4512299999999</v>
      </c>
      <c r="G245" s="78">
        <v>0</v>
      </c>
      <c r="H245" s="78">
        <f t="shared" si="3"/>
        <v>1075.1042834999998</v>
      </c>
      <c r="I245" s="33"/>
      <c r="L245" s="106"/>
      <c r="M245" s="106"/>
      <c r="N245" s="33"/>
    </row>
    <row r="246" spans="1:20" s="79" customFormat="1" ht="15.75" customHeight="1" x14ac:dyDescent="0.25">
      <c r="A246" s="107">
        <f t="shared" si="4"/>
        <v>4</v>
      </c>
      <c r="B246" s="108"/>
      <c r="C246" s="78" t="s">
        <v>367</v>
      </c>
      <c r="D246" s="89">
        <f>(29.9)*10.764</f>
        <v>321.84359999999998</v>
      </c>
      <c r="E246" s="89">
        <f>(7.3+0.75*(2.7+2.25+3))*10.764</f>
        <v>142.75754999999998</v>
      </c>
      <c r="F246" s="78">
        <f t="shared" si="2"/>
        <v>464.60114999999996</v>
      </c>
      <c r="G246" s="78">
        <v>0</v>
      </c>
      <c r="H246" s="78">
        <f t="shared" si="3"/>
        <v>673.6716674999999</v>
      </c>
      <c r="I246" s="33"/>
      <c r="L246" s="106"/>
      <c r="M246" s="106"/>
      <c r="N246" s="33"/>
      <c r="T246" s="18"/>
    </row>
    <row r="247" spans="1:20" s="79" customFormat="1" ht="15.75" customHeight="1" x14ac:dyDescent="0.25">
      <c r="A247" s="107">
        <f t="shared" si="4"/>
        <v>5</v>
      </c>
      <c r="B247" s="108"/>
      <c r="C247" s="78" t="s">
        <v>367</v>
      </c>
      <c r="D247" s="89">
        <f>(29.9)*10.764</f>
        <v>321.84359999999998</v>
      </c>
      <c r="E247" s="89">
        <f>(7.3+0.75*(2.7+2.25+3))*10.764</f>
        <v>142.75754999999998</v>
      </c>
      <c r="F247" s="78">
        <f t="shared" si="2"/>
        <v>464.60114999999996</v>
      </c>
      <c r="G247" s="78">
        <v>0</v>
      </c>
      <c r="H247" s="78">
        <f t="shared" si="3"/>
        <v>673.6716674999999</v>
      </c>
      <c r="I247" s="33"/>
      <c r="L247" s="106"/>
      <c r="M247" s="106"/>
      <c r="N247" s="33"/>
    </row>
    <row r="248" spans="1:20" s="79" customFormat="1" ht="15.75" customHeight="1" x14ac:dyDescent="0.25">
      <c r="A248" s="107">
        <f t="shared" si="4"/>
        <v>6</v>
      </c>
      <c r="B248" s="108"/>
      <c r="C248" s="78" t="s">
        <v>367</v>
      </c>
      <c r="D248" s="89">
        <f>(30)*10.764</f>
        <v>322.91999999999996</v>
      </c>
      <c r="E248" s="89">
        <f>(8.7+0.75*(2.7+2.5+3))*10.764</f>
        <v>159.84539999999996</v>
      </c>
      <c r="F248" s="78">
        <f t="shared" si="2"/>
        <v>482.76539999999989</v>
      </c>
      <c r="G248" s="78">
        <v>0</v>
      </c>
      <c r="H248" s="78">
        <f t="shared" si="3"/>
        <v>700.00982999999985</v>
      </c>
      <c r="I248" s="33"/>
      <c r="L248" s="106"/>
      <c r="M248" s="106"/>
      <c r="N248" s="33"/>
    </row>
    <row r="249" spans="1:20" s="79" customFormat="1" ht="15.75" customHeight="1" x14ac:dyDescent="0.25">
      <c r="A249" s="107">
        <f t="shared" si="4"/>
        <v>7</v>
      </c>
      <c r="B249" s="108"/>
      <c r="C249" s="78" t="s">
        <v>367</v>
      </c>
      <c r="D249" s="89">
        <f>(30)*10.764</f>
        <v>322.91999999999996</v>
      </c>
      <c r="E249" s="89">
        <f>(8.7+0.75*(2.7+2.5+3))*10.764</f>
        <v>159.84539999999996</v>
      </c>
      <c r="F249" s="78">
        <f t="shared" si="2"/>
        <v>482.76539999999989</v>
      </c>
      <c r="G249" s="78">
        <v>0</v>
      </c>
      <c r="H249" s="78">
        <f t="shared" si="3"/>
        <v>700.00982999999985</v>
      </c>
      <c r="I249" s="33"/>
      <c r="L249" s="106"/>
      <c r="M249" s="106"/>
      <c r="N249" s="33"/>
      <c r="T249" s="18"/>
    </row>
    <row r="250" spans="1:20" s="79" customFormat="1" ht="15.75" customHeight="1" x14ac:dyDescent="0.25">
      <c r="A250" s="107">
        <f t="shared" si="4"/>
        <v>8</v>
      </c>
      <c r="B250" s="108"/>
      <c r="C250" s="78" t="s">
        <v>367</v>
      </c>
      <c r="D250" s="89">
        <f>(29.9)*10.764</f>
        <v>321.84359999999998</v>
      </c>
      <c r="E250" s="89">
        <f>(7.3+0.75*(2.7+2.25+3))*10.764</f>
        <v>142.75754999999998</v>
      </c>
      <c r="F250" s="78">
        <f t="shared" si="2"/>
        <v>464.60114999999996</v>
      </c>
      <c r="G250" s="78">
        <v>0</v>
      </c>
      <c r="H250" s="78">
        <f t="shared" si="3"/>
        <v>673.6716674999999</v>
      </c>
      <c r="I250" s="33"/>
      <c r="L250" s="106"/>
      <c r="M250" s="106"/>
      <c r="N250" s="33"/>
      <c r="T250" s="18"/>
    </row>
    <row r="251" spans="1:20" s="79" customFormat="1" x14ac:dyDescent="0.25">
      <c r="A251" s="112" t="s">
        <v>365</v>
      </c>
      <c r="B251" s="113"/>
      <c r="C251" s="113"/>
      <c r="D251" s="113"/>
      <c r="E251" s="113"/>
      <c r="F251" s="113"/>
      <c r="G251" s="113"/>
      <c r="H251" s="114"/>
      <c r="J251" s="33"/>
    </row>
    <row r="252" spans="1:20" s="79" customFormat="1" x14ac:dyDescent="0.25">
      <c r="A252" s="112" t="s">
        <v>374</v>
      </c>
      <c r="B252" s="113"/>
      <c r="C252" s="113"/>
      <c r="D252" s="113"/>
      <c r="E252" s="113"/>
      <c r="F252" s="113"/>
      <c r="G252" s="113"/>
      <c r="H252" s="114"/>
      <c r="I252"/>
      <c r="J252" s="33"/>
    </row>
    <row r="253" spans="1:20" s="80" customFormat="1" x14ac:dyDescent="0.25">
      <c r="A253" s="112" t="s">
        <v>372</v>
      </c>
      <c r="B253" s="113"/>
      <c r="C253" s="113"/>
      <c r="D253" s="113"/>
      <c r="E253" s="113"/>
      <c r="F253" s="113"/>
      <c r="G253" s="113"/>
      <c r="H253" s="114"/>
      <c r="J253" s="33"/>
    </row>
    <row r="254" spans="1:20" s="80" customFormat="1" ht="15.75" customHeight="1" x14ac:dyDescent="0.25">
      <c r="A254" s="107">
        <v>1</v>
      </c>
      <c r="B254" s="108"/>
      <c r="C254" s="82" t="s">
        <v>367</v>
      </c>
      <c r="D254" s="89">
        <f>(29.9)*10.764</f>
        <v>321.84359999999998</v>
      </c>
      <c r="E254" s="89">
        <f>(7.3+0.75*(2.7+2.25+3))*10.764</f>
        <v>142.75754999999998</v>
      </c>
      <c r="F254" s="82">
        <f t="shared" ref="F254:F261" si="5">D254+E254</f>
        <v>464.60114999999996</v>
      </c>
      <c r="G254" s="82">
        <v>0</v>
      </c>
      <c r="H254" s="82">
        <f t="shared" ref="H254:H261" si="6">F254*(($H$200)+1)+(IF(G254&lt;101,G254,IF(G254&lt;201,G254/2,IF(G254&lt;=301,G254/3,G254/4))))</f>
        <v>673.6716674999999</v>
      </c>
      <c r="I254" s="33"/>
      <c r="L254" s="106"/>
      <c r="M254" s="106"/>
      <c r="N254" s="33"/>
    </row>
    <row r="255" spans="1:20" s="80" customFormat="1" ht="15.75" customHeight="1" x14ac:dyDescent="0.25">
      <c r="A255" s="107">
        <f t="shared" ref="A255:A261" si="7">A254+1</f>
        <v>2</v>
      </c>
      <c r="B255" s="108"/>
      <c r="C255" s="82" t="s">
        <v>367</v>
      </c>
      <c r="D255" s="89">
        <f>(30)*10.764</f>
        <v>322.91999999999996</v>
      </c>
      <c r="E255" s="89">
        <f>(8.7+0.75*(2.7+2.5+3))*10.764</f>
        <v>159.84539999999996</v>
      </c>
      <c r="F255" s="82">
        <f t="shared" si="5"/>
        <v>482.76539999999989</v>
      </c>
      <c r="G255" s="82">
        <v>0</v>
      </c>
      <c r="H255" s="82">
        <f t="shared" si="6"/>
        <v>700.00982999999985</v>
      </c>
      <c r="I255" s="33"/>
      <c r="L255" s="106"/>
      <c r="M255" s="106"/>
      <c r="N255" s="33"/>
    </row>
    <row r="256" spans="1:20" s="80" customFormat="1" ht="15.75" customHeight="1" x14ac:dyDescent="0.25">
      <c r="A256" s="107">
        <f t="shared" si="7"/>
        <v>3</v>
      </c>
      <c r="B256" s="108"/>
      <c r="C256" s="82" t="s">
        <v>367</v>
      </c>
      <c r="D256" s="89">
        <f>(30)*10.764</f>
        <v>322.91999999999996</v>
      </c>
      <c r="E256" s="89">
        <f>(8.7+0.75*(2.7+2.5+3))*10.764</f>
        <v>159.84539999999996</v>
      </c>
      <c r="F256" s="82">
        <f t="shared" si="5"/>
        <v>482.76539999999989</v>
      </c>
      <c r="G256" s="82">
        <v>0</v>
      </c>
      <c r="H256" s="82">
        <f t="shared" si="6"/>
        <v>700.00982999999985</v>
      </c>
      <c r="I256" s="33"/>
      <c r="L256" s="106"/>
      <c r="M256" s="106"/>
      <c r="N256" s="33"/>
    </row>
    <row r="257" spans="1:20" s="80" customFormat="1" ht="15.75" customHeight="1" x14ac:dyDescent="0.25">
      <c r="A257" s="107">
        <f t="shared" si="7"/>
        <v>4</v>
      </c>
      <c r="B257" s="108"/>
      <c r="C257" s="82" t="s">
        <v>367</v>
      </c>
      <c r="D257" s="89">
        <f>(29.9)*10.764</f>
        <v>321.84359999999998</v>
      </c>
      <c r="E257" s="89">
        <f>(7.3+0.75*(2.7+2.25+3))*10.764</f>
        <v>142.75754999999998</v>
      </c>
      <c r="F257" s="82">
        <f t="shared" si="5"/>
        <v>464.60114999999996</v>
      </c>
      <c r="G257" s="82">
        <v>0</v>
      </c>
      <c r="H257" s="82">
        <f t="shared" si="6"/>
        <v>673.6716674999999</v>
      </c>
      <c r="I257" s="33"/>
      <c r="L257" s="106"/>
      <c r="M257" s="106"/>
      <c r="N257" s="33"/>
      <c r="T257" s="18"/>
    </row>
    <row r="258" spans="1:20" s="80" customFormat="1" ht="15.75" customHeight="1" x14ac:dyDescent="0.25">
      <c r="A258" s="107">
        <f t="shared" si="7"/>
        <v>5</v>
      </c>
      <c r="B258" s="108"/>
      <c r="C258" s="82" t="s">
        <v>367</v>
      </c>
      <c r="D258" s="89">
        <f>(29.9)*10.764</f>
        <v>321.84359999999998</v>
      </c>
      <c r="E258" s="89">
        <f>(7.3+0.75*(2.7+2.25+3))*10.764</f>
        <v>142.75754999999998</v>
      </c>
      <c r="F258" s="82">
        <f t="shared" si="5"/>
        <v>464.60114999999996</v>
      </c>
      <c r="G258" s="82">
        <v>0</v>
      </c>
      <c r="H258" s="82">
        <f t="shared" si="6"/>
        <v>673.6716674999999</v>
      </c>
      <c r="I258" s="33"/>
      <c r="L258" s="106"/>
      <c r="M258" s="106"/>
      <c r="N258" s="33"/>
    </row>
    <row r="259" spans="1:20" s="80" customFormat="1" ht="15.75" customHeight="1" x14ac:dyDescent="0.25">
      <c r="A259" s="107">
        <f t="shared" si="7"/>
        <v>6</v>
      </c>
      <c r="B259" s="108"/>
      <c r="C259" s="82" t="s">
        <v>367</v>
      </c>
      <c r="D259" s="89">
        <f>(30)*10.764</f>
        <v>322.91999999999996</v>
      </c>
      <c r="E259" s="89">
        <f>(8.7+0.75*(2.7+2.5+3))*10.764</f>
        <v>159.84539999999996</v>
      </c>
      <c r="F259" s="82">
        <f t="shared" si="5"/>
        <v>482.76539999999989</v>
      </c>
      <c r="G259" s="82">
        <v>0</v>
      </c>
      <c r="H259" s="82">
        <f t="shared" si="6"/>
        <v>700.00982999999985</v>
      </c>
      <c r="I259" s="33"/>
      <c r="L259" s="106"/>
      <c r="M259" s="106"/>
      <c r="N259" s="33"/>
    </row>
    <row r="260" spans="1:20" s="80" customFormat="1" ht="15.75" customHeight="1" x14ac:dyDescent="0.25">
      <c r="A260" s="107">
        <f t="shared" si="7"/>
        <v>7</v>
      </c>
      <c r="B260" s="108"/>
      <c r="C260" s="82" t="s">
        <v>367</v>
      </c>
      <c r="D260" s="89">
        <f>(30)*10.764</f>
        <v>322.91999999999996</v>
      </c>
      <c r="E260" s="89">
        <f>(8.7+0.75*(2.7+2.5+3))*10.764</f>
        <v>159.84539999999996</v>
      </c>
      <c r="F260" s="82">
        <f t="shared" si="5"/>
        <v>482.76539999999989</v>
      </c>
      <c r="G260" s="82">
        <v>0</v>
      </c>
      <c r="H260" s="82">
        <f t="shared" si="6"/>
        <v>700.00982999999985</v>
      </c>
      <c r="I260" s="33"/>
      <c r="L260" s="106"/>
      <c r="M260" s="106"/>
      <c r="N260" s="33"/>
      <c r="T260" s="18"/>
    </row>
    <row r="261" spans="1:20" s="80" customFormat="1" ht="15.75" customHeight="1" x14ac:dyDescent="0.25">
      <c r="A261" s="107">
        <f t="shared" si="7"/>
        <v>8</v>
      </c>
      <c r="B261" s="108"/>
      <c r="C261" s="82" t="s">
        <v>367</v>
      </c>
      <c r="D261" s="89">
        <f>(29.9)*10.764</f>
        <v>321.84359999999998</v>
      </c>
      <c r="E261" s="89">
        <f>(7.3+0.75*(2.7+2.25+3))*10.764</f>
        <v>142.75754999999998</v>
      </c>
      <c r="F261" s="82">
        <f t="shared" si="5"/>
        <v>464.60114999999996</v>
      </c>
      <c r="G261" s="82">
        <v>0</v>
      </c>
      <c r="H261" s="82">
        <f t="shared" si="6"/>
        <v>673.6716674999999</v>
      </c>
      <c r="I261" s="33"/>
      <c r="L261" s="106"/>
      <c r="M261" s="106"/>
      <c r="N261" s="33"/>
      <c r="T261" s="18"/>
    </row>
    <row r="262" spans="1:20" s="79" customFormat="1" x14ac:dyDescent="0.25">
      <c r="A262" s="112" t="s">
        <v>375</v>
      </c>
      <c r="B262" s="113"/>
      <c r="C262" s="113"/>
      <c r="D262" s="113"/>
      <c r="E262" s="113"/>
      <c r="F262" s="113"/>
      <c r="G262" s="113"/>
      <c r="H262" s="114"/>
      <c r="J262" s="33"/>
    </row>
    <row r="263" spans="1:20" s="79" customFormat="1" x14ac:dyDescent="0.25">
      <c r="A263" s="112" t="s">
        <v>374</v>
      </c>
      <c r="B263" s="113"/>
      <c r="C263" s="113"/>
      <c r="D263" s="113"/>
      <c r="E263" s="113"/>
      <c r="F263" s="113"/>
      <c r="G263" s="113"/>
      <c r="H263" s="114"/>
      <c r="J263" s="33"/>
    </row>
    <row r="264" spans="1:20" s="80" customFormat="1" x14ac:dyDescent="0.25">
      <c r="A264" s="112" t="s">
        <v>372</v>
      </c>
      <c r="B264" s="113"/>
      <c r="C264" s="113"/>
      <c r="D264" s="113"/>
      <c r="E264" s="113"/>
      <c r="F264" s="113"/>
      <c r="G264" s="113"/>
      <c r="H264" s="114"/>
      <c r="J264" s="33"/>
    </row>
    <row r="265" spans="1:20" s="80" customFormat="1" ht="15.75" customHeight="1" x14ac:dyDescent="0.25">
      <c r="A265" s="107">
        <v>1</v>
      </c>
      <c r="B265" s="108"/>
      <c r="C265" s="82" t="s">
        <v>367</v>
      </c>
      <c r="D265" s="89">
        <f>(29.9)*10.764</f>
        <v>321.84359999999998</v>
      </c>
      <c r="E265" s="89">
        <f>(7.3+0.75*(2.7+2.25+3))*10.764</f>
        <v>142.75754999999998</v>
      </c>
      <c r="F265" s="82">
        <f t="shared" ref="F265:F272" si="8">D265+E265</f>
        <v>464.60114999999996</v>
      </c>
      <c r="G265" s="82">
        <v>0</v>
      </c>
      <c r="H265" s="82">
        <f t="shared" ref="H265:H272" si="9">F265*(($H$200)+1)+(IF(G265&lt;101,G265,IF(G265&lt;201,G265/2,IF(G265&lt;=301,G265/3,G265/4))))</f>
        <v>673.6716674999999</v>
      </c>
      <c r="I265" s="33"/>
      <c r="L265" s="106"/>
      <c r="M265" s="106"/>
      <c r="N265" s="33"/>
    </row>
    <row r="266" spans="1:20" s="80" customFormat="1" ht="15.75" customHeight="1" x14ac:dyDescent="0.25">
      <c r="A266" s="107">
        <f t="shared" ref="A266:A272" si="10">A265+1</f>
        <v>2</v>
      </c>
      <c r="B266" s="108"/>
      <c r="C266" s="82" t="s">
        <v>366</v>
      </c>
      <c r="D266" s="89">
        <f>(49.8)*10.764</f>
        <v>536.04719999999998</v>
      </c>
      <c r="E266" s="89">
        <f>(11+0.75*(2.7+2.3+2.7+3.05))*10.764</f>
        <v>205.18875</v>
      </c>
      <c r="F266" s="82">
        <f t="shared" si="8"/>
        <v>741.23595</v>
      </c>
      <c r="G266" s="82">
        <v>0</v>
      </c>
      <c r="H266" s="82">
        <f t="shared" si="9"/>
        <v>1074.7921274999999</v>
      </c>
      <c r="I266" s="33"/>
      <c r="L266" s="106"/>
      <c r="M266" s="106"/>
      <c r="N266" s="33"/>
    </row>
    <row r="267" spans="1:20" s="80" customFormat="1" ht="15.75" customHeight="1" x14ac:dyDescent="0.25">
      <c r="A267" s="107">
        <f t="shared" si="10"/>
        <v>3</v>
      </c>
      <c r="B267" s="108"/>
      <c r="C267" s="82" t="s">
        <v>366</v>
      </c>
      <c r="D267" s="89">
        <f>(49.8)*10.764</f>
        <v>536.04719999999998</v>
      </c>
      <c r="E267" s="89">
        <f>(11+0.75*(2.7+2.3+2.7+3.05))*10.764</f>
        <v>205.18875</v>
      </c>
      <c r="F267" s="82">
        <f t="shared" si="8"/>
        <v>741.23595</v>
      </c>
      <c r="G267" s="82">
        <v>0</v>
      </c>
      <c r="H267" s="82">
        <f t="shared" si="9"/>
        <v>1074.7921274999999</v>
      </c>
      <c r="I267" s="33"/>
      <c r="L267" s="106"/>
      <c r="M267" s="106"/>
      <c r="N267" s="33"/>
    </row>
    <row r="268" spans="1:20" s="80" customFormat="1" ht="15.75" customHeight="1" x14ac:dyDescent="0.25">
      <c r="A268" s="107">
        <f t="shared" si="10"/>
        <v>4</v>
      </c>
      <c r="B268" s="108"/>
      <c r="C268" s="82" t="s">
        <v>367</v>
      </c>
      <c r="D268" s="89">
        <f>(29.9)*10.764</f>
        <v>321.84359999999998</v>
      </c>
      <c r="E268" s="89">
        <f>(6.1+0.75*(2.7+2.25+3))*10.764</f>
        <v>129.84074999999999</v>
      </c>
      <c r="F268" s="82">
        <f t="shared" si="8"/>
        <v>451.68434999999999</v>
      </c>
      <c r="G268" s="82">
        <v>0</v>
      </c>
      <c r="H268" s="82">
        <f t="shared" si="9"/>
        <v>654.94230749999997</v>
      </c>
      <c r="I268" s="33"/>
      <c r="L268" s="106"/>
      <c r="M268" s="106"/>
      <c r="N268" s="33"/>
      <c r="T268" s="18"/>
    </row>
    <row r="269" spans="1:20" s="80" customFormat="1" ht="15.75" customHeight="1" x14ac:dyDescent="0.25">
      <c r="A269" s="107">
        <f t="shared" si="10"/>
        <v>5</v>
      </c>
      <c r="B269" s="108"/>
      <c r="C269" s="82" t="s">
        <v>367</v>
      </c>
      <c r="D269" s="89">
        <f>(29.9)*10.764</f>
        <v>321.84359999999998</v>
      </c>
      <c r="E269" s="89">
        <f>(7.3+0.75*(2.7+2.25+3))*10.764</f>
        <v>142.75754999999998</v>
      </c>
      <c r="F269" s="82">
        <f t="shared" si="8"/>
        <v>464.60114999999996</v>
      </c>
      <c r="G269" s="82">
        <v>0</v>
      </c>
      <c r="H269" s="82">
        <f t="shared" si="9"/>
        <v>673.6716674999999</v>
      </c>
      <c r="I269" s="33"/>
      <c r="L269" s="106"/>
      <c r="M269" s="106"/>
      <c r="N269" s="33"/>
    </row>
    <row r="270" spans="1:20" s="80" customFormat="1" ht="15.75" customHeight="1" x14ac:dyDescent="0.25">
      <c r="A270" s="107">
        <f t="shared" si="10"/>
        <v>6</v>
      </c>
      <c r="B270" s="108"/>
      <c r="C270" s="82" t="s">
        <v>367</v>
      </c>
      <c r="D270" s="89">
        <f>(30)*10.764</f>
        <v>322.91999999999996</v>
      </c>
      <c r="E270" s="89">
        <f>(8.7+0.75*(2.7+2.5+3))*10.764</f>
        <v>159.84539999999996</v>
      </c>
      <c r="F270" s="82">
        <f t="shared" si="8"/>
        <v>482.76539999999989</v>
      </c>
      <c r="G270" s="82">
        <v>0</v>
      </c>
      <c r="H270" s="82">
        <f t="shared" si="9"/>
        <v>700.00982999999985</v>
      </c>
      <c r="I270" s="33"/>
      <c r="L270" s="106"/>
      <c r="M270" s="106"/>
      <c r="N270" s="33"/>
    </row>
    <row r="271" spans="1:20" s="80" customFormat="1" ht="15.75" customHeight="1" x14ac:dyDescent="0.25">
      <c r="A271" s="107">
        <f t="shared" si="10"/>
        <v>7</v>
      </c>
      <c r="B271" s="108"/>
      <c r="C271" s="82" t="s">
        <v>367</v>
      </c>
      <c r="D271" s="89">
        <f>(30)*10.764</f>
        <v>322.91999999999996</v>
      </c>
      <c r="E271" s="89">
        <f>(8.7+0.75*(2.7+2.5+3))*10.764</f>
        <v>159.84539999999996</v>
      </c>
      <c r="F271" s="82">
        <f t="shared" si="8"/>
        <v>482.76539999999989</v>
      </c>
      <c r="G271" s="82">
        <v>0</v>
      </c>
      <c r="H271" s="82">
        <f t="shared" si="9"/>
        <v>700.00982999999985</v>
      </c>
      <c r="I271" s="33"/>
      <c r="L271" s="106"/>
      <c r="M271" s="106"/>
      <c r="N271" s="33"/>
      <c r="T271" s="18"/>
    </row>
    <row r="272" spans="1:20" s="80" customFormat="1" ht="15.75" customHeight="1" x14ac:dyDescent="0.25">
      <c r="A272" s="107">
        <f t="shared" si="10"/>
        <v>8</v>
      </c>
      <c r="B272" s="108"/>
      <c r="C272" s="82" t="s">
        <v>367</v>
      </c>
      <c r="D272" s="89">
        <f>(29.9)*10.764</f>
        <v>321.84359999999998</v>
      </c>
      <c r="E272" s="89">
        <f>(7.3+0.75*(2.7+2.25+3))*10.764</f>
        <v>142.75754999999998</v>
      </c>
      <c r="F272" s="82">
        <f t="shared" si="8"/>
        <v>464.60114999999996</v>
      </c>
      <c r="G272" s="82">
        <v>0</v>
      </c>
      <c r="H272" s="82">
        <f t="shared" si="9"/>
        <v>673.6716674999999</v>
      </c>
      <c r="I272" s="33"/>
      <c r="L272" s="106"/>
      <c r="M272" s="106"/>
      <c r="N272" s="33"/>
      <c r="T272" s="18"/>
    </row>
    <row r="273" spans="1:20" s="34" customFormat="1" hidden="1" x14ac:dyDescent="0.25">
      <c r="A273" s="112" t="s">
        <v>117</v>
      </c>
      <c r="B273" s="113"/>
      <c r="C273" s="113"/>
      <c r="D273" s="113"/>
      <c r="E273" s="113"/>
      <c r="F273" s="113"/>
      <c r="G273" s="113"/>
      <c r="H273" s="114"/>
      <c r="J273" s="33"/>
    </row>
    <row r="274" spans="1:20" s="34" customFormat="1" ht="15.75" hidden="1" customHeight="1" x14ac:dyDescent="0.25">
      <c r="A274" s="107">
        <v>1</v>
      </c>
      <c r="B274" s="108"/>
      <c r="C274" s="39"/>
      <c r="D274" s="39"/>
      <c r="E274" s="39">
        <v>0</v>
      </c>
      <c r="F274" s="39">
        <f>D274+E274</f>
        <v>0</v>
      </c>
      <c r="G274" s="50">
        <v>0</v>
      </c>
      <c r="H274" s="50">
        <f>F274*(($H$200)+1)+(IF(G274&lt;101,G274,IF(G274&lt;201,G274/2,IF(G274&lt;=301,G274/3,G274/4))))</f>
        <v>0</v>
      </c>
      <c r="I274" s="33"/>
      <c r="L274" s="106"/>
      <c r="M274" s="106"/>
      <c r="N274" s="33"/>
    </row>
    <row r="275" spans="1:20" s="34" customFormat="1" ht="15.75" hidden="1" customHeight="1" x14ac:dyDescent="0.25">
      <c r="A275" s="107">
        <f>A274+1</f>
        <v>2</v>
      </c>
      <c r="B275" s="108"/>
      <c r="C275" s="39"/>
      <c r="D275" s="39"/>
      <c r="E275" s="39">
        <v>0</v>
      </c>
      <c r="F275" s="50">
        <f>D275+E275</f>
        <v>0</v>
      </c>
      <c r="G275" s="50">
        <v>0</v>
      </c>
      <c r="H275" s="50">
        <f>F275*(($H$200)+1)+(IF(G275&lt;101,G275,IF(G275&lt;201,G275/2,IF(G275&lt;=301,G275/3,G275/4))))</f>
        <v>0</v>
      </c>
      <c r="I275" s="33"/>
      <c r="L275" s="106"/>
      <c r="M275" s="106"/>
      <c r="N275" s="33"/>
    </row>
    <row r="276" spans="1:20" s="34" customFormat="1" ht="15.75" hidden="1" customHeight="1" x14ac:dyDescent="0.25">
      <c r="A276" s="107">
        <f>A275+1</f>
        <v>3</v>
      </c>
      <c r="B276" s="108"/>
      <c r="C276" s="39"/>
      <c r="D276" s="39"/>
      <c r="E276" s="39">
        <v>0</v>
      </c>
      <c r="F276" s="50">
        <f>D276+E276</f>
        <v>0</v>
      </c>
      <c r="G276" s="50">
        <v>0</v>
      </c>
      <c r="H276" s="50">
        <f>F276*(($H$200)+1)+(IF(G276&lt;101,G276,IF(G276&lt;201,G276/2,IF(G276&lt;=301,G276/3,G276/4))))</f>
        <v>0</v>
      </c>
      <c r="I276" s="33"/>
      <c r="L276" s="106"/>
      <c r="M276" s="106"/>
      <c r="N276" s="33"/>
    </row>
    <row r="277" spans="1:20" s="34" customFormat="1" ht="15.75" hidden="1" customHeight="1" x14ac:dyDescent="0.25">
      <c r="A277" s="107">
        <f>A276+1</f>
        <v>4</v>
      </c>
      <c r="B277" s="108"/>
      <c r="C277" s="39"/>
      <c r="D277" s="39"/>
      <c r="E277" s="39">
        <v>0</v>
      </c>
      <c r="F277" s="50">
        <f>D277+E277</f>
        <v>0</v>
      </c>
      <c r="G277" s="50">
        <v>0</v>
      </c>
      <c r="H277" s="50">
        <f>F277*(($H$200)+1)+(IF(G277&lt;101,G277,IF(G277&lt;201,G277/2,IF(G277&lt;=301,G277/3,G277/4))))</f>
        <v>0</v>
      </c>
      <c r="I277" s="33"/>
      <c r="L277" s="106"/>
      <c r="M277" s="106"/>
      <c r="N277" s="33"/>
      <c r="T277" s="18"/>
    </row>
    <row r="278" spans="1:20" s="34" customFormat="1" hidden="1" x14ac:dyDescent="0.25">
      <c r="A278" s="200" t="s">
        <v>118</v>
      </c>
      <c r="B278" s="200"/>
      <c r="C278" s="200"/>
      <c r="D278" s="200"/>
      <c r="E278" s="200"/>
      <c r="F278" s="200"/>
      <c r="G278" s="200"/>
      <c r="H278" s="200"/>
      <c r="I278" s="33"/>
      <c r="L278" s="106"/>
      <c r="M278" s="106"/>
    </row>
    <row r="279" spans="1:20" s="34" customFormat="1" hidden="1" x14ac:dyDescent="0.25">
      <c r="A279" s="158">
        <f>LEFT(A278,SUM(LEN(A278)-LEN(SUBSTITUTE(A278,{"0","1","2","3","4","5","6","7","8","9"},""))))*100+1</f>
        <v>201</v>
      </c>
      <c r="B279" s="158"/>
      <c r="C279" s="39"/>
      <c r="D279" s="39"/>
      <c r="E279" s="50">
        <v>0</v>
      </c>
      <c r="F279" s="50">
        <f>D279+E279</f>
        <v>0</v>
      </c>
      <c r="G279" s="50">
        <v>0</v>
      </c>
      <c r="H279" s="50">
        <f>F279*(($H$200)+1)+(IF(G279&lt;101,G279,IF(G279&lt;201,G279/2,IF(G279&lt;=301,G279/3,G279/4))))</f>
        <v>0</v>
      </c>
      <c r="I279" s="33"/>
      <c r="N279" s="33"/>
    </row>
    <row r="280" spans="1:20" s="34" customFormat="1" hidden="1" x14ac:dyDescent="0.25">
      <c r="A280" s="158">
        <f>A279+1</f>
        <v>202</v>
      </c>
      <c r="B280" s="158"/>
      <c r="C280" s="39"/>
      <c r="D280" s="39"/>
      <c r="E280" s="50">
        <v>0</v>
      </c>
      <c r="F280" s="50">
        <f>D280+E280</f>
        <v>0</v>
      </c>
      <c r="G280" s="50">
        <v>0</v>
      </c>
      <c r="H280" s="50">
        <f>F280*(($H$200)+1)+(IF(G280&lt;101,G280,IF(G280&lt;201,G280/2,IF(G280&lt;=301,G280/3,G280/4))))</f>
        <v>0</v>
      </c>
      <c r="I280" s="33"/>
      <c r="N280" s="33"/>
    </row>
    <row r="281" spans="1:20" s="34" customFormat="1" hidden="1" x14ac:dyDescent="0.25">
      <c r="A281" s="158">
        <f>A280+1</f>
        <v>203</v>
      </c>
      <c r="B281" s="158"/>
      <c r="C281" s="39"/>
      <c r="D281" s="39"/>
      <c r="E281" s="50">
        <v>0</v>
      </c>
      <c r="F281" s="50">
        <f>D281+E281</f>
        <v>0</v>
      </c>
      <c r="G281" s="50">
        <v>0</v>
      </c>
      <c r="H281" s="50">
        <f>F281*(($H$200)+1)+(IF(G281&lt;101,G281,IF(G281&lt;201,G281/2,IF(G281&lt;=301,G281/3,G281/4))))</f>
        <v>0</v>
      </c>
      <c r="I281" s="33"/>
      <c r="N281" s="33"/>
    </row>
    <row r="282" spans="1:20" s="34" customFormat="1" hidden="1" x14ac:dyDescent="0.25">
      <c r="A282" s="158">
        <f>A281+1</f>
        <v>204</v>
      </c>
      <c r="B282" s="158"/>
      <c r="C282" s="39"/>
      <c r="D282" s="39"/>
      <c r="E282" s="50">
        <v>0</v>
      </c>
      <c r="F282" s="50">
        <f>D282+E282</f>
        <v>0</v>
      </c>
      <c r="G282" s="50">
        <v>0</v>
      </c>
      <c r="H282" s="50">
        <f>F282*(($H$200)+1)+(IF(G282&lt;101,G282,IF(G282&lt;201,G282/2,IF(G282&lt;=301,G282/3,G282/4))))</f>
        <v>0</v>
      </c>
      <c r="I282" s="33"/>
      <c r="N282" s="33"/>
    </row>
    <row r="283" spans="1:20" s="34" customFormat="1" hidden="1" x14ac:dyDescent="0.25">
      <c r="A283" s="158">
        <f>A282+1</f>
        <v>205</v>
      </c>
      <c r="B283" s="158"/>
      <c r="C283" s="39"/>
      <c r="D283" s="39"/>
      <c r="E283" s="50">
        <v>0</v>
      </c>
      <c r="F283" s="50">
        <f>D283+E283</f>
        <v>0</v>
      </c>
      <c r="G283" s="50">
        <v>0</v>
      </c>
      <c r="H283" s="50">
        <f>F283*(($H$200)+1)+(IF(G283&lt;101,G283,IF(G283&lt;201,G283/2,IF(G283&lt;=301,G283/3,G283/4))))</f>
        <v>0</v>
      </c>
      <c r="I283" s="33"/>
      <c r="N283" s="33"/>
    </row>
    <row r="284" spans="1:20" s="34" customFormat="1" ht="15.75" hidden="1" customHeight="1" x14ac:dyDescent="0.25">
      <c r="A284" s="112" t="s">
        <v>149</v>
      </c>
      <c r="B284" s="113"/>
      <c r="C284" s="113"/>
      <c r="D284" s="113"/>
      <c r="E284" s="113"/>
      <c r="F284" s="113"/>
      <c r="G284" s="113"/>
      <c r="H284" s="114"/>
      <c r="I284" s="33"/>
    </row>
    <row r="285" spans="1:20" s="34" customFormat="1" ht="15.75" hidden="1" customHeight="1" x14ac:dyDescent="0.25">
      <c r="A285" s="107"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10^ROW(INDIRECT("1:"&amp;LEN((LEFT(A284,SUM(LEN(A284)-LEN(SUBSTITUTE(A284,{"0","1","2"},""))))))))/10))*100+1&amp;""&amp;" ,..,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",LEN(A284))),LEN(A284)))))))/10))*100+1</f>
        <v>301 ,.., 1501</v>
      </c>
      <c r="B285" s="108"/>
      <c r="C285" s="39"/>
      <c r="D285" s="39"/>
      <c r="E285" s="50">
        <v>0</v>
      </c>
      <c r="F285" s="50">
        <f>D285+E285</f>
        <v>0</v>
      </c>
      <c r="G285" s="50">
        <v>0</v>
      </c>
      <c r="H285" s="50">
        <f>F285*(($H$200)+1)+(IF(G285&lt;101,G285,IF(G285&lt;201,G285/2,IF(G285&lt;=301,G285/3,G285/4))))</f>
        <v>0</v>
      </c>
      <c r="I285" s="33"/>
    </row>
    <row r="286" spans="1:20" s="34" customFormat="1" ht="15.75" hidden="1" customHeight="1" x14ac:dyDescent="0.25">
      <c r="A286" s="107"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302 ,.., 1502</v>
      </c>
      <c r="B286" s="108"/>
      <c r="C286" s="39"/>
      <c r="D286" s="39"/>
      <c r="E286" s="50">
        <v>0</v>
      </c>
      <c r="F286" s="50">
        <f>D286+E286</f>
        <v>0</v>
      </c>
      <c r="G286" s="50">
        <v>0</v>
      </c>
      <c r="H286" s="50">
        <f>F286*(($H$200)+1)+(IF(G286&lt;101,G286,IF(G286&lt;201,G286/2,IF(G286&lt;=301,G286/3,G286/4))))</f>
        <v>0</v>
      </c>
      <c r="I286" s="33"/>
    </row>
    <row r="287" spans="1:20" s="34" customFormat="1" ht="15.75" hidden="1" customHeight="1" x14ac:dyDescent="0.25">
      <c r="A287" s="107"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10^ROW(INDIRECT("1:"&amp;LEN((LEFT(A286,SUM(LEN(A286)-LEN(SUBSTITUTE(A286,{"0","1","2"},""))))))))/10))*1+1&amp;""&amp;" ,..,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",LEN(A286))),LEN(A286)))))))/10))*1+1</f>
        <v>303 ,.., 1503</v>
      </c>
      <c r="B287" s="108"/>
      <c r="C287" s="39"/>
      <c r="D287" s="39"/>
      <c r="E287" s="50">
        <v>0</v>
      </c>
      <c r="F287" s="50">
        <f>D287+E287</f>
        <v>0</v>
      </c>
      <c r="G287" s="50">
        <v>0</v>
      </c>
      <c r="H287" s="50">
        <f>F287*(($H$200)+1)+(IF(G287&lt;101,G287,IF(G287&lt;201,G287/2,IF(G287&lt;=301,G287/3,G287/4))))</f>
        <v>0</v>
      </c>
      <c r="I287" s="33"/>
    </row>
    <row r="288" spans="1:20" s="34" customFormat="1" ht="15.75" hidden="1" customHeight="1" x14ac:dyDescent="0.25">
      <c r="A288" s="107"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304 ,.., 1504</v>
      </c>
      <c r="B288" s="108"/>
      <c r="C288" s="39"/>
      <c r="D288" s="39"/>
      <c r="E288" s="50">
        <v>0</v>
      </c>
      <c r="F288" s="50">
        <f>D288+E288</f>
        <v>0</v>
      </c>
      <c r="G288" s="50">
        <v>0</v>
      </c>
      <c r="H288" s="50">
        <f>F288*(($H$200)+1)+(IF(G288&lt;101,G288,IF(G288&lt;201,G288/2,IF(G288&lt;=301,G288/3,G288/4))))</f>
        <v>0</v>
      </c>
      <c r="I288" s="33"/>
    </row>
    <row r="289" spans="1:20" s="34" customFormat="1" ht="15.75" hidden="1" customHeight="1" x14ac:dyDescent="0.25">
      <c r="A289" s="107"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10^ROW(INDIRECT("1:"&amp;LEN((LEFT(A288,SUM(LEN(A288)-LEN(SUBSTITUTE(A288,{"0","1","2"},""))))))))/10))*1+1&amp;""&amp;" ,..,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",LEN(A288))),LEN(A288)))))))/10))*1+1</f>
        <v>305 ,.., 1505</v>
      </c>
      <c r="B289" s="108"/>
      <c r="C289" s="39"/>
      <c r="D289" s="39"/>
      <c r="E289" s="50">
        <v>0</v>
      </c>
      <c r="F289" s="50">
        <f>D289+E289</f>
        <v>0</v>
      </c>
      <c r="G289" s="50">
        <v>0</v>
      </c>
      <c r="H289" s="50">
        <f>F289*(($H$200)+1)+(IF(G289&lt;101,G289,IF(G289&lt;201,G289/2,IF(G289&lt;=301,G289/3,G289/4))))</f>
        <v>0</v>
      </c>
      <c r="I289" s="33"/>
    </row>
    <row r="290" spans="1:20" s="34" customFormat="1" hidden="1" x14ac:dyDescent="0.25">
      <c r="A290" s="112" t="s">
        <v>143</v>
      </c>
      <c r="B290" s="113"/>
      <c r="C290" s="113"/>
      <c r="D290" s="113"/>
      <c r="E290" s="113"/>
      <c r="F290" s="113"/>
      <c r="G290" s="113"/>
      <c r="H290" s="114"/>
      <c r="I290" s="33"/>
    </row>
    <row r="291" spans="1:20" s="34" customFormat="1" ht="15.75" hidden="1" customHeight="1" x14ac:dyDescent="0.25">
      <c r="A291" s="107"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10^ROW(INDIRECT("1:"&amp;LEN((LEFT(A290,SUM(LEN(A290)-LEN(SUBSTITUTE(A290,{"0","1","2"},""))))))))/10))*100+1&amp;""&amp;" to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",LEN(A290))),LEN(A290)))))))/10))*100+1</f>
        <v>201 to 501</v>
      </c>
      <c r="B291" s="108"/>
      <c r="C291" s="39"/>
      <c r="D291" s="39"/>
      <c r="E291" s="50">
        <v>0</v>
      </c>
      <c r="F291" s="50">
        <f>D291+E291</f>
        <v>0</v>
      </c>
      <c r="G291" s="50">
        <v>0</v>
      </c>
      <c r="H291" s="50">
        <f>F291*(($H$200)+1)+(IF(G291&lt;101,G291,IF(G291&lt;201,G291/2,IF(G291&lt;=301,G291/3,G291/4))))</f>
        <v>0</v>
      </c>
      <c r="I291" s="33"/>
    </row>
    <row r="292" spans="1:20" s="34" customFormat="1" ht="15.75" hidden="1" customHeight="1" x14ac:dyDescent="0.25">
      <c r="A292" s="107"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10^ROW(INDIRECT("1:"&amp;LEN((LEFT(A291,SUM(LEN(A291)-LEN(SUBSTITUTE(A291,{"0","1","2"},""))))))))/10))*1+1&amp;""&amp;" to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",LEN(A291))),LEN(A291)))))))/10))*1+1</f>
        <v>202 to 502</v>
      </c>
      <c r="B292" s="108"/>
      <c r="C292" s="39"/>
      <c r="D292" s="39"/>
      <c r="E292" s="50">
        <v>0</v>
      </c>
      <c r="F292" s="50">
        <f>D292+E292</f>
        <v>0</v>
      </c>
      <c r="G292" s="50">
        <v>0</v>
      </c>
      <c r="H292" s="50">
        <f>F292*(($H$200)+1)+(IF(G292&lt;101,G292,IF(G292&lt;201,G292/2,IF(G292&lt;=301,G292/3,G292/4))))</f>
        <v>0</v>
      </c>
      <c r="I292" s="33"/>
    </row>
    <row r="293" spans="1:20" s="34" customFormat="1" ht="15.75" hidden="1" customHeight="1" x14ac:dyDescent="0.25">
      <c r="A293" s="107"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to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203 to 503</v>
      </c>
      <c r="B293" s="108"/>
      <c r="C293" s="39"/>
      <c r="D293" s="39"/>
      <c r="E293" s="50">
        <v>0</v>
      </c>
      <c r="F293" s="50">
        <f>D293+E293</f>
        <v>0</v>
      </c>
      <c r="G293" s="50">
        <v>0</v>
      </c>
      <c r="H293" s="50">
        <f>F293*(($H$200)+1)+(IF(G293&lt;101,G293,IF(G293&lt;201,G293/2,IF(G293&lt;=301,G293/3,G293/4))))</f>
        <v>0</v>
      </c>
      <c r="I293" s="33"/>
    </row>
    <row r="294" spans="1:20" s="34" customFormat="1" ht="15.75" hidden="1" customHeight="1" x14ac:dyDescent="0.25">
      <c r="A294" s="107"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to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204 to 504</v>
      </c>
      <c r="B294" s="108"/>
      <c r="C294" s="39"/>
      <c r="D294" s="39"/>
      <c r="E294" s="50">
        <v>0</v>
      </c>
      <c r="F294" s="50">
        <f>D294+E294</f>
        <v>0</v>
      </c>
      <c r="G294" s="50">
        <v>0</v>
      </c>
      <c r="H294" s="50">
        <f>F294*(($H$200)+1)+(IF(G294&lt;101,G294,IF(G294&lt;201,G294/2,IF(G294&lt;=301,G294/3,G294/4))))</f>
        <v>0</v>
      </c>
      <c r="I294" s="33"/>
    </row>
    <row r="295" spans="1:20" s="34" customFormat="1" ht="15.75" hidden="1" customHeight="1" x14ac:dyDescent="0.25">
      <c r="A295" s="107"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to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205 to 505</v>
      </c>
      <c r="B295" s="108"/>
      <c r="C295" s="39"/>
      <c r="D295" s="39"/>
      <c r="E295" s="50">
        <v>0</v>
      </c>
      <c r="F295" s="50">
        <f>D295+E295</f>
        <v>0</v>
      </c>
      <c r="G295" s="50">
        <v>0</v>
      </c>
      <c r="H295" s="50">
        <f>F295*(($H$200)+1)+(IF(G295&lt;101,G295,IF(G295&lt;201,G295/2,IF(G295&lt;=301,G295/3,G295/4))))</f>
        <v>0</v>
      </c>
      <c r="I295" s="33"/>
    </row>
    <row r="296" spans="1:20" s="34" customFormat="1" hidden="1" x14ac:dyDescent="0.25">
      <c r="A296" s="112" t="s">
        <v>144</v>
      </c>
      <c r="B296" s="113"/>
      <c r="C296" s="113"/>
      <c r="D296" s="113"/>
      <c r="E296" s="113"/>
      <c r="F296" s="113"/>
      <c r="G296" s="113"/>
      <c r="H296" s="114"/>
      <c r="I296" s="33"/>
    </row>
    <row r="297" spans="1:20" s="34" customFormat="1" ht="15.75" hidden="1" customHeight="1" x14ac:dyDescent="0.25">
      <c r="A297" s="107"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10^ROW(INDIRECT("1:"&amp;LEN((LEFT(A296,SUM(LEN(A296)-LEN(SUBSTITUTE(A296,{"0","1","2"},""))))))))/10))*100+1&amp;""&amp;" &amp;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",LEN(A296))),LEN(A296)))))))/10))*100+1</f>
        <v>201 &amp; 501</v>
      </c>
      <c r="B297" s="108"/>
      <c r="C297" s="39"/>
      <c r="D297" s="39"/>
      <c r="E297" s="50">
        <v>0</v>
      </c>
      <c r="F297" s="50">
        <f>D297+E297</f>
        <v>0</v>
      </c>
      <c r="G297" s="50">
        <v>0</v>
      </c>
      <c r="H297" s="50">
        <f>F297*(($H$200)+1)+(IF(G297&lt;101,G297,IF(G297&lt;201,G297/2,IF(G297&lt;=301,G297/3,G297/4))))</f>
        <v>0</v>
      </c>
      <c r="I297" s="33"/>
    </row>
    <row r="298" spans="1:20" s="34" customFormat="1" ht="15.75" hidden="1" customHeight="1" x14ac:dyDescent="0.25">
      <c r="A298" s="107"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&amp;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202 &amp; 502</v>
      </c>
      <c r="B298" s="108"/>
      <c r="C298" s="39"/>
      <c r="D298" s="39"/>
      <c r="E298" s="50">
        <v>0</v>
      </c>
      <c r="F298" s="50">
        <f>D298+E298</f>
        <v>0</v>
      </c>
      <c r="G298" s="50">
        <v>0</v>
      </c>
      <c r="H298" s="50">
        <f>F298*(($H$200)+1)+(IF(G298&lt;101,G298,IF(G298&lt;201,G298/2,IF(G298&lt;=301,G298/3,G298/4))))</f>
        <v>0</v>
      </c>
      <c r="I298" s="33"/>
    </row>
    <row r="299" spans="1:20" s="34" customFormat="1" ht="15.75" hidden="1" customHeight="1" x14ac:dyDescent="0.25">
      <c r="A299" s="107"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&amp;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203 &amp; 503</v>
      </c>
      <c r="B299" s="108"/>
      <c r="C299" s="39"/>
      <c r="D299" s="39"/>
      <c r="E299" s="50">
        <v>0</v>
      </c>
      <c r="F299" s="50">
        <f>D299+E299</f>
        <v>0</v>
      </c>
      <c r="G299" s="50">
        <v>0</v>
      </c>
      <c r="H299" s="50">
        <f>F299*(($H$200)+1)+(IF(G299&lt;101,G299,IF(G299&lt;201,G299/2,IF(G299&lt;=301,G299/3,G299/4))))</f>
        <v>0</v>
      </c>
      <c r="I299" s="33"/>
    </row>
    <row r="300" spans="1:20" s="34" customFormat="1" ht="15.75" hidden="1" customHeight="1" x14ac:dyDescent="0.25">
      <c r="A300" s="107"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10^ROW(INDIRECT("1:"&amp;LEN((LEFT(A299,SUM(LEN(A299)-LEN(SUBSTITUTE(A299,{"0","1","2"},""))))))))/10))*1+1&amp;""&amp;" &amp;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",LEN(A299))),LEN(A299)))))))/10))*1+1</f>
        <v>204 &amp; 504</v>
      </c>
      <c r="B300" s="108"/>
      <c r="C300" s="39"/>
      <c r="D300" s="39"/>
      <c r="E300" s="50">
        <v>0</v>
      </c>
      <c r="F300" s="50">
        <f>D300+E300</f>
        <v>0</v>
      </c>
      <c r="G300" s="50">
        <v>0</v>
      </c>
      <c r="H300" s="50">
        <f>F300*(($H$200)+1)+(IF(G300&lt;101,G300,IF(G300&lt;201,G300/2,IF(G300&lt;=301,G300/3,G300/4))))</f>
        <v>0</v>
      </c>
      <c r="I300" s="33"/>
    </row>
    <row r="301" spans="1:20" s="34" customFormat="1" ht="15.75" hidden="1" customHeight="1" x14ac:dyDescent="0.25">
      <c r="A301" s="107"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&amp;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205 &amp; 505</v>
      </c>
      <c r="B301" s="108"/>
      <c r="C301" s="39"/>
      <c r="D301" s="39"/>
      <c r="E301" s="50">
        <v>0</v>
      </c>
      <c r="F301" s="50">
        <f>D301+E301</f>
        <v>0</v>
      </c>
      <c r="G301" s="50">
        <v>0</v>
      </c>
      <c r="H301" s="50">
        <f>F301*(($H$200)+1)+(IF(G301&lt;101,G301,IF(G301&lt;201,G301/2,IF(G301&lt;=301,G301/3,G301/4))))</f>
        <v>0</v>
      </c>
      <c r="I301" s="33"/>
    </row>
    <row r="302" spans="1:20" s="32" customFormat="1" x14ac:dyDescent="0.25">
      <c r="A302" s="168" t="s">
        <v>65</v>
      </c>
      <c r="B302" s="168"/>
      <c r="C302" s="168"/>
      <c r="D302" s="168"/>
      <c r="E302" s="168"/>
      <c r="F302" s="168"/>
      <c r="G302" s="168"/>
      <c r="H302" s="168"/>
      <c r="T302" s="34"/>
    </row>
    <row r="303" spans="1:20" s="32" customFormat="1" ht="15.75" customHeight="1" x14ac:dyDescent="0.25">
      <c r="A303" s="98" t="s">
        <v>153</v>
      </c>
      <c r="B303" s="165" t="s">
        <v>402</v>
      </c>
      <c r="C303" s="166"/>
      <c r="D303" s="166"/>
      <c r="E303" s="166"/>
      <c r="F303" s="166"/>
      <c r="G303" s="166"/>
      <c r="H303" s="167"/>
      <c r="T303" s="34"/>
    </row>
    <row r="304" spans="1:20" s="32" customFormat="1" x14ac:dyDescent="0.25">
      <c r="A304" s="98" t="s">
        <v>153</v>
      </c>
      <c r="B304" s="165" t="str">
        <f>(IF(H199="Saleable area Loading :","We have considered Saleable area of Flats as per our Calculation.","We considered Saleable area of Flat as per Builder area Sheet."))</f>
        <v>We have considered Saleable area of Flats as per our Calculation.</v>
      </c>
      <c r="C304" s="166"/>
      <c r="D304" s="166"/>
      <c r="E304" s="166"/>
      <c r="F304" s="166"/>
      <c r="G304" s="166"/>
      <c r="H304" s="167"/>
      <c r="T304" s="34"/>
    </row>
    <row r="305" spans="1:20" s="32" customFormat="1" hidden="1" x14ac:dyDescent="0.25">
      <c r="A305" s="98" t="s">
        <v>153</v>
      </c>
      <c r="B305" s="165" t="str">
        <f>(IF(H191="Saleable area Loading :","We have considered Saleable area of Commercial as per our Calculation.","We considered Saleable area of Commercial as per Builder area Sheet."))</f>
        <v>We have considered Saleable area of Commercial as per our Calculation.</v>
      </c>
      <c r="C305" s="166"/>
      <c r="D305" s="166"/>
      <c r="E305" s="166"/>
      <c r="F305" s="166"/>
      <c r="G305" s="166"/>
      <c r="H305" s="167"/>
      <c r="T305" s="34"/>
    </row>
    <row r="306" spans="1:20" s="32" customFormat="1" x14ac:dyDescent="0.25">
      <c r="A306" s="98" t="s">
        <v>153</v>
      </c>
      <c r="B306" s="165" t="s">
        <v>120</v>
      </c>
      <c r="C306" s="166"/>
      <c r="D306" s="166"/>
      <c r="E306" s="166"/>
      <c r="F306" s="166"/>
      <c r="G306" s="166"/>
      <c r="H306" s="167"/>
      <c r="T306" s="34"/>
    </row>
    <row r="307" spans="1:20" s="32" customFormat="1" x14ac:dyDescent="0.25">
      <c r="A307" s="98" t="s">
        <v>153</v>
      </c>
      <c r="B307" s="165" t="s">
        <v>376</v>
      </c>
      <c r="C307" s="166"/>
      <c r="D307" s="166"/>
      <c r="E307" s="166"/>
      <c r="F307" s="166"/>
      <c r="G307" s="166"/>
      <c r="H307" s="167"/>
      <c r="T307" s="34"/>
    </row>
    <row r="308" spans="1:20" s="32" customFormat="1" x14ac:dyDescent="0.25">
      <c r="A308" s="98" t="s">
        <v>153</v>
      </c>
      <c r="B308" s="165" t="s">
        <v>152</v>
      </c>
      <c r="C308" s="166"/>
      <c r="D308" s="166"/>
      <c r="E308" s="166"/>
      <c r="F308" s="166"/>
      <c r="G308" s="166"/>
      <c r="H308" s="167"/>
    </row>
    <row r="309" spans="1:20" s="32" customFormat="1" x14ac:dyDescent="0.25">
      <c r="A309" s="98" t="s">
        <v>153</v>
      </c>
      <c r="B309" s="165" t="s">
        <v>121</v>
      </c>
      <c r="C309" s="166"/>
      <c r="D309" s="166"/>
      <c r="E309" s="166"/>
      <c r="F309" s="166"/>
      <c r="G309" s="166"/>
      <c r="H309" s="167"/>
    </row>
    <row r="310" spans="1:20" s="32" customFormat="1" ht="34.5" customHeight="1" x14ac:dyDescent="0.25">
      <c r="A310" s="98" t="s">
        <v>153</v>
      </c>
      <c r="B310" s="165" t="s">
        <v>154</v>
      </c>
      <c r="C310" s="166"/>
      <c r="D310" s="166"/>
      <c r="E310" s="166"/>
      <c r="F310" s="166"/>
      <c r="G310" s="166"/>
      <c r="H310" s="167"/>
    </row>
    <row r="311" spans="1:20" s="32" customFormat="1" x14ac:dyDescent="0.25">
      <c r="A311" s="41" t="s">
        <v>153</v>
      </c>
      <c r="B311" s="241" t="s">
        <v>122</v>
      </c>
      <c r="C311" s="242"/>
      <c r="D311" s="242"/>
      <c r="E311" s="242"/>
      <c r="F311" s="242"/>
      <c r="G311" s="242"/>
      <c r="H311" s="243"/>
    </row>
    <row r="312" spans="1:20" s="32" customFormat="1" ht="32.25" hidden="1" customHeight="1" x14ac:dyDescent="0.25">
      <c r="A312" s="47" t="s">
        <v>153</v>
      </c>
      <c r="B312" s="236" t="s">
        <v>179</v>
      </c>
      <c r="C312" s="237"/>
      <c r="D312" s="237"/>
      <c r="E312" s="237"/>
      <c r="F312" s="237"/>
      <c r="G312" s="237"/>
      <c r="H312" s="238"/>
    </row>
    <row r="313" spans="1:20" s="32" customFormat="1" hidden="1" x14ac:dyDescent="0.25">
      <c r="A313" s="51" t="s">
        <v>153</v>
      </c>
      <c r="B313" s="236" t="s">
        <v>235</v>
      </c>
      <c r="C313" s="237"/>
      <c r="D313" s="237"/>
      <c r="E313" s="237"/>
      <c r="F313" s="237"/>
      <c r="G313" s="237"/>
      <c r="H313" s="238"/>
    </row>
    <row r="314" spans="1:20" s="32" customFormat="1" x14ac:dyDescent="0.25">
      <c r="A314" s="81" t="s">
        <v>153</v>
      </c>
      <c r="B314" s="241" t="s">
        <v>393</v>
      </c>
      <c r="C314" s="242"/>
      <c r="D314" s="242"/>
      <c r="E314" s="242"/>
      <c r="F314" s="242"/>
      <c r="G314" s="242"/>
      <c r="H314" s="243"/>
    </row>
    <row r="315" spans="1:20" x14ac:dyDescent="0.25">
      <c r="A315" s="169" t="s">
        <v>58</v>
      </c>
      <c r="B315" s="169"/>
      <c r="C315" s="169"/>
      <c r="D315" s="169"/>
      <c r="E315" s="169"/>
      <c r="F315" s="169"/>
      <c r="G315" s="169"/>
      <c r="H315" s="169"/>
      <c r="T315" s="32"/>
    </row>
    <row r="316" spans="1:20" x14ac:dyDescent="0.25">
      <c r="A316" s="144" t="s">
        <v>59</v>
      </c>
      <c r="B316" s="144"/>
      <c r="C316" s="144"/>
      <c r="D316" s="144"/>
      <c r="E316" s="144"/>
      <c r="F316" s="144"/>
      <c r="G316" s="144"/>
      <c r="H316" s="144"/>
      <c r="T316" s="32"/>
    </row>
    <row r="317" spans="1:20" ht="15.75" customHeight="1" x14ac:dyDescent="0.25">
      <c r="A317" s="157" t="s">
        <v>60</v>
      </c>
      <c r="B317" s="157"/>
      <c r="C317" s="157"/>
      <c r="D317" s="157"/>
      <c r="E317" s="157"/>
      <c r="F317" s="157"/>
      <c r="G317" s="157"/>
      <c r="H317" s="157"/>
      <c r="T317" s="32"/>
    </row>
    <row r="318" spans="1:20" x14ac:dyDescent="0.25">
      <c r="A318" s="144" t="s">
        <v>61</v>
      </c>
      <c r="B318" s="144"/>
      <c r="C318" s="144"/>
      <c r="D318" s="144"/>
      <c r="E318" s="144"/>
      <c r="F318" s="144"/>
      <c r="G318" s="144"/>
      <c r="H318" s="144"/>
      <c r="T318" s="32"/>
    </row>
    <row r="319" spans="1:20" x14ac:dyDescent="0.25">
      <c r="A319" s="144" t="s">
        <v>62</v>
      </c>
      <c r="B319" s="144"/>
      <c r="C319" s="144"/>
      <c r="D319" s="144"/>
      <c r="E319" s="144"/>
      <c r="F319" s="144"/>
      <c r="G319" s="144"/>
      <c r="H319" s="144"/>
      <c r="T319" s="32"/>
    </row>
    <row r="320" spans="1:20" x14ac:dyDescent="0.25">
      <c r="A320" s="156" t="s">
        <v>123</v>
      </c>
      <c r="B320" s="156"/>
      <c r="C320" s="156"/>
      <c r="D320" s="156"/>
      <c r="E320" s="156"/>
      <c r="F320" s="156"/>
      <c r="G320" s="156"/>
      <c r="H320" s="156"/>
      <c r="T320" s="32"/>
    </row>
    <row r="321" spans="1:8" ht="33.950000000000003" customHeight="1" x14ac:dyDescent="0.25">
      <c r="A321" s="153" t="s">
        <v>124</v>
      </c>
      <c r="B321" s="153"/>
      <c r="C321" s="153"/>
      <c r="D321" s="153"/>
      <c r="E321" s="153"/>
      <c r="F321" s="153"/>
      <c r="G321" s="153"/>
      <c r="H321" s="153"/>
    </row>
    <row r="322" spans="1:8" x14ac:dyDescent="0.25">
      <c r="A322" s="197" t="s">
        <v>74</v>
      </c>
      <c r="B322" s="197"/>
      <c r="C322" s="197" t="s">
        <v>396</v>
      </c>
      <c r="D322" s="197"/>
      <c r="E322" s="197" t="s">
        <v>104</v>
      </c>
      <c r="F322" s="197"/>
      <c r="G322" s="197" t="s">
        <v>403</v>
      </c>
      <c r="H322" s="197"/>
    </row>
    <row r="323" spans="1:8" x14ac:dyDescent="0.25">
      <c r="A323" s="196" t="s">
        <v>76</v>
      </c>
      <c r="B323" s="196"/>
      <c r="C323" s="196"/>
      <c r="D323" s="196"/>
      <c r="E323" s="196"/>
      <c r="F323" s="196"/>
      <c r="G323" s="196"/>
      <c r="H323" s="196"/>
    </row>
    <row r="324" spans="1:8" x14ac:dyDescent="0.25">
      <c r="A324" s="196"/>
      <c r="B324" s="196"/>
      <c r="C324" s="196"/>
      <c r="D324" s="196"/>
      <c r="E324" s="196"/>
      <c r="F324" s="196"/>
      <c r="G324" s="196"/>
      <c r="H324" s="196"/>
    </row>
    <row r="325" spans="1:8" x14ac:dyDescent="0.25">
      <c r="A325" s="196"/>
      <c r="B325" s="196"/>
      <c r="C325" s="196"/>
      <c r="D325" s="196"/>
      <c r="E325" s="196"/>
      <c r="F325" s="196"/>
      <c r="G325" s="196"/>
      <c r="H325" s="196"/>
    </row>
    <row r="326" spans="1:8" x14ac:dyDescent="0.25">
      <c r="A326" s="196"/>
      <c r="B326" s="196"/>
      <c r="C326" s="196"/>
      <c r="D326" s="196"/>
      <c r="E326" s="196"/>
      <c r="F326" s="196"/>
      <c r="G326" s="196"/>
      <c r="H326" s="196"/>
    </row>
    <row r="327" spans="1:8" x14ac:dyDescent="0.25">
      <c r="A327" s="35" t="s">
        <v>63</v>
      </c>
      <c r="B327" s="36"/>
      <c r="C327" s="36"/>
      <c r="D327" s="35" t="str">
        <f>E9</f>
        <v>Flamingo Residency</v>
      </c>
      <c r="F327" s="36"/>
      <c r="G327" s="36"/>
      <c r="H327" s="36"/>
    </row>
    <row r="328" spans="1:8" x14ac:dyDescent="0.25">
      <c r="A328" s="36"/>
      <c r="B328" s="36"/>
      <c r="C328" s="36"/>
      <c r="D328" s="36"/>
      <c r="E328" s="36"/>
      <c r="F328" s="36"/>
      <c r="G328" s="36"/>
      <c r="H328" s="36"/>
    </row>
    <row r="329" spans="1:8" x14ac:dyDescent="0.25">
      <c r="A329" s="36"/>
      <c r="B329" s="36"/>
      <c r="C329" s="36"/>
      <c r="D329" s="36"/>
      <c r="E329" s="36"/>
      <c r="F329" s="36"/>
      <c r="G329" s="36"/>
      <c r="H329" s="36"/>
    </row>
    <row r="330" spans="1:8" ht="15" customHeight="1" x14ac:dyDescent="0.25"/>
    <row r="355" spans="6:7" x14ac:dyDescent="0.25">
      <c r="G355"/>
    </row>
    <row r="356" spans="6:7" x14ac:dyDescent="0.25">
      <c r="F356"/>
    </row>
    <row r="370" spans="1:1" x14ac:dyDescent="0.25">
      <c r="A370" s="38" t="s">
        <v>164</v>
      </c>
    </row>
    <row r="413" spans="1:1" x14ac:dyDescent="0.25">
      <c r="A413" s="38" t="s">
        <v>64</v>
      </c>
    </row>
  </sheetData>
  <mergeCells count="556">
    <mergeCell ref="C117:H117"/>
    <mergeCell ref="A119:B119"/>
    <mergeCell ref="C119:H119"/>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B314:H314"/>
    <mergeCell ref="A270:B270"/>
    <mergeCell ref="L270:M270"/>
    <mergeCell ref="A271:B271"/>
    <mergeCell ref="L271:M271"/>
    <mergeCell ref="A272:B272"/>
    <mergeCell ref="L272:M272"/>
    <mergeCell ref="C182:D182"/>
    <mergeCell ref="E182:F182"/>
    <mergeCell ref="G182:H182"/>
    <mergeCell ref="C183:D183"/>
    <mergeCell ref="E183:F183"/>
    <mergeCell ref="G183:H183"/>
    <mergeCell ref="C184:D184"/>
    <mergeCell ref="E184:F184"/>
    <mergeCell ref="G184:H184"/>
    <mergeCell ref="C185:D185"/>
    <mergeCell ref="E185:F185"/>
    <mergeCell ref="A201:H201"/>
    <mergeCell ref="A203:H203"/>
    <mergeCell ref="A204:B204"/>
    <mergeCell ref="L204:M204"/>
    <mergeCell ref="A205:B205"/>
    <mergeCell ref="A153:B153"/>
    <mergeCell ref="A154:B154"/>
    <mergeCell ref="A155:B155"/>
    <mergeCell ref="A156:B156"/>
    <mergeCell ref="A157:B157"/>
    <mergeCell ref="A158:B158"/>
    <mergeCell ref="A253:H253"/>
    <mergeCell ref="A254:B254"/>
    <mergeCell ref="L254:M254"/>
    <mergeCell ref="A255:B255"/>
    <mergeCell ref="L255:M255"/>
    <mergeCell ref="A256:B256"/>
    <mergeCell ref="L256:M256"/>
    <mergeCell ref="A257:B257"/>
    <mergeCell ref="L257:M257"/>
    <mergeCell ref="A269:B269"/>
    <mergeCell ref="L269:M269"/>
    <mergeCell ref="A258:B258"/>
    <mergeCell ref="L258:M258"/>
    <mergeCell ref="A259:B259"/>
    <mergeCell ref="L259:M259"/>
    <mergeCell ref="A260:B260"/>
    <mergeCell ref="L260:M260"/>
    <mergeCell ref="A261:B261"/>
    <mergeCell ref="L261:M261"/>
    <mergeCell ref="A264:H264"/>
    <mergeCell ref="A262:H262"/>
    <mergeCell ref="A263:H263"/>
    <mergeCell ref="A265:B265"/>
    <mergeCell ref="L265:M265"/>
    <mergeCell ref="A266:B266"/>
    <mergeCell ref="L266:M266"/>
    <mergeCell ref="A267:B267"/>
    <mergeCell ref="L267:M267"/>
    <mergeCell ref="A268:B268"/>
    <mergeCell ref="L268:M268"/>
    <mergeCell ref="L205:M205"/>
    <mergeCell ref="C191:C192"/>
    <mergeCell ref="B199:B200"/>
    <mergeCell ref="A91:B91"/>
    <mergeCell ref="L197:M197"/>
    <mergeCell ref="L196:M196"/>
    <mergeCell ref="L195:M195"/>
    <mergeCell ref="A180:A181"/>
    <mergeCell ref="C186:D186"/>
    <mergeCell ref="E186:F186"/>
    <mergeCell ref="G186:H186"/>
    <mergeCell ref="A184:A186"/>
    <mergeCell ref="A165:E165"/>
    <mergeCell ref="F165:H165"/>
    <mergeCell ref="L194:M194"/>
    <mergeCell ref="A162:E162"/>
    <mergeCell ref="A159:E159"/>
    <mergeCell ref="F163:H163"/>
    <mergeCell ref="G92:H92"/>
    <mergeCell ref="G93:H102"/>
    <mergeCell ref="A96:B96"/>
    <mergeCell ref="F161:H161"/>
    <mergeCell ref="A161:E161"/>
    <mergeCell ref="D191:D192"/>
    <mergeCell ref="B305:H305"/>
    <mergeCell ref="A92:B92"/>
    <mergeCell ref="E92:F92"/>
    <mergeCell ref="E93:F102"/>
    <mergeCell ref="A131:B131"/>
    <mergeCell ref="C131:H131"/>
    <mergeCell ref="A133:B133"/>
    <mergeCell ref="C133:H133"/>
    <mergeCell ref="A134:B134"/>
    <mergeCell ref="E134:F134"/>
    <mergeCell ref="G134:H134"/>
    <mergeCell ref="A135:B135"/>
    <mergeCell ref="E135:F144"/>
    <mergeCell ref="G135:H144"/>
    <mergeCell ref="A136:B136"/>
    <mergeCell ref="A137:B137"/>
    <mergeCell ref="A138:B138"/>
    <mergeCell ref="A139:B139"/>
    <mergeCell ref="A140:B140"/>
    <mergeCell ref="A141:B141"/>
    <mergeCell ref="A142:B142"/>
    <mergeCell ref="A143:B143"/>
    <mergeCell ref="G191:G192"/>
    <mergeCell ref="A292:B292"/>
    <mergeCell ref="B313:H313"/>
    <mergeCell ref="A164:E164"/>
    <mergeCell ref="A187:B187"/>
    <mergeCell ref="E187:F187"/>
    <mergeCell ref="A170:E170"/>
    <mergeCell ref="G187:H187"/>
    <mergeCell ref="C176:D176"/>
    <mergeCell ref="E176:F176"/>
    <mergeCell ref="G176:H176"/>
    <mergeCell ref="A177:B177"/>
    <mergeCell ref="C177:D177"/>
    <mergeCell ref="E177:F177"/>
    <mergeCell ref="G177:H177"/>
    <mergeCell ref="C181:D181"/>
    <mergeCell ref="E181:F181"/>
    <mergeCell ref="G181:H181"/>
    <mergeCell ref="B310:H310"/>
    <mergeCell ref="B312:H312"/>
    <mergeCell ref="E188:F188"/>
    <mergeCell ref="B311:H311"/>
    <mergeCell ref="B309:H309"/>
    <mergeCell ref="B303:H303"/>
    <mergeCell ref="B304:H304"/>
    <mergeCell ref="A194:B194"/>
    <mergeCell ref="L278:M278"/>
    <mergeCell ref="A283:B283"/>
    <mergeCell ref="A280:B280"/>
    <mergeCell ref="A281:B281"/>
    <mergeCell ref="A291:B291"/>
    <mergeCell ref="A40:B40"/>
    <mergeCell ref="C40:H40"/>
    <mergeCell ref="F191:F192"/>
    <mergeCell ref="C175:D175"/>
    <mergeCell ref="E175:F175"/>
    <mergeCell ref="B191:B192"/>
    <mergeCell ref="A191:A192"/>
    <mergeCell ref="C199:C200"/>
    <mergeCell ref="G199:G200"/>
    <mergeCell ref="L277:M277"/>
    <mergeCell ref="L274:M274"/>
    <mergeCell ref="A275:B275"/>
    <mergeCell ref="G188:H188"/>
    <mergeCell ref="L275:M275"/>
    <mergeCell ref="A276:B276"/>
    <mergeCell ref="L276:M276"/>
    <mergeCell ref="C55:H55"/>
    <mergeCell ref="A277:B277"/>
    <mergeCell ref="A78:B78"/>
    <mergeCell ref="A188:B188"/>
    <mergeCell ref="C188:D188"/>
    <mergeCell ref="A100:B100"/>
    <mergeCell ref="A101:B101"/>
    <mergeCell ref="A145:B145"/>
    <mergeCell ref="C145:H145"/>
    <mergeCell ref="A147:B147"/>
    <mergeCell ref="C147:H147"/>
    <mergeCell ref="A148:B148"/>
    <mergeCell ref="E148:F148"/>
    <mergeCell ref="G148:H148"/>
    <mergeCell ref="A149:B149"/>
    <mergeCell ref="E149:F158"/>
    <mergeCell ref="G149:H158"/>
    <mergeCell ref="A150:B150"/>
    <mergeCell ref="A151:B151"/>
    <mergeCell ref="A152:B152"/>
    <mergeCell ref="A113:B113"/>
    <mergeCell ref="A114:B114"/>
    <mergeCell ref="A115:B115"/>
    <mergeCell ref="A116:B116"/>
    <mergeCell ref="G185:H185"/>
    <mergeCell ref="A182:A183"/>
    <mergeCell ref="A117:B117"/>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44:D44"/>
    <mergeCell ref="E44:H44"/>
    <mergeCell ref="E45:H45"/>
    <mergeCell ref="E46:H46"/>
    <mergeCell ref="E47:H47"/>
    <mergeCell ref="C57:H57"/>
    <mergeCell ref="C59:H59"/>
    <mergeCell ref="A77:B77"/>
    <mergeCell ref="A75:B75"/>
    <mergeCell ref="C75:H75"/>
    <mergeCell ref="A70:C70"/>
    <mergeCell ref="D70:H70"/>
    <mergeCell ref="C77:H77"/>
    <mergeCell ref="A71:C71"/>
    <mergeCell ref="D71:H71"/>
    <mergeCell ref="A74:C74"/>
    <mergeCell ref="D74:H74"/>
    <mergeCell ref="A48:H48"/>
    <mergeCell ref="D64:H64"/>
    <mergeCell ref="A64:C64"/>
    <mergeCell ref="A45:D45"/>
    <mergeCell ref="A49:B49"/>
    <mergeCell ref="C49:H49"/>
    <mergeCell ref="G52:H5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23:H326"/>
    <mergeCell ref="A322:B322"/>
    <mergeCell ref="E322:F322"/>
    <mergeCell ref="C322:D322"/>
    <mergeCell ref="G322:H322"/>
    <mergeCell ref="A173:H173"/>
    <mergeCell ref="A171:E171"/>
    <mergeCell ref="F171:H171"/>
    <mergeCell ref="A172:E172"/>
    <mergeCell ref="F172:H172"/>
    <mergeCell ref="A278:H278"/>
    <mergeCell ref="A287:B287"/>
    <mergeCell ref="A175:B175"/>
    <mergeCell ref="A318:H318"/>
    <mergeCell ref="A178:H178"/>
    <mergeCell ref="A321:H321"/>
    <mergeCell ref="A319:H319"/>
    <mergeCell ref="A315:H315"/>
    <mergeCell ref="G179:H179"/>
    <mergeCell ref="B308:H308"/>
    <mergeCell ref="A293:B293"/>
    <mergeCell ref="A282:B282"/>
    <mergeCell ref="A289:B289"/>
    <mergeCell ref="A297:B297"/>
    <mergeCell ref="A242:H242"/>
    <mergeCell ref="A243:B243"/>
    <mergeCell ref="A248:B248"/>
    <mergeCell ref="A72:C72"/>
    <mergeCell ref="D73:H73"/>
    <mergeCell ref="A79:B79"/>
    <mergeCell ref="G78:H78"/>
    <mergeCell ref="A87:B87"/>
    <mergeCell ref="A88:B88"/>
    <mergeCell ref="A83:B83"/>
    <mergeCell ref="A80:B80"/>
    <mergeCell ref="A82:B82"/>
    <mergeCell ref="E78:F78"/>
    <mergeCell ref="A85:B85"/>
    <mergeCell ref="A81:B81"/>
    <mergeCell ref="E79:F88"/>
    <mergeCell ref="G79:H88"/>
    <mergeCell ref="A86:B86"/>
    <mergeCell ref="C180:D180"/>
    <mergeCell ref="E180:F180"/>
    <mergeCell ref="G180:H180"/>
    <mergeCell ref="A160:E160"/>
    <mergeCell ref="A206:H206"/>
    <mergeCell ref="A207:B207"/>
    <mergeCell ref="B306:H306"/>
    <mergeCell ref="A316:H316"/>
    <mergeCell ref="F159:H159"/>
    <mergeCell ref="F164:H164"/>
    <mergeCell ref="A274:B274"/>
    <mergeCell ref="A197:B197"/>
    <mergeCell ref="A196:B196"/>
    <mergeCell ref="A166:E166"/>
    <mergeCell ref="F166:H166"/>
    <mergeCell ref="A168:E168"/>
    <mergeCell ref="F162:H162"/>
    <mergeCell ref="A167:E167"/>
    <mergeCell ref="A198:H198"/>
    <mergeCell ref="E179:F179"/>
    <mergeCell ref="A189:H189"/>
    <mergeCell ref="A199:A200"/>
    <mergeCell ref="F199:F200"/>
    <mergeCell ref="A285:B285"/>
    <mergeCell ref="A298:B298"/>
    <mergeCell ref="A301:B301"/>
    <mergeCell ref="A300:B300"/>
    <mergeCell ref="A241:H241"/>
    <mergeCell ref="A251:H251"/>
    <mergeCell ref="A252:H252"/>
    <mergeCell ref="A234:H234"/>
    <mergeCell ref="A235:B235"/>
    <mergeCell ref="A65:C67"/>
    <mergeCell ref="D65:H65"/>
    <mergeCell ref="D66:H66"/>
    <mergeCell ref="A211:H211"/>
    <mergeCell ref="A212:H212"/>
    <mergeCell ref="A213:B213"/>
    <mergeCell ref="A214:B214"/>
    <mergeCell ref="A144:B144"/>
    <mergeCell ref="A202:H202"/>
    <mergeCell ref="D69:H69"/>
    <mergeCell ref="A89:B89"/>
    <mergeCell ref="C89:H89"/>
    <mergeCell ref="A193:H193"/>
    <mergeCell ref="E191:E192"/>
    <mergeCell ref="A93:B93"/>
    <mergeCell ref="C91:H91"/>
    <mergeCell ref="A94:B94"/>
    <mergeCell ref="A95:B95"/>
    <mergeCell ref="A216:B216"/>
    <mergeCell ref="A222:H222"/>
    <mergeCell ref="A163:E163"/>
    <mergeCell ref="A98:B98"/>
    <mergeCell ref="A61:H61"/>
    <mergeCell ref="A62:C62"/>
    <mergeCell ref="A63:C63"/>
    <mergeCell ref="D63:H63"/>
    <mergeCell ref="G60:H60"/>
    <mergeCell ref="A54:B55"/>
    <mergeCell ref="C54:E54"/>
    <mergeCell ref="G54:H54"/>
    <mergeCell ref="A56:B57"/>
    <mergeCell ref="C56:E56"/>
    <mergeCell ref="C53:H53"/>
    <mergeCell ref="A320:H320"/>
    <mergeCell ref="A317:H317"/>
    <mergeCell ref="A279:B279"/>
    <mergeCell ref="A179:B179"/>
    <mergeCell ref="D199:D200"/>
    <mergeCell ref="E199:E200"/>
    <mergeCell ref="A97:B97"/>
    <mergeCell ref="A99:B99"/>
    <mergeCell ref="F160:H160"/>
    <mergeCell ref="G175:H175"/>
    <mergeCell ref="A102:B102"/>
    <mergeCell ref="F167:H167"/>
    <mergeCell ref="C174:D174"/>
    <mergeCell ref="C187:D187"/>
    <mergeCell ref="A273:H273"/>
    <mergeCell ref="A288:B288"/>
    <mergeCell ref="B307:H307"/>
    <mergeCell ref="A302:H302"/>
    <mergeCell ref="A294:B294"/>
    <mergeCell ref="A295:B295"/>
    <mergeCell ref="A290:H290"/>
    <mergeCell ref="A284:H284"/>
    <mergeCell ref="A299:B299"/>
    <mergeCell ref="A296:H296"/>
    <mergeCell ref="I15:P15"/>
    <mergeCell ref="F170:H170"/>
    <mergeCell ref="F168:H168"/>
    <mergeCell ref="A286:B286"/>
    <mergeCell ref="A190:H190"/>
    <mergeCell ref="G174:H174"/>
    <mergeCell ref="A169:E169"/>
    <mergeCell ref="A195:B195"/>
    <mergeCell ref="A60:B60"/>
    <mergeCell ref="C60:E60"/>
    <mergeCell ref="D62:H62"/>
    <mergeCell ref="F169:H169"/>
    <mergeCell ref="E174:F174"/>
    <mergeCell ref="A174:B174"/>
    <mergeCell ref="A176:B176"/>
    <mergeCell ref="C179:D179"/>
    <mergeCell ref="D72:H72"/>
    <mergeCell ref="A73:C73"/>
    <mergeCell ref="E43:H43"/>
    <mergeCell ref="A43:D43"/>
    <mergeCell ref="A84:B84"/>
    <mergeCell ref="A50:B50"/>
    <mergeCell ref="D67:H67"/>
    <mergeCell ref="C52:E52"/>
    <mergeCell ref="L207:M207"/>
    <mergeCell ref="A208:B208"/>
    <mergeCell ref="L208:M208"/>
    <mergeCell ref="A209:B209"/>
    <mergeCell ref="L209:M209"/>
    <mergeCell ref="A210:B210"/>
    <mergeCell ref="L210:M210"/>
    <mergeCell ref="A215:H215"/>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L216:M216"/>
    <mergeCell ref="L213:M213"/>
    <mergeCell ref="L214:M214"/>
    <mergeCell ref="L217:M217"/>
    <mergeCell ref="A218:B218"/>
    <mergeCell ref="L218:M218"/>
    <mergeCell ref="A219:B219"/>
    <mergeCell ref="L219:M219"/>
    <mergeCell ref="A220:H220"/>
    <mergeCell ref="A217:B217"/>
    <mergeCell ref="A223:B223"/>
    <mergeCell ref="L223:M223"/>
    <mergeCell ref="L224:M224"/>
    <mergeCell ref="A221:H221"/>
    <mergeCell ref="A230:H230"/>
    <mergeCell ref="A231:H231"/>
    <mergeCell ref="A232:B232"/>
    <mergeCell ref="L232:M232"/>
    <mergeCell ref="A233:B233"/>
    <mergeCell ref="L233:M233"/>
    <mergeCell ref="A225:H225"/>
    <mergeCell ref="A226:B226"/>
    <mergeCell ref="L226:M226"/>
    <mergeCell ref="A227:B227"/>
    <mergeCell ref="L227:M227"/>
    <mergeCell ref="A228:B228"/>
    <mergeCell ref="L228:M228"/>
    <mergeCell ref="A229:B229"/>
    <mergeCell ref="L229:M229"/>
    <mergeCell ref="A224:B224"/>
    <mergeCell ref="L235:M235"/>
    <mergeCell ref="A236:B236"/>
    <mergeCell ref="L236:M236"/>
    <mergeCell ref="A237:B237"/>
    <mergeCell ref="L237:M237"/>
    <mergeCell ref="A238:B238"/>
    <mergeCell ref="L238:M238"/>
    <mergeCell ref="A239:H239"/>
    <mergeCell ref="A240:H240"/>
    <mergeCell ref="L248:M248"/>
    <mergeCell ref="A249:B249"/>
    <mergeCell ref="L249:M249"/>
    <mergeCell ref="A250:B250"/>
    <mergeCell ref="L250:M250"/>
    <mergeCell ref="L243:M243"/>
    <mergeCell ref="A244:B244"/>
    <mergeCell ref="L244:M244"/>
    <mergeCell ref="A245:B245"/>
    <mergeCell ref="L245:M245"/>
    <mergeCell ref="A246:B246"/>
    <mergeCell ref="L246:M246"/>
    <mergeCell ref="A247:B247"/>
    <mergeCell ref="L247:M247"/>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91:E192" xr:uid="{00000000-0002-0000-0000-000003000000}">
      <formula1>"Attached Loft area,Attached Otla area,Attached Mezzanine area"</formula1>
    </dataValidation>
    <dataValidation type="list" allowBlank="1" showInputMessage="1" showErrorMessage="1" sqref="G322:H322" xr:uid="{00000000-0002-0000-0000-000004000000}">
      <formula1>"Kunal Kadam,Pranita Mhatre,Shruti Fule,Pooja Kawale,Gaurav Panchal,Shruti Tathare, Diptee Gotawade, Sachin Sawant"</formula1>
    </dataValidation>
    <dataValidation type="list" allowBlank="1" showInputMessage="1" showErrorMessage="1" sqref="F159:H159" xr:uid="{00000000-0002-0000-0000-000005000000}">
      <formula1>"On Saleable Area,On Builtup Area,On Carpet Area,On Plot Area"</formula1>
    </dataValidation>
    <dataValidation type="list" allowBlank="1" showInputMessage="1" showErrorMessage="1" sqref="F171:H171" xr:uid="{00000000-0002-0000-0000-000006000000}">
      <formula1>OFFSET($S$159,1,MATCH($G20,$S$159:$W$159,0)-1,15,1)</formula1>
    </dataValidation>
    <dataValidation type="list" allowBlank="1" showInputMessage="1" showErrorMessage="1" sqref="B191:B192" xr:uid="{00000000-0002-0000-0000-000007000000}">
      <formula1>"Shop No. (Sale Plan),Sale / Rehab,Sale / Mhada"</formula1>
    </dataValidation>
    <dataValidation type="list" allowBlank="1" showInputMessage="1" showErrorMessage="1" sqref="B199:B200"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99:E200" xr:uid="{00000000-0002-0000-0000-00000B000000}">
      <formula1>"Fungible area,Balcony Area,Chajja Area,Cornice Area,AP Area,WS Area"</formula1>
    </dataValidation>
    <dataValidation type="list" allowBlank="1" showInputMessage="1" showErrorMessage="1" sqref="H192 H20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C98 C140 C154 C112 C126" xr:uid="{00000000-0002-0000-0000-00000F000000}">
      <formula1>0</formula1>
      <formula2>H76</formula2>
    </dataValidation>
    <dataValidation type="list" allowBlank="1" showInputMessage="1" showErrorMessage="1" sqref="H191 H199" xr:uid="{00000000-0002-0000-0000-000010000000}">
      <formula1>"Saleable area Loading :,Builder Saleable Area"</formula1>
    </dataValidation>
    <dataValidation type="list" allowBlank="1" showInputMessage="1" showErrorMessage="1" sqref="D191:D192 D199:D200"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326" max="16383" man="1"/>
    <brk id="369" max="16383" man="1"/>
    <brk id="41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4" zoomScale="85" zoomScaleNormal="85" workbookViewId="0">
      <selection activeCell="D12" sqref="D12"/>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1" t="s">
        <v>105</v>
      </c>
      <c r="C3" s="251"/>
      <c r="D3" s="251"/>
      <c r="E3" s="251"/>
      <c r="F3" s="251"/>
      <c r="G3" s="251"/>
      <c r="H3" s="251"/>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180</v>
      </c>
      <c r="E4" s="49" t="s">
        <v>190</v>
      </c>
      <c r="F4" s="49" t="s">
        <v>173</v>
      </c>
      <c r="G4" s="49" t="s">
        <v>195</v>
      </c>
      <c r="H4" s="49" t="s">
        <v>213</v>
      </c>
      <c r="J4" t="s">
        <v>195</v>
      </c>
      <c r="K4" t="s">
        <v>211</v>
      </c>
    </row>
    <row r="5" spans="2:11" x14ac:dyDescent="0.25">
      <c r="B5" s="48"/>
      <c r="C5" s="48"/>
      <c r="D5" s="49" t="s">
        <v>181</v>
      </c>
      <c r="E5" s="49" t="s">
        <v>188</v>
      </c>
      <c r="F5" s="49" t="s">
        <v>210</v>
      </c>
      <c r="G5" s="49" t="s">
        <v>196</v>
      </c>
      <c r="H5" s="49" t="s">
        <v>214</v>
      </c>
    </row>
    <row r="6" spans="2:11" x14ac:dyDescent="0.25">
      <c r="B6" s="48"/>
      <c r="C6" s="48"/>
      <c r="D6" s="49" t="s">
        <v>182</v>
      </c>
      <c r="E6" s="49" t="s">
        <v>189</v>
      </c>
      <c r="F6" s="49" t="s">
        <v>211</v>
      </c>
      <c r="G6" s="49" t="s">
        <v>197</v>
      </c>
      <c r="H6" s="49" t="s">
        <v>227</v>
      </c>
    </row>
    <row r="7" spans="2:11" x14ac:dyDescent="0.25">
      <c r="B7" s="48"/>
      <c r="C7" s="48"/>
      <c r="D7" s="49" t="s">
        <v>183</v>
      </c>
      <c r="E7" s="49" t="s">
        <v>191</v>
      </c>
      <c r="F7" s="49" t="s">
        <v>212</v>
      </c>
      <c r="G7" s="49" t="s">
        <v>198</v>
      </c>
      <c r="H7" s="49" t="s">
        <v>215</v>
      </c>
    </row>
    <row r="8" spans="2:11" x14ac:dyDescent="0.25">
      <c r="B8" s="48"/>
      <c r="C8" s="48"/>
      <c r="D8" s="49" t="s">
        <v>184</v>
      </c>
      <c r="E8" s="49" t="s">
        <v>192</v>
      </c>
      <c r="F8" s="49"/>
      <c r="G8" s="49" t="s">
        <v>199</v>
      </c>
      <c r="H8" s="49" t="s">
        <v>216</v>
      </c>
    </row>
    <row r="9" spans="2:11" x14ac:dyDescent="0.25">
      <c r="B9" s="48"/>
      <c r="C9" s="48"/>
      <c r="D9" s="49" t="s">
        <v>185</v>
      </c>
      <c r="E9" s="49" t="s">
        <v>190</v>
      </c>
      <c r="F9" s="49"/>
      <c r="G9" s="49" t="s">
        <v>200</v>
      </c>
      <c r="H9" s="49" t="s">
        <v>217</v>
      </c>
    </row>
    <row r="10" spans="2:11" x14ac:dyDescent="0.25">
      <c r="B10" s="48"/>
      <c r="C10" s="48"/>
      <c r="D10" s="49" t="s">
        <v>186</v>
      </c>
      <c r="E10" s="49" t="s">
        <v>193</v>
      </c>
      <c r="F10" s="49"/>
      <c r="G10" s="49" t="s">
        <v>201</v>
      </c>
      <c r="H10" s="49" t="s">
        <v>218</v>
      </c>
    </row>
    <row r="11" spans="2:11" x14ac:dyDescent="0.25">
      <c r="B11" s="48"/>
      <c r="C11" s="48"/>
      <c r="D11" s="49" t="s">
        <v>187</v>
      </c>
      <c r="E11" s="49" t="s">
        <v>194</v>
      </c>
      <c r="F11" s="49"/>
      <c r="G11" s="49" t="s">
        <v>202</v>
      </c>
      <c r="H11" s="49" t="s">
        <v>219</v>
      </c>
    </row>
    <row r="12" spans="2:11" x14ac:dyDescent="0.25">
      <c r="B12" s="48"/>
      <c r="C12" s="48"/>
      <c r="D12" s="49"/>
      <c r="E12" s="49"/>
      <c r="F12" s="49"/>
      <c r="G12" s="49" t="s">
        <v>203</v>
      </c>
      <c r="H12" s="49" t="s">
        <v>220</v>
      </c>
    </row>
    <row r="13" spans="2:11" x14ac:dyDescent="0.25">
      <c r="B13" s="48"/>
      <c r="C13" s="48"/>
      <c r="D13" s="49"/>
      <c r="E13" s="49"/>
      <c r="F13" s="49"/>
      <c r="G13" s="49" t="s">
        <v>204</v>
      </c>
      <c r="H13" s="49" t="s">
        <v>221</v>
      </c>
    </row>
    <row r="14" spans="2:11" x14ac:dyDescent="0.25">
      <c r="B14" s="48"/>
      <c r="C14" s="48"/>
      <c r="D14" s="49"/>
      <c r="E14" s="49"/>
      <c r="F14" s="49"/>
      <c r="G14" s="49" t="s">
        <v>205</v>
      </c>
      <c r="H14" s="49" t="s">
        <v>222</v>
      </c>
    </row>
    <row r="15" spans="2:11" x14ac:dyDescent="0.25">
      <c r="B15" s="48"/>
      <c r="C15" s="48"/>
      <c r="D15" s="49"/>
      <c r="E15" s="49"/>
      <c r="F15" s="49"/>
      <c r="G15" s="49" t="s">
        <v>206</v>
      </c>
      <c r="H15" s="49" t="s">
        <v>223</v>
      </c>
    </row>
    <row r="16" spans="2:11" x14ac:dyDescent="0.25">
      <c r="B16" s="48"/>
      <c r="C16" s="48"/>
      <c r="D16" s="49"/>
      <c r="E16" s="49"/>
      <c r="F16" s="49"/>
      <c r="G16" s="49" t="s">
        <v>207</v>
      </c>
      <c r="H16" s="49" t="s">
        <v>224</v>
      </c>
    </row>
    <row r="17" spans="2:8" x14ac:dyDescent="0.25">
      <c r="B17" s="48"/>
      <c r="C17" s="48"/>
      <c r="D17" s="49"/>
      <c r="E17" s="49"/>
      <c r="F17" s="49"/>
      <c r="G17" s="49" t="s">
        <v>208</v>
      </c>
      <c r="H17" s="49" t="s">
        <v>225</v>
      </c>
    </row>
    <row r="18" spans="2:8" x14ac:dyDescent="0.25">
      <c r="B18" s="48"/>
      <c r="C18" s="48"/>
      <c r="D18" s="49"/>
      <c r="E18" s="49"/>
      <c r="F18" s="49"/>
      <c r="G18" s="49" t="s">
        <v>209</v>
      </c>
      <c r="H18" s="49" t="s">
        <v>226</v>
      </c>
    </row>
    <row r="24" spans="2:8" x14ac:dyDescent="0.25">
      <c r="C24" t="s">
        <v>170</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170</v>
      </c>
    </row>
    <row r="33" spans="3:11" x14ac:dyDescent="0.25">
      <c r="J33">
        <v>1</v>
      </c>
      <c r="K33">
        <v>2</v>
      </c>
    </row>
    <row r="34" spans="3:11" x14ac:dyDescent="0.25">
      <c r="C34" s="52" t="s">
        <v>239</v>
      </c>
      <c r="D34" s="49" t="s">
        <v>237</v>
      </c>
      <c r="E34" s="49" t="s">
        <v>242</v>
      </c>
      <c r="F34" s="49" t="s">
        <v>240</v>
      </c>
      <c r="G34" s="49" t="s">
        <v>241</v>
      </c>
      <c r="H34" s="49" t="s">
        <v>243</v>
      </c>
      <c r="J34" t="s">
        <v>195</v>
      </c>
      <c r="K34" t="s">
        <v>211</v>
      </c>
    </row>
    <row r="35" spans="3:11" x14ac:dyDescent="0.25">
      <c r="C35" s="48" t="s">
        <v>238</v>
      </c>
      <c r="D35" s="49" t="s">
        <v>171</v>
      </c>
      <c r="E35" s="49" t="s">
        <v>247</v>
      </c>
      <c r="F35" s="49" t="s">
        <v>249</v>
      </c>
      <c r="G35" s="49" t="s">
        <v>251</v>
      </c>
      <c r="H35" s="49"/>
    </row>
    <row r="36" spans="3:11" x14ac:dyDescent="0.25">
      <c r="C36" s="48"/>
      <c r="D36" s="49" t="s">
        <v>244</v>
      </c>
      <c r="E36" s="49" t="s">
        <v>248</v>
      </c>
      <c r="F36" s="49" t="s">
        <v>250</v>
      </c>
      <c r="G36" s="49" t="s">
        <v>252</v>
      </c>
      <c r="H36" s="49"/>
    </row>
    <row r="37" spans="3:11" x14ac:dyDescent="0.25">
      <c r="C37" s="48"/>
      <c r="D37" s="49" t="s">
        <v>245</v>
      </c>
      <c r="E37" s="49"/>
      <c r="F37" s="49"/>
      <c r="G37" s="49" t="s">
        <v>253</v>
      </c>
      <c r="H37" s="49"/>
    </row>
    <row r="38" spans="3:11" x14ac:dyDescent="0.25">
      <c r="C38" s="48"/>
      <c r="D38" s="49" t="s">
        <v>246</v>
      </c>
      <c r="E38" s="49"/>
      <c r="F38" s="49"/>
      <c r="G38" s="49" t="s">
        <v>253</v>
      </c>
      <c r="H38" s="49"/>
    </row>
    <row r="39" spans="3:11" x14ac:dyDescent="0.25">
      <c r="C39" s="48"/>
      <c r="D39" s="49"/>
      <c r="E39" s="49"/>
      <c r="F39" s="49"/>
      <c r="G39" s="49" t="s">
        <v>254</v>
      </c>
      <c r="H39" s="49"/>
    </row>
    <row r="40" spans="3:11" x14ac:dyDescent="0.25">
      <c r="C40" s="48"/>
      <c r="D40" s="49"/>
      <c r="E40" s="49"/>
      <c r="F40" s="49"/>
      <c r="G40" s="49" t="s">
        <v>255</v>
      </c>
      <c r="H40" s="49"/>
    </row>
    <row r="41" spans="3:11" x14ac:dyDescent="0.25">
      <c r="C41" s="48"/>
      <c r="D41" s="49"/>
      <c r="E41" s="49"/>
      <c r="F41" s="49"/>
      <c r="G41" s="49"/>
      <c r="H41" s="49"/>
    </row>
    <row r="43" spans="3:11" x14ac:dyDescent="0.25">
      <c r="C43" t="s">
        <v>256</v>
      </c>
    </row>
    <row r="44" spans="3:11" x14ac:dyDescent="0.25">
      <c r="C44" t="s">
        <v>173</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180</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195</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190</v>
      </c>
      <c r="D67" t="s">
        <v>278</v>
      </c>
    </row>
    <row r="68" spans="3:4" x14ac:dyDescent="0.25">
      <c r="D68" t="s">
        <v>279</v>
      </c>
    </row>
    <row r="69" spans="3:4" x14ac:dyDescent="0.25">
      <c r="D69" t="s">
        <v>280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3">
        <v>1</v>
      </c>
      <c r="C2" s="56" t="s">
        <v>287</v>
      </c>
    </row>
    <row r="3" spans="2:3" x14ac:dyDescent="0.25">
      <c r="B3" s="53">
        <v>2</v>
      </c>
      <c r="C3" s="54" t="s">
        <v>288</v>
      </c>
    </row>
    <row r="4" spans="2:3" x14ac:dyDescent="0.25">
      <c r="B4" s="53">
        <v>3</v>
      </c>
      <c r="C4" s="55" t="s">
        <v>289</v>
      </c>
    </row>
    <row r="5" spans="2:3" x14ac:dyDescent="0.25">
      <c r="B5" s="53">
        <v>4</v>
      </c>
      <c r="C5" s="54" t="s">
        <v>290</v>
      </c>
    </row>
    <row r="6" spans="2:3" x14ac:dyDescent="0.25">
      <c r="B6" s="53">
        <v>5</v>
      </c>
      <c r="C6" s="55" t="s">
        <v>291</v>
      </c>
    </row>
    <row r="7" spans="2:3" ht="30" x14ac:dyDescent="0.25">
      <c r="B7" s="53">
        <v>6</v>
      </c>
      <c r="C7" s="54" t="s">
        <v>292</v>
      </c>
    </row>
    <row r="8" spans="2:3" ht="75" x14ac:dyDescent="0.25">
      <c r="B8" s="53">
        <v>7</v>
      </c>
      <c r="C8" s="54" t="s">
        <v>293</v>
      </c>
    </row>
    <row r="9" spans="2:3" x14ac:dyDescent="0.25">
      <c r="B9" s="53">
        <v>8</v>
      </c>
      <c r="C9" s="55" t="s">
        <v>294</v>
      </c>
    </row>
    <row r="10" spans="2:3" x14ac:dyDescent="0.25">
      <c r="B10" s="53">
        <v>9</v>
      </c>
      <c r="C10" s="55" t="s">
        <v>295</v>
      </c>
    </row>
    <row r="11" spans="2:3" x14ac:dyDescent="0.25">
      <c r="B11" s="53">
        <v>10</v>
      </c>
      <c r="C11" s="55" t="s">
        <v>296</v>
      </c>
    </row>
    <row r="12" spans="2:3" x14ac:dyDescent="0.25">
      <c r="B12" s="53">
        <v>11</v>
      </c>
      <c r="C12" s="55" t="s">
        <v>297</v>
      </c>
    </row>
    <row r="13" spans="2:3" x14ac:dyDescent="0.25">
      <c r="B13" s="53">
        <v>12</v>
      </c>
      <c r="C13" s="55" t="s">
        <v>298</v>
      </c>
    </row>
    <row r="14" spans="2:3" x14ac:dyDescent="0.25">
      <c r="B14" s="53">
        <v>13</v>
      </c>
      <c r="C14" s="55" t="s">
        <v>299</v>
      </c>
    </row>
    <row r="15" spans="2:3" x14ac:dyDescent="0.25">
      <c r="B15" s="53">
        <v>14</v>
      </c>
      <c r="C15" s="55" t="s">
        <v>289</v>
      </c>
    </row>
    <row r="16" spans="2:3" x14ac:dyDescent="0.25">
      <c r="B16" s="53">
        <v>15</v>
      </c>
      <c r="C16" s="55" t="s">
        <v>301</v>
      </c>
    </row>
    <row r="17" spans="2:3" ht="31.5" customHeight="1" x14ac:dyDescent="0.25">
      <c r="B17" s="74">
        <v>16</v>
      </c>
      <c r="C17" s="59" t="s">
        <v>302</v>
      </c>
    </row>
    <row r="18" spans="2:3" x14ac:dyDescent="0.25">
      <c r="B18" s="58">
        <v>17</v>
      </c>
      <c r="C18" s="59" t="s">
        <v>303</v>
      </c>
    </row>
    <row r="19" spans="2:3" x14ac:dyDescent="0.25">
      <c r="B19" s="57">
        <v>18</v>
      </c>
      <c r="C19" s="53" t="s">
        <v>304</v>
      </c>
    </row>
    <row r="20" spans="2:3" x14ac:dyDescent="0.25">
      <c r="B20" s="58">
        <v>19</v>
      </c>
      <c r="C20" s="53" t="s">
        <v>340</v>
      </c>
    </row>
    <row r="21" spans="2:3" x14ac:dyDescent="0.25">
      <c r="B21" s="60">
        <v>20</v>
      </c>
      <c r="C21" s="53" t="s">
        <v>305</v>
      </c>
    </row>
    <row r="22" spans="2:3" x14ac:dyDescent="0.25">
      <c r="B22" s="58">
        <v>21</v>
      </c>
      <c r="C22" s="53" t="s">
        <v>304</v>
      </c>
    </row>
    <row r="23" spans="2:3" s="68" customFormat="1" ht="29.25" customHeight="1" x14ac:dyDescent="0.25">
      <c r="B23" s="67">
        <v>22</v>
      </c>
      <c r="C23" s="56" t="s">
        <v>332</v>
      </c>
    </row>
    <row r="24" spans="2:3" s="68" customFormat="1" ht="30.75" customHeight="1" x14ac:dyDescent="0.25">
      <c r="B24" s="69">
        <v>23</v>
      </c>
      <c r="C24" s="56" t="s">
        <v>333</v>
      </c>
    </row>
    <row r="25" spans="2:3" x14ac:dyDescent="0.25">
      <c r="B25" s="60">
        <v>24</v>
      </c>
      <c r="C25" s="53" t="s">
        <v>336</v>
      </c>
    </row>
    <row r="26" spans="2:3" x14ac:dyDescent="0.25">
      <c r="B26" s="58">
        <v>25</v>
      </c>
      <c r="C26" s="53" t="s">
        <v>334</v>
      </c>
    </row>
    <row r="27" spans="2:3" x14ac:dyDescent="0.25">
      <c r="B27" s="69">
        <v>26</v>
      </c>
      <c r="C27" s="60" t="s">
        <v>335</v>
      </c>
    </row>
    <row r="28" spans="2:3" x14ac:dyDescent="0.25">
      <c r="B28" s="70">
        <v>27</v>
      </c>
      <c r="C28" s="53" t="s">
        <v>337</v>
      </c>
    </row>
    <row r="29" spans="2:3" ht="60" x14ac:dyDescent="0.25">
      <c r="B29" s="73">
        <v>28</v>
      </c>
      <c r="C29" s="54" t="s">
        <v>338</v>
      </c>
    </row>
    <row r="30" spans="2:3" x14ac:dyDescent="0.25">
      <c r="B30" s="69">
        <v>29</v>
      </c>
      <c r="C30" s="53" t="s">
        <v>339</v>
      </c>
    </row>
    <row r="31" spans="2:3" x14ac:dyDescent="0.25">
      <c r="B31" s="75">
        <v>30</v>
      </c>
      <c r="C31" s="53"/>
    </row>
    <row r="32" spans="2:3" x14ac:dyDescent="0.25">
      <c r="B32" s="69">
        <v>31</v>
      </c>
      <c r="C32" s="53"/>
    </row>
    <row r="33" spans="2:3" x14ac:dyDescent="0.25">
      <c r="B33" s="69">
        <v>32</v>
      </c>
      <c r="C33" s="53"/>
    </row>
    <row r="34" spans="2:3" x14ac:dyDescent="0.25">
      <c r="B34" s="75">
        <v>33</v>
      </c>
      <c r="C34" s="53"/>
    </row>
    <row r="35" spans="2:3" x14ac:dyDescent="0.25">
      <c r="B35" s="69">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61" t="s">
        <v>306</v>
      </c>
      <c r="C2" s="252"/>
      <c r="D2" s="252"/>
    </row>
    <row r="3" spans="1:12" x14ac:dyDescent="0.25">
      <c r="D3" s="62"/>
      <c r="E3" s="62"/>
      <c r="F3" s="62"/>
      <c r="G3" s="62"/>
      <c r="H3" s="62"/>
      <c r="I3" s="62"/>
    </row>
    <row r="4" spans="1:12" x14ac:dyDescent="0.25">
      <c r="A4" s="61" t="s">
        <v>66</v>
      </c>
      <c r="B4" s="63" t="s">
        <v>307</v>
      </c>
      <c r="C4" s="253" t="s">
        <v>308</v>
      </c>
      <c r="D4" s="253"/>
      <c r="E4" s="253"/>
      <c r="F4" s="63"/>
      <c r="G4" s="254" t="s">
        <v>309</v>
      </c>
      <c r="H4" s="254"/>
      <c r="I4" s="254"/>
      <c r="J4" s="255" t="s">
        <v>310</v>
      </c>
      <c r="K4" s="255"/>
      <c r="L4" s="255"/>
    </row>
    <row r="5" spans="1:12" x14ac:dyDescent="0.25">
      <c r="A5" s="61"/>
      <c r="B5" s="63"/>
      <c r="C5" s="63" t="s">
        <v>311</v>
      </c>
      <c r="D5" s="63" t="s">
        <v>312</v>
      </c>
      <c r="E5" s="63" t="s">
        <v>313</v>
      </c>
      <c r="F5" s="63"/>
      <c r="G5" s="63" t="s">
        <v>311</v>
      </c>
      <c r="H5" s="63" t="s">
        <v>312</v>
      </c>
      <c r="I5" s="63" t="s">
        <v>313</v>
      </c>
      <c r="J5" s="63" t="s">
        <v>311</v>
      </c>
      <c r="K5" s="63" t="s">
        <v>312</v>
      </c>
      <c r="L5" s="63" t="s">
        <v>313</v>
      </c>
    </row>
    <row r="6" spans="1:12" x14ac:dyDescent="0.25">
      <c r="B6" s="49" t="s">
        <v>314</v>
      </c>
      <c r="C6" s="49"/>
      <c r="D6" s="49"/>
      <c r="E6" s="49">
        <f>C6*D6</f>
        <v>0</v>
      </c>
      <c r="F6" s="49" t="s">
        <v>331</v>
      </c>
      <c r="G6" s="49"/>
      <c r="H6" s="49"/>
      <c r="I6" s="49">
        <f>G6*H6</f>
        <v>0</v>
      </c>
      <c r="J6" s="49"/>
      <c r="K6" s="49"/>
      <c r="L6" s="49">
        <f>J6*K6</f>
        <v>0</v>
      </c>
    </row>
    <row r="7" spans="1:12" x14ac:dyDescent="0.25">
      <c r="B7" s="49"/>
      <c r="C7" s="49"/>
      <c r="D7" s="49"/>
      <c r="E7" s="49">
        <f t="shared" ref="E7:E41" si="0">C7*D7</f>
        <v>0</v>
      </c>
      <c r="F7" s="49" t="s">
        <v>331</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315</v>
      </c>
      <c r="G9" s="49"/>
      <c r="H9" s="49"/>
      <c r="I9" s="49">
        <f t="shared" si="1"/>
        <v>0</v>
      </c>
      <c r="J9" s="49"/>
      <c r="K9" s="49"/>
      <c r="L9" s="49">
        <f t="shared" si="2"/>
        <v>0</v>
      </c>
    </row>
    <row r="10" spans="1:12" x14ac:dyDescent="0.25">
      <c r="B10" s="49" t="s">
        <v>316</v>
      </c>
      <c r="C10" s="49"/>
      <c r="D10" s="49"/>
      <c r="E10" s="49">
        <f t="shared" si="0"/>
        <v>0</v>
      </c>
      <c r="F10" s="49" t="s">
        <v>315</v>
      </c>
      <c r="G10" s="49"/>
      <c r="H10" s="49"/>
      <c r="I10" s="49">
        <f t="shared" si="1"/>
        <v>0</v>
      </c>
      <c r="J10" s="49"/>
      <c r="K10" s="49"/>
      <c r="L10" s="49">
        <f t="shared" si="2"/>
        <v>0</v>
      </c>
    </row>
    <row r="11" spans="1:12" x14ac:dyDescent="0.25">
      <c r="B11" s="49"/>
      <c r="C11" s="49"/>
      <c r="D11" s="49"/>
      <c r="E11" s="49">
        <f t="shared" si="0"/>
        <v>0</v>
      </c>
      <c r="F11" s="49" t="s">
        <v>317</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318</v>
      </c>
      <c r="C14" s="49"/>
      <c r="D14" s="49"/>
      <c r="E14" s="49">
        <f t="shared" si="0"/>
        <v>0</v>
      </c>
      <c r="F14" s="49" t="s">
        <v>315</v>
      </c>
      <c r="G14" s="49"/>
      <c r="H14" s="49"/>
      <c r="I14" s="49">
        <f t="shared" si="1"/>
        <v>0</v>
      </c>
      <c r="J14" s="49"/>
      <c r="K14" s="49"/>
      <c r="L14" s="49">
        <f t="shared" si="2"/>
        <v>0</v>
      </c>
    </row>
    <row r="15" spans="1:12" x14ac:dyDescent="0.25">
      <c r="B15" s="49"/>
      <c r="C15" s="49"/>
      <c r="D15" s="49"/>
      <c r="E15" s="49">
        <f t="shared" si="0"/>
        <v>0</v>
      </c>
      <c r="F15" s="49" t="s">
        <v>317</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319</v>
      </c>
      <c r="C18" s="49"/>
      <c r="D18" s="49"/>
      <c r="E18" s="49">
        <f t="shared" si="0"/>
        <v>0</v>
      </c>
      <c r="F18" s="49" t="s">
        <v>315</v>
      </c>
      <c r="G18" s="49"/>
      <c r="H18" s="49"/>
      <c r="I18" s="49">
        <f t="shared" si="1"/>
        <v>0</v>
      </c>
      <c r="J18" s="49"/>
      <c r="K18" s="49"/>
      <c r="L18" s="49">
        <f t="shared" si="2"/>
        <v>0</v>
      </c>
    </row>
    <row r="19" spans="2:12" x14ac:dyDescent="0.25">
      <c r="B19" s="49"/>
      <c r="C19" s="49"/>
      <c r="D19" s="49"/>
      <c r="E19" s="49">
        <f t="shared" si="0"/>
        <v>0</v>
      </c>
      <c r="F19" s="49" t="s">
        <v>317</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320</v>
      </c>
      <c r="C21" s="49"/>
      <c r="D21" s="49"/>
      <c r="E21" s="49">
        <f t="shared" si="0"/>
        <v>0</v>
      </c>
      <c r="F21" s="49" t="s">
        <v>315</v>
      </c>
      <c r="G21" s="49"/>
      <c r="H21" s="49"/>
      <c r="I21" s="49">
        <f t="shared" si="1"/>
        <v>0</v>
      </c>
      <c r="J21" s="49"/>
      <c r="K21" s="49"/>
      <c r="L21" s="49">
        <f t="shared" si="2"/>
        <v>0</v>
      </c>
    </row>
    <row r="22" spans="2:12" x14ac:dyDescent="0.25">
      <c r="B22" s="49"/>
      <c r="C22" s="49"/>
      <c r="D22" s="49"/>
      <c r="E22" s="49">
        <f t="shared" si="0"/>
        <v>0</v>
      </c>
      <c r="F22" s="49" t="s">
        <v>317</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321</v>
      </c>
      <c r="C24" s="49"/>
      <c r="D24" s="49"/>
      <c r="E24" s="49">
        <f t="shared" si="0"/>
        <v>0</v>
      </c>
      <c r="F24" s="49" t="s">
        <v>322</v>
      </c>
      <c r="G24" s="49"/>
      <c r="H24" s="49"/>
      <c r="I24" s="49">
        <f t="shared" si="1"/>
        <v>0</v>
      </c>
      <c r="J24" s="49"/>
      <c r="K24" s="49"/>
      <c r="L24" s="49">
        <f t="shared" si="2"/>
        <v>0</v>
      </c>
    </row>
    <row r="25" spans="2:12" x14ac:dyDescent="0.25">
      <c r="B25" s="49"/>
      <c r="C25" s="49"/>
      <c r="D25" s="49"/>
      <c r="E25" s="49">
        <f t="shared" ref="E25:E27" si="3">C25*D25</f>
        <v>0</v>
      </c>
      <c r="F25" s="49" t="s">
        <v>322</v>
      </c>
      <c r="G25" s="49"/>
      <c r="H25" s="49"/>
      <c r="I25" s="49">
        <f t="shared" ref="I25:I27" si="4">G25*H25</f>
        <v>0</v>
      </c>
      <c r="J25" s="49"/>
      <c r="K25" s="49"/>
      <c r="L25" s="49">
        <f t="shared" ref="L25:L27" si="5">J25*K25</f>
        <v>0</v>
      </c>
    </row>
    <row r="26" spans="2:12" x14ac:dyDescent="0.25">
      <c r="B26" s="49"/>
      <c r="C26" s="49"/>
      <c r="D26" s="49"/>
      <c r="E26" s="49">
        <f t="shared" si="3"/>
        <v>0</v>
      </c>
      <c r="F26" s="49" t="s">
        <v>322</v>
      </c>
      <c r="G26" s="49"/>
      <c r="H26" s="49"/>
      <c r="I26" s="49">
        <f t="shared" si="4"/>
        <v>0</v>
      </c>
      <c r="J26" s="49"/>
      <c r="K26" s="49"/>
      <c r="L26" s="49">
        <f t="shared" si="5"/>
        <v>0</v>
      </c>
    </row>
    <row r="27" spans="2:12" x14ac:dyDescent="0.25">
      <c r="B27" s="49"/>
      <c r="C27" s="49"/>
      <c r="D27" s="49"/>
      <c r="E27" s="49">
        <f t="shared" si="3"/>
        <v>0</v>
      </c>
      <c r="F27" s="49" t="s">
        <v>322</v>
      </c>
      <c r="G27" s="49"/>
      <c r="H27" s="49"/>
      <c r="I27" s="49">
        <f t="shared" si="4"/>
        <v>0</v>
      </c>
      <c r="J27" s="49"/>
      <c r="K27" s="49"/>
      <c r="L27" s="49">
        <f t="shared" si="5"/>
        <v>0</v>
      </c>
    </row>
    <row r="28" spans="2:12" x14ac:dyDescent="0.25">
      <c r="B28" s="49" t="s">
        <v>323</v>
      </c>
      <c r="C28" s="49"/>
      <c r="D28" s="49"/>
      <c r="E28" s="49">
        <f t="shared" si="0"/>
        <v>0</v>
      </c>
      <c r="F28" s="49" t="s">
        <v>322</v>
      </c>
      <c r="G28" s="49"/>
      <c r="H28" s="49"/>
      <c r="I28" s="49">
        <f t="shared" si="1"/>
        <v>0</v>
      </c>
      <c r="J28" s="49"/>
      <c r="K28" s="49"/>
      <c r="L28" s="49">
        <f t="shared" si="2"/>
        <v>0</v>
      </c>
    </row>
    <row r="29" spans="2:12" x14ac:dyDescent="0.25">
      <c r="B29" s="49" t="s">
        <v>324</v>
      </c>
      <c r="C29" s="49"/>
      <c r="D29" s="49"/>
      <c r="E29" s="49">
        <f t="shared" si="0"/>
        <v>0</v>
      </c>
      <c r="F29" s="49" t="s">
        <v>322</v>
      </c>
      <c r="G29" s="49"/>
      <c r="H29" s="49"/>
      <c r="I29" s="49">
        <f t="shared" si="1"/>
        <v>0</v>
      </c>
      <c r="J29" s="49"/>
      <c r="K29" s="49"/>
      <c r="L29" s="49">
        <f t="shared" si="2"/>
        <v>0</v>
      </c>
    </row>
    <row r="30" spans="2:12" x14ac:dyDescent="0.25">
      <c r="B30" s="49" t="s">
        <v>328</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325</v>
      </c>
      <c r="C33" s="49"/>
      <c r="D33" s="49"/>
      <c r="E33" s="49">
        <f t="shared" si="0"/>
        <v>0</v>
      </c>
      <c r="F33" s="49"/>
      <c r="G33" s="49"/>
      <c r="H33" s="49"/>
      <c r="I33" s="49">
        <f t="shared" si="1"/>
        <v>0</v>
      </c>
      <c r="J33" s="49"/>
      <c r="K33" s="49"/>
      <c r="L33" s="49">
        <f t="shared" si="2"/>
        <v>0</v>
      </c>
    </row>
    <row r="34" spans="2:12" x14ac:dyDescent="0.25">
      <c r="B34" s="49" t="s">
        <v>329</v>
      </c>
      <c r="C34" s="49"/>
      <c r="D34" s="49"/>
      <c r="E34" s="49">
        <f t="shared" si="0"/>
        <v>0</v>
      </c>
      <c r="F34" s="49"/>
      <c r="G34" s="49"/>
      <c r="H34" s="49"/>
      <c r="I34" s="49">
        <f t="shared" si="1"/>
        <v>0</v>
      </c>
      <c r="J34" s="49"/>
      <c r="K34" s="49"/>
      <c r="L34" s="49">
        <f t="shared" si="2"/>
        <v>0</v>
      </c>
    </row>
    <row r="35" spans="2:12" x14ac:dyDescent="0.25">
      <c r="B35" s="49" t="s">
        <v>326</v>
      </c>
      <c r="C35" s="49"/>
      <c r="D35" s="49"/>
      <c r="E35" s="49">
        <f t="shared" si="0"/>
        <v>0</v>
      </c>
      <c r="F35" s="49"/>
      <c r="G35" s="49"/>
      <c r="H35" s="49"/>
      <c r="I35" s="49">
        <f t="shared" si="1"/>
        <v>0</v>
      </c>
      <c r="J35" s="49"/>
      <c r="K35" s="49"/>
      <c r="L35" s="49">
        <f t="shared" si="2"/>
        <v>0</v>
      </c>
    </row>
    <row r="36" spans="2:12" x14ac:dyDescent="0.25">
      <c r="B36" s="49" t="s">
        <v>327</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330</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150</v>
      </c>
      <c r="C42" s="49"/>
      <c r="D42" s="49">
        <f>E42*10.764</f>
        <v>0</v>
      </c>
      <c r="E42" s="66">
        <f>SUM(E6:E41)</f>
        <v>0</v>
      </c>
      <c r="F42" s="49"/>
      <c r="G42" s="49"/>
      <c r="H42" s="49">
        <f>I42*10.764</f>
        <v>0</v>
      </c>
      <c r="I42" s="65">
        <f>SUM(I6:I41)</f>
        <v>0</v>
      </c>
      <c r="J42" s="49"/>
      <c r="K42" s="49">
        <f>L42*10.764</f>
        <v>0</v>
      </c>
      <c r="L42" s="64">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2025-07-11T08:54:28Z</cp:lastPrinted>
  <dcterms:created xsi:type="dcterms:W3CDTF">2019-07-16T09:29:46Z</dcterms:created>
  <dcterms:modified xsi:type="dcterms:W3CDTF">2025-07-11T08:58:41Z</dcterms:modified>
</cp:coreProperties>
</file>