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July 25\Dump\"/>
    </mc:Choice>
  </mc:AlternateContent>
  <xr:revisionPtr revIDLastSave="0" documentId="13_ncr:1_{23D5A20F-7F13-46B9-9D5B-F31017701090}" xr6:coauthVersionLast="36" xr6:coauthVersionMax="36" xr10:uidLastSave="{00000000-0000-0000-0000-000000000000}"/>
  <bookViews>
    <workbookView xWindow="0" yWindow="0" windowWidth="20490" windowHeight="7125"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Report!$A$1:$H$452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4" i="1" l="1"/>
  <c r="F103" i="1"/>
  <c r="I107" i="1" l="1"/>
  <c r="B253" i="1"/>
  <c r="B252" i="1"/>
  <c r="D209" i="1"/>
  <c r="D208" i="1"/>
  <c r="D207" i="1"/>
  <c r="D206" i="1"/>
  <c r="D205" i="1"/>
  <c r="D204" i="1"/>
  <c r="D203" i="1"/>
  <c r="D202" i="1"/>
  <c r="D201" i="1"/>
  <c r="D191" i="1"/>
  <c r="D190" i="1"/>
  <c r="D189" i="1"/>
  <c r="D185" i="1" l="1"/>
  <c r="D184" i="1"/>
  <c r="D183" i="1"/>
  <c r="D182" i="1"/>
  <c r="D181" i="1"/>
  <c r="D180" i="1"/>
  <c r="D179" i="1"/>
  <c r="D178" i="1"/>
  <c r="D177" i="1"/>
  <c r="D161" i="1"/>
  <c r="I139" i="1"/>
  <c r="I64" i="1" l="1"/>
  <c r="D126" i="1" l="1"/>
  <c r="D125" i="1"/>
  <c r="D124" i="1"/>
  <c r="D123" i="1"/>
  <c r="D122" i="1"/>
  <c r="L126" i="1"/>
  <c r="J133" i="1"/>
  <c r="J132" i="1"/>
  <c r="J131" i="1"/>
  <c r="J130" i="1"/>
  <c r="J129" i="1"/>
  <c r="J127" i="1"/>
  <c r="J126" i="1"/>
  <c r="J125" i="1"/>
  <c r="J124" i="1"/>
  <c r="J123" i="1"/>
  <c r="J122" i="1"/>
  <c r="I127" i="1" l="1"/>
  <c r="G127" i="1"/>
  <c r="I137" i="1"/>
  <c r="I158" i="1"/>
  <c r="I153" i="1"/>
  <c r="I149" i="1"/>
  <c r="I148" i="1"/>
  <c r="I143" i="1"/>
  <c r="J144" i="1"/>
  <c r="D187" i="1"/>
  <c r="F187" i="1" s="1"/>
  <c r="H187" i="1" s="1"/>
  <c r="F209" i="1"/>
  <c r="H209" i="1" s="1"/>
  <c r="F207" i="1"/>
  <c r="H207" i="1" s="1"/>
  <c r="F205" i="1"/>
  <c r="H205" i="1" s="1"/>
  <c r="F201" i="1"/>
  <c r="H201" i="1" s="1"/>
  <c r="D200" i="1"/>
  <c r="F200" i="1" s="1"/>
  <c r="H200" i="1" s="1"/>
  <c r="D199" i="1"/>
  <c r="F199" i="1" s="1"/>
  <c r="H199" i="1" s="1"/>
  <c r="D198" i="1"/>
  <c r="F198" i="1" s="1"/>
  <c r="H198" i="1" s="1"/>
  <c r="D197" i="1"/>
  <c r="F197" i="1" s="1"/>
  <c r="H197" i="1" s="1"/>
  <c r="D196" i="1"/>
  <c r="F196" i="1" s="1"/>
  <c r="H196" i="1" s="1"/>
  <c r="D195" i="1"/>
  <c r="F195" i="1" s="1"/>
  <c r="H195" i="1" s="1"/>
  <c r="D194" i="1"/>
  <c r="F194" i="1" s="1"/>
  <c r="H194" i="1" s="1"/>
  <c r="D193" i="1"/>
  <c r="F193" i="1" s="1"/>
  <c r="H193" i="1" s="1"/>
  <c r="D192" i="1"/>
  <c r="F192" i="1" s="1"/>
  <c r="H192" i="1" s="1"/>
  <c r="F190" i="1"/>
  <c r="H190" i="1" s="1"/>
  <c r="F189" i="1"/>
  <c r="H189" i="1" s="1"/>
  <c r="F203" i="1"/>
  <c r="H203" i="1" s="1"/>
  <c r="F191" i="1"/>
  <c r="H191" i="1" s="1"/>
  <c r="F208" i="1"/>
  <c r="H208" i="1" s="1"/>
  <c r="F202" i="1"/>
  <c r="H202" i="1" s="1"/>
  <c r="F204" i="1"/>
  <c r="H204" i="1" s="1"/>
  <c r="F206" i="1"/>
  <c r="H206" i="1" s="1"/>
  <c r="A188" i="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F185" i="1"/>
  <c r="H185" i="1" s="1"/>
  <c r="F181" i="1"/>
  <c r="H181" i="1" s="1"/>
  <c r="F180" i="1"/>
  <c r="H180" i="1" s="1"/>
  <c r="F179" i="1"/>
  <c r="H179" i="1" s="1"/>
  <c r="F178" i="1"/>
  <c r="H178" i="1" s="1"/>
  <c r="D176" i="1"/>
  <c r="F176" i="1" s="1"/>
  <c r="H176" i="1" s="1"/>
  <c r="D175" i="1"/>
  <c r="F175" i="1" s="1"/>
  <c r="H175" i="1" s="1"/>
  <c r="D174" i="1"/>
  <c r="F174" i="1" s="1"/>
  <c r="H174" i="1" s="1"/>
  <c r="D173" i="1"/>
  <c r="F173" i="1" s="1"/>
  <c r="H173" i="1" s="1"/>
  <c r="D172" i="1"/>
  <c r="F172" i="1" s="1"/>
  <c r="H172" i="1" s="1"/>
  <c r="D171" i="1"/>
  <c r="F171" i="1" s="1"/>
  <c r="H171" i="1" s="1"/>
  <c r="D170" i="1"/>
  <c r="F170" i="1" s="1"/>
  <c r="H170" i="1" s="1"/>
  <c r="D169" i="1"/>
  <c r="F169" i="1" s="1"/>
  <c r="H169" i="1" s="1"/>
  <c r="J169" i="1" s="1"/>
  <c r="D168" i="1"/>
  <c r="F168" i="1" s="1"/>
  <c r="H168" i="1" s="1"/>
  <c r="D167" i="1"/>
  <c r="F167" i="1" s="1"/>
  <c r="H167" i="1" s="1"/>
  <c r="D166" i="1"/>
  <c r="F166" i="1" s="1"/>
  <c r="H166" i="1" s="1"/>
  <c r="I166" i="1" s="1"/>
  <c r="D165" i="1"/>
  <c r="F165" i="1" s="1"/>
  <c r="H165" i="1" s="1"/>
  <c r="F184" i="1"/>
  <c r="H184" i="1" s="1"/>
  <c r="F183" i="1"/>
  <c r="H183" i="1" s="1"/>
  <c r="F182" i="1"/>
  <c r="H182" i="1" s="1"/>
  <c r="F177" i="1"/>
  <c r="H177" i="1" s="1"/>
  <c r="D216" i="1"/>
  <c r="F216" i="1" s="1"/>
  <c r="H216" i="1" s="1"/>
  <c r="D215" i="1"/>
  <c r="F215" i="1" s="1"/>
  <c r="H215" i="1" s="1"/>
  <c r="D214" i="1"/>
  <c r="F214" i="1" s="1"/>
  <c r="H214" i="1" s="1"/>
  <c r="D213" i="1"/>
  <c r="F213" i="1" s="1"/>
  <c r="H213" i="1" s="1"/>
  <c r="A213" i="1"/>
  <c r="A214" i="1" s="1"/>
  <c r="A215" i="1" s="1"/>
  <c r="D212" i="1"/>
  <c r="F212" i="1" s="1"/>
  <c r="H212" i="1" s="1"/>
  <c r="D160" i="1"/>
  <c r="D159" i="1"/>
  <c r="F159" i="1" s="1"/>
  <c r="H159" i="1" s="1"/>
  <c r="D158" i="1"/>
  <c r="F158" i="1" s="1"/>
  <c r="H158" i="1" s="1"/>
  <c r="D157" i="1"/>
  <c r="F157" i="1" s="1"/>
  <c r="H157" i="1" s="1"/>
  <c r="D156" i="1"/>
  <c r="F156" i="1" s="1"/>
  <c r="H156" i="1" s="1"/>
  <c r="D155" i="1"/>
  <c r="F155" i="1" s="1"/>
  <c r="H155" i="1" s="1"/>
  <c r="D154" i="1"/>
  <c r="F154" i="1" s="1"/>
  <c r="H154" i="1" s="1"/>
  <c r="D153" i="1"/>
  <c r="F153" i="1" s="1"/>
  <c r="H153" i="1" s="1"/>
  <c r="D152" i="1"/>
  <c r="F152" i="1" s="1"/>
  <c r="H152" i="1" s="1"/>
  <c r="D151" i="1"/>
  <c r="F151" i="1" s="1"/>
  <c r="H151" i="1" s="1"/>
  <c r="D150" i="1"/>
  <c r="F150" i="1" s="1"/>
  <c r="H150" i="1" s="1"/>
  <c r="D149" i="1"/>
  <c r="F149" i="1" s="1"/>
  <c r="H149" i="1" s="1"/>
  <c r="D148" i="1"/>
  <c r="F148" i="1" s="1"/>
  <c r="H148" i="1" s="1"/>
  <c r="D147" i="1"/>
  <c r="F147" i="1" s="1"/>
  <c r="H147" i="1" s="1"/>
  <c r="D146" i="1"/>
  <c r="F146" i="1" s="1"/>
  <c r="H146" i="1" s="1"/>
  <c r="D145" i="1"/>
  <c r="F145" i="1" s="1"/>
  <c r="H145" i="1" s="1"/>
  <c r="D144" i="1"/>
  <c r="F144" i="1" s="1"/>
  <c r="H144" i="1" s="1"/>
  <c r="D143" i="1"/>
  <c r="F143" i="1" s="1"/>
  <c r="H143" i="1" s="1"/>
  <c r="D142" i="1"/>
  <c r="F142" i="1" s="1"/>
  <c r="H142" i="1" s="1"/>
  <c r="D141" i="1"/>
  <c r="F141" i="1" s="1"/>
  <c r="H141" i="1" s="1"/>
  <c r="D140" i="1"/>
  <c r="F140" i="1" s="1"/>
  <c r="H140" i="1" s="1"/>
  <c r="D139" i="1"/>
  <c r="F139" i="1" s="1"/>
  <c r="I138" i="1"/>
  <c r="F161" i="1"/>
  <c r="H161" i="1" s="1"/>
  <c r="F160" i="1"/>
  <c r="H160" i="1" s="1"/>
  <c r="A140" i="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4" i="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E43" i="1"/>
  <c r="E44" i="1" s="1"/>
  <c r="E45" i="1" s="1"/>
  <c r="H139" i="1" l="1"/>
  <c r="G107" i="1" s="1"/>
  <c r="G108" i="1" s="1"/>
  <c r="E107" i="1"/>
  <c r="E108" i="1" s="1"/>
  <c r="C107" i="1"/>
  <c r="C108" i="1" s="1"/>
  <c r="C77" i="1"/>
  <c r="F132" i="1" l="1"/>
  <c r="H132" i="1" s="1"/>
  <c r="F129" i="1"/>
  <c r="H129" i="1" s="1"/>
  <c r="F133" i="1"/>
  <c r="H133" i="1" s="1"/>
  <c r="F131" i="1"/>
  <c r="H131" i="1" s="1"/>
  <c r="F130" i="1"/>
  <c r="H130" i="1" s="1"/>
  <c r="A130" i="1"/>
  <c r="A131" i="1" s="1"/>
  <c r="A132" i="1" s="1"/>
  <c r="F127" i="1"/>
  <c r="H127" i="1" s="1"/>
  <c r="F126" i="1"/>
  <c r="H126" i="1" s="1"/>
  <c r="F123" i="1" l="1"/>
  <c r="H123" i="1" s="1"/>
  <c r="F124" i="1"/>
  <c r="H124" i="1" s="1"/>
  <c r="F125" i="1"/>
  <c r="H125" i="1" s="1"/>
  <c r="F122" i="1"/>
  <c r="H122" i="1" s="1"/>
  <c r="G60" i="1" l="1"/>
  <c r="C60" i="1"/>
  <c r="C54" i="1"/>
  <c r="S33" i="1" l="1"/>
  <c r="F11" i="5" l="1"/>
  <c r="G11" i="5" s="1"/>
  <c r="F10" i="5"/>
  <c r="G10" i="5" s="1"/>
  <c r="F9" i="5"/>
  <c r="G9" i="5" s="1"/>
  <c r="F8" i="5"/>
  <c r="G8" i="5" s="1"/>
  <c r="F7" i="5"/>
  <c r="G7" i="5" s="1"/>
  <c r="F6" i="5"/>
  <c r="G6" i="5" s="1"/>
  <c r="F5" i="5"/>
  <c r="G5" i="5" s="1"/>
  <c r="G12" i="5" s="1"/>
  <c r="D279" i="1"/>
  <c r="F249" i="1"/>
  <c r="H249" i="1" s="1"/>
  <c r="F248" i="1"/>
  <c r="H248" i="1" s="1"/>
  <c r="F247" i="1"/>
  <c r="H247" i="1" s="1"/>
  <c r="F246" i="1"/>
  <c r="H246" i="1" s="1"/>
  <c r="F245" i="1"/>
  <c r="H245" i="1" s="1"/>
  <c r="F243" i="1"/>
  <c r="H243" i="1" s="1"/>
  <c r="F242" i="1"/>
  <c r="H242" i="1" s="1"/>
  <c r="F241" i="1"/>
  <c r="H241" i="1" s="1"/>
  <c r="F240" i="1"/>
  <c r="H240" i="1" s="1"/>
  <c r="F239" i="1"/>
  <c r="H239" i="1" s="1"/>
  <c r="F237" i="1"/>
  <c r="H237" i="1" s="1"/>
  <c r="F236" i="1"/>
  <c r="H236" i="1" s="1"/>
  <c r="F235" i="1"/>
  <c r="H235" i="1" s="1"/>
  <c r="F234" i="1"/>
  <c r="H234" i="1" s="1"/>
  <c r="F233" i="1"/>
  <c r="H233" i="1" s="1"/>
  <c r="F231" i="1"/>
  <c r="H231" i="1" s="1"/>
  <c r="F230" i="1"/>
  <c r="H230" i="1" s="1"/>
  <c r="F229" i="1"/>
  <c r="H229" i="1" s="1"/>
  <c r="F228" i="1"/>
  <c r="H228" i="1" s="1"/>
  <c r="F227" i="1"/>
  <c r="H227" i="1" s="1"/>
  <c r="A227" i="1"/>
  <c r="A228" i="1" s="1"/>
  <c r="A229" i="1" s="1"/>
  <c r="A230" i="1" s="1"/>
  <c r="A231" i="1" s="1"/>
  <c r="F225" i="1"/>
  <c r="H225" i="1" s="1"/>
  <c r="F224" i="1"/>
  <c r="H224" i="1" s="1"/>
  <c r="F223" i="1"/>
  <c r="H223" i="1" s="1"/>
  <c r="A223" i="1"/>
  <c r="A224" i="1" s="1"/>
  <c r="A225" i="1" s="1"/>
  <c r="F222" i="1"/>
  <c r="H222" i="1" s="1"/>
  <c r="A123" i="1"/>
  <c r="A124" i="1" s="1"/>
  <c r="A125" i="1" s="1"/>
  <c r="A126" i="1" s="1"/>
  <c r="A127" i="1" s="1"/>
  <c r="G114" i="1"/>
  <c r="E114" i="1"/>
  <c r="C114" i="1"/>
  <c r="D71" i="1"/>
  <c r="G51" i="1"/>
  <c r="C51" i="1"/>
  <c r="E31" i="1"/>
  <c r="E28" i="1"/>
  <c r="E26" i="1"/>
  <c r="C16" i="1"/>
  <c r="Z13" i="1"/>
  <c r="E3" i="1"/>
  <c r="A233" i="1"/>
  <c r="H78" i="1"/>
  <c r="A245" i="1"/>
  <c r="A239" i="1"/>
  <c r="J77" i="1" l="1"/>
  <c r="J79" i="1" s="1"/>
  <c r="J80" i="1"/>
  <c r="J81" i="1"/>
  <c r="J82" i="1"/>
  <c r="C81" i="1" s="1"/>
  <c r="D85" i="1"/>
  <c r="D87" i="1"/>
  <c r="D86" i="1"/>
  <c r="D90" i="1"/>
  <c r="D84" i="1"/>
  <c r="D89" i="1"/>
  <c r="D83" i="1"/>
  <c r="D88" i="1"/>
  <c r="B78" i="1"/>
  <c r="J83" i="1" s="1"/>
  <c r="A240" i="1"/>
  <c r="A234" i="1"/>
  <c r="A246" i="1"/>
  <c r="D81" i="1" l="1"/>
  <c r="J87" i="1"/>
  <c r="J85" i="1"/>
  <c r="J86" i="1"/>
  <c r="J84" i="1"/>
  <c r="J88" i="1"/>
  <c r="A247" i="1"/>
  <c r="A235" i="1"/>
  <c r="A241" i="1"/>
  <c r="J89" i="1" l="1"/>
  <c r="A236" i="1"/>
  <c r="A248" i="1"/>
  <c r="A242" i="1"/>
  <c r="J90" i="1" l="1"/>
  <c r="C82" i="1" s="1"/>
  <c r="J78" i="1" s="1"/>
  <c r="A243" i="1"/>
  <c r="A249" i="1"/>
  <c r="A237" i="1"/>
  <c r="E81" i="1" l="1"/>
  <c r="D82" i="1"/>
  <c r="I78" i="1" s="1"/>
  <c r="I79" i="1" s="1"/>
  <c r="G81" i="1"/>
  <c r="D75" i="1" s="1"/>
  <c r="F76" i="1" s="1"/>
  <c r="D76" i="1" l="1"/>
  <c r="I77" i="1"/>
  <c r="C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C61" authorId="1" shapeId="0" xr:uid="{00000000-0006-0000-0000-000006000000}">
      <text>
        <r>
          <rPr>
            <b/>
            <sz val="9"/>
            <color indexed="81"/>
            <rFont val="Tahoma"/>
            <family val="2"/>
          </rPr>
          <t>SACHIN:</t>
        </r>
        <r>
          <rPr>
            <sz val="9"/>
            <color indexed="81"/>
            <rFont val="Tahoma"/>
            <family val="2"/>
          </rPr>
          <t xml:space="preserve">
Height from AMSL</t>
        </r>
      </text>
    </comment>
    <comment ref="D64" authorId="0" shapeId="0" xr:uid="{00000000-0006-0000-0000-000007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6" authorId="1" shapeId="0" xr:uid="{00000000-0006-0000-0000-000008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19" authorId="1" shapeId="0" xr:uid="{00000000-0006-0000-0000-000009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<sst xmlns="http://schemas.openxmlformats.org/spreadsheetml/2006/main" count="654" uniqueCount="379">
  <si>
    <t xml:space="preserve">Valuation Report </t>
  </si>
  <si>
    <t>Date:</t>
  </si>
  <si>
    <t>CPC Name:</t>
  </si>
  <si>
    <t>Date Of Property Visit</t>
  </si>
  <si>
    <t>Name of the builder group</t>
  </si>
  <si>
    <t>Name of the builder company</t>
  </si>
  <si>
    <t>Name of the Project</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</si>
  <si>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</si>
  <si>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</si>
  <si>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</si>
  <si>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</si>
  <si>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</si>
  <si>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</si>
  <si>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</si>
  <si>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</si>
  <si>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</si>
  <si>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</si>
  <si>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</si>
  <si>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</si>
  <si>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</si>
  <si>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</si>
  <si>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</si>
  <si>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</si>
  <si>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</si>
  <si>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</si>
  <si>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</si>
  <si>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</si>
  <si>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</si>
  <si>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</si>
  <si>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</si>
  <si>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</si>
  <si>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</si>
  <si>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</si>
  <si>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</si>
  <si>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</si>
  <si>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</si>
  <si>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</si>
  <si>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</si>
  <si>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</si>
  <si>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</si>
  <si>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</si>
  <si>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</si>
  <si>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</si>
  <si>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</si>
  <si>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</si>
  <si>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</si>
  <si>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</si>
  <si>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</si>
  <si>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</si>
  <si>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</si>
  <si>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</si>
  <si>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</si>
  <si>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</si>
  <si>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</si>
  <si>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</si>
  <si>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</si>
  <si>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</si>
  <si>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</si>
  <si>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</si>
  <si>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</si>
  <si>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</si>
  <si>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</si>
  <si>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</si>
  <si>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</si>
  <si>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</si>
  <si>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</si>
  <si>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</si>
  <si>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</si>
  <si>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</si>
  <si>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</si>
  <si>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</si>
  <si>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</si>
  <si>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</si>
  <si>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</si>
  <si>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</si>
  <si>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</si>
  <si>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</si>
  <si>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</si>
  <si>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</si>
  <si>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</si>
  <si>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</si>
  <si>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</si>
  <si>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</si>
  <si>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</si>
  <si>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</si>
  <si>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</si>
  <si>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</si>
  <si>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</si>
  <si>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</si>
  <si>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</si>
  <si>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</si>
  <si>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</si>
  <si>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</si>
  <si>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</si>
  <si>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</si>
  <si>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</si>
  <si>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</si>
  <si>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</si>
  <si>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</si>
  <si>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</si>
  <si>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</si>
  <si>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</si>
  <si>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</si>
  <si>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</si>
  <si>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</si>
  <si>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</si>
  <si>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</si>
  <si>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</si>
  <si>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</si>
  <si>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</si>
  <si>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</si>
  <si>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</si>
  <si>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</si>
  <si>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</si>
  <si>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</si>
  <si>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</si>
  <si>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</si>
  <si>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</si>
  <si>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</si>
  <si>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</si>
  <si>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</si>
  <si>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</si>
  <si>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</si>
  <si>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</si>
  <si>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</si>
  <si>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</si>
  <si>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</si>
  <si>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</si>
  <si>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</si>
  <si>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</si>
  <si>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</si>
  <si>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</si>
  <si>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</si>
  <si>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</si>
  <si>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</si>
  <si>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</si>
  <si>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</si>
  <si>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</si>
  <si>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</si>
  <si>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</si>
  <si>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</si>
  <si>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</si>
  <si>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</si>
  <si>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</si>
  <si>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</si>
  <si>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</si>
  <si>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</si>
  <si>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</si>
  <si>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</si>
  <si>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</si>
  <si>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</si>
  <si>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</si>
  <si>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</si>
  <si>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</si>
  <si>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</si>
  <si>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</si>
  <si>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</si>
  <si>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</si>
  <si>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</si>
  <si>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</si>
  <si>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</si>
  <si>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</si>
  <si>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</si>
  <si>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</si>
  <si>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</si>
  <si>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</si>
  <si>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</si>
  <si>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</si>
  <si>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</si>
  <si>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</si>
  <si>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</si>
  <si>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</si>
  <si>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</si>
  <si>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</si>
  <si>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</si>
  <si>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</si>
  <si>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</si>
  <si>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</si>
  <si>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</si>
  <si>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</si>
  <si>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</si>
  <si>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</si>
  <si>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</si>
  <si>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</si>
  <si>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</si>
  <si>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</si>
  <si>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</si>
  <si>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</si>
  <si>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</si>
  <si>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</si>
  <si>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</si>
  <si>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</si>
  <si>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</si>
  <si>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</si>
  <si>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</si>
  <si>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</si>
  <si>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</si>
  <si>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</si>
  <si>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</si>
  <si>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</si>
  <si>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</si>
  <si>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</si>
  <si>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</si>
  <si>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</si>
  <si>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</si>
  <si>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</si>
  <si>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</si>
  <si>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</si>
  <si>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</si>
  <si>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</si>
  <si>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</si>
  <si>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</si>
  <si>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</si>
  <si>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</si>
  <si>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</si>
  <si>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</si>
  <si>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</si>
  <si>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</si>
  <si>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</si>
  <si>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</si>
  <si>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</si>
  <si>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</si>
  <si>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</si>
  <si>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</si>
  <si>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</si>
  <si>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</si>
  <si>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</si>
  <si>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</si>
  <si>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</si>
  <si>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</si>
  <si>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</si>
  <si>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</si>
  <si>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</si>
  <si>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</si>
  <si>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</si>
  <si>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</si>
  <si>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</si>
  <si>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</si>
  <si>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</si>
  <si>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</si>
  <si>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</si>
  <si>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</si>
  <si>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</si>
  <si>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</si>
  <si>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</si>
  <si>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</si>
  <si>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</si>
  <si>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</si>
  <si>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</si>
  <si>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</si>
  <si>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</si>
  <si>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</si>
  <si>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</si>
  <si>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</si>
  <si>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</si>
  <si>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</si>
  <si>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</si>
  <si>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</si>
  <si>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</si>
  <si>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</si>
  <si>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</si>
  <si>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</si>
  <si>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</si>
  <si>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</si>
  <si>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</si>
  <si>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</si>
  <si>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</si>
  <si>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</si>
  <si>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</si>
  <si>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</si>
  <si>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</si>
  <si>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</si>
  <si>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</si>
  <si>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</si>
  <si>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</si>
  <si>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</si>
  <si>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</si>
  <si>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</si>
  <si>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</si>
  <si>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</si>
  <si>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</si>
  <si>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</si>
  <si>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</si>
  <si>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</si>
  <si>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</si>
  <si>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</si>
  <si>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</si>
  <si>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</si>
  <si>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</si>
  <si>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</si>
  <si>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</si>
  <si>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</si>
  <si>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</si>
  <si>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</si>
  <si>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</si>
  <si>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</si>
  <si>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</si>
  <si>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</si>
  <si>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</si>
  <si>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</si>
  <si>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Basement Floor For Parking</t>
  </si>
  <si>
    <t>Ground Floor For Commercial, Entrance Lobby</t>
  </si>
  <si>
    <t>Shop</t>
  </si>
  <si>
    <t>1st Floor</t>
  </si>
  <si>
    <t>1st Floor For Commercial</t>
  </si>
  <si>
    <t>ST</t>
  </si>
  <si>
    <t>Crescent Shelters</t>
  </si>
  <si>
    <t>Crescent WTC (Western Trade Center)</t>
  </si>
  <si>
    <t>Miss. Afrin 9820165155</t>
  </si>
  <si>
    <t>CTS No (As per appoved CC)</t>
  </si>
  <si>
    <t>https://maps.app.goo.gl/Nh9JJEnRFC9N6Sqj6</t>
  </si>
  <si>
    <t>Mira</t>
  </si>
  <si>
    <t>3.0 KM from Mira Road Railway Station</t>
  </si>
  <si>
    <t>Westin Darvesh Horizon</t>
  </si>
  <si>
    <t>Penkarpada</t>
  </si>
  <si>
    <t>Penkarpada Road</t>
  </si>
  <si>
    <t>Mira Road East</t>
  </si>
  <si>
    <t>Hotel Ajit Palace/Service Road</t>
  </si>
  <si>
    <t>Open Plot</t>
  </si>
  <si>
    <t>Darvesh Horizon</t>
  </si>
  <si>
    <t>Building A1 =1B + Gr +1st + P2 to P5 + 6th to 23rd Floor + Recreational Floor</t>
  </si>
  <si>
    <t>As per RERA - 30/06/2027</t>
  </si>
  <si>
    <r>
      <t xml:space="preserve">Proposed Amenities :                                                                                                                                                                                                                         </t>
    </r>
    <r>
      <rPr>
        <b/>
        <sz val="12"/>
        <rFont val="Times New Roman"/>
        <family val="1"/>
      </rPr>
      <t xml:space="preserve">                                               </t>
    </r>
  </si>
  <si>
    <t>https://www.crescentwtc.in/</t>
  </si>
  <si>
    <t>High Speed Elevators, Visitor Management Service, Parking, Grand Sky Atrium, Dedicated Recreational Avenues etc.</t>
  </si>
  <si>
    <t>4152, 4153, 4351, 4316, 4352, 4354 to 4360, 4404, 4405, 4406, 4452, 4453</t>
  </si>
  <si>
    <t>18.30M Wide Penkarpada Road</t>
  </si>
  <si>
    <t>Other Plot</t>
  </si>
  <si>
    <t>MBMCB/7008/2024/APL/0004/AutoDCR</t>
  </si>
  <si>
    <t>2nd Floor For Amenity Space &amp; Parking</t>
  </si>
  <si>
    <t>3rd &amp; 4th For Parking</t>
  </si>
  <si>
    <t>6th to 9th, 11th to 14th, 16th to 19th &amp; 21st to 23rd Floor</t>
  </si>
  <si>
    <t>Office</t>
  </si>
  <si>
    <t xml:space="preserve">Details of Commercials in Building   </t>
  </si>
  <si>
    <t xml:space="preserve">10th Floor For Part Refuge Area, Society Office &amp; Drivers Room </t>
  </si>
  <si>
    <t>-</t>
  </si>
  <si>
    <t>Refuge Area</t>
  </si>
  <si>
    <t>Society Office &amp; Drivers Room</t>
  </si>
  <si>
    <t>15th &amp; 20th Floor (Part Refuge Area)</t>
  </si>
  <si>
    <t>24th Floor For Recreational Floor</t>
  </si>
  <si>
    <t>Shop (Duplex)</t>
  </si>
  <si>
    <t>Construction work is in process at the time of Visit.</t>
  </si>
  <si>
    <t>Office and shops numbers were not mentioned in approved plan hence we have taken Office numbering from sale plan.</t>
  </si>
  <si>
    <t>1st Floor (Duplex with Ground Floor)</t>
  </si>
  <si>
    <t>Offices - 410</t>
  </si>
  <si>
    <t xml:space="preserve">Shops -, </t>
  </si>
  <si>
    <t>Sale Plan , EC, Fire NOC &amp; Metro NOC</t>
  </si>
  <si>
    <t>RERA Name &amp; No.</t>
  </si>
  <si>
    <t>Building A1</t>
  </si>
  <si>
    <t>19.262500,72.873000</t>
  </si>
  <si>
    <t>60.00M Wide DP Road 
(National Highway)</t>
  </si>
  <si>
    <t>RG Area</t>
  </si>
  <si>
    <t>Approved Builtup Area of Building A1 (Sq.Mt)</t>
  </si>
  <si>
    <t>Crescent Group</t>
  </si>
  <si>
    <t>5th For Parking &amp; Part Refuge Area</t>
  </si>
  <si>
    <t>AP Area</t>
  </si>
  <si>
    <t>SIA/MH/INFRA2/441658/2023</t>
  </si>
  <si>
    <t>Building A1 =1B + Gr +1st + P2 to P5 + 6th to 23rd Floor + 24th (Recreational Floor)</t>
  </si>
  <si>
    <t>C.T.S No.4152, 4153, 4351, 4316, 4352, 4354 to 4360, 4404, 4405, 4406, 4452, 4453
Commercial Building No.1 = 1B + Gr +1st + P2 to P5 + 6th to 22nd Floor + Recreational Floor
Proposed BUA - 71431.95 Sq.M</t>
  </si>
  <si>
    <t>Commercial Area Details : (Office)</t>
  </si>
  <si>
    <t>As per RERA site, in the project Crescent WTC (Western Trade Center) Consists of Building (One Crescent - B Building), But in the approved plan Building A1 &amp; A2 is mentioned.</t>
  </si>
  <si>
    <r>
      <t xml:space="preserve">Shop No.
</t>
    </r>
    <r>
      <rPr>
        <b/>
        <sz val="11"/>
        <rFont val="Times New Roman"/>
        <family val="1"/>
      </rPr>
      <t>(Approved Plan)</t>
    </r>
  </si>
  <si>
    <t>We considered Gross carpet area = Net carpet.</t>
  </si>
  <si>
    <t>In the approved floor plan shop &amp; office numbering is not mentioned, Therefore we have not drafted area for shops (i.e. Ground floor)</t>
  </si>
  <si>
    <t>Sale Plan:</t>
  </si>
  <si>
    <t>We have considered office numbering from the sale plan provided by bank officles, which is attached below.</t>
  </si>
  <si>
    <t>We have considered Survey No from RERA with the reference of approved CC, approved plans &amp; Title Certificate.</t>
  </si>
  <si>
    <t>Legal address is not mentioned in the approved plans. we are relesing the report on the  bank officers' request by mail.</t>
  </si>
  <si>
    <t>We have considered Survey No from approved CC &amp; RERA site.</t>
  </si>
  <si>
    <t>One Crescent (B Building) P51700053224</t>
  </si>
  <si>
    <t>Name / No of the Building As per layout</t>
  </si>
  <si>
    <t>Provide sale plan for Ground Floor.</t>
  </si>
  <si>
    <t>MBMC/FIRE/1981/2023-24</t>
  </si>
  <si>
    <t>Building No.1 = 1B + Gr +1st + P2 to P5 + 6th to 22nd Floor + Recreational Floor 93.35Mtrs</t>
  </si>
  <si>
    <t>Approved Plans, CC, EC, Fire NOC &amp; Sale Plan</t>
  </si>
  <si>
    <t>Metro line is passing on the east side of the project.</t>
  </si>
  <si>
    <t>Mr. Wasim 9321055565</t>
  </si>
  <si>
    <t>Gaurav Panchal</t>
  </si>
  <si>
    <t>Ranjan Sharma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</si>
</sst>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8"/>
      <color rgb="FFFF0000"/>
      <name val="Times New Roman"/>
      <family val="1"/>
    </font>
    <font>
      <b/>
      <sz val="11"/>
      <name val="Times New Roman"/>
      <family val="1"/>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27" fillId="0" borderId="0" xfId="10"/>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64" fontId="7" fillId="0" borderId="0" xfId="1" applyNumberFormat="1" applyFont="1" applyAlignment="1">
      <alignment horizontal="center" vertical="center"/>
    </xf>
    <xf numFmtId="168" fontId="7" fillId="0" borderId="0" xfId="1" applyNumberFormat="1" applyFont="1" applyAlignment="1">
      <alignment horizontal="center" vertical="center"/>
    </xf>
    <xf numFmtId="0" fontId="7" fillId="0" borderId="0" xfId="1" applyFont="1" applyAlignment="1">
      <alignment horizontal="left" vertical="center"/>
    </xf>
    <xf numFmtId="0" fontId="31" fillId="0" borderId="0" xfId="1" applyFont="1"/>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0" fontId="12" fillId="0" borderId="1" xfId="1" applyFont="1" applyBorder="1" applyAlignment="1" applyProtection="1">
      <alignment vertical="top" wrapText="1"/>
      <protection locked="0"/>
    </xf>
    <xf numFmtId="1" fontId="6" fillId="0" borderId="1" xfId="0"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5" fillId="0" borderId="25" xfId="0" applyFont="1" applyBorder="1" applyAlignment="1">
      <alignment horizontal="center" vertical="center" wrapText="1"/>
    </xf>
    <xf numFmtId="0" fontId="15" fillId="0" borderId="0" xfId="0" applyFont="1" applyBorder="1" applyAlignment="1">
      <alignment horizontal="center" vertical="center" wrapText="1"/>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12" fillId="0" borderId="0" xfId="1" applyFont="1" applyBorder="1" applyAlignment="1" applyProtection="1">
      <alignment horizontal="left" vertical="top" wrapText="1"/>
      <protection locked="0"/>
    </xf>
    <xf numFmtId="2" fontId="6" fillId="0" borderId="0" xfId="1" applyNumberFormat="1" applyFont="1" applyBorder="1" applyAlignment="1" applyProtection="1">
      <alignment horizontal="left" vertical="top" wrapText="1"/>
      <protection locked="0"/>
    </xf>
    <xf numFmtId="164" fontId="6" fillId="0" borderId="0" xfId="1" applyNumberFormat="1" applyFont="1" applyBorder="1" applyAlignment="1" applyProtection="1">
      <alignment horizontal="left" vertical="top"/>
      <protection locked="0"/>
    </xf>
    <xf numFmtId="2" fontId="6" fillId="0" borderId="0" xfId="1" applyNumberFormat="1" applyFont="1" applyBorder="1" applyAlignment="1" applyProtection="1">
      <alignment horizontal="left" vertical="top"/>
      <protection locked="0"/>
    </xf>
    <xf numFmtId="0" fontId="12" fillId="0" borderId="8" xfId="1" applyFont="1" applyBorder="1" applyAlignment="1" applyProtection="1">
      <alignment horizontal="left" vertical="center" wrapText="1"/>
      <protection locked="0"/>
    </xf>
    <xf numFmtId="0" fontId="12" fillId="0" borderId="21" xfId="1" applyFont="1" applyBorder="1" applyAlignment="1" applyProtection="1">
      <alignment horizontal="left" vertical="center" wrapText="1"/>
      <protection locked="0"/>
    </xf>
    <xf numFmtId="0" fontId="12" fillId="0" borderId="9" xfId="1" applyFont="1" applyBorder="1" applyAlignment="1" applyProtection="1">
      <alignment horizontal="left" vertical="center"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wrapText="1"/>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6" fillId="0" borderId="2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32" fillId="0" borderId="3" xfId="1" applyNumberFormat="1" applyFont="1" applyBorder="1" applyAlignment="1" applyProtection="1">
      <alignment horizontal="center" vertical="top" wrapText="1"/>
      <protection locked="0"/>
    </xf>
    <xf numFmtId="1" fontId="32"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8"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164" fontId="6" fillId="0" borderId="8"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2" fontId="6" fillId="0" borderId="8" xfId="1" applyNumberFormat="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2" fillId="0" borderId="1" xfId="1" applyFont="1" applyBorder="1" applyAlignment="1" applyProtection="1">
      <alignment horizontal="center" vertical="center"/>
      <protection locked="0"/>
    </xf>
    <xf numFmtId="0" fontId="13" fillId="0" borderId="1" xfId="1" applyFont="1" applyBorder="1" applyAlignment="1" applyProtection="1">
      <alignment horizontal="center"/>
      <protection locked="0"/>
    </xf>
    <xf numFmtId="0" fontId="12" fillId="0" borderId="8" xfId="1" applyFont="1" applyBorder="1" applyAlignment="1" applyProtection="1">
      <alignment horizontal="center" vertical="center" wrapText="1"/>
      <protection locked="0"/>
    </xf>
    <xf numFmtId="0" fontId="12" fillId="0" borderId="1" xfId="1" applyFont="1" applyBorder="1" applyAlignment="1" applyProtection="1">
      <alignment horizontal="left"/>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horizontal="lef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14" fontId="12" fillId="0" borderId="8"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8</xdr:col>
      <xdr:colOff>367334</xdr:colOff>
      <xdr:row>14</xdr:row>
      <xdr:rowOff>469623</xdr:rowOff>
    </xdr:from>
    <xdr:to>
      <xdr:col>16</xdr:col>
      <xdr:colOff>425021</xdr:colOff>
      <xdr:row>21</xdr:row>
      <xdr:rowOff>268270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82409" y="3650973"/>
          <a:ext cx="6829962" cy="2351347"/>
        </a:xfrm>
        <a:prstGeom prst="rect">
          <a:avLst/>
        </a:prstGeom>
      </xdr:spPr>
    </xdr:pic>
    <xdr:clientData/>
  </xdr:twoCellAnchor>
  <xdr:twoCellAnchor editAs="oneCell">
    <xdr:from>
      <xdr:col>1</xdr:col>
      <xdr:colOff>95251</xdr:colOff>
      <xdr:row>410</xdr:row>
      <xdr:rowOff>57569</xdr:rowOff>
    </xdr:from>
    <xdr:to>
      <xdr:col>6</xdr:col>
      <xdr:colOff>312965</xdr:colOff>
      <xdr:row>426</xdr:row>
      <xdr:rowOff>166613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857251" y="73226134"/>
          <a:ext cx="4301040" cy="3289566"/>
        </a:xfrm>
        <a:prstGeom prst="rect">
          <a:avLst/>
        </a:prstGeom>
        <a:ln>
          <a:solidFill>
            <a:sysClr val="windowText" lastClr="000000"/>
          </a:solidFill>
        </a:ln>
      </xdr:spPr>
    </xdr:pic>
    <xdr:clientData/>
  </xdr:twoCellAnchor>
  <xdr:twoCellAnchor>
    <xdr:from>
      <xdr:col>0</xdr:col>
      <xdr:colOff>445145</xdr:colOff>
      <xdr:row>343</xdr:row>
      <xdr:rowOff>95628</xdr:rowOff>
    </xdr:from>
    <xdr:to>
      <xdr:col>7</xdr:col>
      <xdr:colOff>432953</xdr:colOff>
      <xdr:row>355</xdr:row>
      <xdr:rowOff>34635</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445145" y="60914824"/>
          <a:ext cx="5570286" cy="2324398"/>
          <a:chOff x="587766" y="61134071"/>
          <a:chExt cx="5354374" cy="2192156"/>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7766" y="61134071"/>
            <a:ext cx="5354374" cy="2192156"/>
          </a:xfrm>
          <a:prstGeom prst="rect">
            <a:avLst/>
          </a:prstGeom>
          <a:ln>
            <a:solidFill>
              <a:sysClr val="windowText" lastClr="000000"/>
            </a:solidFill>
          </a:ln>
        </xdr:spPr>
      </xdr:pic>
      <xdr:sp macro="" textlink="">
        <xdr:nvSpPr>
          <xdr:cNvPr id="18" name="Freeform 17">
            <a:extLst>
              <a:ext uri="{FF2B5EF4-FFF2-40B4-BE49-F238E27FC236}">
                <a16:creationId xmlns:a16="http://schemas.microsoft.com/office/drawing/2014/main" id="{00000000-0008-0000-0000-000012000000}"/>
              </a:ext>
            </a:extLst>
          </xdr:cNvPr>
          <xdr:cNvSpPr/>
        </xdr:nvSpPr>
        <xdr:spPr>
          <a:xfrm>
            <a:off x="3446423" y="61822931"/>
            <a:ext cx="1036493" cy="848144"/>
          </a:xfrm>
          <a:custGeom>
            <a:avLst/>
            <a:gdLst>
              <a:gd name="connsiteX0" fmla="*/ 0 w 1035050"/>
              <a:gd name="connsiteY0" fmla="*/ 63500 h 838200"/>
              <a:gd name="connsiteX1" fmla="*/ 19050 w 1035050"/>
              <a:gd name="connsiteY1" fmla="*/ 838200 h 838200"/>
              <a:gd name="connsiteX2" fmla="*/ 1022350 w 1035050"/>
              <a:gd name="connsiteY2" fmla="*/ 825500 h 838200"/>
              <a:gd name="connsiteX3" fmla="*/ 1035050 w 1035050"/>
              <a:gd name="connsiteY3" fmla="*/ 254000 h 838200"/>
              <a:gd name="connsiteX4" fmla="*/ 971550 w 1035050"/>
              <a:gd name="connsiteY4" fmla="*/ 76200 h 838200"/>
              <a:gd name="connsiteX5" fmla="*/ 781050 w 1035050"/>
              <a:gd name="connsiteY5" fmla="*/ 0 h 838200"/>
              <a:gd name="connsiteX6" fmla="*/ 0 w 1035050"/>
              <a:gd name="connsiteY6" fmla="*/ 63500 h 838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35050" h="838200">
                <a:moveTo>
                  <a:pt x="0" y="63500"/>
                </a:moveTo>
                <a:lnTo>
                  <a:pt x="19050" y="838200"/>
                </a:lnTo>
                <a:lnTo>
                  <a:pt x="1022350" y="825500"/>
                </a:lnTo>
                <a:lnTo>
                  <a:pt x="1035050" y="254000"/>
                </a:lnTo>
                <a:lnTo>
                  <a:pt x="971550" y="76200"/>
                </a:lnTo>
                <a:lnTo>
                  <a:pt x="781050" y="0"/>
                </a:lnTo>
                <a:lnTo>
                  <a:pt x="0" y="63500"/>
                </a:lnTo>
                <a:close/>
              </a:path>
            </a:pathLst>
          </a:cu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TextBox 25">
            <a:extLst>
              <a:ext uri="{FF2B5EF4-FFF2-40B4-BE49-F238E27FC236}">
                <a16:creationId xmlns:a16="http://schemas.microsoft.com/office/drawing/2014/main" id="{00000000-0008-0000-0000-000013000000}"/>
              </a:ext>
            </a:extLst>
          </xdr:cNvPr>
          <xdr:cNvSpPr txBox="1"/>
        </xdr:nvSpPr>
        <xdr:spPr>
          <a:xfrm>
            <a:off x="3479423" y="62648806"/>
            <a:ext cx="1249811" cy="31470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C00000"/>
                </a:solidFill>
                <a:latin typeface="Times New Roman" panose="02020603050405020304" pitchFamily="18" charset="0"/>
                <a:cs typeface="Times New Roman" panose="02020603050405020304" pitchFamily="18" charset="0"/>
              </a:rPr>
              <a:t>Building A1</a:t>
            </a:r>
            <a:endParaRPr lang="en-IN" sz="1600" b="1">
              <a:solidFill>
                <a:srgbClr val="C00000"/>
              </a:solidFill>
              <a:latin typeface="Times New Roman" panose="02020603050405020304" pitchFamily="18" charset="0"/>
              <a:cs typeface="Times New Roman" panose="02020603050405020304" pitchFamily="18" charset="0"/>
            </a:endParaRPr>
          </a:p>
        </xdr:txBody>
      </xdr:sp>
      <xdr:sp macro="" textlink="">
        <xdr:nvSpPr>
          <xdr:cNvPr id="20" name="Rectangle 19">
            <a:extLst>
              <a:ext uri="{FF2B5EF4-FFF2-40B4-BE49-F238E27FC236}">
                <a16:creationId xmlns:a16="http://schemas.microsoft.com/office/drawing/2014/main" id="{00000000-0008-0000-0000-000014000000}"/>
              </a:ext>
            </a:extLst>
          </xdr:cNvPr>
          <xdr:cNvSpPr/>
        </xdr:nvSpPr>
        <xdr:spPr>
          <a:xfrm>
            <a:off x="1063604" y="61928639"/>
            <a:ext cx="1634225" cy="774474"/>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TextBox 45">
            <a:extLst>
              <a:ext uri="{FF2B5EF4-FFF2-40B4-BE49-F238E27FC236}">
                <a16:creationId xmlns:a16="http://schemas.microsoft.com/office/drawing/2014/main" id="{00000000-0008-0000-0000-000015000000}"/>
              </a:ext>
            </a:extLst>
          </xdr:cNvPr>
          <xdr:cNvSpPr txBox="1"/>
        </xdr:nvSpPr>
        <xdr:spPr>
          <a:xfrm>
            <a:off x="1279845" y="62677848"/>
            <a:ext cx="1279652" cy="27362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C00000"/>
                </a:solidFill>
                <a:latin typeface="Times New Roman" panose="02020603050405020304" pitchFamily="18" charset="0"/>
                <a:cs typeface="Times New Roman" panose="02020603050405020304" pitchFamily="18" charset="0"/>
              </a:rPr>
              <a:t>Building A2</a:t>
            </a:r>
          </a:p>
        </xdr:txBody>
      </xdr:sp>
      <xdr:sp macro="" textlink="">
        <xdr:nvSpPr>
          <xdr:cNvPr id="22" name="Right Arrow 21">
            <a:extLst>
              <a:ext uri="{FF2B5EF4-FFF2-40B4-BE49-F238E27FC236}">
                <a16:creationId xmlns:a16="http://schemas.microsoft.com/office/drawing/2014/main" id="{00000000-0008-0000-0000-000016000000}"/>
              </a:ext>
            </a:extLst>
          </xdr:cNvPr>
          <xdr:cNvSpPr/>
        </xdr:nvSpPr>
        <xdr:spPr>
          <a:xfrm rot="16433318">
            <a:off x="762143" y="61292529"/>
            <a:ext cx="192760" cy="140888"/>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TextBox 29">
            <a:extLst>
              <a:ext uri="{FF2B5EF4-FFF2-40B4-BE49-F238E27FC236}">
                <a16:creationId xmlns:a16="http://schemas.microsoft.com/office/drawing/2014/main" id="{00000000-0008-0000-0000-000017000000}"/>
              </a:ext>
            </a:extLst>
          </xdr:cNvPr>
          <xdr:cNvSpPr txBox="1"/>
        </xdr:nvSpPr>
        <xdr:spPr>
          <a:xfrm>
            <a:off x="687156" y="61394123"/>
            <a:ext cx="334211" cy="37371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clientData/>
  </xdr:twoCellAnchor>
  <xdr:twoCellAnchor editAs="oneCell">
    <xdr:from>
      <xdr:col>1</xdr:col>
      <xdr:colOff>57943</xdr:colOff>
      <xdr:row>322</xdr:row>
      <xdr:rowOff>103556</xdr:rowOff>
    </xdr:from>
    <xdr:to>
      <xdr:col>6</xdr:col>
      <xdr:colOff>615699</xdr:colOff>
      <xdr:row>342</xdr:row>
      <xdr:rowOff>142874</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819943" y="64525686"/>
          <a:ext cx="4641082" cy="4014971"/>
        </a:xfrm>
        <a:prstGeom prst="rect">
          <a:avLst/>
        </a:prstGeom>
        <a:ln>
          <a:solidFill>
            <a:schemeClr val="tx1"/>
          </a:solidFill>
        </a:ln>
      </xdr:spPr>
    </xdr:pic>
    <xdr:clientData/>
  </xdr:twoCellAnchor>
  <xdr:twoCellAnchor editAs="oneCell">
    <xdr:from>
      <xdr:col>11</xdr:col>
      <xdr:colOff>134470</xdr:colOff>
      <xdr:row>117</xdr:row>
      <xdr:rowOff>89647</xdr:rowOff>
    </xdr:from>
    <xdr:to>
      <xdr:col>19</xdr:col>
      <xdr:colOff>421105</xdr:colOff>
      <xdr:row>136</xdr:row>
      <xdr:rowOff>125325</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a:stretch>
          <a:fillRect/>
        </a:stretch>
      </xdr:blipFill>
      <xdr:spPr>
        <a:xfrm>
          <a:off x="9079687" y="24829799"/>
          <a:ext cx="6374353" cy="1427156"/>
        </a:xfrm>
        <a:prstGeom prst="rect">
          <a:avLst/>
        </a:prstGeom>
        <a:ln>
          <a:solidFill>
            <a:schemeClr val="tx1"/>
          </a:solidFill>
        </a:ln>
      </xdr:spPr>
    </xdr:pic>
    <xdr:clientData/>
  </xdr:twoCellAnchor>
  <xdr:twoCellAnchor editAs="oneCell">
    <xdr:from>
      <xdr:col>9</xdr:col>
      <xdr:colOff>38100</xdr:colOff>
      <xdr:row>138</xdr:row>
      <xdr:rowOff>95810</xdr:rowOff>
    </xdr:from>
    <xdr:to>
      <xdr:col>17</xdr:col>
      <xdr:colOff>180741</xdr:colOff>
      <xdr:row>155</xdr:row>
      <xdr:rowOff>1823</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6"/>
        <a:stretch>
          <a:fillRect/>
        </a:stretch>
      </xdr:blipFill>
      <xdr:spPr>
        <a:xfrm>
          <a:off x="7515225" y="28299335"/>
          <a:ext cx="6362466" cy="3306438"/>
        </a:xfrm>
        <a:prstGeom prst="rect">
          <a:avLst/>
        </a:prstGeom>
        <a:ln>
          <a:solidFill>
            <a:schemeClr val="tx1"/>
          </a:solidFill>
        </a:ln>
      </xdr:spPr>
    </xdr:pic>
    <xdr:clientData/>
  </xdr:twoCellAnchor>
  <xdr:twoCellAnchor editAs="oneCell">
    <xdr:from>
      <xdr:col>11</xdr:col>
      <xdr:colOff>61072</xdr:colOff>
      <xdr:row>161</xdr:row>
      <xdr:rowOff>16248</xdr:rowOff>
    </xdr:from>
    <xdr:to>
      <xdr:col>19</xdr:col>
      <xdr:colOff>260872</xdr:colOff>
      <xdr:row>175</xdr:row>
      <xdr:rowOff>78080</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7"/>
        <a:stretch>
          <a:fillRect/>
        </a:stretch>
      </xdr:blipFill>
      <xdr:spPr>
        <a:xfrm>
          <a:off x="9005047" y="31372548"/>
          <a:ext cx="6286275" cy="2862182"/>
        </a:xfrm>
        <a:prstGeom prst="rect">
          <a:avLst/>
        </a:prstGeom>
        <a:ln>
          <a:solidFill>
            <a:schemeClr val="tx1"/>
          </a:solidFill>
        </a:ln>
      </xdr:spPr>
    </xdr:pic>
    <xdr:clientData/>
  </xdr:twoCellAnchor>
  <xdr:twoCellAnchor editAs="oneCell">
    <xdr:from>
      <xdr:col>9</xdr:col>
      <xdr:colOff>571499</xdr:colOff>
      <xdr:row>185</xdr:row>
      <xdr:rowOff>112059</xdr:rowOff>
    </xdr:from>
    <xdr:to>
      <xdr:col>17</xdr:col>
      <xdr:colOff>285568</xdr:colOff>
      <xdr:row>199</xdr:row>
      <xdr:rowOff>11987</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8"/>
        <a:stretch>
          <a:fillRect/>
        </a:stretch>
      </xdr:blipFill>
      <xdr:spPr>
        <a:xfrm>
          <a:off x="8050695" y="35984037"/>
          <a:ext cx="5934308" cy="2682884"/>
        </a:xfrm>
        <a:prstGeom prst="rect">
          <a:avLst/>
        </a:prstGeom>
        <a:ln>
          <a:solidFill>
            <a:schemeClr val="tx1"/>
          </a:solidFill>
        </a:ln>
      </xdr:spPr>
    </xdr:pic>
    <xdr:clientData/>
  </xdr:twoCellAnchor>
  <xdr:twoCellAnchor editAs="oneCell">
    <xdr:from>
      <xdr:col>8</xdr:col>
      <xdr:colOff>280147</xdr:colOff>
      <xdr:row>42</xdr:row>
      <xdr:rowOff>67235</xdr:rowOff>
    </xdr:from>
    <xdr:to>
      <xdr:col>11</xdr:col>
      <xdr:colOff>361051</xdr:colOff>
      <xdr:row>49</xdr:row>
      <xdr:rowOff>383558</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9"/>
        <a:stretch>
          <a:fillRect/>
        </a:stretch>
      </xdr:blipFill>
      <xdr:spPr>
        <a:xfrm>
          <a:off x="6599777" y="10536452"/>
          <a:ext cx="2706491" cy="1939715"/>
        </a:xfrm>
        <a:prstGeom prst="rect">
          <a:avLst/>
        </a:prstGeom>
        <a:ln>
          <a:solidFill>
            <a:schemeClr val="tx1"/>
          </a:solidFill>
        </a:ln>
      </xdr:spPr>
    </xdr:pic>
    <xdr:clientData/>
  </xdr:twoCellAnchor>
  <xdr:twoCellAnchor editAs="oneCell">
    <xdr:from>
      <xdr:col>8</xdr:col>
      <xdr:colOff>280148</xdr:colOff>
      <xdr:row>50</xdr:row>
      <xdr:rowOff>201707</xdr:rowOff>
    </xdr:from>
    <xdr:to>
      <xdr:col>13</xdr:col>
      <xdr:colOff>432266</xdr:colOff>
      <xdr:row>55</xdr:row>
      <xdr:rowOff>52993</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6599778" y="12716729"/>
          <a:ext cx="4492205" cy="1009560"/>
        </a:xfrm>
        <a:prstGeom prst="rect">
          <a:avLst/>
        </a:prstGeom>
        <a:ln>
          <a:solidFill>
            <a:schemeClr val="tx1"/>
          </a:solidFill>
        </a:ln>
      </xdr:spPr>
    </xdr:pic>
    <xdr:clientData/>
  </xdr:twoCellAnchor>
  <xdr:twoCellAnchor editAs="oneCell">
    <xdr:from>
      <xdr:col>8</xdr:col>
      <xdr:colOff>204508</xdr:colOff>
      <xdr:row>48</xdr:row>
      <xdr:rowOff>416299</xdr:rowOff>
    </xdr:from>
    <xdr:to>
      <xdr:col>15</xdr:col>
      <xdr:colOff>561183</xdr:colOff>
      <xdr:row>58</xdr:row>
      <xdr:rowOff>47940</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1"/>
        <a:stretch>
          <a:fillRect/>
        </a:stretch>
      </xdr:blipFill>
      <xdr:spPr>
        <a:xfrm>
          <a:off x="6519583" y="12122524"/>
          <a:ext cx="6347900" cy="3117791"/>
        </a:xfrm>
        <a:prstGeom prst="rect">
          <a:avLst/>
        </a:prstGeom>
        <a:solidFill>
          <a:schemeClr val="tx1"/>
        </a:solidFill>
        <a:ln>
          <a:solidFill>
            <a:schemeClr val="tx1"/>
          </a:solidFill>
        </a:ln>
      </xdr:spPr>
    </xdr:pic>
    <xdr:clientData/>
  </xdr:twoCellAnchor>
  <xdr:twoCellAnchor editAs="oneCell">
    <xdr:from>
      <xdr:col>13</xdr:col>
      <xdr:colOff>44361</xdr:colOff>
      <xdr:row>178</xdr:row>
      <xdr:rowOff>62631</xdr:rowOff>
    </xdr:from>
    <xdr:to>
      <xdr:col>27</xdr:col>
      <xdr:colOff>372318</xdr:colOff>
      <xdr:row>208</xdr:row>
      <xdr:rowOff>31133</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2"/>
        <a:stretch>
          <a:fillRect/>
        </a:stretch>
      </xdr:blipFill>
      <xdr:spPr>
        <a:xfrm>
          <a:off x="10704078" y="34543131"/>
          <a:ext cx="9703870" cy="5931980"/>
        </a:xfrm>
        <a:prstGeom prst="rect">
          <a:avLst/>
        </a:prstGeom>
      </xdr:spPr>
    </xdr:pic>
    <xdr:clientData/>
  </xdr:twoCellAnchor>
  <xdr:twoCellAnchor editAs="oneCell">
    <xdr:from>
      <xdr:col>10</xdr:col>
      <xdr:colOff>141096</xdr:colOff>
      <xdr:row>69</xdr:row>
      <xdr:rowOff>59440</xdr:rowOff>
    </xdr:from>
    <xdr:to>
      <xdr:col>19</xdr:col>
      <xdr:colOff>3390</xdr:colOff>
      <xdr:row>76</xdr:row>
      <xdr:rowOff>327555</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3"/>
        <a:stretch>
          <a:fillRect/>
        </a:stretch>
      </xdr:blipFill>
      <xdr:spPr>
        <a:xfrm>
          <a:off x="8380221" y="16756765"/>
          <a:ext cx="6653619" cy="2115965"/>
        </a:xfrm>
        <a:prstGeom prst="rect">
          <a:avLst/>
        </a:prstGeom>
      </xdr:spPr>
    </xdr:pic>
    <xdr:clientData/>
  </xdr:twoCellAnchor>
  <xdr:twoCellAnchor>
    <xdr:from>
      <xdr:col>0</xdr:col>
      <xdr:colOff>192548</xdr:colOff>
      <xdr:row>427</xdr:row>
      <xdr:rowOff>53137</xdr:rowOff>
    </xdr:from>
    <xdr:to>
      <xdr:col>7</xdr:col>
      <xdr:colOff>467806</xdr:colOff>
      <xdr:row>447</xdr:row>
      <xdr:rowOff>140166</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192548" y="75184680"/>
          <a:ext cx="5857736" cy="4062682"/>
          <a:chOff x="363998" y="77377087"/>
          <a:chExt cx="5856908" cy="4087529"/>
        </a:xfrm>
      </xdr:grpSpPr>
      <xdr:grpSp>
        <xdr:nvGrpSpPr>
          <xdr:cNvPr id="24" name="Group 23">
            <a:extLst>
              <a:ext uri="{FF2B5EF4-FFF2-40B4-BE49-F238E27FC236}">
                <a16:creationId xmlns:a16="http://schemas.microsoft.com/office/drawing/2014/main" id="{00000000-0008-0000-0000-000018000000}"/>
              </a:ext>
            </a:extLst>
          </xdr:cNvPr>
          <xdr:cNvGrpSpPr/>
        </xdr:nvGrpSpPr>
        <xdr:grpSpPr>
          <a:xfrm>
            <a:off x="363998" y="77377087"/>
            <a:ext cx="5856908" cy="4087529"/>
            <a:chOff x="501106" y="2497118"/>
            <a:chExt cx="5855787" cy="4125071"/>
          </a:xfrm>
        </xdr:grpSpPr>
        <xdr:grpSp>
          <xdr:nvGrpSpPr>
            <xdr:cNvPr id="25" name="Group 24">
              <a:extLst>
                <a:ext uri="{FF2B5EF4-FFF2-40B4-BE49-F238E27FC236}">
                  <a16:creationId xmlns:a16="http://schemas.microsoft.com/office/drawing/2014/main" id="{00000000-0008-0000-0000-000019000000}"/>
                </a:ext>
              </a:extLst>
            </xdr:cNvPr>
            <xdr:cNvGrpSpPr/>
          </xdr:nvGrpSpPr>
          <xdr:grpSpPr>
            <a:xfrm>
              <a:off x="501106" y="2521805"/>
              <a:ext cx="5855787" cy="4100379"/>
              <a:chOff x="0" y="-5"/>
              <a:chExt cx="5855787" cy="4100379"/>
            </a:xfrm>
          </xdr:grpSpPr>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4"/>
              <a:stretch>
                <a:fillRect/>
              </a:stretch>
            </xdr:blipFill>
            <xdr:spPr>
              <a:xfrm>
                <a:off x="0" y="-5"/>
                <a:ext cx="5855787" cy="4100379"/>
              </a:xfrm>
              <a:prstGeom prst="rect">
                <a:avLst/>
              </a:prstGeom>
              <a:ln>
                <a:solidFill>
                  <a:sysClr val="windowText" lastClr="000000"/>
                </a:solidFill>
              </a:ln>
            </xdr:spPr>
          </xdr:pic>
          <xdr:sp macro="" textlink="">
            <xdr:nvSpPr>
              <xdr:cNvPr id="30" name="Freeform 29">
                <a:extLst>
                  <a:ext uri="{FF2B5EF4-FFF2-40B4-BE49-F238E27FC236}">
                    <a16:creationId xmlns:a16="http://schemas.microsoft.com/office/drawing/2014/main" id="{00000000-0008-0000-0000-00001E000000}"/>
                  </a:ext>
                </a:extLst>
              </xdr:cNvPr>
              <xdr:cNvSpPr/>
            </xdr:nvSpPr>
            <xdr:spPr>
              <a:xfrm>
                <a:off x="266701" y="171475"/>
                <a:ext cx="3683934" cy="2650752"/>
              </a:xfrm>
              <a:custGeom>
                <a:avLst/>
                <a:gdLst>
                  <a:gd name="connsiteX0" fmla="*/ 342900 w 3676650"/>
                  <a:gd name="connsiteY0" fmla="*/ 123825 h 2628900"/>
                  <a:gd name="connsiteX1" fmla="*/ 0 w 3676650"/>
                  <a:gd name="connsiteY1" fmla="*/ 733425 h 2628900"/>
                  <a:gd name="connsiteX2" fmla="*/ 3381375 w 3676650"/>
                  <a:gd name="connsiteY2" fmla="*/ 2628900 h 2628900"/>
                  <a:gd name="connsiteX3" fmla="*/ 3676650 w 3676650"/>
                  <a:gd name="connsiteY3" fmla="*/ 1800225 h 2628900"/>
                  <a:gd name="connsiteX4" fmla="*/ 2657475 w 3676650"/>
                  <a:gd name="connsiteY4" fmla="*/ 1257300 h 2628900"/>
                  <a:gd name="connsiteX5" fmla="*/ 2466975 w 3676650"/>
                  <a:gd name="connsiteY5" fmla="*/ 1638300 h 2628900"/>
                  <a:gd name="connsiteX6" fmla="*/ 2038350 w 3676650"/>
                  <a:gd name="connsiteY6" fmla="*/ 1590675 h 2628900"/>
                  <a:gd name="connsiteX7" fmla="*/ 1905000 w 3676650"/>
                  <a:gd name="connsiteY7" fmla="*/ 1285875 h 2628900"/>
                  <a:gd name="connsiteX8" fmla="*/ 1990725 w 3676650"/>
                  <a:gd name="connsiteY8" fmla="*/ 971550 h 2628900"/>
                  <a:gd name="connsiteX9" fmla="*/ 1905000 w 3676650"/>
                  <a:gd name="connsiteY9" fmla="*/ 876300 h 2628900"/>
                  <a:gd name="connsiteX10" fmla="*/ 1733550 w 3676650"/>
                  <a:gd name="connsiteY10" fmla="*/ 876300 h 2628900"/>
                  <a:gd name="connsiteX11" fmla="*/ 1514475 w 3676650"/>
                  <a:gd name="connsiteY11" fmla="*/ 800100 h 2628900"/>
                  <a:gd name="connsiteX12" fmla="*/ 914400 w 3676650"/>
                  <a:gd name="connsiteY12" fmla="*/ 285750 h 2628900"/>
                  <a:gd name="connsiteX13" fmla="*/ 447675 w 3676650"/>
                  <a:gd name="connsiteY13" fmla="*/ 0 h 2628900"/>
                  <a:gd name="connsiteX14" fmla="*/ 342900 w 3676650"/>
                  <a:gd name="connsiteY14" fmla="*/ 123825 h 2628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676650" h="2628900">
                    <a:moveTo>
                      <a:pt x="342900" y="123825"/>
                    </a:moveTo>
                    <a:lnTo>
                      <a:pt x="0" y="733425"/>
                    </a:lnTo>
                    <a:lnTo>
                      <a:pt x="3381375" y="2628900"/>
                    </a:lnTo>
                    <a:lnTo>
                      <a:pt x="3676650" y="1800225"/>
                    </a:lnTo>
                    <a:lnTo>
                      <a:pt x="2657475" y="1257300"/>
                    </a:lnTo>
                    <a:lnTo>
                      <a:pt x="2466975" y="1638300"/>
                    </a:lnTo>
                    <a:lnTo>
                      <a:pt x="2038350" y="1590675"/>
                    </a:lnTo>
                    <a:lnTo>
                      <a:pt x="1905000" y="1285875"/>
                    </a:lnTo>
                    <a:lnTo>
                      <a:pt x="1990725" y="971550"/>
                    </a:lnTo>
                    <a:lnTo>
                      <a:pt x="1905000" y="876300"/>
                    </a:lnTo>
                    <a:lnTo>
                      <a:pt x="1733550" y="876300"/>
                    </a:lnTo>
                    <a:lnTo>
                      <a:pt x="1514475" y="800100"/>
                    </a:lnTo>
                    <a:lnTo>
                      <a:pt x="914400" y="285750"/>
                    </a:lnTo>
                    <a:lnTo>
                      <a:pt x="447675" y="0"/>
                    </a:lnTo>
                    <a:lnTo>
                      <a:pt x="342900" y="123825"/>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cxnSp macro="">
          <xdr:nvCxnSpPr>
            <xdr:cNvPr id="26" name="Straight Connector 25">
              <a:extLst>
                <a:ext uri="{FF2B5EF4-FFF2-40B4-BE49-F238E27FC236}">
                  <a16:creationId xmlns:a16="http://schemas.microsoft.com/office/drawing/2014/main" id="{00000000-0008-0000-0000-00001A000000}"/>
                </a:ext>
              </a:extLst>
            </xdr:cNvPr>
            <xdr:cNvCxnSpPr/>
          </xdr:nvCxnSpPr>
          <xdr:spPr>
            <a:xfrm flipH="1">
              <a:off x="4064000" y="2497118"/>
              <a:ext cx="1697247" cy="412507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H="1">
              <a:off x="4335710" y="2521810"/>
              <a:ext cx="1697554" cy="410037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TextBox 53">
              <a:extLst>
                <a:ext uri="{FF2B5EF4-FFF2-40B4-BE49-F238E27FC236}">
                  <a16:creationId xmlns:a16="http://schemas.microsoft.com/office/drawing/2014/main" id="{00000000-0008-0000-0000-00001C000000}"/>
                </a:ext>
              </a:extLst>
            </xdr:cNvPr>
            <xdr:cNvSpPr txBox="1"/>
          </xdr:nvSpPr>
          <xdr:spPr>
            <a:xfrm rot="17675926">
              <a:off x="3637453" y="5171880"/>
              <a:ext cx="1601307" cy="35767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latin typeface="Times New Roman" panose="02020603050405020304" pitchFamily="18" charset="0"/>
                  <a:cs typeface="Times New Roman" panose="02020603050405020304" pitchFamily="18" charset="0"/>
                </a:rPr>
                <a:t>Metro Line</a:t>
              </a:r>
              <a:endParaRPr lang="en-IN" b="1">
                <a:solidFill>
                  <a:srgbClr val="FF0000"/>
                </a:solidFill>
                <a:latin typeface="Times New Roman" panose="02020603050405020304" pitchFamily="18" charset="0"/>
                <a:cs typeface="Times New Roman" panose="02020603050405020304" pitchFamily="18" charset="0"/>
              </a:endParaRPr>
            </a:p>
          </xdr:txBody>
        </xdr:sp>
      </xdr:grpSp>
      <xdr:sp macro="" textlink="">
        <xdr:nvSpPr>
          <xdr:cNvPr id="13" name="Rectangle 12">
            <a:extLst>
              <a:ext uri="{FF2B5EF4-FFF2-40B4-BE49-F238E27FC236}">
                <a16:creationId xmlns:a16="http://schemas.microsoft.com/office/drawing/2014/main" id="{00000000-0008-0000-0000-00000D000000}"/>
              </a:ext>
            </a:extLst>
          </xdr:cNvPr>
          <xdr:cNvSpPr/>
        </xdr:nvSpPr>
        <xdr:spPr>
          <a:xfrm rot="1694207">
            <a:off x="3150036" y="79081214"/>
            <a:ext cx="778961" cy="649547"/>
          </a:xfrm>
          <a:prstGeom prst="rect">
            <a:avLst/>
          </a:prstGeom>
          <a:noFill/>
          <a:ln w="38100">
            <a:solidFill>
              <a:srgbClr val="00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8" name="Rectangle 37">
            <a:extLst>
              <a:ext uri="{FF2B5EF4-FFF2-40B4-BE49-F238E27FC236}">
                <a16:creationId xmlns:a16="http://schemas.microsoft.com/office/drawing/2014/main" id="{00000000-0008-0000-0000-000026000000}"/>
              </a:ext>
            </a:extLst>
          </xdr:cNvPr>
          <xdr:cNvSpPr/>
        </xdr:nvSpPr>
        <xdr:spPr>
          <a:xfrm rot="1502405">
            <a:off x="2918058" y="78686119"/>
            <a:ext cx="2039069" cy="514135"/>
          </a:xfrm>
          <a:prstGeom prst="rect">
            <a:avLst/>
          </a:prstGeom>
        </xdr:spPr>
        <xdr:txBody>
          <a:bodyPr wrap="square"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00FFFF"/>
                </a:solidFill>
                <a:latin typeface="Times New Roman" panose="02020603050405020304" pitchFamily="18" charset="0"/>
                <a:cs typeface="Times New Roman" panose="02020603050405020304" pitchFamily="18" charset="0"/>
              </a:rPr>
              <a:t>Crescent WTC               (Western Trade Center)</a:t>
            </a:r>
            <a:endParaRPr lang="en-IN" sz="1400" b="1">
              <a:solidFill>
                <a:srgbClr val="00FFFF"/>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0</xdr:col>
      <xdr:colOff>85727</xdr:colOff>
      <xdr:row>366</xdr:row>
      <xdr:rowOff>28575</xdr:rowOff>
    </xdr:from>
    <xdr:to>
      <xdr:col>7</xdr:col>
      <xdr:colOff>634105</xdr:colOff>
      <xdr:row>387</xdr:row>
      <xdr:rowOff>4050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5"/>
        <a:stretch>
          <a:fillRect/>
        </a:stretch>
      </xdr:blipFill>
      <xdr:spPr>
        <a:xfrm>
          <a:off x="85727" y="67132200"/>
          <a:ext cx="6130028" cy="4176000"/>
        </a:xfrm>
        <a:prstGeom prst="rect">
          <a:avLst/>
        </a:prstGeom>
        <a:ln>
          <a:solidFill>
            <a:schemeClr val="tx1"/>
          </a:solidFill>
        </a:ln>
      </xdr:spPr>
    </xdr:pic>
    <xdr:clientData/>
  </xdr:twoCellAnchor>
  <xdr:twoCellAnchor>
    <xdr:from>
      <xdr:col>8</xdr:col>
      <xdr:colOff>628650</xdr:colOff>
      <xdr:row>279</xdr:row>
      <xdr:rowOff>139700</xdr:rowOff>
    </xdr:from>
    <xdr:to>
      <xdr:col>15</xdr:col>
      <xdr:colOff>778242</xdr:colOff>
      <xdr:row>306</xdr:row>
      <xdr:rowOff>11481</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6948280" y="48236809"/>
          <a:ext cx="6137919" cy="5238911"/>
          <a:chOff x="114300" y="47688500"/>
          <a:chExt cx="6413867" cy="5186731"/>
        </a:xfrm>
      </xdr:grpSpPr>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909854" y="50715231"/>
            <a:ext cx="1618313" cy="216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14300" y="50715231"/>
            <a:ext cx="2877333" cy="216000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27034" y="47688500"/>
            <a:ext cx="3836444" cy="288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230614" y="47688500"/>
            <a:ext cx="2157751" cy="2880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141587" y="50715231"/>
            <a:ext cx="1618313" cy="2160000"/>
          </a:xfrm>
          <a:prstGeom prst="rect">
            <a:avLst/>
          </a:prstGeom>
          <a:ln>
            <a:solidFill>
              <a:schemeClr val="tx1"/>
            </a:solidFill>
          </a:ln>
        </xdr:spPr>
      </xdr:pic>
    </xdr:grpSp>
    <xdr:clientData/>
  </xdr:twoCellAnchor>
  <xdr:twoCellAnchor>
    <xdr:from>
      <xdr:col>8</xdr:col>
      <xdr:colOff>566945</xdr:colOff>
      <xdr:row>279</xdr:row>
      <xdr:rowOff>110572</xdr:rowOff>
    </xdr:from>
    <xdr:to>
      <xdr:col>15</xdr:col>
      <xdr:colOff>159823</xdr:colOff>
      <xdr:row>312</xdr:row>
      <xdr:rowOff>34371</xdr:rowOff>
    </xdr:to>
    <xdr:grpSp>
      <xdr:nvGrpSpPr>
        <xdr:cNvPr id="39" name="Group 38">
          <a:extLst>
            <a:ext uri="{FF2B5EF4-FFF2-40B4-BE49-F238E27FC236}">
              <a16:creationId xmlns:a16="http://schemas.microsoft.com/office/drawing/2014/main" id="{00000000-0008-0000-0000-000027000000}"/>
            </a:ext>
          </a:extLst>
        </xdr:cNvPr>
        <xdr:cNvGrpSpPr/>
      </xdr:nvGrpSpPr>
      <xdr:grpSpPr>
        <a:xfrm>
          <a:off x="6886575" y="48207681"/>
          <a:ext cx="5581205" cy="6483625"/>
          <a:chOff x="265925" y="689937"/>
          <a:chExt cx="6324876" cy="6872553"/>
        </a:xfrm>
      </xdr:grpSpPr>
      <xdr:pic>
        <xdr:nvPicPr>
          <xdr:cNvPr id="40" name="Picture 39" descr="https://vsjcllp.vsjadon.com/upload/insp-225891-1525.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4571027" y="4866652"/>
            <a:ext cx="2019774" cy="26958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25891-843.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3528004" y="689937"/>
            <a:ext cx="3042649" cy="40610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25891-844.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301768" y="4846586"/>
            <a:ext cx="2019774" cy="26958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25891-847.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265925" y="689937"/>
            <a:ext cx="3042649" cy="40610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25891-931.jpg">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2439339" y="4856619"/>
            <a:ext cx="2019774" cy="26958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173935</xdr:colOff>
      <xdr:row>279</xdr:row>
      <xdr:rowOff>91109</xdr:rowOff>
    </xdr:from>
    <xdr:to>
      <xdr:col>7</xdr:col>
      <xdr:colOff>488675</xdr:colOff>
      <xdr:row>319</xdr:row>
      <xdr:rowOff>82826</xdr:rowOff>
    </xdr:to>
    <xdr:grpSp>
      <xdr:nvGrpSpPr>
        <xdr:cNvPr id="50" name="Group 49">
          <a:extLst>
            <a:ext uri="{FF2B5EF4-FFF2-40B4-BE49-F238E27FC236}">
              <a16:creationId xmlns:a16="http://schemas.microsoft.com/office/drawing/2014/main" id="{A7F4DE00-14AC-49D7-B4C7-9AE9F254FEA6}"/>
            </a:ext>
          </a:extLst>
        </xdr:cNvPr>
        <xdr:cNvGrpSpPr/>
      </xdr:nvGrpSpPr>
      <xdr:grpSpPr>
        <a:xfrm>
          <a:off x="173935" y="48188218"/>
          <a:ext cx="5897218" cy="7943021"/>
          <a:chOff x="356781" y="82607"/>
          <a:chExt cx="5952219" cy="8551285"/>
        </a:xfrm>
      </xdr:grpSpPr>
      <xdr:pic>
        <xdr:nvPicPr>
          <xdr:cNvPr id="51" name="Picture 50">
            <a:extLst>
              <a:ext uri="{FF2B5EF4-FFF2-40B4-BE49-F238E27FC236}">
                <a16:creationId xmlns:a16="http://schemas.microsoft.com/office/drawing/2014/main" id="{D8BE71B1-6948-4562-B92E-C30C236F97C2}"/>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rot="5400000">
            <a:off x="-114107" y="562608"/>
            <a:ext cx="3840000" cy="2880000"/>
          </a:xfrm>
          <a:prstGeom prst="rect">
            <a:avLst/>
          </a:prstGeom>
          <a:ln>
            <a:solidFill>
              <a:schemeClr val="tx1"/>
            </a:solidFill>
          </a:ln>
        </xdr:spPr>
      </xdr:pic>
      <xdr:pic>
        <xdr:nvPicPr>
          <xdr:cNvPr id="52" name="Picture 51">
            <a:extLst>
              <a:ext uri="{FF2B5EF4-FFF2-40B4-BE49-F238E27FC236}">
                <a16:creationId xmlns:a16="http://schemas.microsoft.com/office/drawing/2014/main" id="{4BAD30B8-C5EC-4803-8DFE-388149C30ACF}"/>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rot="5400000">
            <a:off x="2949000" y="562607"/>
            <a:ext cx="3840000" cy="2880000"/>
          </a:xfrm>
          <a:prstGeom prst="rect">
            <a:avLst/>
          </a:prstGeom>
          <a:ln>
            <a:solidFill>
              <a:schemeClr val="tx1"/>
            </a:solidFill>
          </a:ln>
        </xdr:spPr>
      </xdr:pic>
      <xdr:pic>
        <xdr:nvPicPr>
          <xdr:cNvPr id="53" name="Picture 52">
            <a:extLst>
              <a:ext uri="{FF2B5EF4-FFF2-40B4-BE49-F238E27FC236}">
                <a16:creationId xmlns:a16="http://schemas.microsoft.com/office/drawing/2014/main" id="{AB6158F2-5946-4119-AADC-9326C8BAF665}"/>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rot="5400000">
            <a:off x="56781" y="4418250"/>
            <a:ext cx="2400000" cy="1800000"/>
          </a:xfrm>
          <a:prstGeom prst="rect">
            <a:avLst/>
          </a:prstGeom>
          <a:ln>
            <a:solidFill>
              <a:schemeClr val="tx1"/>
            </a:solidFill>
          </a:ln>
        </xdr:spPr>
      </xdr:pic>
      <xdr:pic>
        <xdr:nvPicPr>
          <xdr:cNvPr id="54" name="Picture 53">
            <a:extLst>
              <a:ext uri="{FF2B5EF4-FFF2-40B4-BE49-F238E27FC236}">
                <a16:creationId xmlns:a16="http://schemas.microsoft.com/office/drawing/2014/main" id="{D1EC8D89-9D1F-4FC4-AA10-20911B22D51E}"/>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rot="16200000">
            <a:off x="4035005" y="4418250"/>
            <a:ext cx="2400000" cy="1800000"/>
          </a:xfrm>
          <a:prstGeom prst="rect">
            <a:avLst/>
          </a:prstGeom>
          <a:ln>
            <a:solidFill>
              <a:schemeClr val="tx1"/>
            </a:solidFill>
          </a:ln>
        </xdr:spPr>
      </xdr:pic>
      <xdr:pic>
        <xdr:nvPicPr>
          <xdr:cNvPr id="55" name="Picture 54">
            <a:extLst>
              <a:ext uri="{FF2B5EF4-FFF2-40B4-BE49-F238E27FC236}">
                <a16:creationId xmlns:a16="http://schemas.microsoft.com/office/drawing/2014/main" id="{DC746DD4-6F3B-4ED0-A021-78A676D0D8B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rot="5400000">
            <a:off x="2045893" y="4418250"/>
            <a:ext cx="2400000" cy="1800000"/>
          </a:xfrm>
          <a:prstGeom prst="rect">
            <a:avLst/>
          </a:prstGeom>
          <a:ln>
            <a:solidFill>
              <a:schemeClr val="tx1"/>
            </a:solidFill>
          </a:ln>
        </xdr:spPr>
      </xdr:pic>
      <xdr:pic>
        <xdr:nvPicPr>
          <xdr:cNvPr id="56" name="Picture 55">
            <a:extLst>
              <a:ext uri="{FF2B5EF4-FFF2-40B4-BE49-F238E27FC236}">
                <a16:creationId xmlns:a16="http://schemas.microsoft.com/office/drawing/2014/main" id="{E656311F-0642-4CE5-89CE-CE335B6BFF2D}"/>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rot="5400000">
            <a:off x="2380728" y="6953892"/>
            <a:ext cx="1920000" cy="144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2</xdr:col>
      <xdr:colOff>78442</xdr:colOff>
      <xdr:row>7</xdr:row>
      <xdr:rowOff>89647</xdr:rowOff>
    </xdr:from>
    <xdr:to>
      <xdr:col>7</xdr:col>
      <xdr:colOff>236779</xdr:colOff>
      <xdr:row>14</xdr:row>
      <xdr:rowOff>80307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140324" y="1434353"/>
          <a:ext cx="6411220" cy="1324160"/>
        </a:xfrm>
        <a:prstGeom prst="rect">
          <a:avLst/>
        </a:prstGeom>
      </xdr:spPr>
    </xdr:pic>
    <xdr:clientData/>
  </xdr:twoCellAnchor>
  <xdr:twoCellAnchor editAs="oneCell">
    <xdr:from>
      <xdr:col>1</xdr:col>
      <xdr:colOff>0</xdr:colOff>
      <xdr:row>16</xdr:row>
      <xdr:rowOff>0</xdr:rowOff>
    </xdr:from>
    <xdr:to>
      <xdr:col>2</xdr:col>
      <xdr:colOff>1616881</xdr:colOff>
      <xdr:row>41</xdr:row>
      <xdr:rowOff>124507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82706" y="3059206"/>
          <a:ext cx="3096057" cy="48870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crescentwtc.in/" TargetMode="External"/><Relationship Id="rId1" Type="http://schemas.openxmlformats.org/officeDocument/2006/relationships/hyperlink" Target="https://maps.app.goo.gl/Nh9JJEnRFC9N6Sqj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410"/>
  <sheetViews>
    <sheetView tabSelected="1" view="pageBreakPreview" zoomScale="115" zoomScaleNormal="100" zoomScaleSheetLayoutView="115" zoomScalePageLayoutView="85" workbookViewId="0">
      <selection activeCell="I6" sqref="I6"/>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3">
      <c r="A1" s="212" t="s">
        <v>161</v>
      </c>
      <c r="B1" s="212"/>
      <c r="C1" s="212"/>
      <c r="D1" s="212"/>
      <c r="E1" s="212"/>
      <c r="F1" s="212"/>
      <c r="G1" s="212"/>
      <c r="H1" s="212"/>
      <c r="J1" s="76" t="s">
        <v>346</v>
      </c>
    </row>
    <row r="2" spans="1:26" ht="16.5" customHeight="1" x14ac:dyDescent="0.25">
      <c r="A2" s="213" t="s">
        <v>0</v>
      </c>
      <c r="B2" s="213"/>
      <c r="C2" s="213"/>
      <c r="D2" s="213"/>
      <c r="E2" s="213"/>
      <c r="F2" s="213"/>
      <c r="G2" s="213"/>
      <c r="H2" s="213"/>
    </row>
    <row r="3" spans="1:26" x14ac:dyDescent="0.25">
      <c r="A3" s="85" t="s">
        <v>1</v>
      </c>
      <c r="B3" s="85"/>
      <c r="C3" s="85"/>
      <c r="D3" s="85"/>
      <c r="E3" s="85" t="str">
        <f ca="1">TEXT(TODAY(),"DD/MM/YYYY")</f>
        <v>14/07/2025</v>
      </c>
      <c r="F3" s="85"/>
      <c r="G3" s="85"/>
      <c r="H3" s="85"/>
      <c r="K3" s="50" t="s">
        <v>233</v>
      </c>
      <c r="L3" s="47" t="s">
        <v>231</v>
      </c>
      <c r="M3" s="47" t="s">
        <v>236</v>
      </c>
      <c r="N3" s="47" t="s">
        <v>234</v>
      </c>
      <c r="O3" s="47" t="s">
        <v>235</v>
      </c>
      <c r="P3" s="47" t="s">
        <v>237</v>
      </c>
    </row>
    <row r="4" spans="1:26" ht="15" customHeight="1" x14ac:dyDescent="0.25">
      <c r="A4" s="85" t="s">
        <v>230</v>
      </c>
      <c r="B4" s="85"/>
      <c r="C4" s="85"/>
      <c r="D4" s="85"/>
      <c r="E4" s="85" t="s">
        <v>231</v>
      </c>
      <c r="F4" s="85"/>
      <c r="G4" s="85"/>
      <c r="H4" s="85"/>
      <c r="K4" s="46" t="s">
        <v>232</v>
      </c>
      <c r="L4" s="47" t="s">
        <v>168</v>
      </c>
      <c r="M4" s="47" t="s">
        <v>241</v>
      </c>
      <c r="N4" s="47" t="s">
        <v>243</v>
      </c>
      <c r="O4" s="47" t="s">
        <v>245</v>
      </c>
      <c r="P4" s="47"/>
    </row>
    <row r="5" spans="1:26" ht="15" customHeight="1" x14ac:dyDescent="0.25">
      <c r="A5" s="85" t="s">
        <v>2</v>
      </c>
      <c r="B5" s="85"/>
      <c r="C5" s="85"/>
      <c r="D5" s="85"/>
      <c r="E5" s="85" t="s">
        <v>168</v>
      </c>
      <c r="F5" s="85"/>
      <c r="G5" s="85"/>
      <c r="H5" s="85"/>
      <c r="K5" s="46"/>
      <c r="L5" s="47" t="s">
        <v>238</v>
      </c>
      <c r="M5" s="47" t="s">
        <v>242</v>
      </c>
      <c r="N5" s="47" t="s">
        <v>244</v>
      </c>
      <c r="O5" s="47" t="s">
        <v>246</v>
      </c>
      <c r="P5" s="47"/>
    </row>
    <row r="6" spans="1:26" x14ac:dyDescent="0.25">
      <c r="A6" s="85" t="s">
        <v>3</v>
      </c>
      <c r="B6" s="85"/>
      <c r="C6" s="85"/>
      <c r="D6" s="85"/>
      <c r="E6" s="214">
        <v>45848</v>
      </c>
      <c r="F6" s="85"/>
      <c r="G6" s="85"/>
      <c r="H6" s="85"/>
      <c r="K6" s="46"/>
      <c r="L6" s="47" t="s">
        <v>239</v>
      </c>
      <c r="M6" s="47"/>
      <c r="N6" s="47"/>
      <c r="O6" s="47" t="s">
        <v>247</v>
      </c>
      <c r="P6" s="47"/>
    </row>
    <row r="7" spans="1:26" ht="16.5" customHeight="1" x14ac:dyDescent="0.25">
      <c r="A7" s="85" t="s">
        <v>4</v>
      </c>
      <c r="B7" s="85"/>
      <c r="C7" s="85"/>
      <c r="D7" s="85"/>
      <c r="E7" s="85" t="s">
        <v>353</v>
      </c>
      <c r="F7" s="85"/>
      <c r="G7" s="85"/>
      <c r="H7" s="85"/>
      <c r="K7" s="46"/>
      <c r="L7" s="47" t="s">
        <v>240</v>
      </c>
      <c r="M7" s="47"/>
      <c r="N7" s="47"/>
      <c r="O7" s="47" t="s">
        <v>247</v>
      </c>
      <c r="P7" s="47"/>
    </row>
    <row r="8" spans="1:26" ht="15" customHeight="1" x14ac:dyDescent="0.25">
      <c r="A8" s="85" t="s">
        <v>5</v>
      </c>
      <c r="B8" s="85"/>
      <c r="C8" s="85"/>
      <c r="D8" s="85"/>
      <c r="E8" s="85" t="s">
        <v>306</v>
      </c>
      <c r="F8" s="85"/>
      <c r="G8" s="85"/>
      <c r="H8" s="85"/>
      <c r="K8" s="46"/>
      <c r="L8" s="47"/>
      <c r="M8" s="47"/>
      <c r="N8" s="47"/>
      <c r="O8" s="47" t="s">
        <v>248</v>
      </c>
      <c r="P8" s="47"/>
    </row>
    <row r="9" spans="1:26" x14ac:dyDescent="0.25">
      <c r="A9" s="85" t="s">
        <v>6</v>
      </c>
      <c r="B9" s="85"/>
      <c r="C9" s="85"/>
      <c r="D9" s="85"/>
      <c r="E9" s="188" t="s">
        <v>307</v>
      </c>
      <c r="F9" s="188"/>
      <c r="G9" s="188"/>
      <c r="H9" s="188"/>
      <c r="K9" s="46"/>
      <c r="L9" s="47"/>
      <c r="M9" s="47"/>
      <c r="N9" s="47"/>
      <c r="O9" s="47" t="s">
        <v>249</v>
      </c>
      <c r="P9" s="47"/>
    </row>
    <row r="10" spans="1:26" x14ac:dyDescent="0.25">
      <c r="A10" s="85" t="s">
        <v>164</v>
      </c>
      <c r="B10" s="85"/>
      <c r="C10" s="85"/>
      <c r="D10" s="85"/>
      <c r="E10" s="85" t="s">
        <v>308</v>
      </c>
      <c r="F10" s="85"/>
      <c r="G10" s="85"/>
      <c r="H10" s="85"/>
      <c r="K10" s="46"/>
      <c r="L10" s="47"/>
      <c r="M10" s="47"/>
      <c r="N10" s="47"/>
      <c r="O10" s="47"/>
      <c r="P10" s="47"/>
    </row>
    <row r="11" spans="1:26" x14ac:dyDescent="0.25">
      <c r="A11" s="85" t="s">
        <v>165</v>
      </c>
      <c r="B11" s="85"/>
      <c r="C11" s="85"/>
      <c r="D11" s="85"/>
      <c r="E11" s="85" t="s">
        <v>376</v>
      </c>
      <c r="F11" s="85"/>
      <c r="G11" s="85"/>
      <c r="H11" s="85"/>
      <c r="I11" s="85" t="s">
        <v>308</v>
      </c>
      <c r="J11" s="85"/>
      <c r="K11" s="85"/>
      <c r="L11" s="85"/>
    </row>
    <row r="12" spans="1:26" ht="15.75" customHeight="1" x14ac:dyDescent="0.25">
      <c r="A12" s="209" t="s">
        <v>370</v>
      </c>
      <c r="B12" s="210"/>
      <c r="C12" s="210"/>
      <c r="D12" s="211"/>
      <c r="E12" s="167" t="s">
        <v>348</v>
      </c>
      <c r="F12" s="168"/>
      <c r="G12" s="168"/>
      <c r="H12" s="169"/>
    </row>
    <row r="13" spans="1:26" x14ac:dyDescent="0.25">
      <c r="A13" s="85" t="s">
        <v>169</v>
      </c>
      <c r="B13" s="85"/>
      <c r="C13" s="85"/>
      <c r="D13" s="85"/>
      <c r="E13" s="85" t="s">
        <v>26</v>
      </c>
      <c r="F13" s="85"/>
      <c r="G13" s="85"/>
      <c r="H13" s="85"/>
      <c r="S13" s="47" t="s">
        <v>175</v>
      </c>
      <c r="T13" s="47" t="s">
        <v>185</v>
      </c>
      <c r="U13" s="47" t="s">
        <v>170</v>
      </c>
      <c r="V13" s="47" t="s">
        <v>190</v>
      </c>
      <c r="W13" s="47" t="s">
        <v>208</v>
      </c>
      <c r="X13"/>
      <c r="Y13" t="s">
        <v>190</v>
      </c>
      <c r="Z13" t="e">
        <f ca="1">OFFSET($S$13,1,MATCH($G20,$S$13:$W$13,0)-1,15,1)</f>
        <v>#VALUE!</v>
      </c>
    </row>
    <row r="14" spans="1:26" x14ac:dyDescent="0.25">
      <c r="A14" s="113" t="s">
        <v>276</v>
      </c>
      <c r="B14" s="113"/>
      <c r="C14" s="113"/>
      <c r="D14" s="113"/>
      <c r="E14" s="121" t="s">
        <v>374</v>
      </c>
      <c r="F14" s="121"/>
      <c r="G14" s="121"/>
      <c r="H14" s="167"/>
      <c r="I14" s="101"/>
      <c r="J14" s="101"/>
      <c r="K14" s="101"/>
      <c r="L14" s="101"/>
      <c r="S14" s="47" t="s">
        <v>176</v>
      </c>
      <c r="T14" s="47" t="s">
        <v>183</v>
      </c>
      <c r="U14" s="47" t="s">
        <v>205</v>
      </c>
      <c r="V14" s="47" t="s">
        <v>191</v>
      </c>
      <c r="W14" s="47" t="s">
        <v>209</v>
      </c>
      <c r="X14"/>
      <c r="Y14"/>
      <c r="Z14"/>
    </row>
    <row r="15" spans="1:26" x14ac:dyDescent="0.25">
      <c r="A15" s="113" t="s">
        <v>347</v>
      </c>
      <c r="B15" s="113"/>
      <c r="C15" s="113"/>
      <c r="D15" s="113"/>
      <c r="E15" s="167" t="s">
        <v>369</v>
      </c>
      <c r="F15" s="168"/>
      <c r="G15" s="168"/>
      <c r="H15" s="169"/>
      <c r="I15" s="254"/>
      <c r="J15" s="255"/>
      <c r="K15" s="255"/>
      <c r="L15" s="255"/>
      <c r="M15" s="255"/>
      <c r="N15" s="255"/>
      <c r="O15" s="255"/>
      <c r="P15" s="255"/>
      <c r="S15" s="47" t="s">
        <v>177</v>
      </c>
      <c r="T15" s="47" t="s">
        <v>184</v>
      </c>
      <c r="U15" s="47" t="s">
        <v>206</v>
      </c>
      <c r="V15" s="47" t="s">
        <v>192</v>
      </c>
      <c r="W15" s="47" t="s">
        <v>222</v>
      </c>
      <c r="X15"/>
      <c r="Y15"/>
      <c r="Z15"/>
    </row>
    <row r="16" spans="1:26" ht="67.5" customHeight="1" x14ac:dyDescent="0.25">
      <c r="A16" s="194" t="s">
        <v>7</v>
      </c>
      <c r="B16" s="194"/>
      <c r="C16" s="194" t="str">
        <f>CONCATENATE((IF(OR(E9="",E9="NA"),"",E9)),", ",(IF(OR(A17="",A17="NA"),"",A17)),".",(IF(OR(C17="",C17="NA"),"",C17)),", near ",(IF(OR(C22="",C22="NA"),"",C22)),", ",(IF(OR(C19="",C19="NA"),"",C19)),", ",(IF(OR(C18="",C18="NA"),"",C18)),", ",(IF(OR(G19="",G19="NA"),"",G19)),", ",(IF(OR(C20="",C20="NA"),"",C20)),", ",(IF(OR(C21="",C21="NA"),"",C21)),", ",(IF(OR(G20="",G20="NA"),"",G20))," - ",(IF(OR(G21="",G21="NA"),"",G21)),".")</f>
        <v>Crescent WTC (Western Trade Center), CTS No (As per appoved CC).4152, 4153, 4351, 4316, 4352, 4354 to 4360, 4404, 4405, 4406, 4452, 4453, near Westin Darvesh Horizon, Penkarpada Road, Penkarpada, Mira, Mira Road East, Thane, Thane  - 401107.</v>
      </c>
      <c r="D16" s="194"/>
      <c r="E16" s="194"/>
      <c r="F16" s="194"/>
      <c r="G16" s="194"/>
      <c r="H16" s="194"/>
      <c r="S16" s="47" t="s">
        <v>178</v>
      </c>
      <c r="T16" s="47" t="s">
        <v>186</v>
      </c>
      <c r="U16" s="47" t="s">
        <v>207</v>
      </c>
      <c r="V16" s="47" t="s">
        <v>193</v>
      </c>
      <c r="W16" s="47" t="s">
        <v>210</v>
      </c>
      <c r="X16"/>
      <c r="Y16"/>
      <c r="Z16"/>
    </row>
    <row r="17" spans="1:26" ht="33.75" customHeight="1" x14ac:dyDescent="0.25">
      <c r="A17" s="121" t="s">
        <v>309</v>
      </c>
      <c r="B17" s="121"/>
      <c r="C17" s="121" t="s">
        <v>325</v>
      </c>
      <c r="D17" s="121"/>
      <c r="E17" s="121"/>
      <c r="F17" s="121"/>
      <c r="G17" s="121"/>
      <c r="H17" s="121"/>
      <c r="S17" s="47" t="s">
        <v>179</v>
      </c>
      <c r="T17" s="47" t="s">
        <v>187</v>
      </c>
      <c r="U17" s="47" t="s">
        <v>170</v>
      </c>
      <c r="V17" s="47" t="s">
        <v>194</v>
      </c>
      <c r="W17" s="47" t="s">
        <v>211</v>
      </c>
      <c r="X17"/>
      <c r="Y17"/>
      <c r="Z17"/>
    </row>
    <row r="18" spans="1:26" ht="15.75" customHeight="1" x14ac:dyDescent="0.25">
      <c r="A18" s="121" t="s">
        <v>159</v>
      </c>
      <c r="B18" s="121"/>
      <c r="C18" s="121" t="s">
        <v>314</v>
      </c>
      <c r="D18" s="121"/>
      <c r="E18" s="121"/>
      <c r="F18" s="121"/>
      <c r="G18" s="121"/>
      <c r="H18" s="121"/>
      <c r="S18" s="47" t="s">
        <v>180</v>
      </c>
      <c r="T18" s="47" t="s">
        <v>185</v>
      </c>
      <c r="U18" s="47"/>
      <c r="V18" s="47" t="s">
        <v>195</v>
      </c>
      <c r="W18" s="47" t="s">
        <v>212</v>
      </c>
      <c r="X18"/>
      <c r="Y18"/>
      <c r="Z18"/>
    </row>
    <row r="19" spans="1:26" ht="15.75" customHeight="1" x14ac:dyDescent="0.25">
      <c r="A19" s="194" t="s">
        <v>8</v>
      </c>
      <c r="B19" s="194"/>
      <c r="C19" s="85" t="s">
        <v>315</v>
      </c>
      <c r="D19" s="85"/>
      <c r="E19" s="194" t="s">
        <v>68</v>
      </c>
      <c r="F19" s="194"/>
      <c r="G19" s="121" t="s">
        <v>311</v>
      </c>
      <c r="H19" s="121"/>
      <c r="S19" s="47" t="s">
        <v>181</v>
      </c>
      <c r="T19" s="47" t="s">
        <v>188</v>
      </c>
      <c r="U19" s="47"/>
      <c r="V19" s="47" t="s">
        <v>196</v>
      </c>
      <c r="W19" s="47" t="s">
        <v>213</v>
      </c>
      <c r="X19"/>
      <c r="Y19"/>
      <c r="Z19"/>
    </row>
    <row r="20" spans="1:26" x14ac:dyDescent="0.25">
      <c r="A20" s="113" t="s">
        <v>10</v>
      </c>
      <c r="B20" s="113"/>
      <c r="C20" s="121" t="s">
        <v>316</v>
      </c>
      <c r="D20" s="121"/>
      <c r="E20" s="194" t="s">
        <v>9</v>
      </c>
      <c r="F20" s="194"/>
      <c r="G20" s="208" t="s">
        <v>175</v>
      </c>
      <c r="H20" s="208"/>
      <c r="S20" s="47" t="s">
        <v>182</v>
      </c>
      <c r="T20" s="47" t="s">
        <v>189</v>
      </c>
      <c r="U20" s="47"/>
      <c r="V20" s="47" t="s">
        <v>197</v>
      </c>
      <c r="W20" s="47" t="s">
        <v>214</v>
      </c>
      <c r="X20"/>
      <c r="Y20"/>
      <c r="Z20"/>
    </row>
    <row r="21" spans="1:26" x14ac:dyDescent="0.25">
      <c r="A21" s="113" t="s">
        <v>69</v>
      </c>
      <c r="B21" s="113"/>
      <c r="C21" s="121" t="s">
        <v>176</v>
      </c>
      <c r="D21" s="121"/>
      <c r="E21" s="194" t="s">
        <v>11</v>
      </c>
      <c r="F21" s="194"/>
      <c r="G21" s="121">
        <v>401107</v>
      </c>
      <c r="H21" s="121"/>
      <c r="S21" s="47"/>
      <c r="T21" s="47"/>
      <c r="U21" s="47"/>
      <c r="V21" s="47" t="s">
        <v>198</v>
      </c>
      <c r="W21" s="47" t="s">
        <v>215</v>
      </c>
      <c r="X21"/>
      <c r="Y21"/>
      <c r="Z21"/>
    </row>
    <row r="22" spans="1:26" ht="32.25" customHeight="1" x14ac:dyDescent="0.25">
      <c r="A22" s="113" t="s">
        <v>116</v>
      </c>
      <c r="B22" s="113"/>
      <c r="C22" s="121" t="s">
        <v>313</v>
      </c>
      <c r="D22" s="121"/>
      <c r="E22" s="194" t="s">
        <v>12</v>
      </c>
      <c r="F22" s="194"/>
      <c r="G22" s="121" t="s">
        <v>312</v>
      </c>
      <c r="H22" s="121"/>
      <c r="S22" s="47"/>
      <c r="T22" s="47"/>
      <c r="U22" s="47"/>
      <c r="V22" s="47" t="s">
        <v>199</v>
      </c>
      <c r="W22" s="47" t="s">
        <v>216</v>
      </c>
      <c r="X22"/>
      <c r="Y22"/>
      <c r="Z22"/>
    </row>
    <row r="23" spans="1:26" ht="15" customHeight="1" x14ac:dyDescent="0.25">
      <c r="A23" s="194" t="s">
        <v>70</v>
      </c>
      <c r="B23" s="194"/>
      <c r="C23" s="194"/>
      <c r="D23" s="194"/>
      <c r="E23" s="85" t="s">
        <v>13</v>
      </c>
      <c r="F23" s="85"/>
      <c r="G23" s="85"/>
      <c r="H23" s="85"/>
      <c r="S23" s="47"/>
      <c r="T23" s="47"/>
      <c r="U23" s="47"/>
      <c r="V23" s="47" t="s">
        <v>200</v>
      </c>
      <c r="W23" s="47" t="s">
        <v>217</v>
      </c>
      <c r="X23"/>
      <c r="Y23"/>
      <c r="Z23"/>
    </row>
    <row r="24" spans="1:26" ht="18.75" customHeight="1" x14ac:dyDescent="0.25">
      <c r="A24" s="194"/>
      <c r="B24" s="194"/>
      <c r="C24" s="194"/>
      <c r="D24" s="194"/>
      <c r="E24" s="85"/>
      <c r="F24" s="85"/>
      <c r="G24" s="85"/>
      <c r="H24" s="85"/>
      <c r="S24" s="47"/>
      <c r="T24" s="47"/>
      <c r="U24" s="47"/>
      <c r="V24" s="47" t="s">
        <v>201</v>
      </c>
      <c r="W24" s="47" t="s">
        <v>218</v>
      </c>
      <c r="X24"/>
      <c r="Y24"/>
      <c r="Z24"/>
    </row>
    <row r="25" spans="1:26" ht="15" customHeight="1" x14ac:dyDescent="0.25">
      <c r="A25" s="194" t="s">
        <v>14</v>
      </c>
      <c r="B25" s="194"/>
      <c r="C25" s="194"/>
      <c r="D25" s="194"/>
      <c r="E25" s="121" t="s">
        <v>15</v>
      </c>
      <c r="F25" s="121"/>
      <c r="G25" s="121"/>
      <c r="H25" s="121"/>
      <c r="S25" s="47"/>
      <c r="T25" s="47"/>
      <c r="U25" s="47"/>
      <c r="V25" s="47" t="s">
        <v>202</v>
      </c>
      <c r="W25" s="47" t="s">
        <v>219</v>
      </c>
      <c r="X25"/>
      <c r="Y25"/>
      <c r="Z25"/>
    </row>
    <row r="26" spans="1:26" ht="15" customHeight="1" x14ac:dyDescent="0.25">
      <c r="A26" s="113" t="s">
        <v>16</v>
      </c>
      <c r="B26" s="113"/>
      <c r="C26" s="113"/>
      <c r="D26" s="113"/>
      <c r="E26" s="121" t="str">
        <f>IF(AND(G20="Mumbai"),"Upper Class","Middle Class")</f>
        <v>Middle Class</v>
      </c>
      <c r="F26" s="121"/>
      <c r="G26" s="121"/>
      <c r="H26" s="121"/>
      <c r="S26" s="47"/>
      <c r="T26" s="47"/>
      <c r="U26" s="47"/>
      <c r="V26" s="47" t="s">
        <v>203</v>
      </c>
      <c r="W26" s="47" t="s">
        <v>220</v>
      </c>
      <c r="X26"/>
      <c r="Y26"/>
      <c r="Z26"/>
    </row>
    <row r="27" spans="1:26" x14ac:dyDescent="0.25">
      <c r="A27" s="113" t="s">
        <v>17</v>
      </c>
      <c r="B27" s="113"/>
      <c r="C27" s="113"/>
      <c r="D27" s="113"/>
      <c r="E27" s="121" t="s">
        <v>18</v>
      </c>
      <c r="F27" s="121"/>
      <c r="G27" s="121"/>
      <c r="H27" s="121"/>
      <c r="S27" s="47"/>
      <c r="T27" s="47"/>
      <c r="U27" s="47"/>
      <c r="V27" s="47" t="s">
        <v>204</v>
      </c>
      <c r="W27" s="47" t="s">
        <v>221</v>
      </c>
      <c r="X27"/>
      <c r="Y27"/>
      <c r="Z27"/>
    </row>
    <row r="28" spans="1:26" ht="15.75" customHeight="1" x14ac:dyDescent="0.25">
      <c r="A28" s="113" t="s">
        <v>19</v>
      </c>
      <c r="B28" s="113"/>
      <c r="C28" s="113"/>
      <c r="D28" s="113"/>
      <c r="E28" s="121" t="str">
        <f>IF(AND(G20="Mumbai"),"Developed","Developing")</f>
        <v>Developing</v>
      </c>
      <c r="F28" s="121"/>
      <c r="G28" s="121"/>
      <c r="H28" s="121"/>
    </row>
    <row r="29" spans="1:26" x14ac:dyDescent="0.25">
      <c r="A29" s="113" t="s">
        <v>20</v>
      </c>
      <c r="B29" s="113"/>
      <c r="C29" s="113"/>
      <c r="D29" s="113"/>
      <c r="E29" s="121" t="s">
        <v>21</v>
      </c>
      <c r="F29" s="121"/>
      <c r="G29" s="121"/>
      <c r="H29" s="121"/>
    </row>
    <row r="30" spans="1:26" ht="15.75" customHeight="1" x14ac:dyDescent="0.25">
      <c r="A30" s="113" t="s">
        <v>75</v>
      </c>
      <c r="B30" s="113"/>
      <c r="C30" s="113"/>
      <c r="D30" s="113"/>
      <c r="E30" s="121" t="s">
        <v>76</v>
      </c>
      <c r="F30" s="121"/>
      <c r="G30" s="121"/>
      <c r="H30" s="121"/>
    </row>
    <row r="31" spans="1:26" ht="15" customHeight="1" x14ac:dyDescent="0.25">
      <c r="A31" s="113" t="s">
        <v>28</v>
      </c>
      <c r="B31" s="113"/>
      <c r="C31" s="113"/>
      <c r="D31" s="113"/>
      <c r="E31" s="121"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Commercial</v>
      </c>
      <c r="F31" s="121"/>
      <c r="G31" s="121"/>
      <c r="H31" s="121"/>
    </row>
    <row r="32" spans="1:26" ht="15.75" customHeight="1" x14ac:dyDescent="0.25">
      <c r="A32" s="113" t="s">
        <v>86</v>
      </c>
      <c r="B32" s="113"/>
      <c r="C32" s="113"/>
      <c r="D32" s="113"/>
      <c r="E32" s="121" t="s">
        <v>29</v>
      </c>
      <c r="F32" s="121"/>
      <c r="G32" s="121"/>
      <c r="H32" s="121"/>
    </row>
    <row r="33" spans="1:19" s="19" customFormat="1" x14ac:dyDescent="0.25">
      <c r="A33" s="206" t="s">
        <v>87</v>
      </c>
      <c r="B33" s="206"/>
      <c r="C33" s="202" t="s">
        <v>171</v>
      </c>
      <c r="D33" s="203"/>
      <c r="E33" s="204"/>
      <c r="F33" s="202" t="s">
        <v>27</v>
      </c>
      <c r="G33" s="203"/>
      <c r="H33" s="204"/>
      <c r="S33" s="19" t="e">
        <f ca="1">OFFSET($S$13,1,MATCH($G20,$S$13:$W$13,0)-1,15,1)</f>
        <v>#VALUE!</v>
      </c>
    </row>
    <row r="34" spans="1:19" s="19" customFormat="1" ht="33.75" customHeight="1" x14ac:dyDescent="0.25">
      <c r="A34" s="205" t="s">
        <v>22</v>
      </c>
      <c r="B34" s="205" t="s">
        <v>26</v>
      </c>
      <c r="C34" s="207" t="s">
        <v>350</v>
      </c>
      <c r="D34" s="185"/>
      <c r="E34" s="186"/>
      <c r="F34" s="184" t="s">
        <v>317</v>
      </c>
      <c r="G34" s="185"/>
      <c r="H34" s="186"/>
    </row>
    <row r="35" spans="1:19" x14ac:dyDescent="0.25">
      <c r="A35" s="115" t="s">
        <v>23</v>
      </c>
      <c r="B35" s="115" t="s">
        <v>26</v>
      </c>
      <c r="C35" s="116" t="s">
        <v>351</v>
      </c>
      <c r="D35" s="117"/>
      <c r="E35" s="118"/>
      <c r="F35" s="119" t="s">
        <v>318</v>
      </c>
      <c r="G35" s="117"/>
      <c r="H35" s="118"/>
    </row>
    <row r="36" spans="1:19" s="19" customFormat="1" x14ac:dyDescent="0.25">
      <c r="A36" s="115" t="s">
        <v>25</v>
      </c>
      <c r="B36" s="115" t="s">
        <v>26</v>
      </c>
      <c r="C36" s="116" t="s">
        <v>326</v>
      </c>
      <c r="D36" s="117"/>
      <c r="E36" s="118"/>
      <c r="F36" s="119" t="s">
        <v>315</v>
      </c>
      <c r="G36" s="117"/>
      <c r="H36" s="118"/>
    </row>
    <row r="37" spans="1:19" x14ac:dyDescent="0.25">
      <c r="A37" s="115" t="s">
        <v>24</v>
      </c>
      <c r="B37" s="115" t="s">
        <v>26</v>
      </c>
      <c r="C37" s="116" t="s">
        <v>327</v>
      </c>
      <c r="D37" s="117"/>
      <c r="E37" s="118"/>
      <c r="F37" s="119" t="s">
        <v>319</v>
      </c>
      <c r="G37" s="117"/>
      <c r="H37" s="118"/>
    </row>
    <row r="38" spans="1:19" x14ac:dyDescent="0.25">
      <c r="A38" s="113" t="s">
        <v>277</v>
      </c>
      <c r="B38" s="113"/>
      <c r="C38" s="113"/>
      <c r="D38" s="113"/>
      <c r="E38" s="113"/>
      <c r="F38" s="113"/>
      <c r="G38" s="113"/>
      <c r="H38" s="113"/>
    </row>
    <row r="39" spans="1:19" ht="15.75" customHeight="1" x14ac:dyDescent="0.25">
      <c r="A39" s="113" t="s">
        <v>162</v>
      </c>
      <c r="B39" s="113"/>
      <c r="C39" s="114" t="s">
        <v>349</v>
      </c>
      <c r="D39" s="114"/>
      <c r="E39" s="114"/>
      <c r="F39" s="114"/>
      <c r="G39" s="114"/>
      <c r="H39" s="114"/>
    </row>
    <row r="40" spans="1:19" x14ac:dyDescent="0.25">
      <c r="A40" s="113" t="s">
        <v>158</v>
      </c>
      <c r="B40" s="113"/>
      <c r="C40" s="131" t="s">
        <v>310</v>
      </c>
      <c r="D40" s="121"/>
      <c r="E40" s="121"/>
      <c r="F40" s="121"/>
      <c r="G40" s="121"/>
      <c r="H40" s="121"/>
    </row>
    <row r="41" spans="1:19" x14ac:dyDescent="0.25">
      <c r="A41" s="114" t="s">
        <v>30</v>
      </c>
      <c r="B41" s="114"/>
      <c r="C41" s="114"/>
      <c r="D41" s="114"/>
      <c r="E41" s="114"/>
      <c r="F41" s="114"/>
      <c r="G41" s="114"/>
      <c r="H41" s="114"/>
    </row>
    <row r="42" spans="1:19" x14ac:dyDescent="0.25">
      <c r="A42" s="113" t="s">
        <v>31</v>
      </c>
      <c r="B42" s="113"/>
      <c r="C42" s="113"/>
      <c r="D42" s="113"/>
      <c r="E42" s="200">
        <v>7630.09</v>
      </c>
      <c r="F42" s="200"/>
      <c r="G42" s="200"/>
      <c r="H42" s="201"/>
      <c r="I42" s="102"/>
      <c r="J42" s="102"/>
      <c r="K42" s="102"/>
      <c r="L42" s="102"/>
    </row>
    <row r="43" spans="1:19" x14ac:dyDescent="0.25">
      <c r="A43" s="113" t="s">
        <v>32</v>
      </c>
      <c r="B43" s="113"/>
      <c r="C43" s="113"/>
      <c r="D43" s="113"/>
      <c r="E43" s="198">
        <f>8393.09/E42</f>
        <v>1.0999988204595228</v>
      </c>
      <c r="F43" s="198"/>
      <c r="G43" s="198"/>
      <c r="H43" s="199"/>
      <c r="I43" s="103"/>
      <c r="J43" s="103"/>
      <c r="K43" s="103"/>
      <c r="L43" s="103"/>
    </row>
    <row r="44" spans="1:19" x14ac:dyDescent="0.25">
      <c r="A44" s="113" t="s">
        <v>33</v>
      </c>
      <c r="B44" s="113"/>
      <c r="C44" s="113"/>
      <c r="D44" s="113"/>
      <c r="E44" s="198">
        <f>E46/E42-E43</f>
        <v>2.3682263249843709</v>
      </c>
      <c r="F44" s="198"/>
      <c r="G44" s="198"/>
      <c r="H44" s="199"/>
      <c r="I44" s="103"/>
      <c r="J44" s="103"/>
      <c r="K44" s="103"/>
      <c r="L44" s="103"/>
    </row>
    <row r="45" spans="1:19" x14ac:dyDescent="0.25">
      <c r="A45" s="113" t="s">
        <v>34</v>
      </c>
      <c r="B45" s="113"/>
      <c r="C45" s="113"/>
      <c r="D45" s="113"/>
      <c r="E45" s="198">
        <f>E43+E44</f>
        <v>3.4682251454438937</v>
      </c>
      <c r="F45" s="198"/>
      <c r="G45" s="198"/>
      <c r="H45" s="199"/>
      <c r="I45" s="103"/>
      <c r="J45" s="103"/>
      <c r="K45" s="103"/>
      <c r="L45" s="103"/>
    </row>
    <row r="46" spans="1:19" x14ac:dyDescent="0.25">
      <c r="A46" s="113" t="s">
        <v>85</v>
      </c>
      <c r="B46" s="113"/>
      <c r="C46" s="113"/>
      <c r="D46" s="113"/>
      <c r="E46" s="198">
        <v>26462.87</v>
      </c>
      <c r="F46" s="198"/>
      <c r="G46" s="198"/>
      <c r="H46" s="199"/>
      <c r="I46" s="104"/>
      <c r="J46" s="104"/>
      <c r="K46" s="104"/>
      <c r="L46" s="104"/>
    </row>
    <row r="47" spans="1:19" x14ac:dyDescent="0.25">
      <c r="A47" s="85" t="s">
        <v>35</v>
      </c>
      <c r="B47" s="85"/>
      <c r="C47" s="85"/>
      <c r="D47" s="85"/>
      <c r="E47" s="85" t="s">
        <v>115</v>
      </c>
      <c r="F47" s="85"/>
      <c r="G47" s="85"/>
      <c r="H47" s="85"/>
    </row>
    <row r="48" spans="1:19" x14ac:dyDescent="0.25">
      <c r="A48" s="114" t="s">
        <v>36</v>
      </c>
      <c r="B48" s="114"/>
      <c r="C48" s="114"/>
      <c r="D48" s="114"/>
      <c r="E48" s="114"/>
      <c r="F48" s="114"/>
      <c r="G48" s="114"/>
      <c r="H48" s="114"/>
    </row>
    <row r="49" spans="1:24" ht="33.75" customHeight="1" x14ac:dyDescent="0.25">
      <c r="A49" s="108" t="s">
        <v>148</v>
      </c>
      <c r="B49" s="109"/>
      <c r="C49" s="110" t="s">
        <v>275</v>
      </c>
      <c r="D49" s="111"/>
      <c r="E49" s="111"/>
      <c r="F49" s="111"/>
      <c r="G49" s="111"/>
      <c r="H49" s="112"/>
      <c r="R49" t="s">
        <v>250</v>
      </c>
      <c r="S49" t="s">
        <v>170</v>
      </c>
      <c r="T49" t="s">
        <v>175</v>
      </c>
      <c r="U49" t="s">
        <v>190</v>
      </c>
      <c r="V49" t="s">
        <v>185</v>
      </c>
    </row>
    <row r="50" spans="1:24" ht="33" customHeight="1" x14ac:dyDescent="0.25">
      <c r="A50" s="108" t="s">
        <v>37</v>
      </c>
      <c r="B50" s="109"/>
      <c r="C50" s="167" t="s">
        <v>328</v>
      </c>
      <c r="D50" s="168"/>
      <c r="E50" s="169"/>
      <c r="F50" s="17" t="s">
        <v>38</v>
      </c>
      <c r="G50" s="173">
        <v>45370</v>
      </c>
      <c r="H50" s="109"/>
      <c r="R50"/>
      <c r="S50" t="s">
        <v>251</v>
      </c>
      <c r="T50" t="s">
        <v>256</v>
      </c>
      <c r="U50" t="s">
        <v>267</v>
      </c>
      <c r="V50" t="s">
        <v>272</v>
      </c>
    </row>
    <row r="51" spans="1:24" ht="33" customHeight="1" x14ac:dyDescent="0.25">
      <c r="A51" s="108" t="s">
        <v>39</v>
      </c>
      <c r="B51" s="109"/>
      <c r="C51" s="108" t="str">
        <f>C50</f>
        <v>MBMCB/7008/2024/APL/0004/AutoDCR</v>
      </c>
      <c r="D51" s="120"/>
      <c r="E51" s="109"/>
      <c r="F51" s="17" t="s">
        <v>38</v>
      </c>
      <c r="G51" s="173">
        <f>G50</f>
        <v>45370</v>
      </c>
      <c r="H51" s="174"/>
      <c r="R51"/>
      <c r="S51" t="s">
        <v>252</v>
      </c>
      <c r="T51" t="s">
        <v>257</v>
      </c>
      <c r="U51" t="s">
        <v>265</v>
      </c>
      <c r="V51" t="s">
        <v>273</v>
      </c>
    </row>
    <row r="52" spans="1:24" s="20" customFormat="1" ht="30.75" customHeight="1" x14ac:dyDescent="0.25">
      <c r="A52" s="175" t="s">
        <v>152</v>
      </c>
      <c r="B52" s="176"/>
      <c r="C52" s="108" t="s">
        <v>328</v>
      </c>
      <c r="D52" s="120"/>
      <c r="E52" s="109"/>
      <c r="F52" s="17" t="s">
        <v>38</v>
      </c>
      <c r="G52" s="173">
        <v>45370</v>
      </c>
      <c r="H52" s="109"/>
      <c r="R52"/>
      <c r="S52" t="s">
        <v>253</v>
      </c>
      <c r="T52" t="s">
        <v>258</v>
      </c>
      <c r="U52" t="s">
        <v>255</v>
      </c>
      <c r="V52" t="s">
        <v>274</v>
      </c>
    </row>
    <row r="53" spans="1:24" s="20" customFormat="1" ht="27.75" customHeight="1" x14ac:dyDescent="0.25">
      <c r="A53" s="177"/>
      <c r="B53" s="178"/>
      <c r="C53" s="105" t="s">
        <v>320</v>
      </c>
      <c r="D53" s="106"/>
      <c r="E53" s="106"/>
      <c r="F53" s="106"/>
      <c r="G53" s="106"/>
      <c r="H53" s="107"/>
      <c r="R53"/>
      <c r="S53" t="s">
        <v>254</v>
      </c>
      <c r="T53" t="s">
        <v>261</v>
      </c>
      <c r="U53" t="s">
        <v>268</v>
      </c>
    </row>
    <row r="54" spans="1:24" s="20" customFormat="1" hidden="1" x14ac:dyDescent="0.25">
      <c r="A54" s="248" t="s">
        <v>278</v>
      </c>
      <c r="B54" s="249"/>
      <c r="C54" s="108" t="str">
        <f>C53</f>
        <v>Building A1 =1B + Gr +1st + P2 to P5 + 6th to 23rd Floor + Recreational Floor</v>
      </c>
      <c r="D54" s="120"/>
      <c r="E54" s="109"/>
      <c r="F54" s="17" t="s">
        <v>38</v>
      </c>
      <c r="G54" s="108"/>
      <c r="H54" s="109"/>
      <c r="R54"/>
      <c r="S54" t="s">
        <v>253</v>
      </c>
      <c r="T54" t="s">
        <v>258</v>
      </c>
      <c r="U54" t="s">
        <v>255</v>
      </c>
      <c r="V54" t="s">
        <v>274</v>
      </c>
    </row>
    <row r="55" spans="1:24" s="20" customFormat="1" ht="32.25" hidden="1" customHeight="1" x14ac:dyDescent="0.25">
      <c r="A55" s="250"/>
      <c r="B55" s="251"/>
      <c r="C55" s="179"/>
      <c r="D55" s="180"/>
      <c r="E55" s="180"/>
      <c r="F55" s="180"/>
      <c r="G55" s="180"/>
      <c r="H55" s="181"/>
      <c r="R55"/>
      <c r="S55" t="s">
        <v>255</v>
      </c>
      <c r="T55" t="s">
        <v>259</v>
      </c>
      <c r="U55" t="s">
        <v>269</v>
      </c>
      <c r="V55" s="18"/>
      <c r="W55" s="18"/>
      <c r="X55" s="18"/>
    </row>
    <row r="56" spans="1:24" s="20" customFormat="1" x14ac:dyDescent="0.25">
      <c r="A56" s="163" t="s">
        <v>279</v>
      </c>
      <c r="B56" s="164"/>
      <c r="C56" s="167" t="s">
        <v>356</v>
      </c>
      <c r="D56" s="168"/>
      <c r="E56" s="169"/>
      <c r="F56" s="81" t="s">
        <v>38</v>
      </c>
      <c r="G56" s="247">
        <v>45324</v>
      </c>
      <c r="H56" s="169"/>
      <c r="R56"/>
      <c r="S56" s="18"/>
      <c r="T56" t="s">
        <v>260</v>
      </c>
      <c r="U56" t="s">
        <v>270</v>
      </c>
      <c r="V56" s="18"/>
      <c r="W56" s="18"/>
      <c r="X56" s="18"/>
    </row>
    <row r="57" spans="1:24" s="20" customFormat="1" ht="84.75" customHeight="1" x14ac:dyDescent="0.25">
      <c r="A57" s="165"/>
      <c r="B57" s="166"/>
      <c r="C57" s="167" t="s">
        <v>358</v>
      </c>
      <c r="D57" s="168"/>
      <c r="E57" s="168"/>
      <c r="F57" s="168"/>
      <c r="G57" s="168"/>
      <c r="H57" s="169"/>
      <c r="R57"/>
      <c r="S57" s="18"/>
      <c r="T57" t="s">
        <v>262</v>
      </c>
      <c r="U57" t="s">
        <v>271</v>
      </c>
      <c r="V57" s="18"/>
      <c r="W57" s="18"/>
      <c r="X57" s="18"/>
    </row>
    <row r="58" spans="1:24" s="20" customFormat="1" ht="15.75" customHeight="1" x14ac:dyDescent="0.25">
      <c r="A58" s="163" t="s">
        <v>278</v>
      </c>
      <c r="B58" s="164"/>
      <c r="C58" s="108" t="s">
        <v>372</v>
      </c>
      <c r="D58" s="120"/>
      <c r="E58" s="109"/>
      <c r="F58" s="17" t="s">
        <v>38</v>
      </c>
      <c r="G58" s="173">
        <v>45363</v>
      </c>
      <c r="H58" s="109"/>
      <c r="R58"/>
      <c r="S58" s="18"/>
      <c r="T58" t="s">
        <v>263</v>
      </c>
      <c r="U58" s="18" t="s">
        <v>294</v>
      </c>
      <c r="V58" s="18"/>
      <c r="W58" s="18"/>
      <c r="X58" s="18"/>
    </row>
    <row r="59" spans="1:24" s="20" customFormat="1" ht="33.75" customHeight="1" x14ac:dyDescent="0.25">
      <c r="A59" s="165"/>
      <c r="B59" s="166"/>
      <c r="C59" s="108" t="s">
        <v>373</v>
      </c>
      <c r="D59" s="120"/>
      <c r="E59" s="120"/>
      <c r="F59" s="120"/>
      <c r="G59" s="120"/>
      <c r="H59" s="109"/>
      <c r="R59"/>
      <c r="S59" s="18"/>
      <c r="T59" t="s">
        <v>264</v>
      </c>
      <c r="U59" s="18"/>
      <c r="V59" s="18"/>
      <c r="W59" s="18"/>
      <c r="X59" s="18"/>
    </row>
    <row r="60" spans="1:24" s="20" customFormat="1" ht="15.75" hidden="1" customHeight="1" x14ac:dyDescent="0.25">
      <c r="A60" s="248" t="s">
        <v>280</v>
      </c>
      <c r="B60" s="249"/>
      <c r="C60" s="108" t="str">
        <f>C57</f>
        <v>C.T.S No.4152, 4153, 4351, 4316, 4352, 4354 to 4360, 4404, 4405, 4406, 4452, 4453
Commercial Building No.1 = 1B + Gr +1st + P2 to P5 + 6th to 22nd Floor + Recreational Floor
Proposed BUA - 71431.95 Sq.M</v>
      </c>
      <c r="D60" s="120"/>
      <c r="E60" s="109"/>
      <c r="F60" s="17" t="s">
        <v>38</v>
      </c>
      <c r="G60" s="108">
        <f>G57</f>
        <v>0</v>
      </c>
      <c r="H60" s="109"/>
      <c r="R60"/>
      <c r="S60" s="18"/>
      <c r="T60" t="s">
        <v>263</v>
      </c>
      <c r="U60" s="18" t="s">
        <v>294</v>
      </c>
      <c r="V60" s="18"/>
      <c r="W60" s="18"/>
      <c r="X60" s="18"/>
    </row>
    <row r="61" spans="1:24" s="20" customFormat="1" ht="33.75" hidden="1" customHeight="1" x14ac:dyDescent="0.25">
      <c r="A61" s="250"/>
      <c r="B61" s="251"/>
      <c r="C61" s="108"/>
      <c r="D61" s="120"/>
      <c r="E61" s="120"/>
      <c r="F61" s="120"/>
      <c r="G61" s="120"/>
      <c r="H61" s="109"/>
      <c r="R61"/>
      <c r="S61" s="18"/>
      <c r="T61" t="s">
        <v>264</v>
      </c>
      <c r="U61" s="18"/>
      <c r="V61" s="18"/>
      <c r="W61" s="18"/>
      <c r="X61" s="18"/>
    </row>
    <row r="62" spans="1:24" x14ac:dyDescent="0.25">
      <c r="A62" s="237" t="s">
        <v>40</v>
      </c>
      <c r="B62" s="238"/>
      <c r="C62" s="237" t="s">
        <v>99</v>
      </c>
      <c r="D62" s="239"/>
      <c r="E62" s="238"/>
      <c r="F62" s="40" t="s">
        <v>38</v>
      </c>
      <c r="G62" s="182" t="s">
        <v>26</v>
      </c>
      <c r="H62" s="183"/>
      <c r="R62"/>
      <c r="T62" t="s">
        <v>266</v>
      </c>
    </row>
    <row r="63" spans="1:24" x14ac:dyDescent="0.25">
      <c r="A63" s="218" t="s">
        <v>42</v>
      </c>
      <c r="B63" s="218"/>
      <c r="C63" s="218"/>
      <c r="D63" s="218"/>
      <c r="E63" s="218"/>
      <c r="F63" s="218"/>
      <c r="G63" s="218"/>
      <c r="H63" s="218"/>
      <c r="T63" t="s">
        <v>275</v>
      </c>
    </row>
    <row r="64" spans="1:24" ht="34.5" customHeight="1" x14ac:dyDescent="0.25">
      <c r="A64" s="194" t="s">
        <v>352</v>
      </c>
      <c r="B64" s="194"/>
      <c r="C64" s="194"/>
      <c r="D64" s="113">
        <v>23487.8</v>
      </c>
      <c r="E64" s="113"/>
      <c r="F64" s="113"/>
      <c r="G64" s="113"/>
      <c r="H64" s="113"/>
      <c r="I64" s="18">
        <f>23487.8+1261.68</f>
        <v>24749.48</v>
      </c>
      <c r="R64"/>
    </row>
    <row r="65" spans="1:19" x14ac:dyDescent="0.25">
      <c r="A65" s="121" t="s">
        <v>43</v>
      </c>
      <c r="B65" s="85"/>
      <c r="C65" s="85"/>
      <c r="D65" s="85" t="s">
        <v>344</v>
      </c>
      <c r="E65" s="85"/>
      <c r="F65" s="85"/>
      <c r="G65" s="85"/>
      <c r="H65" s="85"/>
      <c r="I65" s="21" t="s">
        <v>345</v>
      </c>
      <c r="R65"/>
    </row>
    <row r="66" spans="1:19" ht="34.5" customHeight="1" x14ac:dyDescent="0.25">
      <c r="A66" s="163" t="s">
        <v>44</v>
      </c>
      <c r="B66" s="172"/>
      <c r="C66" s="164"/>
      <c r="D66" s="170" t="s">
        <v>357</v>
      </c>
      <c r="E66" s="171"/>
      <c r="F66" s="171"/>
      <c r="G66" s="171"/>
      <c r="H66" s="171"/>
      <c r="R66"/>
    </row>
    <row r="67" spans="1:19" ht="30" customHeight="1" x14ac:dyDescent="0.25">
      <c r="A67" s="163" t="s">
        <v>83</v>
      </c>
      <c r="B67" s="172"/>
      <c r="C67" s="172"/>
      <c r="D67" s="170" t="s">
        <v>357</v>
      </c>
      <c r="E67" s="171"/>
      <c r="F67" s="171"/>
      <c r="G67" s="171"/>
      <c r="H67" s="171"/>
      <c r="R67"/>
    </row>
    <row r="68" spans="1:19" ht="15.75" hidden="1" customHeight="1" x14ac:dyDescent="0.25">
      <c r="A68" s="241"/>
      <c r="B68" s="242"/>
      <c r="C68" s="242"/>
      <c r="D68" s="244" t="s">
        <v>295</v>
      </c>
      <c r="E68" s="245"/>
      <c r="F68" s="245"/>
      <c r="G68" s="245"/>
      <c r="H68" s="246"/>
      <c r="R68"/>
    </row>
    <row r="69" spans="1:19" ht="15.75" hidden="1" customHeight="1" x14ac:dyDescent="0.25">
      <c r="A69" s="165"/>
      <c r="B69" s="243"/>
      <c r="C69" s="243"/>
      <c r="D69" s="160" t="s">
        <v>166</v>
      </c>
      <c r="E69" s="161"/>
      <c r="F69" s="161"/>
      <c r="G69" s="161"/>
      <c r="H69" s="162"/>
      <c r="S69"/>
    </row>
    <row r="70" spans="1:19" ht="15.75" customHeight="1" x14ac:dyDescent="0.25">
      <c r="A70" s="113" t="s">
        <v>41</v>
      </c>
      <c r="B70" s="113"/>
      <c r="C70" s="113"/>
      <c r="D70" s="194" t="s">
        <v>321</v>
      </c>
      <c r="E70" s="194"/>
      <c r="F70" s="194"/>
      <c r="G70" s="194"/>
      <c r="H70" s="194"/>
      <c r="J70" s="22"/>
      <c r="K70" s="21"/>
      <c r="N70" s="21"/>
      <c r="S70"/>
    </row>
    <row r="71" spans="1:19" ht="15.75" customHeight="1" x14ac:dyDescent="0.25">
      <c r="A71" s="113" t="s">
        <v>81</v>
      </c>
      <c r="B71" s="113"/>
      <c r="C71" s="113"/>
      <c r="D71" s="197" t="str">
        <f>(IF(G62="NA","60 Years After Completion",IF(G62&lt;&gt;"NA",""&amp;60-ROUNDDOWN((E3-G62)/360,0)&amp;" Years"," ")))</f>
        <v>60 Years After Completion</v>
      </c>
      <c r="E71" s="197"/>
      <c r="F71" s="197"/>
      <c r="G71" s="197"/>
      <c r="H71" s="197"/>
      <c r="N71" s="21"/>
      <c r="S71"/>
    </row>
    <row r="72" spans="1:19" ht="15.75" customHeight="1" x14ac:dyDescent="0.25">
      <c r="A72" s="113" t="s">
        <v>82</v>
      </c>
      <c r="B72" s="113"/>
      <c r="C72" s="113"/>
      <c r="D72" s="194" t="s">
        <v>21</v>
      </c>
      <c r="E72" s="194"/>
      <c r="F72" s="194"/>
      <c r="G72" s="194"/>
      <c r="H72" s="194"/>
      <c r="J72" s="23"/>
      <c r="K72" s="23"/>
      <c r="S72"/>
    </row>
    <row r="73" spans="1:19" ht="33" customHeight="1" x14ac:dyDescent="0.25">
      <c r="A73" s="85" t="s">
        <v>322</v>
      </c>
      <c r="B73" s="85"/>
      <c r="C73" s="85"/>
      <c r="D73" s="121" t="s">
        <v>324</v>
      </c>
      <c r="E73" s="194"/>
      <c r="F73" s="194"/>
      <c r="G73" s="194"/>
      <c r="H73" s="194"/>
      <c r="I73" s="70" t="s">
        <v>323</v>
      </c>
      <c r="S73"/>
    </row>
    <row r="74" spans="1:19" x14ac:dyDescent="0.25">
      <c r="A74" s="194" t="s">
        <v>144</v>
      </c>
      <c r="B74" s="194"/>
      <c r="C74" s="194"/>
      <c r="D74" s="194" t="s">
        <v>26</v>
      </c>
      <c r="E74" s="194"/>
      <c r="F74" s="194"/>
      <c r="G74" s="194"/>
      <c r="H74" s="194"/>
      <c r="I74" s="24"/>
      <c r="J74" s="24"/>
      <c r="K74" s="24"/>
      <c r="L74" s="24"/>
      <c r="M74" s="24"/>
      <c r="N74" s="24"/>
    </row>
    <row r="75" spans="1:19" ht="15.75" customHeight="1" x14ac:dyDescent="0.25">
      <c r="A75" s="240" t="s">
        <v>80</v>
      </c>
      <c r="B75" s="240"/>
      <c r="C75" s="240"/>
      <c r="D75" s="170" t="str">
        <f ca="1">(IF(G81&gt;95%,"Nothing",IF(G81&gt;0%,"Cement, Aggregate, Steel, etc",IF(G81=0%,"Work not yet Started"))))</f>
        <v>Cement, Aggregate, Steel, etc</v>
      </c>
      <c r="E75" s="170"/>
      <c r="F75" s="170"/>
      <c r="G75" s="170"/>
      <c r="H75" s="170"/>
      <c r="J75" s="23"/>
      <c r="S75"/>
    </row>
    <row r="76" spans="1:19" ht="33.75" customHeight="1" thickBot="1" x14ac:dyDescent="0.3">
      <c r="A76" s="252" t="s">
        <v>112</v>
      </c>
      <c r="B76" s="252"/>
      <c r="C76" s="252"/>
      <c r="D76" s="170" t="str">
        <f ca="1">(IF(D75="Nothing","Yes",IF(D75="Cement, Aggregate, Steel, etc","Under Construction",IF(D75="Work not yet Started","Work not yet Started"))))</f>
        <v>Under Construction</v>
      </c>
      <c r="E76" s="170"/>
      <c r="F76" s="170" t="str">
        <f ca="1">(IF(D75="Nothing","Yes",IF(D75="Cement, Aggregate, Steel, etc","Under Construction",IF(D75="Work not yet Started","Work not yet Started"))))</f>
        <v>Under Construction</v>
      </c>
      <c r="G76" s="170"/>
      <c r="H76" s="170"/>
      <c r="S76"/>
    </row>
    <row r="77" spans="1:19" ht="35.25" customHeight="1" x14ac:dyDescent="0.25">
      <c r="A77" s="189" t="s">
        <v>134</v>
      </c>
      <c r="B77" s="190"/>
      <c r="C77" s="191" t="str">
        <f>D67</f>
        <v>Building A1 =1B + Gr +1st + P2 to P5 + 6th to 23rd Floor + 24th (Recreational Floor)</v>
      </c>
      <c r="D77" s="192"/>
      <c r="E77" s="192"/>
      <c r="F77" s="192"/>
      <c r="G77" s="192"/>
      <c r="H77" s="193"/>
      <c r="I77" s="41" t="str">
        <f ca="1">IF(D90=100%,"All work Completed. Possession granted to the Building.",IF(D89=100%,"All work Completed, Waiting for OC",I78&amp;""&amp;I79&amp;""&amp;J78&amp;""&amp;J77&amp;" "&amp;J79))</f>
        <v>Excavation, Plinth Completed, RCC upto 16 Slab, Brickwork upto 6 Floor Completed</v>
      </c>
      <c r="J77" s="42"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RCC upto 16 Slab, Brickwork upto 6 Floor</v>
      </c>
      <c r="S77"/>
    </row>
    <row r="78" spans="1:19" x14ac:dyDescent="0.25">
      <c r="A78" s="15" t="s">
        <v>136</v>
      </c>
      <c r="B78" s="45">
        <f>IF(AND(ISNUMBER(SEARCH("1B",C77))),1,IF(AND(ISNUMBER(SEARCH("2B",C77))),2,IF(AND(ISNUMBER(SEARCH("3B",C77))),3,IF(AND(ISNUMBER(SEARCH("4B",C77))),4,IF(ISNUMBER(SEARCH("5B",C77)),5,0)))))</f>
        <v>1</v>
      </c>
      <c r="C78" s="45" t="s">
        <v>67</v>
      </c>
      <c r="D78" s="45">
        <v>1</v>
      </c>
      <c r="E78" s="45" t="s">
        <v>66</v>
      </c>
      <c r="F78" s="45">
        <v>0</v>
      </c>
      <c r="G78" s="45" t="s">
        <v>74</v>
      </c>
      <c r="H78" s="16">
        <f ca="1">--TRIM(RIGHT(SUBSTITUTE(LEFT(C77,_xlfn.AGGREGATE(16,6,FIND({0,1,2,3,4,5,6,7,8,9},C77,ROW(INDIRECT("1:"&amp;LEN(C77)))),1))," ",REPT(" ",LEN(C77))),LEN(C77)))</f>
        <v>24</v>
      </c>
      <c r="I78" s="43" t="str">
        <f ca="1">IF(D81=100%,"Excavation","")&amp;IF(D82=100%,", Plinth","")&amp;IF(D83=100%,", RCC Slab","")&amp;IF(D84=100%,", Brickwork","")&amp;IF(D85=100%,", Internal Plaster","")&amp;IF(D86=100%,", External Plaster","")&amp;IF(D87=100%,", Flooring","")&amp;IF(D88=100%,", Painting","")&amp;IF(D89=100%,", Building common Amenities","")</f>
        <v>Excavation, Plinth</v>
      </c>
      <c r="J78" s="44"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30" customHeight="1" x14ac:dyDescent="0.25">
      <c r="A79" s="187" t="s">
        <v>84</v>
      </c>
      <c r="B79" s="188"/>
      <c r="C79" s="195" t="str">
        <f ca="1">I77</f>
        <v>Excavation, Plinth Completed, RCC upto 16 Slab, Brickwork upto 6 Floor Completed</v>
      </c>
      <c r="D79" s="195"/>
      <c r="E79" s="195"/>
      <c r="F79" s="195"/>
      <c r="G79" s="195"/>
      <c r="H79" s="196"/>
      <c r="I79" s="43" t="str">
        <f ca="1">IF(I78&lt;&gt;""," Completed","")</f>
        <v xml:space="preserve"> Completed</v>
      </c>
      <c r="J79" s="44" t="str">
        <f ca="1">IF(J77&lt;&gt;"","Completed","")</f>
        <v>Completed</v>
      </c>
      <c r="S79"/>
    </row>
    <row r="80" spans="1:19" ht="15.75" customHeight="1" x14ac:dyDescent="0.25">
      <c r="A80" s="145" t="s">
        <v>45</v>
      </c>
      <c r="B80" s="146"/>
      <c r="C80" s="65" t="s">
        <v>133</v>
      </c>
      <c r="D80" s="65" t="s">
        <v>77</v>
      </c>
      <c r="E80" s="146" t="s">
        <v>79</v>
      </c>
      <c r="F80" s="146"/>
      <c r="G80" s="146" t="s">
        <v>78</v>
      </c>
      <c r="H80" s="253"/>
      <c r="I80" s="13" t="s">
        <v>135</v>
      </c>
      <c r="J80" s="25">
        <f ca="1">H78*25%</f>
        <v>6</v>
      </c>
      <c r="S80"/>
    </row>
    <row r="81" spans="1:22" x14ac:dyDescent="0.25">
      <c r="A81" s="145" t="s">
        <v>122</v>
      </c>
      <c r="B81" s="146"/>
      <c r="C81" s="65">
        <f ca="1">J82</f>
        <v>24</v>
      </c>
      <c r="D81" s="66">
        <f ca="1">((100/H78)*C81)/100</f>
        <v>1</v>
      </c>
      <c r="E81" s="149">
        <f ca="1">(((C82/H78*10)+(40/(D78+F78+H78)*C83)+(7.5/(H78)*C84)+(7.5/(H78)*C85)+(10/H78*C86)+(10/H78*C87)+(5/H78*C88)+(5/H78*C89)+(5/H78*C90))/100)</f>
        <v>0.37475000000000003</v>
      </c>
      <c r="F81" s="150"/>
      <c r="G81" s="149">
        <f ca="1">((((C81/H78)*20)+((C82/H78)*25)+(30/(H78+F78+D78)*C83)+(5/H78*C84)+(5/H78*C85)+(5/H78*C86)+(5/H78*C87)+(0/H78*C88)+(0/H78*C89)+(5/H78*C90))/100)</f>
        <v>0.65450000000000008</v>
      </c>
      <c r="H81" s="155"/>
      <c r="I81" s="13" t="s">
        <v>94</v>
      </c>
      <c r="J81" s="26">
        <f ca="1">H78*50%</f>
        <v>12</v>
      </c>
    </row>
    <row r="82" spans="1:22" x14ac:dyDescent="0.25">
      <c r="A82" s="145" t="s">
        <v>46</v>
      </c>
      <c r="B82" s="146"/>
      <c r="C82" s="69">
        <f ca="1">J90</f>
        <v>24</v>
      </c>
      <c r="D82" s="66">
        <f ca="1">((100/H78)*C82)/100</f>
        <v>1</v>
      </c>
      <c r="E82" s="151"/>
      <c r="F82" s="152"/>
      <c r="G82" s="151"/>
      <c r="H82" s="156"/>
      <c r="I82" s="13" t="s">
        <v>95</v>
      </c>
      <c r="J82" s="26">
        <f ca="1">H78</f>
        <v>24</v>
      </c>
      <c r="S82"/>
    </row>
    <row r="83" spans="1:22" ht="15.75" customHeight="1" x14ac:dyDescent="0.25">
      <c r="A83" s="145" t="s">
        <v>123</v>
      </c>
      <c r="B83" s="146"/>
      <c r="C83" s="65">
        <v>16</v>
      </c>
      <c r="D83" s="66">
        <f ca="1">((100/(D78+F78+H78))*C83)/100</f>
        <v>0.64</v>
      </c>
      <c r="E83" s="151"/>
      <c r="F83" s="152"/>
      <c r="G83" s="151"/>
      <c r="H83" s="156"/>
      <c r="I83" s="13" t="s">
        <v>96</v>
      </c>
      <c r="J83" s="27">
        <f ca="1">(IF(B78&gt;1,(H78/(B78+2)),H78/4))</f>
        <v>6</v>
      </c>
      <c r="S83"/>
    </row>
    <row r="84" spans="1:22" ht="15.75" customHeight="1" x14ac:dyDescent="0.25">
      <c r="A84" s="145" t="s">
        <v>130</v>
      </c>
      <c r="B84" s="146" t="s">
        <v>124</v>
      </c>
      <c r="C84" s="65">
        <v>6</v>
      </c>
      <c r="D84" s="66">
        <f ca="1">((100/H78)*C84)/100</f>
        <v>0.25</v>
      </c>
      <c r="E84" s="151"/>
      <c r="F84" s="152"/>
      <c r="G84" s="151"/>
      <c r="H84" s="156"/>
      <c r="I84" s="13" t="s">
        <v>97</v>
      </c>
      <c r="J84" s="27">
        <f ca="1">(IF(B78&gt;1,(H78/(B78+2)+J83),H78/4+J83))</f>
        <v>12</v>
      </c>
    </row>
    <row r="85" spans="1:22" ht="15.75" customHeight="1" x14ac:dyDescent="0.25">
      <c r="A85" s="145" t="s">
        <v>131</v>
      </c>
      <c r="B85" s="146" t="s">
        <v>124</v>
      </c>
      <c r="C85" s="65">
        <v>0</v>
      </c>
      <c r="D85" s="66">
        <f ca="1">((100/H78)*C85)/100</f>
        <v>0</v>
      </c>
      <c r="E85" s="151"/>
      <c r="F85" s="152"/>
      <c r="G85" s="151"/>
      <c r="H85" s="156"/>
      <c r="I85" s="13" t="s">
        <v>142</v>
      </c>
      <c r="J85" s="27">
        <f>(IF(B78&gt;1,(H78/(B78+2)+J84),0))</f>
        <v>0</v>
      </c>
    </row>
    <row r="86" spans="1:22" ht="15" customHeight="1" x14ac:dyDescent="0.25">
      <c r="A86" s="145" t="s">
        <v>129</v>
      </c>
      <c r="B86" s="146" t="s">
        <v>126</v>
      </c>
      <c r="C86" s="65">
        <v>0</v>
      </c>
      <c r="D86" s="66">
        <f ca="1">((100/(H78))*C86)/100</f>
        <v>0</v>
      </c>
      <c r="E86" s="151"/>
      <c r="F86" s="152"/>
      <c r="G86" s="151"/>
      <c r="H86" s="156"/>
      <c r="I86" s="13" t="s">
        <v>137</v>
      </c>
      <c r="J86" s="27">
        <f>(IF(B78&gt;2,(H78/(B78+2)+J85),0))</f>
        <v>0</v>
      </c>
    </row>
    <row r="87" spans="1:22" ht="15.75" customHeight="1" x14ac:dyDescent="0.25">
      <c r="A87" s="145" t="s">
        <v>125</v>
      </c>
      <c r="B87" s="146" t="s">
        <v>125</v>
      </c>
      <c r="C87" s="65">
        <v>0</v>
      </c>
      <c r="D87" s="66">
        <f ca="1">((100/H78)*C87)/100</f>
        <v>0</v>
      </c>
      <c r="E87" s="151"/>
      <c r="F87" s="152"/>
      <c r="G87" s="151"/>
      <c r="H87" s="156"/>
      <c r="I87" s="13" t="s">
        <v>138</v>
      </c>
      <c r="J87" s="28">
        <f>(IF(B78&gt;3,(H78/(B78+2)+J86),0))</f>
        <v>0</v>
      </c>
    </row>
    <row r="88" spans="1:22" ht="15.75" customHeight="1" x14ac:dyDescent="0.25">
      <c r="A88" s="145" t="s">
        <v>132</v>
      </c>
      <c r="B88" s="146"/>
      <c r="C88" s="65">
        <v>0</v>
      </c>
      <c r="D88" s="66">
        <f ca="1">((100/H78)*C88)/100</f>
        <v>0</v>
      </c>
      <c r="E88" s="151"/>
      <c r="F88" s="152"/>
      <c r="G88" s="151"/>
      <c r="H88" s="156"/>
      <c r="I88" s="13" t="s">
        <v>139</v>
      </c>
      <c r="J88" s="27">
        <f>(IF(B78&gt;4,(H78/(B78+2)+J87),0))</f>
        <v>0</v>
      </c>
    </row>
    <row r="89" spans="1:22" ht="15.75" customHeight="1" x14ac:dyDescent="0.25">
      <c r="A89" s="145" t="s">
        <v>127</v>
      </c>
      <c r="B89" s="146" t="s">
        <v>127</v>
      </c>
      <c r="C89" s="65">
        <v>0</v>
      </c>
      <c r="D89" s="66">
        <f ca="1">((100/(H78))*C89)/100</f>
        <v>0</v>
      </c>
      <c r="E89" s="151"/>
      <c r="F89" s="152"/>
      <c r="G89" s="151"/>
      <c r="H89" s="156"/>
      <c r="I89" s="13" t="s">
        <v>143</v>
      </c>
      <c r="J89" s="27">
        <f ca="1">(IF(B78=1,(H78/(B78+3)+J84),IF(B78=0,(H78/4+J84),IF(B78&gt;1,0))))</f>
        <v>18</v>
      </c>
    </row>
    <row r="90" spans="1:22" ht="16.5" thickBot="1" x14ac:dyDescent="0.3">
      <c r="A90" s="158" t="s">
        <v>128</v>
      </c>
      <c r="B90" s="159"/>
      <c r="C90" s="67">
        <v>0</v>
      </c>
      <c r="D90" s="68">
        <f ca="1">((100/(H78))*C90)/100</f>
        <v>0</v>
      </c>
      <c r="E90" s="153"/>
      <c r="F90" s="154"/>
      <c r="G90" s="153"/>
      <c r="H90" s="157"/>
      <c r="I90" s="14" t="s">
        <v>98</v>
      </c>
      <c r="J90" s="29">
        <f ca="1">(IF(B78&gt;1.5,(H78/(B78+2)+J84+MAX(0,J85-J84)+MAX(0,J86-J85)+MAX(0,J87-J86)+MAX(0,J88-J87)+MAX(0,J89-J88)),IF(B78=1,(H78/(B78+3)+J89),IF(B78=0,H78/4+J89))))</f>
        <v>24</v>
      </c>
    </row>
    <row r="91" spans="1:22" x14ac:dyDescent="0.25">
      <c r="A91" s="148" t="s">
        <v>153</v>
      </c>
      <c r="B91" s="148"/>
      <c r="C91" s="148"/>
      <c r="D91" s="148"/>
      <c r="E91" s="148"/>
      <c r="F91" s="220" t="s">
        <v>157</v>
      </c>
      <c r="G91" s="220"/>
      <c r="H91" s="220"/>
      <c r="R91" t="s">
        <v>250</v>
      </c>
      <c r="S91" t="s">
        <v>170</v>
      </c>
      <c r="T91" t="s">
        <v>175</v>
      </c>
      <c r="U91" t="s">
        <v>190</v>
      </c>
      <c r="V91" t="s">
        <v>185</v>
      </c>
    </row>
    <row r="92" spans="1:22" hidden="1" x14ac:dyDescent="0.25">
      <c r="A92" s="113" t="s">
        <v>155</v>
      </c>
      <c r="B92" s="113"/>
      <c r="C92" s="113"/>
      <c r="D92" s="113"/>
      <c r="E92" s="113"/>
      <c r="F92" s="147"/>
      <c r="G92" s="147"/>
      <c r="H92" s="147"/>
      <c r="R92"/>
      <c r="S92">
        <v>800000</v>
      </c>
      <c r="T92">
        <v>150000</v>
      </c>
      <c r="U92">
        <v>100000</v>
      </c>
      <c r="V92">
        <v>100000</v>
      </c>
    </row>
    <row r="93" spans="1:22" x14ac:dyDescent="0.25">
      <c r="A93" s="113" t="s">
        <v>154</v>
      </c>
      <c r="B93" s="113"/>
      <c r="C93" s="113"/>
      <c r="D93" s="113"/>
      <c r="E93" s="113"/>
      <c r="F93" s="147">
        <v>18000</v>
      </c>
      <c r="G93" s="147"/>
      <c r="H93" s="147"/>
      <c r="R93"/>
      <c r="S93">
        <v>900000</v>
      </c>
      <c r="T93">
        <v>200000</v>
      </c>
      <c r="U93">
        <v>150000</v>
      </c>
      <c r="V93">
        <v>150000</v>
      </c>
    </row>
    <row r="94" spans="1:22" x14ac:dyDescent="0.25">
      <c r="A94" s="113" t="s">
        <v>156</v>
      </c>
      <c r="B94" s="113"/>
      <c r="C94" s="113"/>
      <c r="D94" s="113"/>
      <c r="E94" s="113"/>
      <c r="F94" s="147">
        <v>15000</v>
      </c>
      <c r="G94" s="147"/>
      <c r="H94" s="147"/>
      <c r="K94" s="18">
        <f>18000/1.55</f>
        <v>11612.903225806451</v>
      </c>
      <c r="R94"/>
      <c r="S94">
        <v>1000000</v>
      </c>
      <c r="T94">
        <v>250000</v>
      </c>
      <c r="U94">
        <v>200000</v>
      </c>
      <c r="V94">
        <v>200000</v>
      </c>
    </row>
    <row r="95" spans="1:22" s="30" customFormat="1" hidden="1" x14ac:dyDescent="0.25">
      <c r="A95" s="113" t="s">
        <v>172</v>
      </c>
      <c r="B95" s="113"/>
      <c r="C95" s="113"/>
      <c r="D95" s="113"/>
      <c r="E95" s="113"/>
      <c r="F95" s="147"/>
      <c r="G95" s="147"/>
      <c r="H95" s="147"/>
      <c r="R95"/>
      <c r="S95">
        <v>1100000</v>
      </c>
      <c r="T95">
        <v>300000</v>
      </c>
      <c r="U95">
        <v>250000</v>
      </c>
      <c r="V95" s="20">
        <v>250000</v>
      </c>
    </row>
    <row r="96" spans="1:22" s="30" customFormat="1" hidden="1" x14ac:dyDescent="0.25">
      <c r="A96" s="113" t="s">
        <v>88</v>
      </c>
      <c r="B96" s="113"/>
      <c r="C96" s="113"/>
      <c r="D96" s="113"/>
      <c r="E96" s="113"/>
      <c r="F96" s="147"/>
      <c r="G96" s="147"/>
      <c r="H96" s="147"/>
      <c r="R96"/>
      <c r="S96">
        <v>1200000</v>
      </c>
      <c r="T96">
        <v>350000</v>
      </c>
      <c r="U96">
        <v>300000</v>
      </c>
      <c r="V96">
        <v>300000</v>
      </c>
    </row>
    <row r="97" spans="1:22" s="30" customFormat="1" hidden="1" x14ac:dyDescent="0.25">
      <c r="A97" s="113" t="s">
        <v>89</v>
      </c>
      <c r="B97" s="113"/>
      <c r="C97" s="113"/>
      <c r="D97" s="113"/>
      <c r="E97" s="113"/>
      <c r="F97" s="147"/>
      <c r="G97" s="147"/>
      <c r="H97" s="147"/>
      <c r="R97"/>
      <c r="S97">
        <v>1300000</v>
      </c>
      <c r="T97">
        <v>400000</v>
      </c>
      <c r="U97">
        <v>350000</v>
      </c>
      <c r="V97" s="20">
        <v>400000</v>
      </c>
    </row>
    <row r="98" spans="1:22" s="30" customFormat="1" hidden="1" x14ac:dyDescent="0.25">
      <c r="A98" s="113" t="s">
        <v>90</v>
      </c>
      <c r="B98" s="113"/>
      <c r="C98" s="113"/>
      <c r="D98" s="113"/>
      <c r="E98" s="113"/>
      <c r="F98" s="147"/>
      <c r="G98" s="147"/>
      <c r="H98" s="147"/>
      <c r="R98"/>
      <c r="S98">
        <v>1400000</v>
      </c>
      <c r="T98">
        <v>500000</v>
      </c>
      <c r="U98">
        <v>400000</v>
      </c>
      <c r="V98"/>
    </row>
    <row r="99" spans="1:22" s="30" customFormat="1" hidden="1" x14ac:dyDescent="0.25">
      <c r="A99" s="113" t="s">
        <v>91</v>
      </c>
      <c r="B99" s="113"/>
      <c r="C99" s="113"/>
      <c r="D99" s="113"/>
      <c r="E99" s="113"/>
      <c r="F99" s="147"/>
      <c r="G99" s="147"/>
      <c r="H99" s="147"/>
      <c r="R99"/>
      <c r="S99">
        <v>1500000</v>
      </c>
      <c r="T99">
        <v>600000</v>
      </c>
      <c r="U99">
        <v>500000</v>
      </c>
      <c r="V99" s="20"/>
    </row>
    <row r="100" spans="1:22" s="30" customFormat="1" hidden="1" x14ac:dyDescent="0.25">
      <c r="A100" s="113" t="s">
        <v>92</v>
      </c>
      <c r="B100" s="113"/>
      <c r="C100" s="113"/>
      <c r="D100" s="113"/>
      <c r="E100" s="113"/>
      <c r="F100" s="147"/>
      <c r="G100" s="147"/>
      <c r="H100" s="147"/>
      <c r="R100"/>
      <c r="S100">
        <v>1600000</v>
      </c>
      <c r="T100">
        <v>700000</v>
      </c>
      <c r="U100">
        <v>600000</v>
      </c>
      <c r="V100"/>
    </row>
    <row r="101" spans="1:22" s="30" customFormat="1" hidden="1" x14ac:dyDescent="0.25">
      <c r="A101" s="113" t="s">
        <v>93</v>
      </c>
      <c r="B101" s="113"/>
      <c r="C101" s="113"/>
      <c r="D101" s="113"/>
      <c r="E101" s="113"/>
      <c r="F101" s="147"/>
      <c r="G101" s="147"/>
      <c r="H101" s="147"/>
      <c r="R101"/>
      <c r="S101">
        <v>1700000</v>
      </c>
      <c r="T101">
        <v>800000</v>
      </c>
      <c r="U101"/>
      <c r="V101" s="20"/>
    </row>
    <row r="102" spans="1:22" x14ac:dyDescent="0.25">
      <c r="A102" s="113" t="s">
        <v>47</v>
      </c>
      <c r="B102" s="113"/>
      <c r="C102" s="113"/>
      <c r="D102" s="113"/>
      <c r="E102" s="113"/>
      <c r="F102" s="147">
        <v>500000</v>
      </c>
      <c r="G102" s="147"/>
      <c r="H102" s="147"/>
      <c r="R102"/>
      <c r="S102">
        <v>1800000</v>
      </c>
      <c r="T102">
        <v>900000</v>
      </c>
      <c r="U102"/>
    </row>
    <row r="103" spans="1:22" s="31" customFormat="1" x14ac:dyDescent="0.25">
      <c r="A103" s="114" t="s">
        <v>48</v>
      </c>
      <c r="B103" s="114"/>
      <c r="C103" s="114"/>
      <c r="D103" s="114"/>
      <c r="E103" s="114"/>
      <c r="F103" s="147">
        <f>F93*0.8</f>
        <v>14400</v>
      </c>
      <c r="G103" s="147"/>
      <c r="H103" s="147"/>
      <c r="R103" s="18"/>
      <c r="S103" s="18"/>
      <c r="T103">
        <v>1000000</v>
      </c>
      <c r="U103"/>
      <c r="V103" s="18"/>
    </row>
    <row r="104" spans="1:22" s="32" customFormat="1" ht="15.75" customHeight="1" x14ac:dyDescent="0.25">
      <c r="A104" s="136" t="s">
        <v>359</v>
      </c>
      <c r="B104" s="136"/>
      <c r="C104" s="136"/>
      <c r="D104" s="136"/>
      <c r="E104" s="136"/>
      <c r="F104" s="136"/>
      <c r="G104" s="136"/>
      <c r="H104" s="136"/>
      <c r="R104"/>
      <c r="S104" s="18"/>
      <c r="T104"/>
      <c r="U104"/>
      <c r="V104" s="18"/>
    </row>
    <row r="105" spans="1:22" s="32" customFormat="1" ht="15.75" customHeight="1" x14ac:dyDescent="0.25">
      <c r="A105" s="219" t="s">
        <v>49</v>
      </c>
      <c r="B105" s="219"/>
      <c r="C105" s="137" t="s">
        <v>72</v>
      </c>
      <c r="D105" s="137"/>
      <c r="E105" s="221" t="s">
        <v>50</v>
      </c>
      <c r="F105" s="221"/>
      <c r="G105" s="219" t="s">
        <v>51</v>
      </c>
      <c r="H105" s="219"/>
      <c r="R105"/>
      <c r="S105" s="18"/>
      <c r="T105"/>
      <c r="U105" s="18"/>
      <c r="V105" s="18"/>
    </row>
    <row r="106" spans="1:22" s="32" customFormat="1" hidden="1" x14ac:dyDescent="0.25">
      <c r="A106" s="139" t="s">
        <v>302</v>
      </c>
      <c r="B106" s="139"/>
      <c r="C106" s="125"/>
      <c r="D106" s="125"/>
      <c r="E106" s="126"/>
      <c r="F106" s="126"/>
      <c r="G106" s="140"/>
      <c r="H106" s="140"/>
      <c r="R106"/>
      <c r="S106" s="18"/>
      <c r="T106"/>
      <c r="U106" s="18"/>
      <c r="V106" s="18"/>
    </row>
    <row r="107" spans="1:22" s="32" customFormat="1" x14ac:dyDescent="0.25">
      <c r="A107" s="139" t="s">
        <v>348</v>
      </c>
      <c r="B107" s="139"/>
      <c r="C107" s="135">
        <f>COUNT(D139:D161)*15+COUNT(D165:D185)+COUNT(D187,D189:D209)*2</f>
        <v>410</v>
      </c>
      <c r="D107" s="135"/>
      <c r="E107" s="135">
        <f>SUM(F139:F161)*15+SUM(F165:F185)+SUM(F187,F189:F209)*2</f>
        <v>170510.15592000002</v>
      </c>
      <c r="F107" s="135"/>
      <c r="G107" s="135">
        <f t="shared" ref="G107" si="0">SUM(H139:H161)*15+SUM(H165:H185)+SUM(H187,H189:H209)*2</f>
        <v>264290.74167600006</v>
      </c>
      <c r="H107" s="135"/>
      <c r="I107" s="32">
        <f>15*23+21+22*2</f>
        <v>410</v>
      </c>
      <c r="R107"/>
      <c r="S107" s="18"/>
      <c r="T107"/>
      <c r="U107" s="18"/>
      <c r="V107" s="18"/>
    </row>
    <row r="108" spans="1:22" s="32" customFormat="1" x14ac:dyDescent="0.25">
      <c r="A108" s="136" t="s">
        <v>147</v>
      </c>
      <c r="B108" s="136"/>
      <c r="C108" s="137">
        <f>SUM(C106:D107)</f>
        <v>410</v>
      </c>
      <c r="D108" s="137"/>
      <c r="E108" s="138">
        <f t="shared" ref="E108" si="1">SUM(E106:F107)</f>
        <v>170510.15592000002</v>
      </c>
      <c r="F108" s="138"/>
      <c r="G108" s="138">
        <f t="shared" ref="G108" si="2">SUM(G106:H107)</f>
        <v>264290.74167600006</v>
      </c>
      <c r="H108" s="138"/>
      <c r="R108"/>
      <c r="S108" s="18"/>
      <c r="T108"/>
      <c r="U108" s="18"/>
      <c r="V108" s="18"/>
    </row>
    <row r="109" spans="1:22" s="32" customFormat="1" hidden="1" x14ac:dyDescent="0.25">
      <c r="A109" s="136" t="s">
        <v>65</v>
      </c>
      <c r="B109" s="136"/>
      <c r="C109" s="136"/>
      <c r="D109" s="136"/>
      <c r="E109" s="136"/>
      <c r="F109" s="136"/>
      <c r="G109" s="136"/>
      <c r="H109" s="136"/>
      <c r="T109"/>
    </row>
    <row r="110" spans="1:22" s="32" customFormat="1" ht="15.75" hidden="1" customHeight="1" x14ac:dyDescent="0.25">
      <c r="A110" s="219" t="s">
        <v>49</v>
      </c>
      <c r="B110" s="219"/>
      <c r="C110" s="137" t="s">
        <v>72</v>
      </c>
      <c r="D110" s="137"/>
      <c r="E110" s="221" t="s">
        <v>50</v>
      </c>
      <c r="F110" s="221"/>
      <c r="G110" s="219" t="s">
        <v>51</v>
      </c>
      <c r="H110" s="219"/>
      <c r="T110"/>
    </row>
    <row r="111" spans="1:22" s="32" customFormat="1" hidden="1" x14ac:dyDescent="0.25">
      <c r="A111" s="139"/>
      <c r="B111" s="139"/>
      <c r="C111" s="125"/>
      <c r="D111" s="125"/>
      <c r="E111" s="126"/>
      <c r="F111" s="126"/>
      <c r="G111" s="140"/>
      <c r="H111" s="140"/>
      <c r="T111"/>
    </row>
    <row r="112" spans="1:22" s="32" customFormat="1" hidden="1" x14ac:dyDescent="0.25">
      <c r="A112" s="139"/>
      <c r="B112" s="139"/>
      <c r="C112" s="125"/>
      <c r="D112" s="125"/>
      <c r="E112" s="126"/>
      <c r="F112" s="126"/>
      <c r="G112" s="140"/>
      <c r="H112" s="140"/>
      <c r="T112"/>
    </row>
    <row r="113" spans="1:20" s="32" customFormat="1" ht="16.5" hidden="1" thickBot="1" x14ac:dyDescent="0.3">
      <c r="A113" s="132" t="s">
        <v>147</v>
      </c>
      <c r="B113" s="132"/>
      <c r="C113" s="231"/>
      <c r="D113" s="231"/>
      <c r="E113" s="133"/>
      <c r="F113" s="133"/>
      <c r="G113" s="134"/>
      <c r="H113" s="134"/>
      <c r="T113"/>
    </row>
    <row r="114" spans="1:20" s="32" customFormat="1" ht="16.5" hidden="1" thickBot="1" x14ac:dyDescent="0.3">
      <c r="A114" s="232" t="s">
        <v>163</v>
      </c>
      <c r="B114" s="233"/>
      <c r="C114" s="234">
        <f>C108+C113</f>
        <v>410</v>
      </c>
      <c r="D114" s="234"/>
      <c r="E114" s="235">
        <f>E108+E113</f>
        <v>170510.15592000002</v>
      </c>
      <c r="F114" s="235"/>
      <c r="G114" s="143">
        <f>G108+G113</f>
        <v>264290.74167600006</v>
      </c>
      <c r="H114" s="144"/>
      <c r="T114"/>
    </row>
    <row r="115" spans="1:20" s="31" customFormat="1" x14ac:dyDescent="0.25">
      <c r="A115" s="220" t="s">
        <v>52</v>
      </c>
      <c r="B115" s="220"/>
      <c r="C115" s="220"/>
      <c r="D115" s="220"/>
      <c r="E115" s="220"/>
      <c r="F115" s="220"/>
      <c r="G115" s="220"/>
      <c r="H115" s="220"/>
      <c r="T115" s="32"/>
    </row>
    <row r="116" spans="1:20" x14ac:dyDescent="0.25">
      <c r="A116" s="236" t="s">
        <v>333</v>
      </c>
      <c r="B116" s="236"/>
      <c r="C116" s="236"/>
      <c r="D116" s="236"/>
      <c r="E116" s="236"/>
      <c r="F116" s="236"/>
      <c r="G116" s="236"/>
      <c r="H116" s="236"/>
      <c r="T116" s="32"/>
    </row>
    <row r="117" spans="1:20" ht="47.25" customHeight="1" x14ac:dyDescent="0.25">
      <c r="A117" s="123" t="s">
        <v>361</v>
      </c>
      <c r="B117" s="123" t="s">
        <v>173</v>
      </c>
      <c r="C117" s="123" t="s">
        <v>53</v>
      </c>
      <c r="D117" s="123" t="s">
        <v>229</v>
      </c>
      <c r="E117" s="123" t="s">
        <v>355</v>
      </c>
      <c r="F117" s="123" t="s">
        <v>54</v>
      </c>
      <c r="G117" s="141" t="s">
        <v>55</v>
      </c>
      <c r="H117" s="83" t="s">
        <v>145</v>
      </c>
      <c r="L117" s="72">
        <v>10.763999999999999</v>
      </c>
      <c r="T117" s="32"/>
    </row>
    <row r="118" spans="1:20" s="34" customFormat="1" x14ac:dyDescent="0.25">
      <c r="A118" s="124"/>
      <c r="B118" s="124"/>
      <c r="C118" s="124"/>
      <c r="D118" s="124"/>
      <c r="E118" s="124"/>
      <c r="F118" s="124"/>
      <c r="G118" s="142"/>
      <c r="H118" s="84">
        <v>0.55000000000000004</v>
      </c>
      <c r="T118" s="32"/>
    </row>
    <row r="119" spans="1:20" s="71" customFormat="1" x14ac:dyDescent="0.25">
      <c r="A119" s="94" t="s">
        <v>348</v>
      </c>
      <c r="B119" s="95"/>
      <c r="C119" s="95"/>
      <c r="D119" s="95"/>
      <c r="E119" s="95"/>
      <c r="F119" s="95"/>
      <c r="G119" s="95"/>
      <c r="H119" s="96"/>
      <c r="J119" s="33"/>
      <c r="T119" s="32"/>
    </row>
    <row r="120" spans="1:20" s="63" customFormat="1" x14ac:dyDescent="0.25">
      <c r="A120" s="91" t="s">
        <v>300</v>
      </c>
      <c r="B120" s="92"/>
      <c r="C120" s="92"/>
      <c r="D120" s="92"/>
      <c r="E120" s="92"/>
      <c r="F120" s="92"/>
      <c r="G120" s="92"/>
      <c r="H120" s="93"/>
      <c r="I120" s="80">
        <v>10.763999999999999</v>
      </c>
      <c r="J120" s="33"/>
      <c r="T120" s="32"/>
    </row>
    <row r="121" spans="1:20" s="34" customFormat="1" x14ac:dyDescent="0.25">
      <c r="A121" s="91" t="s">
        <v>301</v>
      </c>
      <c r="B121" s="92"/>
      <c r="C121" s="92"/>
      <c r="D121" s="92"/>
      <c r="E121" s="92"/>
      <c r="F121" s="92"/>
      <c r="G121" s="92"/>
      <c r="H121" s="93"/>
      <c r="J121" s="33"/>
      <c r="T121" s="32"/>
    </row>
    <row r="122" spans="1:20" s="34" customFormat="1" ht="29.25" hidden="1" customHeight="1" x14ac:dyDescent="0.25">
      <c r="A122" s="98">
        <v>1</v>
      </c>
      <c r="B122" s="99"/>
      <c r="C122" s="39" t="s">
        <v>340</v>
      </c>
      <c r="D122" s="72">
        <f>(7.11*7.86)*2+3.31*4.66+3.75*1.75+3.4*1.65+3.35*1.5</f>
        <v>144.39130000000003</v>
      </c>
      <c r="E122" s="39">
        <v>0</v>
      </c>
      <c r="F122" s="55">
        <f>D122+(IF(E122&lt;201,E122,IF(E122&lt;301,E122/2,E122/3)))</f>
        <v>144.39130000000003</v>
      </c>
      <c r="G122" s="56">
        <v>0</v>
      </c>
      <c r="H122" s="55">
        <f>(F122+(IF(G122&lt;101,G122,IF(G122&lt;201,G122/2,IF(G122&lt;=301,G122/3,G122/4)))))*(($H$118)+1)</f>
        <v>223.80651500000005</v>
      </c>
      <c r="I122" s="33"/>
      <c r="J122" s="72">
        <f>(187.67)*10.764</f>
        <v>2020.0798799999998</v>
      </c>
      <c r="L122" s="97"/>
      <c r="M122" s="97"/>
      <c r="N122" s="33"/>
      <c r="T122" s="32"/>
    </row>
    <row r="123" spans="1:20" s="34" customFormat="1" ht="29.25" hidden="1" customHeight="1" x14ac:dyDescent="0.25">
      <c r="A123" s="98">
        <f>A122+1</f>
        <v>2</v>
      </c>
      <c r="B123" s="99"/>
      <c r="C123" s="72" t="s">
        <v>340</v>
      </c>
      <c r="D123" s="72">
        <f>(9.69*23.66)*2+3.39*2.05+3.35*1.5</f>
        <v>470.50529999999998</v>
      </c>
      <c r="E123" s="39">
        <v>0</v>
      </c>
      <c r="F123" s="55">
        <f t="shared" ref="F123:F125" si="3">D123+(IF(E123&lt;201,E123,IF(E123&lt;301,E123/2,E123/3)))</f>
        <v>470.50529999999998</v>
      </c>
      <c r="G123" s="48">
        <v>0</v>
      </c>
      <c r="H123" s="55">
        <f t="shared" ref="H123:H125" si="4">(F123+(IF(G123&lt;101,G123,IF(G123&lt;201,G123/2,IF(G123&lt;=301,G123/3,G123/4)))))*(($H$118)+1)</f>
        <v>729.28321500000004</v>
      </c>
      <c r="I123" s="33"/>
      <c r="J123" s="72">
        <f>(178.03)*10.764</f>
        <v>1916.3149199999998</v>
      </c>
      <c r="L123" s="97"/>
      <c r="M123" s="97"/>
      <c r="N123" s="33"/>
      <c r="T123" s="31"/>
    </row>
    <row r="124" spans="1:20" s="34" customFormat="1" ht="29.25" hidden="1" customHeight="1" x14ac:dyDescent="0.25">
      <c r="A124" s="98">
        <f>A123+1</f>
        <v>3</v>
      </c>
      <c r="B124" s="99"/>
      <c r="C124" s="72" t="s">
        <v>340</v>
      </c>
      <c r="D124" s="72">
        <f>(25.64*7.8)*2</f>
        <v>399.98399999999998</v>
      </c>
      <c r="E124" s="39">
        <v>0</v>
      </c>
      <c r="F124" s="55">
        <f t="shared" si="3"/>
        <v>399.98399999999998</v>
      </c>
      <c r="G124" s="48">
        <v>0</v>
      </c>
      <c r="H124" s="55">
        <f t="shared" si="4"/>
        <v>619.97519999999997</v>
      </c>
      <c r="I124" s="33"/>
      <c r="J124" s="72">
        <f>(179.19)*10.764</f>
        <v>1928.8011599999998</v>
      </c>
      <c r="L124" s="97"/>
      <c r="M124" s="97"/>
      <c r="N124" s="33"/>
      <c r="T124" s="18"/>
    </row>
    <row r="125" spans="1:20" s="34" customFormat="1" ht="29.25" hidden="1" customHeight="1" x14ac:dyDescent="0.25">
      <c r="A125" s="98">
        <f>A124+1</f>
        <v>4</v>
      </c>
      <c r="B125" s="99"/>
      <c r="C125" s="72" t="s">
        <v>340</v>
      </c>
      <c r="D125" s="72">
        <f>(25.64*7.85)*2</f>
        <v>402.548</v>
      </c>
      <c r="E125" s="39">
        <v>0</v>
      </c>
      <c r="F125" s="55">
        <f t="shared" si="3"/>
        <v>402.548</v>
      </c>
      <c r="G125" s="48">
        <v>0</v>
      </c>
      <c r="H125" s="55">
        <f t="shared" si="4"/>
        <v>623.94939999999997</v>
      </c>
      <c r="I125" s="33"/>
      <c r="J125" s="72">
        <f>(236.89)*10.764</f>
        <v>2549.8839599999997</v>
      </c>
      <c r="L125" s="97"/>
      <c r="M125" s="97"/>
      <c r="N125" s="33"/>
      <c r="T125" s="18"/>
    </row>
    <row r="126" spans="1:20" s="63" customFormat="1" ht="29.25" hidden="1" customHeight="1" x14ac:dyDescent="0.25">
      <c r="A126" s="98">
        <f>A125+1</f>
        <v>5</v>
      </c>
      <c r="B126" s="99"/>
      <c r="C126" s="72" t="s">
        <v>340</v>
      </c>
      <c r="D126" s="72">
        <f>(27.35*8.05)*2+3.83*4.8+1.2*1.99+2*1.99</f>
        <v>465.08700000000005</v>
      </c>
      <c r="E126" s="62">
        <v>0</v>
      </c>
      <c r="F126" s="62">
        <f t="shared" ref="F126:F127" si="5">D126+(IF(E126&lt;201,E126,IF(E126&lt;301,E126/2,E126/3)))</f>
        <v>465.08700000000005</v>
      </c>
      <c r="G126" s="62">
        <v>0</v>
      </c>
      <c r="H126" s="62">
        <f t="shared" ref="H126:H127" si="6">(F126+(IF(G126&lt;101,G126,IF(G126&lt;201,G126/2,IF(G126&lt;=301,G126/3,G126/4)))))*(($H$118)+1)</f>
        <v>720.88485000000014</v>
      </c>
      <c r="I126" s="33"/>
      <c r="J126" s="72">
        <f>(48.22)*10.764</f>
        <v>519.04007999999999</v>
      </c>
      <c r="L126" s="97">
        <f>5.18+2.15</f>
        <v>7.33</v>
      </c>
      <c r="M126" s="97"/>
      <c r="N126" s="33"/>
      <c r="T126" s="18"/>
    </row>
    <row r="127" spans="1:20" s="63" customFormat="1" ht="29.25" hidden="1" customHeight="1" x14ac:dyDescent="0.25">
      <c r="A127" s="98">
        <f>A126+1</f>
        <v>6</v>
      </c>
      <c r="B127" s="99"/>
      <c r="C127" s="72" t="s">
        <v>340</v>
      </c>
      <c r="D127" s="72"/>
      <c r="E127" s="62">
        <v>0</v>
      </c>
      <c r="F127" s="62">
        <f t="shared" si="5"/>
        <v>0</v>
      </c>
      <c r="G127" s="72">
        <f>((6.47))*10.764</f>
        <v>69.643079999999998</v>
      </c>
      <c r="H127" s="62">
        <f t="shared" si="6"/>
        <v>107.946774</v>
      </c>
      <c r="I127" s="33">
        <f>2*1.99</f>
        <v>3.98</v>
      </c>
      <c r="J127" s="72">
        <f>(6.62)*10.764</f>
        <v>71.257679999999993</v>
      </c>
      <c r="L127" s="97"/>
      <c r="M127" s="97"/>
      <c r="N127" s="33"/>
      <c r="T127" s="18"/>
    </row>
    <row r="128" spans="1:20" s="63" customFormat="1" hidden="1" x14ac:dyDescent="0.25">
      <c r="A128" s="91" t="s">
        <v>304</v>
      </c>
      <c r="B128" s="92"/>
      <c r="C128" s="92"/>
      <c r="D128" s="92"/>
      <c r="E128" s="92"/>
      <c r="F128" s="92"/>
      <c r="G128" s="92"/>
      <c r="H128" s="93"/>
      <c r="J128" s="33"/>
    </row>
    <row r="129" spans="1:20" s="63" customFormat="1" ht="15.75" hidden="1" customHeight="1" x14ac:dyDescent="0.25">
      <c r="A129" s="98">
        <v>1</v>
      </c>
      <c r="B129" s="99"/>
      <c r="C129" s="62" t="s">
        <v>302</v>
      </c>
      <c r="D129" s="72"/>
      <c r="E129" s="62">
        <v>0</v>
      </c>
      <c r="F129" s="62">
        <f>D129+E129</f>
        <v>0</v>
      </c>
      <c r="G129" s="62">
        <v>0</v>
      </c>
      <c r="H129" s="62">
        <f>F129*(($H$219)+1)+(IF(G129&lt;101,G129,IF(G129&lt;201,G129/2,IF(G129&lt;=301,G129/3,G129/4))))</f>
        <v>0</v>
      </c>
      <c r="I129" s="33"/>
      <c r="J129" s="72">
        <f>((209.18))*10.764</f>
        <v>2251.6135199999999</v>
      </c>
      <c r="L129" s="97"/>
      <c r="M129" s="97"/>
      <c r="N129" s="33"/>
    </row>
    <row r="130" spans="1:20" s="63" customFormat="1" ht="15.75" hidden="1" customHeight="1" x14ac:dyDescent="0.25">
      <c r="A130" s="98">
        <f>A129+1</f>
        <v>2</v>
      </c>
      <c r="B130" s="99"/>
      <c r="C130" s="62" t="s">
        <v>302</v>
      </c>
      <c r="D130" s="72"/>
      <c r="E130" s="62">
        <v>0</v>
      </c>
      <c r="F130" s="62">
        <f>D130+E130</f>
        <v>0</v>
      </c>
      <c r="G130" s="62">
        <v>0</v>
      </c>
      <c r="H130" s="62">
        <f>F130*(($H$219)+1)+(IF(G130&lt;101,G130,IF(G130&lt;201,G130/2,IF(G130&lt;=301,G130/3,G130/4))))</f>
        <v>0</v>
      </c>
      <c r="I130" s="33"/>
      <c r="J130" s="72">
        <f>((179.28))*10.764</f>
        <v>1929.76992</v>
      </c>
      <c r="L130" s="97"/>
      <c r="M130" s="97"/>
      <c r="N130" s="33"/>
    </row>
    <row r="131" spans="1:20" s="63" customFormat="1" ht="15.75" hidden="1" customHeight="1" x14ac:dyDescent="0.25">
      <c r="A131" s="98">
        <f>A130+1</f>
        <v>3</v>
      </c>
      <c r="B131" s="99"/>
      <c r="C131" s="62" t="s">
        <v>302</v>
      </c>
      <c r="D131" s="72"/>
      <c r="E131" s="62">
        <v>0</v>
      </c>
      <c r="F131" s="62">
        <f>D131+E131</f>
        <v>0</v>
      </c>
      <c r="G131" s="62">
        <v>0</v>
      </c>
      <c r="H131" s="62">
        <f>F131*(($H$219)+1)+(IF(G131&lt;101,G131,IF(G131&lt;201,G131/2,IF(G131&lt;=301,G131/3,G131/4))))</f>
        <v>0</v>
      </c>
      <c r="I131" s="33"/>
      <c r="J131" s="72">
        <f>((179.04))*10.764</f>
        <v>1927.1865599999999</v>
      </c>
      <c r="L131" s="97"/>
      <c r="M131" s="97"/>
      <c r="N131" s="33"/>
    </row>
    <row r="132" spans="1:20" s="63" customFormat="1" ht="15.75" hidden="1" customHeight="1" x14ac:dyDescent="0.25">
      <c r="A132" s="98">
        <f>A131+1</f>
        <v>4</v>
      </c>
      <c r="B132" s="99"/>
      <c r="C132" s="62" t="s">
        <v>302</v>
      </c>
      <c r="D132" s="72"/>
      <c r="E132" s="62">
        <v>0</v>
      </c>
      <c r="F132" s="62">
        <f>D132+E132</f>
        <v>0</v>
      </c>
      <c r="G132" s="62">
        <v>0</v>
      </c>
      <c r="H132" s="62">
        <f>F132*(($H$219)+1)+(IF(G132&lt;101,G132,IF(G132&lt;201,G132/2,IF(G132&lt;=301,G132/3,G132/4))))</f>
        <v>0</v>
      </c>
      <c r="I132" s="33"/>
      <c r="J132" s="72">
        <f>((254.41))*10.764</f>
        <v>2738.4692399999999</v>
      </c>
      <c r="L132" s="97"/>
      <c r="M132" s="97"/>
      <c r="N132" s="33"/>
      <c r="T132" s="18"/>
    </row>
    <row r="133" spans="1:20" s="63" customFormat="1" ht="15.75" hidden="1" customHeight="1" x14ac:dyDescent="0.25">
      <c r="A133" s="98" t="s">
        <v>305</v>
      </c>
      <c r="B133" s="99"/>
      <c r="C133" s="62" t="s">
        <v>302</v>
      </c>
      <c r="D133" s="72"/>
      <c r="E133" s="62">
        <v>0</v>
      </c>
      <c r="F133" s="62">
        <f>D133+E133</f>
        <v>0</v>
      </c>
      <c r="G133" s="62">
        <v>0</v>
      </c>
      <c r="H133" s="62">
        <f>F133*(($H$219)+1)+(IF(G133&lt;101,G133,IF(G133&lt;201,G133/2,IF(G133&lt;=301,G133/3,G133/4))))</f>
        <v>0</v>
      </c>
      <c r="I133" s="33"/>
      <c r="J133" s="72">
        <f>((6.47))*10.764</f>
        <v>69.643079999999998</v>
      </c>
      <c r="L133" s="97"/>
      <c r="M133" s="97"/>
      <c r="N133" s="33"/>
      <c r="T133" s="18"/>
    </row>
    <row r="134" spans="1:20" s="71" customFormat="1" x14ac:dyDescent="0.25">
      <c r="A134" s="91" t="s">
        <v>343</v>
      </c>
      <c r="B134" s="92"/>
      <c r="C134" s="92"/>
      <c r="D134" s="92"/>
      <c r="E134" s="92"/>
      <c r="F134" s="92"/>
      <c r="G134" s="92"/>
      <c r="H134" s="93"/>
      <c r="J134" s="33"/>
    </row>
    <row r="135" spans="1:20" s="71" customFormat="1" x14ac:dyDescent="0.25">
      <c r="A135" s="91" t="s">
        <v>329</v>
      </c>
      <c r="B135" s="92"/>
      <c r="C135" s="92"/>
      <c r="D135" s="92"/>
      <c r="E135" s="92"/>
      <c r="F135" s="92"/>
      <c r="G135" s="92"/>
      <c r="H135" s="93"/>
      <c r="J135" s="33"/>
    </row>
    <row r="136" spans="1:20" s="71" customFormat="1" x14ac:dyDescent="0.25">
      <c r="A136" s="91" t="s">
        <v>330</v>
      </c>
      <c r="B136" s="92"/>
      <c r="C136" s="92"/>
      <c r="D136" s="92"/>
      <c r="E136" s="92"/>
      <c r="F136" s="92"/>
      <c r="G136" s="92"/>
      <c r="H136" s="93"/>
      <c r="J136" s="33"/>
    </row>
    <row r="137" spans="1:20" s="71" customFormat="1" x14ac:dyDescent="0.25">
      <c r="A137" s="91" t="s">
        <v>354</v>
      </c>
      <c r="B137" s="92"/>
      <c r="C137" s="92"/>
      <c r="D137" s="92"/>
      <c r="E137" s="92"/>
      <c r="F137" s="92"/>
      <c r="G137" s="92"/>
      <c r="H137" s="93"/>
      <c r="I137" s="75">
        <f>4+4+4+3</f>
        <v>15</v>
      </c>
      <c r="J137" s="33"/>
    </row>
    <row r="138" spans="1:20" s="71" customFormat="1" ht="15.75" customHeight="1" x14ac:dyDescent="0.25">
      <c r="A138" s="91" t="s">
        <v>331</v>
      </c>
      <c r="B138" s="92"/>
      <c r="C138" s="92"/>
      <c r="D138" s="92"/>
      <c r="E138" s="92"/>
      <c r="F138" s="92"/>
      <c r="G138" s="92"/>
      <c r="H138" s="93"/>
      <c r="I138" s="33">
        <f>11.15*3.72+8.75*1.35+1.35*1.2</f>
        <v>54.910499999999999</v>
      </c>
      <c r="L138" s="97"/>
      <c r="M138" s="97"/>
      <c r="N138" s="33"/>
    </row>
    <row r="139" spans="1:20" s="71" customFormat="1" ht="15.75" customHeight="1" x14ac:dyDescent="0.25">
      <c r="A139" s="98">
        <v>1</v>
      </c>
      <c r="B139" s="99"/>
      <c r="C139" s="72" t="s">
        <v>332</v>
      </c>
      <c r="D139" s="72">
        <f>(55.25)*10.764</f>
        <v>594.71100000000001</v>
      </c>
      <c r="E139" s="80">
        <v>0</v>
      </c>
      <c r="F139" s="72">
        <f t="shared" ref="F139:F161" si="7">D139+E139</f>
        <v>594.71100000000001</v>
      </c>
      <c r="G139" s="72">
        <v>0</v>
      </c>
      <c r="H139" s="72">
        <f>(F139+(IF(G139&lt;101,G139,IF(G139&lt;201,G139/2,IF(G139&lt;=301,G139/3,G139/4)))))*(($H$118)+1)</f>
        <v>921.80205000000001</v>
      </c>
      <c r="I139" s="33">
        <f>11.15*3.72+8.75*1.35+1.35*1.2</f>
        <v>54.910499999999999</v>
      </c>
      <c r="L139" s="97"/>
      <c r="M139" s="97"/>
      <c r="N139" s="33"/>
    </row>
    <row r="140" spans="1:20" s="71" customFormat="1" ht="15.75" customHeight="1" x14ac:dyDescent="0.25">
      <c r="A140" s="98">
        <f>A139+1</f>
        <v>2</v>
      </c>
      <c r="B140" s="99"/>
      <c r="C140" s="72" t="s">
        <v>332</v>
      </c>
      <c r="D140" s="72">
        <f>(58.71)*10.764</f>
        <v>631.95443999999998</v>
      </c>
      <c r="E140" s="80">
        <v>0</v>
      </c>
      <c r="F140" s="72">
        <f t="shared" si="7"/>
        <v>631.95443999999998</v>
      </c>
      <c r="G140" s="72">
        <v>0</v>
      </c>
      <c r="H140" s="77">
        <f t="shared" ref="H140:H161" si="8">(F140+(IF(G140&lt;101,G140,IF(G140&lt;201,G140/2,IF(G140&lt;=301,G140/3,G140/4)))))*(($H$118)+1)</f>
        <v>979.52938199999994</v>
      </c>
      <c r="I140" s="33"/>
      <c r="L140" s="97"/>
      <c r="M140" s="97"/>
      <c r="N140" s="33"/>
    </row>
    <row r="141" spans="1:20" s="71" customFormat="1" ht="15.75" customHeight="1" x14ac:dyDescent="0.25">
      <c r="A141" s="98">
        <f>A140+1</f>
        <v>3</v>
      </c>
      <c r="B141" s="99"/>
      <c r="C141" s="72" t="s">
        <v>332</v>
      </c>
      <c r="D141" s="72">
        <f>(31.52)*10.764</f>
        <v>339.28127999999998</v>
      </c>
      <c r="E141" s="80">
        <v>0</v>
      </c>
      <c r="F141" s="72">
        <f t="shared" si="7"/>
        <v>339.28127999999998</v>
      </c>
      <c r="G141" s="72">
        <v>0</v>
      </c>
      <c r="H141" s="77">
        <f t="shared" si="8"/>
        <v>525.88598400000001</v>
      </c>
      <c r="I141" s="33"/>
      <c r="L141" s="97"/>
      <c r="M141" s="97"/>
      <c r="N141" s="33"/>
      <c r="T141" s="18"/>
    </row>
    <row r="142" spans="1:20" s="71" customFormat="1" ht="15.75" customHeight="1" x14ac:dyDescent="0.25">
      <c r="A142" s="98">
        <f>A141+1</f>
        <v>4</v>
      </c>
      <c r="B142" s="99"/>
      <c r="C142" s="72" t="s">
        <v>332</v>
      </c>
      <c r="D142" s="72">
        <f>(26.31)*10.764</f>
        <v>283.20083999999997</v>
      </c>
      <c r="E142" s="80">
        <v>0</v>
      </c>
      <c r="F142" s="72">
        <f t="shared" si="7"/>
        <v>283.20083999999997</v>
      </c>
      <c r="G142" s="72">
        <v>0</v>
      </c>
      <c r="H142" s="77">
        <f t="shared" si="8"/>
        <v>438.96130199999999</v>
      </c>
      <c r="I142" s="33"/>
      <c r="L142" s="97"/>
      <c r="M142" s="97"/>
      <c r="N142" s="33"/>
      <c r="T142" s="18"/>
    </row>
    <row r="143" spans="1:20" s="71" customFormat="1" ht="15.75" customHeight="1" x14ac:dyDescent="0.25">
      <c r="A143" s="98">
        <f t="shared" ref="A143:A158" si="9">A142+1</f>
        <v>5</v>
      </c>
      <c r="B143" s="99"/>
      <c r="C143" s="72" t="s">
        <v>332</v>
      </c>
      <c r="D143" s="72">
        <f>(27.51)*10.764</f>
        <v>296.11763999999999</v>
      </c>
      <c r="E143" s="80">
        <v>0</v>
      </c>
      <c r="F143" s="72">
        <f t="shared" si="7"/>
        <v>296.11763999999999</v>
      </c>
      <c r="G143" s="72">
        <v>0</v>
      </c>
      <c r="H143" s="77">
        <f t="shared" si="8"/>
        <v>458.98234200000002</v>
      </c>
      <c r="I143" s="73">
        <f>3.73*8.24-1.275*0.75</f>
        <v>29.778949999999998</v>
      </c>
      <c r="L143" s="97"/>
      <c r="M143" s="97"/>
      <c r="N143" s="33"/>
      <c r="T143" s="18"/>
    </row>
    <row r="144" spans="1:20" s="71" customFormat="1" ht="15.75" customHeight="1" x14ac:dyDescent="0.25">
      <c r="A144" s="98">
        <f t="shared" si="9"/>
        <v>6</v>
      </c>
      <c r="B144" s="99"/>
      <c r="C144" s="72" t="s">
        <v>332</v>
      </c>
      <c r="D144" s="72">
        <f>(28.71)*10.764</f>
        <v>309.03444000000002</v>
      </c>
      <c r="E144" s="80">
        <v>0</v>
      </c>
      <c r="F144" s="72">
        <f t="shared" si="7"/>
        <v>309.03444000000002</v>
      </c>
      <c r="G144" s="72">
        <v>0</v>
      </c>
      <c r="H144" s="77">
        <f t="shared" si="8"/>
        <v>479.00338200000004</v>
      </c>
      <c r="I144" s="33"/>
      <c r="J144" s="71">
        <f>2.55/2</f>
        <v>1.2749999999999999</v>
      </c>
      <c r="L144" s="97"/>
      <c r="M144" s="97"/>
      <c r="N144" s="33"/>
      <c r="T144" s="18"/>
    </row>
    <row r="145" spans="1:20" s="71" customFormat="1" ht="15.75" customHeight="1" x14ac:dyDescent="0.25">
      <c r="A145" s="98">
        <f t="shared" si="9"/>
        <v>7</v>
      </c>
      <c r="B145" s="99"/>
      <c r="C145" s="72" t="s">
        <v>332</v>
      </c>
      <c r="D145" s="72">
        <f>(29.91)*10.764</f>
        <v>321.95123999999998</v>
      </c>
      <c r="E145" s="80">
        <v>0</v>
      </c>
      <c r="F145" s="72">
        <f t="shared" si="7"/>
        <v>321.95123999999998</v>
      </c>
      <c r="G145" s="72">
        <v>0</v>
      </c>
      <c r="H145" s="77">
        <f t="shared" si="8"/>
        <v>499.02442200000002</v>
      </c>
      <c r="I145" s="33"/>
      <c r="L145" s="97"/>
      <c r="M145" s="97"/>
      <c r="N145" s="33"/>
      <c r="T145" s="18"/>
    </row>
    <row r="146" spans="1:20" s="71" customFormat="1" ht="15.75" customHeight="1" x14ac:dyDescent="0.25">
      <c r="A146" s="98">
        <f t="shared" si="9"/>
        <v>8</v>
      </c>
      <c r="B146" s="99"/>
      <c r="C146" s="72" t="s">
        <v>332</v>
      </c>
      <c r="D146" s="72">
        <f>(31.1)*10.764</f>
        <v>334.7604</v>
      </c>
      <c r="E146" s="80">
        <v>0</v>
      </c>
      <c r="F146" s="72">
        <f t="shared" si="7"/>
        <v>334.7604</v>
      </c>
      <c r="G146" s="72">
        <v>0</v>
      </c>
      <c r="H146" s="77">
        <f t="shared" si="8"/>
        <v>518.87862000000007</v>
      </c>
      <c r="I146" s="33"/>
      <c r="L146" s="97"/>
      <c r="M146" s="97"/>
      <c r="N146" s="33"/>
      <c r="T146" s="18"/>
    </row>
    <row r="147" spans="1:20" s="71" customFormat="1" ht="15.75" customHeight="1" x14ac:dyDescent="0.25">
      <c r="A147" s="98">
        <f t="shared" si="9"/>
        <v>9</v>
      </c>
      <c r="B147" s="99"/>
      <c r="C147" s="72" t="s">
        <v>332</v>
      </c>
      <c r="D147" s="72">
        <f>(32.3)*10.764</f>
        <v>347.67719999999997</v>
      </c>
      <c r="E147" s="80">
        <v>0</v>
      </c>
      <c r="F147" s="72">
        <f t="shared" si="7"/>
        <v>347.67719999999997</v>
      </c>
      <c r="G147" s="72">
        <v>0</v>
      </c>
      <c r="H147" s="77">
        <f t="shared" si="8"/>
        <v>538.89965999999993</v>
      </c>
      <c r="I147" s="33"/>
      <c r="L147" s="97"/>
      <c r="M147" s="97"/>
      <c r="N147" s="33"/>
      <c r="T147" s="18"/>
    </row>
    <row r="148" spans="1:20" s="71" customFormat="1" ht="15.75" customHeight="1" x14ac:dyDescent="0.25">
      <c r="A148" s="98">
        <f t="shared" si="9"/>
        <v>10</v>
      </c>
      <c r="B148" s="99"/>
      <c r="C148" s="72" t="s">
        <v>332</v>
      </c>
      <c r="D148" s="72">
        <f>(80.49)*10.764</f>
        <v>866.39435999999989</v>
      </c>
      <c r="E148" s="80">
        <v>0</v>
      </c>
      <c r="F148" s="72">
        <f t="shared" si="7"/>
        <v>866.39435999999989</v>
      </c>
      <c r="G148" s="72">
        <v>0</v>
      </c>
      <c r="H148" s="77">
        <f t="shared" si="8"/>
        <v>1342.9112579999999</v>
      </c>
      <c r="I148" s="33">
        <f>2.52*10.05+7.45*1.35+1.35*1.2</f>
        <v>37.003499999999995</v>
      </c>
      <c r="L148" s="97"/>
      <c r="M148" s="97"/>
      <c r="N148" s="33"/>
      <c r="T148" s="18"/>
    </row>
    <row r="149" spans="1:20" s="71" customFormat="1" ht="15.75" customHeight="1" x14ac:dyDescent="0.25">
      <c r="A149" s="98">
        <f t="shared" si="9"/>
        <v>11</v>
      </c>
      <c r="B149" s="99"/>
      <c r="C149" s="72" t="s">
        <v>332</v>
      </c>
      <c r="D149" s="72">
        <f>(36.78)*10.764</f>
        <v>395.89992000000001</v>
      </c>
      <c r="E149" s="80">
        <v>0</v>
      </c>
      <c r="F149" s="72">
        <f t="shared" si="7"/>
        <v>395.89992000000001</v>
      </c>
      <c r="G149" s="72">
        <v>0</v>
      </c>
      <c r="H149" s="77">
        <f t="shared" si="8"/>
        <v>613.64487600000007</v>
      </c>
      <c r="I149" s="33">
        <f>2.52*10.05+1.35*7.45</f>
        <v>35.383499999999998</v>
      </c>
      <c r="J149" s="74"/>
      <c r="L149" s="97"/>
      <c r="M149" s="97"/>
      <c r="N149" s="33"/>
      <c r="T149" s="18"/>
    </row>
    <row r="150" spans="1:20" s="71" customFormat="1" ht="15.75" customHeight="1" x14ac:dyDescent="0.25">
      <c r="A150" s="98">
        <f t="shared" si="9"/>
        <v>12</v>
      </c>
      <c r="B150" s="99"/>
      <c r="C150" s="72" t="s">
        <v>332</v>
      </c>
      <c r="D150" s="72">
        <f>(36.95)*10.764</f>
        <v>397.72980000000001</v>
      </c>
      <c r="E150" s="80">
        <v>0</v>
      </c>
      <c r="F150" s="72">
        <f t="shared" si="7"/>
        <v>397.72980000000001</v>
      </c>
      <c r="G150" s="72">
        <v>0</v>
      </c>
      <c r="H150" s="77">
        <f t="shared" si="8"/>
        <v>616.48119000000008</v>
      </c>
      <c r="I150" s="33"/>
      <c r="L150" s="97"/>
      <c r="M150" s="97"/>
      <c r="N150" s="33"/>
      <c r="T150" s="18"/>
    </row>
    <row r="151" spans="1:20" s="71" customFormat="1" ht="15.75" customHeight="1" x14ac:dyDescent="0.25">
      <c r="A151" s="98">
        <f t="shared" si="9"/>
        <v>13</v>
      </c>
      <c r="B151" s="99"/>
      <c r="C151" s="72" t="s">
        <v>332</v>
      </c>
      <c r="D151" s="72">
        <f>(36.95)*10.764</f>
        <v>397.72980000000001</v>
      </c>
      <c r="E151" s="80">
        <v>0</v>
      </c>
      <c r="F151" s="72">
        <f t="shared" si="7"/>
        <v>397.72980000000001</v>
      </c>
      <c r="G151" s="72">
        <v>0</v>
      </c>
      <c r="H151" s="77">
        <f t="shared" si="8"/>
        <v>616.48119000000008</v>
      </c>
      <c r="I151" s="33"/>
      <c r="L151" s="97"/>
      <c r="M151" s="97"/>
      <c r="N151" s="33"/>
      <c r="T151" s="18"/>
    </row>
    <row r="152" spans="1:20" s="71" customFormat="1" ht="15.75" customHeight="1" x14ac:dyDescent="0.25">
      <c r="A152" s="98">
        <f t="shared" si="9"/>
        <v>14</v>
      </c>
      <c r="B152" s="99"/>
      <c r="C152" s="72" t="s">
        <v>332</v>
      </c>
      <c r="D152" s="72">
        <f>(36.95)*10.764</f>
        <v>397.72980000000001</v>
      </c>
      <c r="E152" s="80">
        <v>0</v>
      </c>
      <c r="F152" s="72">
        <f t="shared" si="7"/>
        <v>397.72980000000001</v>
      </c>
      <c r="G152" s="72">
        <v>0</v>
      </c>
      <c r="H152" s="77">
        <f t="shared" si="8"/>
        <v>616.48119000000008</v>
      </c>
      <c r="I152" s="33"/>
      <c r="L152" s="97"/>
      <c r="M152" s="97"/>
      <c r="N152" s="33"/>
      <c r="T152" s="18"/>
    </row>
    <row r="153" spans="1:20" s="71" customFormat="1" ht="15.75" customHeight="1" x14ac:dyDescent="0.25">
      <c r="A153" s="98">
        <f t="shared" si="9"/>
        <v>15</v>
      </c>
      <c r="B153" s="99"/>
      <c r="C153" s="72" t="s">
        <v>332</v>
      </c>
      <c r="D153" s="72">
        <f>(36.95)*10.764</f>
        <v>397.72980000000001</v>
      </c>
      <c r="E153" s="80">
        <v>0</v>
      </c>
      <c r="F153" s="72">
        <f t="shared" si="7"/>
        <v>397.72980000000001</v>
      </c>
      <c r="G153" s="72">
        <v>0</v>
      </c>
      <c r="H153" s="77">
        <f t="shared" si="8"/>
        <v>616.48119000000008</v>
      </c>
      <c r="I153" s="33">
        <f>11.65*2.67+7.5*1.35+1.35*1.2</f>
        <v>42.850499999999997</v>
      </c>
      <c r="L153" s="97"/>
      <c r="M153" s="97"/>
      <c r="N153" s="33"/>
      <c r="T153" s="18"/>
    </row>
    <row r="154" spans="1:20" s="71" customFormat="1" ht="15.75" customHeight="1" x14ac:dyDescent="0.25">
      <c r="A154" s="98">
        <f t="shared" si="9"/>
        <v>16</v>
      </c>
      <c r="B154" s="99"/>
      <c r="C154" s="72" t="s">
        <v>332</v>
      </c>
      <c r="D154" s="72">
        <f>(43.67)*10.764</f>
        <v>470.06387999999998</v>
      </c>
      <c r="E154" s="80">
        <v>0</v>
      </c>
      <c r="F154" s="72">
        <f t="shared" si="7"/>
        <v>470.06387999999998</v>
      </c>
      <c r="G154" s="72">
        <v>0</v>
      </c>
      <c r="H154" s="77">
        <f t="shared" si="8"/>
        <v>728.59901400000001</v>
      </c>
      <c r="I154" s="33"/>
      <c r="L154" s="97"/>
      <c r="M154" s="97"/>
      <c r="N154" s="33"/>
      <c r="T154" s="18"/>
    </row>
    <row r="155" spans="1:20" s="71" customFormat="1" ht="15.75" customHeight="1" x14ac:dyDescent="0.25">
      <c r="A155" s="98">
        <f t="shared" si="9"/>
        <v>17</v>
      </c>
      <c r="B155" s="99"/>
      <c r="C155" s="72" t="s">
        <v>332</v>
      </c>
      <c r="D155" s="72">
        <f>(46.91)*10.764</f>
        <v>504.93923999999993</v>
      </c>
      <c r="E155" s="80">
        <v>0</v>
      </c>
      <c r="F155" s="72">
        <f t="shared" si="7"/>
        <v>504.93923999999993</v>
      </c>
      <c r="G155" s="72">
        <v>0</v>
      </c>
      <c r="H155" s="77">
        <f t="shared" si="8"/>
        <v>782.65582199999994</v>
      </c>
      <c r="I155" s="33"/>
      <c r="L155" s="97"/>
      <c r="M155" s="97"/>
      <c r="N155" s="33"/>
      <c r="T155" s="18"/>
    </row>
    <row r="156" spans="1:20" s="71" customFormat="1" ht="15.75" customHeight="1" x14ac:dyDescent="0.25">
      <c r="A156" s="98">
        <f t="shared" si="9"/>
        <v>18</v>
      </c>
      <c r="B156" s="99"/>
      <c r="C156" s="72" t="s">
        <v>332</v>
      </c>
      <c r="D156" s="72">
        <f>(33.86)*10.764</f>
        <v>364.46903999999995</v>
      </c>
      <c r="E156" s="80">
        <v>0</v>
      </c>
      <c r="F156" s="72">
        <f t="shared" si="7"/>
        <v>364.46903999999995</v>
      </c>
      <c r="G156" s="72">
        <v>0</v>
      </c>
      <c r="H156" s="77">
        <f t="shared" si="8"/>
        <v>564.92701199999999</v>
      </c>
      <c r="I156" s="33"/>
      <c r="L156" s="97"/>
      <c r="M156" s="97"/>
      <c r="N156" s="33"/>
      <c r="T156" s="18"/>
    </row>
    <row r="157" spans="1:20" s="71" customFormat="1" ht="15.75" customHeight="1" x14ac:dyDescent="0.25">
      <c r="A157" s="98">
        <f t="shared" si="9"/>
        <v>19</v>
      </c>
      <c r="B157" s="99"/>
      <c r="C157" s="72" t="s">
        <v>332</v>
      </c>
      <c r="D157" s="72">
        <f>(33.86)*10.764</f>
        <v>364.46903999999995</v>
      </c>
      <c r="E157" s="80">
        <v>0</v>
      </c>
      <c r="F157" s="72">
        <f t="shared" si="7"/>
        <v>364.46903999999995</v>
      </c>
      <c r="G157" s="72">
        <v>0</v>
      </c>
      <c r="H157" s="77">
        <f t="shared" si="8"/>
        <v>564.92701199999999</v>
      </c>
      <c r="I157" s="33"/>
      <c r="L157" s="97"/>
      <c r="M157" s="97"/>
      <c r="N157" s="33"/>
      <c r="T157" s="18"/>
    </row>
    <row r="158" spans="1:20" s="71" customFormat="1" ht="15.75" customHeight="1" x14ac:dyDescent="0.25">
      <c r="A158" s="98">
        <f t="shared" si="9"/>
        <v>20</v>
      </c>
      <c r="B158" s="99"/>
      <c r="C158" s="72" t="s">
        <v>332</v>
      </c>
      <c r="D158" s="72">
        <f>(33.86)*10.764</f>
        <v>364.46903999999995</v>
      </c>
      <c r="E158" s="80">
        <v>0</v>
      </c>
      <c r="F158" s="72">
        <f t="shared" si="7"/>
        <v>364.46903999999995</v>
      </c>
      <c r="G158" s="72">
        <v>0</v>
      </c>
      <c r="H158" s="77">
        <f t="shared" si="8"/>
        <v>564.92701199999999</v>
      </c>
      <c r="I158" s="33">
        <f>1.9*9.59+1.35*7.041+1.2*1.35</f>
        <v>29.346350000000005</v>
      </c>
      <c r="L158" s="97"/>
      <c r="M158" s="97"/>
      <c r="N158" s="33"/>
      <c r="T158" s="18"/>
    </row>
    <row r="159" spans="1:20" s="71" customFormat="1" ht="15.75" customHeight="1" x14ac:dyDescent="0.25">
      <c r="A159" s="98">
        <f t="shared" ref="A159:A161" si="10">A158+1</f>
        <v>21</v>
      </c>
      <c r="B159" s="99"/>
      <c r="C159" s="72" t="s">
        <v>332</v>
      </c>
      <c r="D159" s="72">
        <f>(29.32)*10.764</f>
        <v>315.60048</v>
      </c>
      <c r="E159" s="80">
        <v>0</v>
      </c>
      <c r="F159" s="72">
        <f t="shared" si="7"/>
        <v>315.60048</v>
      </c>
      <c r="G159" s="72">
        <v>0</v>
      </c>
      <c r="H159" s="77">
        <f t="shared" si="8"/>
        <v>489.180744</v>
      </c>
      <c r="I159" s="33"/>
      <c r="L159" s="97"/>
      <c r="M159" s="97"/>
      <c r="N159" s="33"/>
      <c r="T159" s="18"/>
    </row>
    <row r="160" spans="1:20" s="71" customFormat="1" ht="15.75" customHeight="1" x14ac:dyDescent="0.25">
      <c r="A160" s="98">
        <f t="shared" si="10"/>
        <v>22</v>
      </c>
      <c r="B160" s="99"/>
      <c r="C160" s="72" t="s">
        <v>332</v>
      </c>
      <c r="D160" s="72">
        <f>(30.94)*10.764</f>
        <v>333.03816</v>
      </c>
      <c r="E160" s="80">
        <v>0</v>
      </c>
      <c r="F160" s="72">
        <f t="shared" si="7"/>
        <v>333.03816</v>
      </c>
      <c r="G160" s="72">
        <v>0</v>
      </c>
      <c r="H160" s="77">
        <f t="shared" si="8"/>
        <v>516.20914800000003</v>
      </c>
      <c r="I160" s="33"/>
      <c r="L160" s="97"/>
      <c r="M160" s="97"/>
      <c r="N160" s="33"/>
      <c r="T160" s="18"/>
    </row>
    <row r="161" spans="1:20" s="71" customFormat="1" x14ac:dyDescent="0.25">
      <c r="A161" s="98">
        <f t="shared" si="10"/>
        <v>23</v>
      </c>
      <c r="B161" s="99"/>
      <c r="C161" s="72" t="s">
        <v>332</v>
      </c>
      <c r="D161" s="72">
        <f>(55.4)*10.764</f>
        <v>596.32559999999989</v>
      </c>
      <c r="E161" s="80">
        <v>0</v>
      </c>
      <c r="F161" s="72">
        <f t="shared" si="7"/>
        <v>596.32559999999989</v>
      </c>
      <c r="G161" s="72">
        <v>0</v>
      </c>
      <c r="H161" s="77">
        <f t="shared" si="8"/>
        <v>924.30467999999985</v>
      </c>
      <c r="J161" s="33"/>
    </row>
    <row r="162" spans="1:20" s="71" customFormat="1" ht="15.75" customHeight="1" x14ac:dyDescent="0.25">
      <c r="A162" s="91" t="s">
        <v>334</v>
      </c>
      <c r="B162" s="92"/>
      <c r="C162" s="92"/>
      <c r="D162" s="92"/>
      <c r="E162" s="92"/>
      <c r="F162" s="92"/>
      <c r="G162" s="92"/>
      <c r="H162" s="93"/>
      <c r="I162" s="33"/>
      <c r="L162" s="97"/>
      <c r="M162" s="97"/>
      <c r="N162" s="33"/>
    </row>
    <row r="163" spans="1:20" s="71" customFormat="1" ht="15.75" customHeight="1" x14ac:dyDescent="0.25">
      <c r="A163" s="98">
        <v>1</v>
      </c>
      <c r="B163" s="99"/>
      <c r="C163" s="98" t="s">
        <v>337</v>
      </c>
      <c r="D163" s="100"/>
      <c r="E163" s="100"/>
      <c r="F163" s="100"/>
      <c r="G163" s="99"/>
      <c r="H163" s="72" t="s">
        <v>335</v>
      </c>
      <c r="I163" s="33"/>
      <c r="L163" s="97"/>
      <c r="M163" s="97"/>
      <c r="N163" s="33"/>
    </row>
    <row r="164" spans="1:20" s="71" customFormat="1" ht="15.75" customHeight="1" x14ac:dyDescent="0.25">
      <c r="A164" s="98">
        <f>A163+1</f>
        <v>2</v>
      </c>
      <c r="B164" s="99"/>
      <c r="C164" s="98" t="s">
        <v>336</v>
      </c>
      <c r="D164" s="100"/>
      <c r="E164" s="100"/>
      <c r="F164" s="100"/>
      <c r="G164" s="99"/>
      <c r="H164" s="72" t="s">
        <v>335</v>
      </c>
      <c r="I164" s="33"/>
      <c r="L164" s="97"/>
      <c r="M164" s="97"/>
      <c r="N164" s="33"/>
    </row>
    <row r="165" spans="1:20" s="71" customFormat="1" ht="15.75" customHeight="1" x14ac:dyDescent="0.25">
      <c r="A165" s="98">
        <f>A164+1</f>
        <v>3</v>
      </c>
      <c r="B165" s="99"/>
      <c r="C165" s="72" t="s">
        <v>332</v>
      </c>
      <c r="D165" s="72">
        <f>(31.52)*10.764</f>
        <v>339.28127999999998</v>
      </c>
      <c r="E165" s="80">
        <v>0</v>
      </c>
      <c r="F165" s="72">
        <f t="shared" ref="F165:F185" si="11">D165+E165</f>
        <v>339.28127999999998</v>
      </c>
      <c r="G165" s="72">
        <v>0</v>
      </c>
      <c r="H165" s="77">
        <f t="shared" ref="H165:H207" si="12">(F165+(IF(G165&lt;101,G165,IF(G165&lt;201,G165/2,IF(G165&lt;=301,G165/3,G165/4)))))*(($H$118)+1)</f>
        <v>525.88598400000001</v>
      </c>
      <c r="I165" s="33"/>
      <c r="L165" s="97"/>
      <c r="M165" s="97"/>
      <c r="N165" s="33"/>
      <c r="T165" s="18"/>
    </row>
    <row r="166" spans="1:20" s="71" customFormat="1" ht="15.75" customHeight="1" x14ac:dyDescent="0.25">
      <c r="A166" s="98">
        <f>A165+1</f>
        <v>4</v>
      </c>
      <c r="B166" s="99"/>
      <c r="C166" s="72" t="s">
        <v>332</v>
      </c>
      <c r="D166" s="72">
        <f>(26.31)*10.764</f>
        <v>283.20083999999997</v>
      </c>
      <c r="E166" s="80">
        <v>0</v>
      </c>
      <c r="F166" s="72">
        <f t="shared" si="11"/>
        <v>283.20083999999997</v>
      </c>
      <c r="G166" s="72">
        <v>0</v>
      </c>
      <c r="H166" s="77">
        <f t="shared" si="12"/>
        <v>438.96130199999999</v>
      </c>
      <c r="I166" s="33">
        <f>9000000/H166</f>
        <v>20502.946293885379</v>
      </c>
      <c r="L166" s="97"/>
      <c r="M166" s="97"/>
      <c r="N166" s="33"/>
      <c r="T166" s="18"/>
    </row>
    <row r="167" spans="1:20" s="71" customFormat="1" ht="15.75" customHeight="1" x14ac:dyDescent="0.25">
      <c r="A167" s="98">
        <f t="shared" ref="A167:A178" si="13">A166+1</f>
        <v>5</v>
      </c>
      <c r="B167" s="99"/>
      <c r="C167" s="72" t="s">
        <v>332</v>
      </c>
      <c r="D167" s="72">
        <f>(27.51)*10.764</f>
        <v>296.11763999999999</v>
      </c>
      <c r="E167" s="80">
        <v>0</v>
      </c>
      <c r="F167" s="72">
        <f t="shared" si="11"/>
        <v>296.11763999999999</v>
      </c>
      <c r="G167" s="72">
        <v>0</v>
      </c>
      <c r="H167" s="77">
        <f t="shared" si="12"/>
        <v>458.98234200000002</v>
      </c>
      <c r="I167" s="33"/>
      <c r="L167" s="97"/>
      <c r="M167" s="97"/>
      <c r="N167" s="33"/>
      <c r="T167" s="18"/>
    </row>
    <row r="168" spans="1:20" s="71" customFormat="1" ht="15.75" customHeight="1" x14ac:dyDescent="0.25">
      <c r="A168" s="98">
        <f t="shared" si="13"/>
        <v>6</v>
      </c>
      <c r="B168" s="99"/>
      <c r="C168" s="72" t="s">
        <v>332</v>
      </c>
      <c r="D168" s="72">
        <f>(28.71)*10.764</f>
        <v>309.03444000000002</v>
      </c>
      <c r="E168" s="80">
        <v>0</v>
      </c>
      <c r="F168" s="72">
        <f t="shared" si="11"/>
        <v>309.03444000000002</v>
      </c>
      <c r="G168" s="72">
        <v>0</v>
      </c>
      <c r="H168" s="77">
        <f t="shared" si="12"/>
        <v>479.00338200000004</v>
      </c>
      <c r="I168" s="33"/>
      <c r="L168" s="97"/>
      <c r="M168" s="97"/>
      <c r="N168" s="33"/>
      <c r="T168" s="18"/>
    </row>
    <row r="169" spans="1:20" s="71" customFormat="1" ht="15.75" customHeight="1" x14ac:dyDescent="0.25">
      <c r="A169" s="98">
        <f t="shared" si="13"/>
        <v>7</v>
      </c>
      <c r="B169" s="99"/>
      <c r="C169" s="72" t="s">
        <v>332</v>
      </c>
      <c r="D169" s="72">
        <f>(29.91)*10.764</f>
        <v>321.95123999999998</v>
      </c>
      <c r="E169" s="80">
        <v>0</v>
      </c>
      <c r="F169" s="72">
        <f t="shared" si="11"/>
        <v>321.95123999999998</v>
      </c>
      <c r="G169" s="72">
        <v>0</v>
      </c>
      <c r="H169" s="77">
        <f t="shared" si="12"/>
        <v>499.02442200000002</v>
      </c>
      <c r="I169" s="33"/>
      <c r="J169" s="71">
        <f>7250000/H169</f>
        <v>14528.347071558754</v>
      </c>
      <c r="L169" s="97"/>
      <c r="M169" s="97"/>
      <c r="N169" s="33"/>
      <c r="T169" s="18"/>
    </row>
    <row r="170" spans="1:20" s="71" customFormat="1" ht="15.75" customHeight="1" x14ac:dyDescent="0.25">
      <c r="A170" s="98">
        <f t="shared" si="13"/>
        <v>8</v>
      </c>
      <c r="B170" s="99"/>
      <c r="C170" s="72" t="s">
        <v>332</v>
      </c>
      <c r="D170" s="72">
        <f>(31.1)*10.764</f>
        <v>334.7604</v>
      </c>
      <c r="E170" s="80">
        <v>0</v>
      </c>
      <c r="F170" s="72">
        <f t="shared" si="11"/>
        <v>334.7604</v>
      </c>
      <c r="G170" s="72">
        <v>0</v>
      </c>
      <c r="H170" s="77">
        <f t="shared" si="12"/>
        <v>518.87862000000007</v>
      </c>
      <c r="I170" s="33"/>
      <c r="L170" s="97"/>
      <c r="M170" s="97"/>
      <c r="N170" s="33"/>
      <c r="T170" s="18"/>
    </row>
    <row r="171" spans="1:20" s="71" customFormat="1" ht="15.75" customHeight="1" x14ac:dyDescent="0.25">
      <c r="A171" s="98">
        <f t="shared" si="13"/>
        <v>9</v>
      </c>
      <c r="B171" s="99"/>
      <c r="C171" s="72" t="s">
        <v>332</v>
      </c>
      <c r="D171" s="72">
        <f>(32.3)*10.764</f>
        <v>347.67719999999997</v>
      </c>
      <c r="E171" s="80">
        <v>0</v>
      </c>
      <c r="F171" s="72">
        <f t="shared" si="11"/>
        <v>347.67719999999997</v>
      </c>
      <c r="G171" s="72">
        <v>0</v>
      </c>
      <c r="H171" s="77">
        <f t="shared" si="12"/>
        <v>538.89965999999993</v>
      </c>
      <c r="I171" s="33"/>
      <c r="L171" s="97"/>
      <c r="M171" s="97"/>
      <c r="N171" s="33"/>
      <c r="T171" s="18"/>
    </row>
    <row r="172" spans="1:20" s="71" customFormat="1" ht="15.75" customHeight="1" x14ac:dyDescent="0.25">
      <c r="A172" s="98">
        <f t="shared" si="13"/>
        <v>10</v>
      </c>
      <c r="B172" s="99"/>
      <c r="C172" s="72" t="s">
        <v>332</v>
      </c>
      <c r="D172" s="72">
        <f>(80.49)*10.764</f>
        <v>866.39435999999989</v>
      </c>
      <c r="E172" s="80">
        <v>0</v>
      </c>
      <c r="F172" s="72">
        <f t="shared" si="11"/>
        <v>866.39435999999989</v>
      </c>
      <c r="G172" s="72">
        <v>0</v>
      </c>
      <c r="H172" s="77">
        <f t="shared" si="12"/>
        <v>1342.9112579999999</v>
      </c>
      <c r="I172" s="33"/>
      <c r="L172" s="97"/>
      <c r="M172" s="97"/>
      <c r="N172" s="33"/>
      <c r="T172" s="18"/>
    </row>
    <row r="173" spans="1:20" s="71" customFormat="1" ht="15.75" customHeight="1" x14ac:dyDescent="0.25">
      <c r="A173" s="98">
        <f t="shared" si="13"/>
        <v>11</v>
      </c>
      <c r="B173" s="99"/>
      <c r="C173" s="72" t="s">
        <v>332</v>
      </c>
      <c r="D173" s="72">
        <f>(36.78)*10.764</f>
        <v>395.89992000000001</v>
      </c>
      <c r="E173" s="80">
        <v>0</v>
      </c>
      <c r="F173" s="72">
        <f t="shared" si="11"/>
        <v>395.89992000000001</v>
      </c>
      <c r="G173" s="72">
        <v>0</v>
      </c>
      <c r="H173" s="77">
        <f t="shared" si="12"/>
        <v>613.64487600000007</v>
      </c>
      <c r="I173" s="33"/>
      <c r="L173" s="97"/>
      <c r="M173" s="97"/>
      <c r="N173" s="33"/>
      <c r="T173" s="18"/>
    </row>
    <row r="174" spans="1:20" s="71" customFormat="1" ht="15.75" customHeight="1" x14ac:dyDescent="0.25">
      <c r="A174" s="98">
        <f t="shared" si="13"/>
        <v>12</v>
      </c>
      <c r="B174" s="99"/>
      <c r="C174" s="72" t="s">
        <v>332</v>
      </c>
      <c r="D174" s="72">
        <f>(36.95)*10.764</f>
        <v>397.72980000000001</v>
      </c>
      <c r="E174" s="80">
        <v>0</v>
      </c>
      <c r="F174" s="72">
        <f t="shared" si="11"/>
        <v>397.72980000000001</v>
      </c>
      <c r="G174" s="72">
        <v>0</v>
      </c>
      <c r="H174" s="77">
        <f t="shared" si="12"/>
        <v>616.48119000000008</v>
      </c>
      <c r="I174" s="33"/>
      <c r="L174" s="97"/>
      <c r="M174" s="97"/>
      <c r="N174" s="33"/>
      <c r="T174" s="18"/>
    </row>
    <row r="175" spans="1:20" s="71" customFormat="1" ht="15.75" customHeight="1" x14ac:dyDescent="0.25">
      <c r="A175" s="98">
        <f t="shared" si="13"/>
        <v>13</v>
      </c>
      <c r="B175" s="99"/>
      <c r="C175" s="72" t="s">
        <v>332</v>
      </c>
      <c r="D175" s="72">
        <f>(36.95)*10.764</f>
        <v>397.72980000000001</v>
      </c>
      <c r="E175" s="80">
        <v>0</v>
      </c>
      <c r="F175" s="72">
        <f t="shared" si="11"/>
        <v>397.72980000000001</v>
      </c>
      <c r="G175" s="72">
        <v>0</v>
      </c>
      <c r="H175" s="77">
        <f t="shared" si="12"/>
        <v>616.48119000000008</v>
      </c>
      <c r="I175" s="33"/>
      <c r="L175" s="97"/>
      <c r="M175" s="97"/>
      <c r="N175" s="33"/>
      <c r="T175" s="18"/>
    </row>
    <row r="176" spans="1:20" s="71" customFormat="1" ht="15.75" customHeight="1" x14ac:dyDescent="0.25">
      <c r="A176" s="98">
        <f t="shared" si="13"/>
        <v>14</v>
      </c>
      <c r="B176" s="99"/>
      <c r="C176" s="72" t="s">
        <v>332</v>
      </c>
      <c r="D176" s="72">
        <f>(36.95)*10.764</f>
        <v>397.72980000000001</v>
      </c>
      <c r="E176" s="80">
        <v>0</v>
      </c>
      <c r="F176" s="72">
        <f t="shared" si="11"/>
        <v>397.72980000000001</v>
      </c>
      <c r="G176" s="72">
        <v>0</v>
      </c>
      <c r="H176" s="77">
        <f t="shared" si="12"/>
        <v>616.48119000000008</v>
      </c>
      <c r="I176" s="33"/>
      <c r="L176" s="97"/>
      <c r="M176" s="97"/>
      <c r="N176" s="33"/>
      <c r="T176" s="18"/>
    </row>
    <row r="177" spans="1:20" s="71" customFormat="1" ht="15.75" customHeight="1" x14ac:dyDescent="0.25">
      <c r="A177" s="98">
        <f t="shared" si="13"/>
        <v>15</v>
      </c>
      <c r="B177" s="99"/>
      <c r="C177" s="72" t="s">
        <v>332</v>
      </c>
      <c r="D177" s="77">
        <f>(36.95)*10.764</f>
        <v>397.72980000000001</v>
      </c>
      <c r="E177" s="80">
        <v>0</v>
      </c>
      <c r="F177" s="72">
        <f t="shared" si="11"/>
        <v>397.72980000000001</v>
      </c>
      <c r="G177" s="72">
        <v>0</v>
      </c>
      <c r="H177" s="77">
        <f t="shared" si="12"/>
        <v>616.48119000000008</v>
      </c>
      <c r="I177" s="33"/>
      <c r="L177" s="97"/>
      <c r="M177" s="97"/>
      <c r="N177" s="33"/>
      <c r="T177" s="18"/>
    </row>
    <row r="178" spans="1:20" s="71" customFormat="1" ht="15.75" customHeight="1" x14ac:dyDescent="0.25">
      <c r="A178" s="98">
        <f t="shared" si="13"/>
        <v>16</v>
      </c>
      <c r="B178" s="99"/>
      <c r="C178" s="72" t="s">
        <v>332</v>
      </c>
      <c r="D178" s="77">
        <f>(43.67)*10.764</f>
        <v>470.06387999999998</v>
      </c>
      <c r="E178" s="80">
        <v>0</v>
      </c>
      <c r="F178" s="72">
        <f t="shared" si="11"/>
        <v>470.06387999999998</v>
      </c>
      <c r="G178" s="72">
        <v>0</v>
      </c>
      <c r="H178" s="77">
        <f t="shared" si="12"/>
        <v>728.59901400000001</v>
      </c>
      <c r="I178" s="33"/>
      <c r="L178" s="97"/>
      <c r="M178" s="97"/>
      <c r="N178" s="33"/>
      <c r="T178" s="18"/>
    </row>
    <row r="179" spans="1:20" s="71" customFormat="1" ht="15.75" customHeight="1" x14ac:dyDescent="0.25">
      <c r="A179" s="98">
        <f t="shared" ref="A179:A182" si="14">A178+1</f>
        <v>17</v>
      </c>
      <c r="B179" s="99"/>
      <c r="C179" s="72" t="s">
        <v>332</v>
      </c>
      <c r="D179" s="77">
        <f>(46.91)*10.764</f>
        <v>504.93923999999993</v>
      </c>
      <c r="E179" s="80">
        <v>0</v>
      </c>
      <c r="F179" s="72">
        <f t="shared" si="11"/>
        <v>504.93923999999993</v>
      </c>
      <c r="G179" s="72">
        <v>0</v>
      </c>
      <c r="H179" s="77">
        <f t="shared" si="12"/>
        <v>782.65582199999994</v>
      </c>
      <c r="I179" s="33"/>
      <c r="L179" s="97"/>
      <c r="M179" s="97"/>
      <c r="N179" s="33"/>
      <c r="T179" s="18"/>
    </row>
    <row r="180" spans="1:20" s="71" customFormat="1" ht="15.75" customHeight="1" x14ac:dyDescent="0.25">
      <c r="A180" s="98">
        <f t="shared" si="14"/>
        <v>18</v>
      </c>
      <c r="B180" s="99"/>
      <c r="C180" s="72" t="s">
        <v>332</v>
      </c>
      <c r="D180" s="77">
        <f>(33.86)*10.764</f>
        <v>364.46903999999995</v>
      </c>
      <c r="E180" s="80">
        <v>0</v>
      </c>
      <c r="F180" s="72">
        <f t="shared" si="11"/>
        <v>364.46903999999995</v>
      </c>
      <c r="G180" s="72">
        <v>0</v>
      </c>
      <c r="H180" s="77">
        <f t="shared" si="12"/>
        <v>564.92701199999999</v>
      </c>
      <c r="I180" s="33"/>
      <c r="L180" s="97"/>
      <c r="M180" s="97"/>
      <c r="N180" s="33"/>
      <c r="T180" s="18"/>
    </row>
    <row r="181" spans="1:20" s="71" customFormat="1" ht="15.75" customHeight="1" x14ac:dyDescent="0.25">
      <c r="A181" s="98">
        <f t="shared" si="14"/>
        <v>19</v>
      </c>
      <c r="B181" s="99"/>
      <c r="C181" s="72" t="s">
        <v>332</v>
      </c>
      <c r="D181" s="77">
        <f>(33.86)*10.764</f>
        <v>364.46903999999995</v>
      </c>
      <c r="E181" s="80">
        <v>0</v>
      </c>
      <c r="F181" s="72">
        <f t="shared" si="11"/>
        <v>364.46903999999995</v>
      </c>
      <c r="G181" s="72">
        <v>0</v>
      </c>
      <c r="H181" s="77">
        <f t="shared" si="12"/>
        <v>564.92701199999999</v>
      </c>
      <c r="I181" s="33"/>
      <c r="L181" s="97"/>
      <c r="M181" s="97"/>
      <c r="N181" s="33"/>
      <c r="T181" s="18"/>
    </row>
    <row r="182" spans="1:20" s="71" customFormat="1" ht="15.75" customHeight="1" x14ac:dyDescent="0.25">
      <c r="A182" s="98">
        <f t="shared" si="14"/>
        <v>20</v>
      </c>
      <c r="B182" s="99"/>
      <c r="C182" s="72" t="s">
        <v>332</v>
      </c>
      <c r="D182" s="77">
        <f>(33.86)*10.764</f>
        <v>364.46903999999995</v>
      </c>
      <c r="E182" s="80">
        <v>0</v>
      </c>
      <c r="F182" s="72">
        <f t="shared" si="11"/>
        <v>364.46903999999995</v>
      </c>
      <c r="G182" s="72">
        <v>0</v>
      </c>
      <c r="H182" s="77">
        <f t="shared" si="12"/>
        <v>564.92701199999999</v>
      </c>
      <c r="I182" s="33"/>
      <c r="L182" s="97"/>
      <c r="M182" s="97"/>
      <c r="N182" s="33"/>
      <c r="T182" s="18"/>
    </row>
    <row r="183" spans="1:20" s="71" customFormat="1" ht="15.75" customHeight="1" x14ac:dyDescent="0.25">
      <c r="A183" s="98">
        <f t="shared" ref="A183:A185" si="15">A182+1</f>
        <v>21</v>
      </c>
      <c r="B183" s="99"/>
      <c r="C183" s="72" t="s">
        <v>332</v>
      </c>
      <c r="D183" s="77">
        <f>(29.32)*10.764</f>
        <v>315.60048</v>
      </c>
      <c r="E183" s="80">
        <v>0</v>
      </c>
      <c r="F183" s="72">
        <f t="shared" si="11"/>
        <v>315.60048</v>
      </c>
      <c r="G183" s="72">
        <v>0</v>
      </c>
      <c r="H183" s="77">
        <f t="shared" si="12"/>
        <v>489.180744</v>
      </c>
      <c r="I183" s="33"/>
      <c r="L183" s="97"/>
      <c r="M183" s="97"/>
      <c r="N183" s="33"/>
      <c r="T183" s="18"/>
    </row>
    <row r="184" spans="1:20" s="71" customFormat="1" ht="15.75" customHeight="1" x14ac:dyDescent="0.25">
      <c r="A184" s="98">
        <f t="shared" si="15"/>
        <v>22</v>
      </c>
      <c r="B184" s="99"/>
      <c r="C184" s="72" t="s">
        <v>332</v>
      </c>
      <c r="D184" s="77">
        <f>(30.94)*10.764</f>
        <v>333.03816</v>
      </c>
      <c r="E184" s="80">
        <v>0</v>
      </c>
      <c r="F184" s="72">
        <f t="shared" si="11"/>
        <v>333.03816</v>
      </c>
      <c r="G184" s="72">
        <v>0</v>
      </c>
      <c r="H184" s="77">
        <f t="shared" si="12"/>
        <v>516.20914800000003</v>
      </c>
      <c r="I184" s="33"/>
      <c r="L184" s="97"/>
      <c r="M184" s="97"/>
      <c r="N184" s="33"/>
      <c r="T184" s="18"/>
    </row>
    <row r="185" spans="1:20" s="71" customFormat="1" x14ac:dyDescent="0.25">
      <c r="A185" s="98">
        <f t="shared" si="15"/>
        <v>23</v>
      </c>
      <c r="B185" s="99"/>
      <c r="C185" s="72" t="s">
        <v>332</v>
      </c>
      <c r="D185" s="77">
        <f>(55.4)*10.764</f>
        <v>596.32559999999989</v>
      </c>
      <c r="E185" s="80">
        <v>0</v>
      </c>
      <c r="F185" s="72">
        <f t="shared" si="11"/>
        <v>596.32559999999989</v>
      </c>
      <c r="G185" s="72">
        <v>0</v>
      </c>
      <c r="H185" s="77">
        <f t="shared" si="12"/>
        <v>924.30467999999985</v>
      </c>
      <c r="J185" s="33"/>
    </row>
    <row r="186" spans="1:20" s="71" customFormat="1" ht="15.75" customHeight="1" x14ac:dyDescent="0.25">
      <c r="A186" s="91" t="s">
        <v>338</v>
      </c>
      <c r="B186" s="92"/>
      <c r="C186" s="92"/>
      <c r="D186" s="92"/>
      <c r="E186" s="92"/>
      <c r="F186" s="92"/>
      <c r="G186" s="92"/>
      <c r="H186" s="93"/>
      <c r="I186" s="33"/>
      <c r="L186" s="97"/>
      <c r="M186" s="97"/>
      <c r="N186" s="33"/>
    </row>
    <row r="187" spans="1:20" s="71" customFormat="1" ht="15.75" customHeight="1" x14ac:dyDescent="0.25">
      <c r="A187" s="98">
        <v>1</v>
      </c>
      <c r="B187" s="99"/>
      <c r="C187" s="72" t="s">
        <v>332</v>
      </c>
      <c r="D187" s="72">
        <f>(43.44)*10.764</f>
        <v>467.58815999999996</v>
      </c>
      <c r="E187" s="72">
        <v>0</v>
      </c>
      <c r="F187" s="72">
        <f t="shared" ref="F187" si="16">D187+E187</f>
        <v>467.58815999999996</v>
      </c>
      <c r="G187" s="72">
        <v>0</v>
      </c>
      <c r="H187" s="77">
        <f t="shared" si="12"/>
        <v>724.76164799999992</v>
      </c>
      <c r="I187" s="33"/>
      <c r="L187" s="97"/>
      <c r="M187" s="97"/>
      <c r="N187" s="33"/>
    </row>
    <row r="188" spans="1:20" s="71" customFormat="1" ht="15.75" customHeight="1" x14ac:dyDescent="0.25">
      <c r="A188" s="98">
        <f>A187+1</f>
        <v>2</v>
      </c>
      <c r="B188" s="99"/>
      <c r="C188" s="98" t="s">
        <v>336</v>
      </c>
      <c r="D188" s="100"/>
      <c r="E188" s="100"/>
      <c r="F188" s="100"/>
      <c r="G188" s="99"/>
      <c r="H188" s="72" t="s">
        <v>335</v>
      </c>
      <c r="I188" s="33"/>
      <c r="L188" s="97"/>
      <c r="M188" s="97"/>
      <c r="N188" s="33"/>
    </row>
    <row r="189" spans="1:20" s="71" customFormat="1" ht="15.75" customHeight="1" x14ac:dyDescent="0.25">
      <c r="A189" s="98">
        <f>A188+1</f>
        <v>3</v>
      </c>
      <c r="B189" s="99"/>
      <c r="C189" s="72" t="s">
        <v>332</v>
      </c>
      <c r="D189" s="77">
        <f>(31.52)*10.764</f>
        <v>339.28127999999998</v>
      </c>
      <c r="E189" s="80">
        <v>0</v>
      </c>
      <c r="F189" s="72">
        <f t="shared" ref="F189:F209" si="17">D189+E189</f>
        <v>339.28127999999998</v>
      </c>
      <c r="G189" s="72">
        <v>0</v>
      </c>
      <c r="H189" s="77">
        <f t="shared" si="12"/>
        <v>525.88598400000001</v>
      </c>
      <c r="I189" s="33"/>
      <c r="L189" s="97"/>
      <c r="M189" s="97"/>
      <c r="N189" s="33"/>
      <c r="T189" s="18"/>
    </row>
    <row r="190" spans="1:20" s="71" customFormat="1" ht="15.75" customHeight="1" x14ac:dyDescent="0.25">
      <c r="A190" s="98">
        <f>A189+1</f>
        <v>4</v>
      </c>
      <c r="B190" s="99"/>
      <c r="C190" s="72" t="s">
        <v>332</v>
      </c>
      <c r="D190" s="77">
        <f>(26.31)*10.764</f>
        <v>283.20083999999997</v>
      </c>
      <c r="E190" s="80">
        <v>0</v>
      </c>
      <c r="F190" s="72">
        <f t="shared" si="17"/>
        <v>283.20083999999997</v>
      </c>
      <c r="G190" s="72">
        <v>0</v>
      </c>
      <c r="H190" s="77">
        <f t="shared" si="12"/>
        <v>438.96130199999999</v>
      </c>
      <c r="I190" s="33"/>
      <c r="L190" s="97"/>
      <c r="M190" s="97"/>
      <c r="N190" s="33"/>
      <c r="T190" s="18"/>
    </row>
    <row r="191" spans="1:20" s="71" customFormat="1" ht="15.75" customHeight="1" x14ac:dyDescent="0.25">
      <c r="A191" s="98">
        <f t="shared" ref="A191:A206" si="18">A190+1</f>
        <v>5</v>
      </c>
      <c r="B191" s="99"/>
      <c r="C191" s="72" t="s">
        <v>332</v>
      </c>
      <c r="D191" s="77">
        <f>(27.51)*10.764</f>
        <v>296.11763999999999</v>
      </c>
      <c r="E191" s="80">
        <v>0</v>
      </c>
      <c r="F191" s="72">
        <f t="shared" si="17"/>
        <v>296.11763999999999</v>
      </c>
      <c r="G191" s="72">
        <v>0</v>
      </c>
      <c r="H191" s="77">
        <f t="shared" si="12"/>
        <v>458.98234200000002</v>
      </c>
      <c r="I191" s="33"/>
      <c r="L191" s="97"/>
      <c r="M191" s="97"/>
      <c r="N191" s="33"/>
      <c r="T191" s="18"/>
    </row>
    <row r="192" spans="1:20" s="71" customFormat="1" ht="15.75" customHeight="1" x14ac:dyDescent="0.25">
      <c r="A192" s="98">
        <f t="shared" si="18"/>
        <v>6</v>
      </c>
      <c r="B192" s="99"/>
      <c r="C192" s="72" t="s">
        <v>332</v>
      </c>
      <c r="D192" s="72">
        <f>(28.71)*10.764</f>
        <v>309.03444000000002</v>
      </c>
      <c r="E192" s="80">
        <v>0</v>
      </c>
      <c r="F192" s="72">
        <f t="shared" si="17"/>
        <v>309.03444000000002</v>
      </c>
      <c r="G192" s="72">
        <v>0</v>
      </c>
      <c r="H192" s="77">
        <f t="shared" si="12"/>
        <v>479.00338200000004</v>
      </c>
      <c r="I192" s="33"/>
      <c r="L192" s="97"/>
      <c r="M192" s="97"/>
      <c r="N192" s="33"/>
      <c r="T192" s="18"/>
    </row>
    <row r="193" spans="1:20" s="71" customFormat="1" ht="15.75" customHeight="1" x14ac:dyDescent="0.25">
      <c r="A193" s="98">
        <f t="shared" si="18"/>
        <v>7</v>
      </c>
      <c r="B193" s="99"/>
      <c r="C193" s="72" t="s">
        <v>332</v>
      </c>
      <c r="D193" s="72">
        <f>(29.91)*10.764</f>
        <v>321.95123999999998</v>
      </c>
      <c r="E193" s="80">
        <v>0</v>
      </c>
      <c r="F193" s="72">
        <f t="shared" si="17"/>
        <v>321.95123999999998</v>
      </c>
      <c r="G193" s="72">
        <v>0</v>
      </c>
      <c r="H193" s="77">
        <f t="shared" si="12"/>
        <v>499.02442200000002</v>
      </c>
      <c r="I193" s="33"/>
      <c r="L193" s="97"/>
      <c r="M193" s="97"/>
      <c r="N193" s="33"/>
      <c r="T193" s="18"/>
    </row>
    <row r="194" spans="1:20" s="71" customFormat="1" ht="15.75" customHeight="1" x14ac:dyDescent="0.25">
      <c r="A194" s="98">
        <f t="shared" si="18"/>
        <v>8</v>
      </c>
      <c r="B194" s="99"/>
      <c r="C194" s="72" t="s">
        <v>332</v>
      </c>
      <c r="D194" s="72">
        <f>(31.1)*10.764</f>
        <v>334.7604</v>
      </c>
      <c r="E194" s="80">
        <v>0</v>
      </c>
      <c r="F194" s="72">
        <f t="shared" si="17"/>
        <v>334.7604</v>
      </c>
      <c r="G194" s="72">
        <v>0</v>
      </c>
      <c r="H194" s="77">
        <f t="shared" si="12"/>
        <v>518.87862000000007</v>
      </c>
      <c r="I194" s="33"/>
      <c r="L194" s="97"/>
      <c r="M194" s="97"/>
      <c r="N194" s="33"/>
      <c r="T194" s="18"/>
    </row>
    <row r="195" spans="1:20" s="71" customFormat="1" ht="15.75" customHeight="1" x14ac:dyDescent="0.25">
      <c r="A195" s="98">
        <f t="shared" si="18"/>
        <v>9</v>
      </c>
      <c r="B195" s="99"/>
      <c r="C195" s="72" t="s">
        <v>332</v>
      </c>
      <c r="D195" s="72">
        <f>(32.3)*10.764</f>
        <v>347.67719999999997</v>
      </c>
      <c r="E195" s="80">
        <v>0</v>
      </c>
      <c r="F195" s="72">
        <f t="shared" si="17"/>
        <v>347.67719999999997</v>
      </c>
      <c r="G195" s="72">
        <v>0</v>
      </c>
      <c r="H195" s="77">
        <f t="shared" si="12"/>
        <v>538.89965999999993</v>
      </c>
      <c r="I195" s="33"/>
      <c r="L195" s="97"/>
      <c r="M195" s="97"/>
      <c r="N195" s="33"/>
      <c r="T195" s="18"/>
    </row>
    <row r="196" spans="1:20" s="71" customFormat="1" ht="15.75" customHeight="1" x14ac:dyDescent="0.25">
      <c r="A196" s="98">
        <f t="shared" si="18"/>
        <v>10</v>
      </c>
      <c r="B196" s="99"/>
      <c r="C196" s="72" t="s">
        <v>332</v>
      </c>
      <c r="D196" s="72">
        <f>(80.49)*10.764</f>
        <v>866.39435999999989</v>
      </c>
      <c r="E196" s="80">
        <v>0</v>
      </c>
      <c r="F196" s="72">
        <f t="shared" si="17"/>
        <v>866.39435999999989</v>
      </c>
      <c r="G196" s="72">
        <v>0</v>
      </c>
      <c r="H196" s="77">
        <f t="shared" si="12"/>
        <v>1342.9112579999999</v>
      </c>
      <c r="I196" s="33"/>
      <c r="L196" s="97"/>
      <c r="M196" s="97"/>
      <c r="N196" s="33"/>
      <c r="T196" s="18"/>
    </row>
    <row r="197" spans="1:20" s="71" customFormat="1" ht="15.75" customHeight="1" x14ac:dyDescent="0.25">
      <c r="A197" s="98">
        <f t="shared" si="18"/>
        <v>11</v>
      </c>
      <c r="B197" s="99"/>
      <c r="C197" s="72" t="s">
        <v>332</v>
      </c>
      <c r="D197" s="72">
        <f>(36.78)*10.764</f>
        <v>395.89992000000001</v>
      </c>
      <c r="E197" s="80">
        <v>0</v>
      </c>
      <c r="F197" s="72">
        <f t="shared" si="17"/>
        <v>395.89992000000001</v>
      </c>
      <c r="G197" s="72">
        <v>0</v>
      </c>
      <c r="H197" s="77">
        <f t="shared" si="12"/>
        <v>613.64487600000007</v>
      </c>
      <c r="I197" s="33"/>
      <c r="L197" s="97"/>
      <c r="M197" s="97"/>
      <c r="N197" s="33"/>
      <c r="T197" s="18"/>
    </row>
    <row r="198" spans="1:20" s="71" customFormat="1" ht="15.75" customHeight="1" x14ac:dyDescent="0.25">
      <c r="A198" s="98">
        <f t="shared" si="18"/>
        <v>12</v>
      </c>
      <c r="B198" s="99"/>
      <c r="C198" s="72" t="s">
        <v>332</v>
      </c>
      <c r="D198" s="72">
        <f>(36.95)*10.764</f>
        <v>397.72980000000001</v>
      </c>
      <c r="E198" s="80">
        <v>0</v>
      </c>
      <c r="F198" s="72">
        <f t="shared" si="17"/>
        <v>397.72980000000001</v>
      </c>
      <c r="G198" s="72">
        <v>0</v>
      </c>
      <c r="H198" s="77">
        <f t="shared" si="12"/>
        <v>616.48119000000008</v>
      </c>
      <c r="I198" s="33"/>
      <c r="L198" s="97"/>
      <c r="M198" s="97"/>
      <c r="N198" s="33"/>
      <c r="T198" s="18"/>
    </row>
    <row r="199" spans="1:20" s="71" customFormat="1" ht="15.75" customHeight="1" x14ac:dyDescent="0.25">
      <c r="A199" s="98">
        <f t="shared" si="18"/>
        <v>13</v>
      </c>
      <c r="B199" s="99"/>
      <c r="C199" s="72" t="s">
        <v>332</v>
      </c>
      <c r="D199" s="72">
        <f>(36.95)*10.764</f>
        <v>397.72980000000001</v>
      </c>
      <c r="E199" s="80">
        <v>0</v>
      </c>
      <c r="F199" s="72">
        <f t="shared" si="17"/>
        <v>397.72980000000001</v>
      </c>
      <c r="G199" s="72">
        <v>0</v>
      </c>
      <c r="H199" s="77">
        <f t="shared" si="12"/>
        <v>616.48119000000008</v>
      </c>
      <c r="I199" s="33"/>
      <c r="L199" s="97"/>
      <c r="M199" s="97"/>
      <c r="N199" s="33"/>
      <c r="T199" s="18"/>
    </row>
    <row r="200" spans="1:20" s="71" customFormat="1" ht="15.75" customHeight="1" x14ac:dyDescent="0.25">
      <c r="A200" s="98">
        <f t="shared" si="18"/>
        <v>14</v>
      </c>
      <c r="B200" s="99"/>
      <c r="C200" s="72" t="s">
        <v>332</v>
      </c>
      <c r="D200" s="72">
        <f>(36.95)*10.764</f>
        <v>397.72980000000001</v>
      </c>
      <c r="E200" s="80">
        <v>0</v>
      </c>
      <c r="F200" s="72">
        <f t="shared" si="17"/>
        <v>397.72980000000001</v>
      </c>
      <c r="G200" s="72">
        <v>0</v>
      </c>
      <c r="H200" s="77">
        <f t="shared" si="12"/>
        <v>616.48119000000008</v>
      </c>
      <c r="I200" s="33"/>
      <c r="L200" s="97"/>
      <c r="M200" s="97"/>
      <c r="N200" s="33"/>
      <c r="T200" s="18"/>
    </row>
    <row r="201" spans="1:20" s="71" customFormat="1" ht="15.75" customHeight="1" x14ac:dyDescent="0.25">
      <c r="A201" s="98">
        <f t="shared" si="18"/>
        <v>15</v>
      </c>
      <c r="B201" s="99"/>
      <c r="C201" s="72" t="s">
        <v>332</v>
      </c>
      <c r="D201" s="77">
        <f>(36.95)*10.764</f>
        <v>397.72980000000001</v>
      </c>
      <c r="E201" s="80">
        <v>0</v>
      </c>
      <c r="F201" s="72">
        <f t="shared" si="17"/>
        <v>397.72980000000001</v>
      </c>
      <c r="G201" s="72">
        <v>0</v>
      </c>
      <c r="H201" s="77">
        <f t="shared" si="12"/>
        <v>616.48119000000008</v>
      </c>
      <c r="I201" s="33"/>
      <c r="L201" s="97"/>
      <c r="M201" s="97"/>
      <c r="N201" s="33"/>
      <c r="T201" s="18"/>
    </row>
    <row r="202" spans="1:20" s="71" customFormat="1" ht="15.75" customHeight="1" x14ac:dyDescent="0.25">
      <c r="A202" s="98">
        <f t="shared" si="18"/>
        <v>16</v>
      </c>
      <c r="B202" s="99"/>
      <c r="C202" s="72" t="s">
        <v>332</v>
      </c>
      <c r="D202" s="77">
        <f>(43.67)*10.764</f>
        <v>470.06387999999998</v>
      </c>
      <c r="E202" s="80">
        <v>0</v>
      </c>
      <c r="F202" s="72">
        <f t="shared" si="17"/>
        <v>470.06387999999998</v>
      </c>
      <c r="G202" s="72">
        <v>0</v>
      </c>
      <c r="H202" s="77">
        <f t="shared" si="12"/>
        <v>728.59901400000001</v>
      </c>
      <c r="I202" s="33"/>
      <c r="L202" s="97"/>
      <c r="M202" s="97"/>
      <c r="N202" s="33"/>
      <c r="T202" s="18"/>
    </row>
    <row r="203" spans="1:20" s="71" customFormat="1" ht="15.75" customHeight="1" x14ac:dyDescent="0.25">
      <c r="A203" s="98">
        <f t="shared" si="18"/>
        <v>17</v>
      </c>
      <c r="B203" s="99"/>
      <c r="C203" s="72" t="s">
        <v>332</v>
      </c>
      <c r="D203" s="77">
        <f>(46.91)*10.764</f>
        <v>504.93923999999993</v>
      </c>
      <c r="E203" s="80">
        <v>0</v>
      </c>
      <c r="F203" s="72">
        <f t="shared" si="17"/>
        <v>504.93923999999993</v>
      </c>
      <c r="G203" s="72">
        <v>0</v>
      </c>
      <c r="H203" s="77">
        <f t="shared" si="12"/>
        <v>782.65582199999994</v>
      </c>
      <c r="I203" s="33"/>
      <c r="L203" s="97"/>
      <c r="M203" s="97"/>
      <c r="N203" s="33"/>
      <c r="T203" s="18"/>
    </row>
    <row r="204" spans="1:20" s="71" customFormat="1" ht="15.75" customHeight="1" x14ac:dyDescent="0.25">
      <c r="A204" s="98">
        <f t="shared" si="18"/>
        <v>18</v>
      </c>
      <c r="B204" s="99"/>
      <c r="C204" s="72" t="s">
        <v>332</v>
      </c>
      <c r="D204" s="77">
        <f>(33.86)*10.764</f>
        <v>364.46903999999995</v>
      </c>
      <c r="E204" s="80">
        <v>0</v>
      </c>
      <c r="F204" s="72">
        <f t="shared" si="17"/>
        <v>364.46903999999995</v>
      </c>
      <c r="G204" s="72">
        <v>0</v>
      </c>
      <c r="H204" s="77">
        <f t="shared" si="12"/>
        <v>564.92701199999999</v>
      </c>
      <c r="I204" s="33"/>
      <c r="L204" s="97"/>
      <c r="M204" s="97"/>
      <c r="N204" s="33"/>
      <c r="T204" s="18"/>
    </row>
    <row r="205" spans="1:20" s="71" customFormat="1" ht="15.75" customHeight="1" x14ac:dyDescent="0.25">
      <c r="A205" s="98">
        <f t="shared" si="18"/>
        <v>19</v>
      </c>
      <c r="B205" s="99"/>
      <c r="C205" s="72" t="s">
        <v>332</v>
      </c>
      <c r="D205" s="77">
        <f>(33.86)*10.764</f>
        <v>364.46903999999995</v>
      </c>
      <c r="E205" s="80">
        <v>0</v>
      </c>
      <c r="F205" s="72">
        <f t="shared" si="17"/>
        <v>364.46903999999995</v>
      </c>
      <c r="G205" s="72">
        <v>0</v>
      </c>
      <c r="H205" s="77">
        <f t="shared" si="12"/>
        <v>564.92701199999999</v>
      </c>
      <c r="I205" s="33"/>
      <c r="L205" s="97"/>
      <c r="M205" s="97"/>
      <c r="N205" s="33"/>
      <c r="T205" s="18"/>
    </row>
    <row r="206" spans="1:20" s="71" customFormat="1" ht="15.75" customHeight="1" x14ac:dyDescent="0.25">
      <c r="A206" s="98">
        <f t="shared" si="18"/>
        <v>20</v>
      </c>
      <c r="B206" s="99"/>
      <c r="C206" s="72" t="s">
        <v>332</v>
      </c>
      <c r="D206" s="77">
        <f>(33.86)*10.764</f>
        <v>364.46903999999995</v>
      </c>
      <c r="E206" s="80">
        <v>0</v>
      </c>
      <c r="F206" s="72">
        <f t="shared" si="17"/>
        <v>364.46903999999995</v>
      </c>
      <c r="G206" s="72">
        <v>0</v>
      </c>
      <c r="H206" s="77">
        <f t="shared" si="12"/>
        <v>564.92701199999999</v>
      </c>
      <c r="I206" s="33"/>
      <c r="L206" s="97"/>
      <c r="M206" s="97"/>
      <c r="N206" s="33"/>
      <c r="T206" s="18"/>
    </row>
    <row r="207" spans="1:20" s="71" customFormat="1" ht="15.75" customHeight="1" x14ac:dyDescent="0.25">
      <c r="A207" s="98">
        <f t="shared" ref="A207:A209" si="19">A206+1</f>
        <v>21</v>
      </c>
      <c r="B207" s="99"/>
      <c r="C207" s="72" t="s">
        <v>332</v>
      </c>
      <c r="D207" s="77">
        <f>(29.32)*10.764</f>
        <v>315.60048</v>
      </c>
      <c r="E207" s="80">
        <v>0</v>
      </c>
      <c r="F207" s="72">
        <f t="shared" si="17"/>
        <v>315.60048</v>
      </c>
      <c r="G207" s="72">
        <v>0</v>
      </c>
      <c r="H207" s="77">
        <f t="shared" si="12"/>
        <v>489.180744</v>
      </c>
      <c r="I207" s="33"/>
      <c r="L207" s="97"/>
      <c r="M207" s="97"/>
      <c r="N207" s="33"/>
      <c r="T207" s="18"/>
    </row>
    <row r="208" spans="1:20" s="71" customFormat="1" ht="15.75" customHeight="1" x14ac:dyDescent="0.25">
      <c r="A208" s="98">
        <f t="shared" si="19"/>
        <v>22</v>
      </c>
      <c r="B208" s="99"/>
      <c r="C208" s="72" t="s">
        <v>332</v>
      </c>
      <c r="D208" s="77">
        <f>(30.94)*10.764</f>
        <v>333.03816</v>
      </c>
      <c r="E208" s="80">
        <v>0</v>
      </c>
      <c r="F208" s="72">
        <f t="shared" si="17"/>
        <v>333.03816</v>
      </c>
      <c r="G208" s="72">
        <v>0</v>
      </c>
      <c r="H208" s="77">
        <f>(F208+(IF(G208&lt;101,G208,IF(G208&lt;201,G208/2,IF(G208&lt;=301,G208/3,G208/4)))))*(($H$118)+1)</f>
        <v>516.20914800000003</v>
      </c>
      <c r="I208" s="33"/>
      <c r="L208" s="97"/>
      <c r="M208" s="97"/>
      <c r="N208" s="33"/>
      <c r="T208" s="18"/>
    </row>
    <row r="209" spans="1:20" s="71" customFormat="1" x14ac:dyDescent="0.25">
      <c r="A209" s="98">
        <f t="shared" si="19"/>
        <v>23</v>
      </c>
      <c r="B209" s="99"/>
      <c r="C209" s="72" t="s">
        <v>332</v>
      </c>
      <c r="D209" s="77">
        <f>(55.4)*10.764</f>
        <v>596.32559999999989</v>
      </c>
      <c r="E209" s="80">
        <v>0</v>
      </c>
      <c r="F209" s="72">
        <f t="shared" si="17"/>
        <v>596.32559999999989</v>
      </c>
      <c r="G209" s="72">
        <v>0</v>
      </c>
      <c r="H209" s="77">
        <f>(F209+(IF(G209&lt;101,G209,IF(G209&lt;201,G209/2,IF(G209&lt;=301,G209/3,G209/4)))))*(($H$118)+1)</f>
        <v>924.30467999999985</v>
      </c>
      <c r="J209" s="33"/>
    </row>
    <row r="210" spans="1:20" s="71" customFormat="1" x14ac:dyDescent="0.25">
      <c r="A210" s="91" t="s">
        <v>339</v>
      </c>
      <c r="B210" s="92"/>
      <c r="C210" s="92"/>
      <c r="D210" s="92"/>
      <c r="E210" s="92"/>
      <c r="F210" s="92"/>
      <c r="G210" s="92"/>
      <c r="H210" s="93"/>
      <c r="J210" s="33"/>
    </row>
    <row r="211" spans="1:20" s="71" customFormat="1" ht="15.75" hidden="1" customHeight="1" x14ac:dyDescent="0.25">
      <c r="A211" s="91" t="s">
        <v>304</v>
      </c>
      <c r="B211" s="92"/>
      <c r="C211" s="92"/>
      <c r="D211" s="92"/>
      <c r="E211" s="92"/>
      <c r="F211" s="92"/>
      <c r="G211" s="92"/>
      <c r="H211" s="93"/>
      <c r="I211" s="33"/>
      <c r="L211" s="97"/>
      <c r="M211" s="97"/>
      <c r="N211" s="33"/>
    </row>
    <row r="212" spans="1:20" s="71" customFormat="1" ht="15.75" hidden="1" customHeight="1" x14ac:dyDescent="0.25">
      <c r="A212" s="98">
        <v>1</v>
      </c>
      <c r="B212" s="99"/>
      <c r="C212" s="72" t="s">
        <v>302</v>
      </c>
      <c r="D212" s="72">
        <f>209.18</f>
        <v>209.18</v>
      </c>
      <c r="E212" s="72">
        <v>0</v>
      </c>
      <c r="F212" s="72">
        <f>D212+E212</f>
        <v>209.18</v>
      </c>
      <c r="G212" s="72">
        <v>0</v>
      </c>
      <c r="H212" s="77">
        <f t="shared" ref="H212:H216" si="20">(F212+(IF(G212&lt;101,G212,IF(G212&lt;201,G212/2,IF(G212&lt;=301,G212/3,G212/4)))))*(($H$118)+1)</f>
        <v>324.22900000000004</v>
      </c>
      <c r="I212" s="33"/>
      <c r="L212" s="97"/>
      <c r="M212" s="97"/>
      <c r="N212" s="33"/>
    </row>
    <row r="213" spans="1:20" s="71" customFormat="1" ht="15.75" hidden="1" customHeight="1" x14ac:dyDescent="0.25">
      <c r="A213" s="98">
        <f>A212+1</f>
        <v>2</v>
      </c>
      <c r="B213" s="99"/>
      <c r="C213" s="72" t="s">
        <v>302</v>
      </c>
      <c r="D213" s="72">
        <f>179.28</f>
        <v>179.28</v>
      </c>
      <c r="E213" s="72">
        <v>0</v>
      </c>
      <c r="F213" s="72">
        <f>D213+E213</f>
        <v>179.28</v>
      </c>
      <c r="G213" s="72">
        <v>0</v>
      </c>
      <c r="H213" s="77">
        <f t="shared" si="20"/>
        <v>277.88400000000001</v>
      </c>
      <c r="I213" s="33"/>
      <c r="L213" s="97"/>
      <c r="M213" s="97"/>
      <c r="N213" s="33"/>
    </row>
    <row r="214" spans="1:20" s="71" customFormat="1" ht="15.75" hidden="1" customHeight="1" x14ac:dyDescent="0.25">
      <c r="A214" s="98">
        <f>A213+1</f>
        <v>3</v>
      </c>
      <c r="B214" s="99"/>
      <c r="C214" s="72" t="s">
        <v>302</v>
      </c>
      <c r="D214" s="72">
        <f>179.04</f>
        <v>179.04</v>
      </c>
      <c r="E214" s="72">
        <v>0</v>
      </c>
      <c r="F214" s="72">
        <f>D214+E214</f>
        <v>179.04</v>
      </c>
      <c r="G214" s="72">
        <v>0</v>
      </c>
      <c r="H214" s="77">
        <f t="shared" si="20"/>
        <v>277.512</v>
      </c>
      <c r="I214" s="33"/>
      <c r="L214" s="97"/>
      <c r="M214" s="97"/>
      <c r="N214" s="33"/>
      <c r="T214" s="18"/>
    </row>
    <row r="215" spans="1:20" s="71" customFormat="1" ht="15.75" hidden="1" customHeight="1" x14ac:dyDescent="0.25">
      <c r="A215" s="98">
        <f>A214+1</f>
        <v>4</v>
      </c>
      <c r="B215" s="99"/>
      <c r="C215" s="72" t="s">
        <v>302</v>
      </c>
      <c r="D215" s="72">
        <f>254.41</f>
        <v>254.41</v>
      </c>
      <c r="E215" s="72">
        <v>0</v>
      </c>
      <c r="F215" s="72">
        <f>D215+E215</f>
        <v>254.41</v>
      </c>
      <c r="G215" s="72">
        <v>0</v>
      </c>
      <c r="H215" s="77">
        <f t="shared" si="20"/>
        <v>394.33550000000002</v>
      </c>
      <c r="I215" s="33"/>
      <c r="L215" s="97"/>
      <c r="M215" s="97"/>
      <c r="N215" s="33"/>
      <c r="T215" s="18"/>
    </row>
    <row r="216" spans="1:20" s="34" customFormat="1" hidden="1" x14ac:dyDescent="0.25">
      <c r="A216" s="98" t="s">
        <v>305</v>
      </c>
      <c r="B216" s="99"/>
      <c r="C216" s="72" t="s">
        <v>302</v>
      </c>
      <c r="D216" s="72">
        <f>6.47</f>
        <v>6.47</v>
      </c>
      <c r="E216" s="72">
        <v>0</v>
      </c>
      <c r="F216" s="72">
        <f>D216+E216</f>
        <v>6.47</v>
      </c>
      <c r="G216" s="72">
        <v>0</v>
      </c>
      <c r="H216" s="77">
        <f t="shared" si="20"/>
        <v>10.028499999999999</v>
      </c>
      <c r="I216" s="33"/>
      <c r="N216" s="33"/>
    </row>
    <row r="217" spans="1:20" hidden="1" x14ac:dyDescent="0.25">
      <c r="A217" s="98"/>
      <c r="B217" s="100"/>
      <c r="C217" s="100"/>
      <c r="D217" s="100"/>
      <c r="E217" s="100"/>
      <c r="F217" s="100"/>
      <c r="G217" s="100"/>
      <c r="H217" s="99"/>
      <c r="I217" s="33"/>
      <c r="T217" s="34"/>
    </row>
    <row r="218" spans="1:20" s="34" customFormat="1" ht="47.25" hidden="1" x14ac:dyDescent="0.25">
      <c r="A218" s="222" t="s">
        <v>114</v>
      </c>
      <c r="B218" s="127" t="s">
        <v>174</v>
      </c>
      <c r="C218" s="127" t="s">
        <v>53</v>
      </c>
      <c r="D218" s="229" t="s">
        <v>229</v>
      </c>
      <c r="E218" s="127" t="s">
        <v>228</v>
      </c>
      <c r="F218" s="127" t="s">
        <v>54</v>
      </c>
      <c r="G218" s="129" t="s">
        <v>55</v>
      </c>
      <c r="H218" s="61" t="s">
        <v>145</v>
      </c>
      <c r="I218" s="33"/>
    </row>
    <row r="219" spans="1:20" s="63" customFormat="1" hidden="1" x14ac:dyDescent="0.25">
      <c r="A219" s="223"/>
      <c r="B219" s="128"/>
      <c r="C219" s="128"/>
      <c r="D219" s="230"/>
      <c r="E219" s="128"/>
      <c r="F219" s="128"/>
      <c r="G219" s="130"/>
      <c r="H219" s="49">
        <v>0.5</v>
      </c>
      <c r="J219" s="33"/>
    </row>
    <row r="220" spans="1:20" s="34" customFormat="1" hidden="1" x14ac:dyDescent="0.25">
      <c r="A220" s="91" t="s">
        <v>301</v>
      </c>
      <c r="B220" s="92"/>
      <c r="C220" s="92"/>
      <c r="D220" s="92"/>
      <c r="E220" s="92"/>
      <c r="F220" s="92"/>
      <c r="G220" s="92"/>
      <c r="H220" s="93"/>
      <c r="J220" s="33"/>
    </row>
    <row r="221" spans="1:20" s="34" customFormat="1" ht="15.75" hidden="1" customHeight="1" x14ac:dyDescent="0.25">
      <c r="A221" s="91" t="s">
        <v>303</v>
      </c>
      <c r="B221" s="92"/>
      <c r="C221" s="92"/>
      <c r="D221" s="92"/>
      <c r="E221" s="92"/>
      <c r="F221" s="92"/>
      <c r="G221" s="92"/>
      <c r="H221" s="93"/>
      <c r="I221" s="33"/>
      <c r="L221" s="97"/>
      <c r="M221" s="97"/>
      <c r="N221" s="33"/>
    </row>
    <row r="222" spans="1:20" s="34" customFormat="1" ht="15.75" hidden="1" customHeight="1" x14ac:dyDescent="0.25">
      <c r="A222" s="98">
        <v>1</v>
      </c>
      <c r="B222" s="99"/>
      <c r="C222" s="39"/>
      <c r="D222" s="39"/>
      <c r="E222" s="39">
        <v>0</v>
      </c>
      <c r="F222" s="39">
        <f>D222+E222</f>
        <v>0</v>
      </c>
      <c r="G222" s="48">
        <v>0</v>
      </c>
      <c r="H222" s="48">
        <f>F222*(($H$219)+1)+(IF(G222&lt;101,G222,IF(G222&lt;201,G222/2,IF(G222&lt;=301,G222/3,G222/4))))</f>
        <v>0</v>
      </c>
      <c r="I222" s="33"/>
      <c r="L222" s="97"/>
      <c r="M222" s="97"/>
      <c r="N222" s="33"/>
    </row>
    <row r="223" spans="1:20" s="34" customFormat="1" ht="15.75" hidden="1" customHeight="1" x14ac:dyDescent="0.25">
      <c r="A223" s="98">
        <f>A222+1</f>
        <v>2</v>
      </c>
      <c r="B223" s="99"/>
      <c r="C223" s="39"/>
      <c r="D223" s="39"/>
      <c r="E223" s="39">
        <v>0</v>
      </c>
      <c r="F223" s="48">
        <f>D223+E223</f>
        <v>0</v>
      </c>
      <c r="G223" s="48">
        <v>0</v>
      </c>
      <c r="H223" s="48">
        <f>F223*(($H$219)+1)+(IF(G223&lt;101,G223,IF(G223&lt;201,G223/2,IF(G223&lt;=301,G223/3,G223/4))))</f>
        <v>0</v>
      </c>
      <c r="I223" s="33"/>
      <c r="L223" s="97"/>
      <c r="M223" s="97"/>
      <c r="N223" s="33"/>
    </row>
    <row r="224" spans="1:20" s="34" customFormat="1" ht="15.75" hidden="1" customHeight="1" x14ac:dyDescent="0.25">
      <c r="A224" s="98">
        <f>A223+1</f>
        <v>3</v>
      </c>
      <c r="B224" s="99"/>
      <c r="C224" s="39"/>
      <c r="D224" s="39"/>
      <c r="E224" s="39">
        <v>0</v>
      </c>
      <c r="F224" s="48">
        <f>D224+E224</f>
        <v>0</v>
      </c>
      <c r="G224" s="48">
        <v>0</v>
      </c>
      <c r="H224" s="48">
        <f>F224*(($H$219)+1)+(IF(G224&lt;101,G224,IF(G224&lt;201,G224/2,IF(G224&lt;=301,G224/3,G224/4))))</f>
        <v>0</v>
      </c>
      <c r="I224" s="33"/>
      <c r="L224" s="97"/>
      <c r="M224" s="97"/>
      <c r="N224" s="33"/>
      <c r="T224" s="18"/>
    </row>
    <row r="225" spans="1:14" s="34" customFormat="1" hidden="1" x14ac:dyDescent="0.25">
      <c r="A225" s="98">
        <f>A224+1</f>
        <v>4</v>
      </c>
      <c r="B225" s="99"/>
      <c r="C225" s="39"/>
      <c r="D225" s="39"/>
      <c r="E225" s="39">
        <v>0</v>
      </c>
      <c r="F225" s="48">
        <f>D225+E225</f>
        <v>0</v>
      </c>
      <c r="G225" s="48">
        <v>0</v>
      </c>
      <c r="H225" s="48">
        <f>F225*(($H$219)+1)+(IF(G225&lt;101,G225,IF(G225&lt;201,G225/2,IF(G225&lt;=301,G225/3,G225/4))))</f>
        <v>0</v>
      </c>
      <c r="I225" s="33"/>
      <c r="L225" s="97"/>
      <c r="M225" s="97"/>
    </row>
    <row r="226" spans="1:14" s="34" customFormat="1" hidden="1" x14ac:dyDescent="0.25">
      <c r="A226" s="217" t="s">
        <v>113</v>
      </c>
      <c r="B226" s="217"/>
      <c r="C226" s="217"/>
      <c r="D226" s="217"/>
      <c r="E226" s="217"/>
      <c r="F226" s="217"/>
      <c r="G226" s="217"/>
      <c r="H226" s="217"/>
      <c r="I226" s="33"/>
      <c r="N226" s="33"/>
    </row>
    <row r="227" spans="1:14" s="34" customFormat="1" hidden="1" x14ac:dyDescent="0.25">
      <c r="A227" s="122">
        <f>LEFT(A226,SUM(LEN(A226)-LEN(SUBSTITUTE(A226,{"0","1","2","3","4","5","6","7","8","9"},""))))*100+1</f>
        <v>201</v>
      </c>
      <c r="B227" s="122"/>
      <c r="C227" s="39"/>
      <c r="D227" s="39"/>
      <c r="E227" s="48">
        <v>0</v>
      </c>
      <c r="F227" s="48">
        <f>D227+E227</f>
        <v>0</v>
      </c>
      <c r="G227" s="48">
        <v>0</v>
      </c>
      <c r="H227" s="48">
        <f>F227*(($H$219)+1)+(IF(G227&lt;101,G227,IF(G227&lt;201,G227/2,IF(G227&lt;=301,G227/3,G227/4))))</f>
        <v>0</v>
      </c>
      <c r="I227" s="33"/>
      <c r="N227" s="33"/>
    </row>
    <row r="228" spans="1:14" s="34" customFormat="1" hidden="1" x14ac:dyDescent="0.25">
      <c r="A228" s="122">
        <f>A227+1</f>
        <v>202</v>
      </c>
      <c r="B228" s="122"/>
      <c r="C228" s="39"/>
      <c r="D228" s="39"/>
      <c r="E228" s="48">
        <v>0</v>
      </c>
      <c r="F228" s="48">
        <f>D228+E228</f>
        <v>0</v>
      </c>
      <c r="G228" s="48">
        <v>0</v>
      </c>
      <c r="H228" s="48">
        <f>F228*(($H$219)+1)+(IF(G228&lt;101,G228,IF(G228&lt;201,G228/2,IF(G228&lt;=301,G228/3,G228/4))))</f>
        <v>0</v>
      </c>
      <c r="I228" s="33"/>
      <c r="N228" s="33"/>
    </row>
    <row r="229" spans="1:14" s="34" customFormat="1" hidden="1" x14ac:dyDescent="0.25">
      <c r="A229" s="122">
        <f>A228+1</f>
        <v>203</v>
      </c>
      <c r="B229" s="122"/>
      <c r="C229" s="39"/>
      <c r="D229" s="39"/>
      <c r="E229" s="48">
        <v>0</v>
      </c>
      <c r="F229" s="48">
        <f>D229+E229</f>
        <v>0</v>
      </c>
      <c r="G229" s="48">
        <v>0</v>
      </c>
      <c r="H229" s="48">
        <f>F229*(($H$219)+1)+(IF(G229&lt;101,G229,IF(G229&lt;201,G229/2,IF(G229&lt;=301,G229/3,G229/4))))</f>
        <v>0</v>
      </c>
      <c r="I229" s="33"/>
      <c r="N229" s="33"/>
    </row>
    <row r="230" spans="1:14" s="34" customFormat="1" hidden="1" x14ac:dyDescent="0.25">
      <c r="A230" s="122">
        <f>A229+1</f>
        <v>204</v>
      </c>
      <c r="B230" s="122"/>
      <c r="C230" s="39"/>
      <c r="D230" s="39"/>
      <c r="E230" s="48">
        <v>0</v>
      </c>
      <c r="F230" s="48">
        <f>D230+E230</f>
        <v>0</v>
      </c>
      <c r="G230" s="48">
        <v>0</v>
      </c>
      <c r="H230" s="48">
        <f>F230*(($H$219)+1)+(IF(G230&lt;101,G230,IF(G230&lt;201,G230/2,IF(G230&lt;=301,G230/3,G230/4))))</f>
        <v>0</v>
      </c>
      <c r="I230" s="33"/>
      <c r="N230" s="33"/>
    </row>
    <row r="231" spans="1:14" s="34" customFormat="1" ht="15.75" hidden="1" customHeight="1" x14ac:dyDescent="0.25">
      <c r="A231" s="122">
        <f>A230+1</f>
        <v>205</v>
      </c>
      <c r="B231" s="122"/>
      <c r="C231" s="39"/>
      <c r="D231" s="39"/>
      <c r="E231" s="48">
        <v>0</v>
      </c>
      <c r="F231" s="48">
        <f>D231+E231</f>
        <v>0</v>
      </c>
      <c r="G231" s="48">
        <v>0</v>
      </c>
      <c r="H231" s="48">
        <f>F231*(($H$219)+1)+(IF(G231&lt;101,G231,IF(G231&lt;201,G231/2,IF(G231&lt;=301,G231/3,G231/4))))</f>
        <v>0</v>
      </c>
      <c r="I231" s="33"/>
    </row>
    <row r="232" spans="1:14" s="34" customFormat="1" ht="15.75" hidden="1" customHeight="1" x14ac:dyDescent="0.25">
      <c r="A232" s="91" t="s">
        <v>146</v>
      </c>
      <c r="B232" s="92"/>
      <c r="C232" s="92"/>
      <c r="D232" s="92"/>
      <c r="E232" s="92"/>
      <c r="F232" s="92"/>
      <c r="G232" s="92"/>
      <c r="H232" s="93"/>
      <c r="I232" s="33"/>
    </row>
    <row r="233" spans="1:14" s="34" customFormat="1" ht="15.75" hidden="1" customHeight="1" x14ac:dyDescent="0.25">
      <c r="A233" s="98"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10^ROW(INDIRECT("1:"&amp;LEN((LEFT(A232,SUM(LEN(A232)-LEN(SUBSTITUTE(A232,{"0","1","2"},""))))))))/10))*100+1&amp;""&amp;" ,..,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",LEN(A232))),LEN(A232)))))))/10))*100+1</f>
        <v>301 ,.., 1501</v>
      </c>
      <c r="B233" s="99"/>
      <c r="C233" s="39"/>
      <c r="D233" s="39"/>
      <c r="E233" s="48">
        <v>0</v>
      </c>
      <c r="F233" s="48">
        <f>D233+E233</f>
        <v>0</v>
      </c>
      <c r="G233" s="48">
        <v>0</v>
      </c>
      <c r="H233" s="48">
        <f>F233*(($H$219)+1)+(IF(G233&lt;101,G233,IF(G233&lt;201,G233/2,IF(G233&lt;=301,G233/3,G233/4))))</f>
        <v>0</v>
      </c>
      <c r="I233" s="33"/>
    </row>
    <row r="234" spans="1:14" s="34" customFormat="1" ht="15.75" hidden="1" customHeight="1" x14ac:dyDescent="0.25">
      <c r="A234" s="98"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302 ,.., 1502</v>
      </c>
      <c r="B234" s="99"/>
      <c r="C234" s="39"/>
      <c r="D234" s="39"/>
      <c r="E234" s="48">
        <v>0</v>
      </c>
      <c r="F234" s="48">
        <f>D234+E234</f>
        <v>0</v>
      </c>
      <c r="G234" s="48">
        <v>0</v>
      </c>
      <c r="H234" s="48">
        <f>F234*(($H$219)+1)+(IF(G234&lt;101,G234,IF(G234&lt;201,G234/2,IF(G234&lt;=301,G234/3,G234/4))))</f>
        <v>0</v>
      </c>
      <c r="I234" s="33"/>
    </row>
    <row r="235" spans="1:14" s="34" customFormat="1" ht="15.75" hidden="1" customHeight="1" x14ac:dyDescent="0.25">
      <c r="A235" s="98"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303 ,.., 1503</v>
      </c>
      <c r="B235" s="99"/>
      <c r="C235" s="39"/>
      <c r="D235" s="39"/>
      <c r="E235" s="48">
        <v>0</v>
      </c>
      <c r="F235" s="48">
        <f>D235+E235</f>
        <v>0</v>
      </c>
      <c r="G235" s="48">
        <v>0</v>
      </c>
      <c r="H235" s="48">
        <f>F235*(($H$219)+1)+(IF(G235&lt;101,G235,IF(G235&lt;201,G235/2,IF(G235&lt;=301,G235/3,G235/4))))</f>
        <v>0</v>
      </c>
      <c r="I235" s="33"/>
    </row>
    <row r="236" spans="1:14" s="34" customFormat="1" ht="15.75" hidden="1" customHeight="1" x14ac:dyDescent="0.25">
      <c r="A236" s="98"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304 ,.., 1504</v>
      </c>
      <c r="B236" s="99"/>
      <c r="C236" s="39"/>
      <c r="D236" s="39"/>
      <c r="E236" s="48">
        <v>0</v>
      </c>
      <c r="F236" s="48">
        <f>D236+E236</f>
        <v>0</v>
      </c>
      <c r="G236" s="48">
        <v>0</v>
      </c>
      <c r="H236" s="48">
        <f>F236*(($H$219)+1)+(IF(G236&lt;101,G236,IF(G236&lt;201,G236/2,IF(G236&lt;=301,G236/3,G236/4))))</f>
        <v>0</v>
      </c>
      <c r="I236" s="33"/>
    </row>
    <row r="237" spans="1:14" s="34" customFormat="1" hidden="1" x14ac:dyDescent="0.25">
      <c r="A237" s="98"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10^ROW(INDIRECT("1:"&amp;LEN((LEFT(A236,SUM(LEN(A236)-LEN(SUBSTITUTE(A236,{"0","1","2"},""))))))))/10))*1+1&amp;""&amp;" ,..,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",LEN(A236))),LEN(A236)))))))/10))*1+1</f>
        <v>305 ,.., 1505</v>
      </c>
      <c r="B237" s="99"/>
      <c r="C237" s="39"/>
      <c r="D237" s="39"/>
      <c r="E237" s="48">
        <v>0</v>
      </c>
      <c r="F237" s="48">
        <f>D237+E237</f>
        <v>0</v>
      </c>
      <c r="G237" s="48">
        <v>0</v>
      </c>
      <c r="H237" s="48">
        <f>F237*(($H$219)+1)+(IF(G237&lt;101,G237,IF(G237&lt;201,G237/2,IF(G237&lt;=301,G237/3,G237/4))))</f>
        <v>0</v>
      </c>
      <c r="I237" s="33"/>
    </row>
    <row r="238" spans="1:14" s="34" customFormat="1" ht="15.75" hidden="1" customHeight="1" x14ac:dyDescent="0.25">
      <c r="A238" s="91" t="s">
        <v>140</v>
      </c>
      <c r="B238" s="92"/>
      <c r="C238" s="92"/>
      <c r="D238" s="92"/>
      <c r="E238" s="92"/>
      <c r="F238" s="92"/>
      <c r="G238" s="92"/>
      <c r="H238" s="93"/>
      <c r="I238" s="33"/>
    </row>
    <row r="239" spans="1:14" s="34" customFormat="1" ht="15.75" hidden="1" customHeight="1" x14ac:dyDescent="0.25">
      <c r="A239" s="98"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10^ROW(INDIRECT("1:"&amp;LEN((LEFT(A238,SUM(LEN(A238)-LEN(SUBSTITUTE(A238,{"0","1","2"},""))))))))/10))*100+1&amp;""&amp;" to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",LEN(A238))),LEN(A238)))))))/10))*100+1</f>
        <v>201 to 501</v>
      </c>
      <c r="B239" s="99"/>
      <c r="C239" s="39"/>
      <c r="D239" s="39"/>
      <c r="E239" s="48">
        <v>0</v>
      </c>
      <c r="F239" s="48">
        <f>D239+E239</f>
        <v>0</v>
      </c>
      <c r="G239" s="48">
        <v>0</v>
      </c>
      <c r="H239" s="48">
        <f>F239*(($H$219)+1)+(IF(G239&lt;101,G239,IF(G239&lt;201,G239/2,IF(G239&lt;=301,G239/3,G239/4))))</f>
        <v>0</v>
      </c>
      <c r="I239" s="33"/>
    </row>
    <row r="240" spans="1:14" s="34" customFormat="1" ht="15.75" hidden="1" customHeight="1" x14ac:dyDescent="0.25">
      <c r="A240" s="98"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10^ROW(INDIRECT("1:"&amp;LEN((LEFT(A239,SUM(LEN(A239)-LEN(SUBSTITUTE(A239,{"0","1","2"},""))))))))/10))*1+1&amp;""&amp;" to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",LEN(A239))),LEN(A239)))))))/10))*1+1</f>
        <v>202 to 502</v>
      </c>
      <c r="B240" s="99"/>
      <c r="C240" s="39"/>
      <c r="D240" s="39"/>
      <c r="E240" s="48">
        <v>0</v>
      </c>
      <c r="F240" s="48">
        <f>D240+E240</f>
        <v>0</v>
      </c>
      <c r="G240" s="48">
        <v>0</v>
      </c>
      <c r="H240" s="48">
        <f>F240*(($H$219)+1)+(IF(G240&lt;101,G240,IF(G240&lt;201,G240/2,IF(G240&lt;=301,G240/3,G240/4))))</f>
        <v>0</v>
      </c>
      <c r="I240" s="33"/>
    </row>
    <row r="241" spans="1:20" s="34" customFormat="1" ht="15.75" hidden="1" customHeight="1" x14ac:dyDescent="0.25">
      <c r="A241" s="98"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to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203 to 503</v>
      </c>
      <c r="B241" s="99"/>
      <c r="C241" s="39"/>
      <c r="D241" s="39"/>
      <c r="E241" s="48">
        <v>0</v>
      </c>
      <c r="F241" s="48">
        <f>D241+E241</f>
        <v>0</v>
      </c>
      <c r="G241" s="48">
        <v>0</v>
      </c>
      <c r="H241" s="48">
        <f>F241*(($H$219)+1)+(IF(G241&lt;101,G241,IF(G241&lt;201,G241/2,IF(G241&lt;=301,G241/3,G241/4))))</f>
        <v>0</v>
      </c>
      <c r="I241" s="33"/>
    </row>
    <row r="242" spans="1:20" s="34" customFormat="1" ht="15.75" hidden="1" customHeight="1" x14ac:dyDescent="0.25">
      <c r="A242" s="98"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to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204 to 504</v>
      </c>
      <c r="B242" s="99"/>
      <c r="C242" s="39"/>
      <c r="D242" s="39"/>
      <c r="E242" s="48">
        <v>0</v>
      </c>
      <c r="F242" s="48">
        <f>D242+E242</f>
        <v>0</v>
      </c>
      <c r="G242" s="48">
        <v>0</v>
      </c>
      <c r="H242" s="48">
        <f>F242*(($H$219)+1)+(IF(G242&lt;101,G242,IF(G242&lt;201,G242/2,IF(G242&lt;=301,G242/3,G242/4))))</f>
        <v>0</v>
      </c>
      <c r="I242" s="33"/>
    </row>
    <row r="243" spans="1:20" s="34" customFormat="1" hidden="1" x14ac:dyDescent="0.25">
      <c r="A243" s="98"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to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205 to 505</v>
      </c>
      <c r="B243" s="99"/>
      <c r="C243" s="39"/>
      <c r="D243" s="39"/>
      <c r="E243" s="48">
        <v>0</v>
      </c>
      <c r="F243" s="48">
        <f>D243+E243</f>
        <v>0</v>
      </c>
      <c r="G243" s="48">
        <v>0</v>
      </c>
      <c r="H243" s="48">
        <f>F243*(($H$219)+1)+(IF(G243&lt;101,G243,IF(G243&lt;201,G243/2,IF(G243&lt;=301,G243/3,G243/4))))</f>
        <v>0</v>
      </c>
      <c r="I243" s="33"/>
    </row>
    <row r="244" spans="1:20" s="34" customFormat="1" ht="15.75" hidden="1" customHeight="1" x14ac:dyDescent="0.25">
      <c r="A244" s="91" t="s">
        <v>141</v>
      </c>
      <c r="B244" s="92"/>
      <c r="C244" s="92"/>
      <c r="D244" s="92"/>
      <c r="E244" s="92"/>
      <c r="F244" s="92"/>
      <c r="G244" s="92"/>
      <c r="H244" s="93"/>
      <c r="I244" s="33"/>
    </row>
    <row r="245" spans="1:20" s="34" customFormat="1" ht="15.75" hidden="1" customHeight="1" x14ac:dyDescent="0.25">
      <c r="A245" s="98" t="str">
        <f ca="1">(SUMPRODUCT(MID(0&amp;(LEFT(A244,SUM(LEN(A244)-LEN(SUBSTITUTE(A244,{"0","1","2"},""))))), LARGE(INDEX(ISNUMBER(--MID((LEFT(A244,SUM(LEN(A244)-LEN(SUBSTITUTE(A244,{"0","1","2"},""))))), ROW(INDIRECT("1:"&amp;LEN((LEFT(A244,SUM(LEN(A244)-LEN(SUBSTITUTE(A244,{"0","1","2"},"")))))))), 1)) * ROW(INDIRECT("1:"&amp;LEN((LEFT(A244,SUM(LEN(A244)-LEN(SUBSTITUTE(A244,{"0","1","2"},"")))))))), 0), ROW(INDIRECT("1:"&amp;LEN((LEFT(A244,SUM(LEN(A244)-LEN(SUBSTITUTE(A244,{"0","1","2"},"")))))))))+1, 1) * 10^ROW(INDIRECT("1:"&amp;LEN((LEFT(A244,SUM(LEN(A244)-LEN(SUBSTITUTE(A244,{"0","1","2"},""))))))))/10))*100+1&amp;""&amp;" &amp; "&amp;""&amp;(SUMPRODUCT(MID(0&amp;(--TRIM(RIGHT(SUBSTITUTE(LEFT(A244,_xlfn.AGGREGATE(16,6,FIND({0,1,2,3,4,5,6,7,8,9},A244,ROW(INDIRECT("1:"&amp;LEN(A244)))),1))," ",REPT(" ",LEN(A244))),LEN(A244)))), LARGE(INDEX(ISNUMBER(--MID((--TRIM(RIGHT(SUBSTITUTE(LEFT(A244,_xlfn.AGGREGATE(16,6,FIND({0,1,2,3,4,5,6,7,8,9},A244,ROW(INDIRECT("1:"&amp;LEN(A244)))),1))," ",REPT(" ",LEN(A244))),LEN(A244)))), ROW(INDIRECT("1:"&amp;LEN((--TRIM(RIGHT(SUBSTITUTE(LEFT(A244,_xlfn.AGGREGATE(16,6,FIND({0,1,2,3,4,5,6,7,8,9},A244,ROW(INDIRECT("1:"&amp;LEN(A244)))),1))," ",REPT(" ",LEN(A244))),LEN(A244))))))), 1)) * ROW(INDIRECT("1:"&amp;LEN((--TRIM(RIGHT(SUBSTITUTE(LEFT(A244,_xlfn.AGGREGATE(16,6,FIND({0,1,2,3,4,5,6,7,8,9},A244,ROW(INDIRECT("1:"&amp;LEN(A244)))),1))," ",REPT(" ",LEN(A244))),LEN(A244))))))), 0), ROW(INDIRECT("1:"&amp;LEN((--TRIM(RIGHT(SUBSTITUTE(LEFT(A244,_xlfn.AGGREGATE(16,6,FIND({0,1,2,3,4,5,6,7,8,9},A244,ROW(INDIRECT("1:"&amp;LEN(A244)))),1))," ",REPT(" ",LEN(A244))),LEN(A244))))))))+1, 1) * 10^ROW(INDIRECT("1:"&amp;LEN((--TRIM(RIGHT(SUBSTITUTE(LEFT(A244,_xlfn.AGGREGATE(16,6,FIND({0,1,2,3,4,5,6,7,8,9},A244,ROW(INDIRECT("1:"&amp;LEN(A244)))),1))," ",REPT(" ",LEN(A244))),LEN(A244)))))))/10))*100+1</f>
        <v>201 &amp; 501</v>
      </c>
      <c r="B245" s="99"/>
      <c r="C245" s="39"/>
      <c r="D245" s="39"/>
      <c r="E245" s="48">
        <v>0</v>
      </c>
      <c r="F245" s="48">
        <f>D245+E245</f>
        <v>0</v>
      </c>
      <c r="G245" s="48">
        <v>0</v>
      </c>
      <c r="H245" s="48">
        <f>F245*(($H$219)+1)+(IF(G245&lt;101,G245,IF(G245&lt;201,G245/2,IF(G245&lt;=301,G245/3,G245/4))))</f>
        <v>0</v>
      </c>
      <c r="I245" s="33"/>
    </row>
    <row r="246" spans="1:20" s="34" customFormat="1" ht="15.75" hidden="1" customHeight="1" x14ac:dyDescent="0.25">
      <c r="A246" s="98" t="str">
        <f ca="1">(SUMPRODUCT(MID(0&amp;(LEFT(A245,SUM(LEN(A245)-LEN(SUBSTITUTE(A245,{"0","1","2"},""))))), LARGE(INDEX(ISNUMBER(--MID((LEFT(A245,SUM(LEN(A245)-LEN(SUBSTITUTE(A245,{"0","1","2"},""))))), ROW(INDIRECT("1:"&amp;LEN((LEFT(A245,SUM(LEN(A245)-LEN(SUBSTITUTE(A245,{"0","1","2"},"")))))))), 1)) * ROW(INDIRECT("1:"&amp;LEN((LEFT(A245,SUM(LEN(A245)-LEN(SUBSTITUTE(A245,{"0","1","2"},"")))))))), 0), ROW(INDIRECT("1:"&amp;LEN((LEFT(A245,SUM(LEN(A245)-LEN(SUBSTITUTE(A245,{"0","1","2"},"")))))))))+1, 1) * 10^ROW(INDIRECT("1:"&amp;LEN((LEFT(A245,SUM(LEN(A245)-LEN(SUBSTITUTE(A245,{"0","1","2"},""))))))))/10))*1+1&amp;""&amp;" &amp; "&amp;""&amp;(SUMPRODUCT(MID(0&amp;(--TRIM(RIGHT(SUBSTITUTE(LEFT(A245,_xlfn.AGGREGATE(16,6,FIND({0,1,2,3,4,5,6,7,8,9},A245,ROW(INDIRECT("1:"&amp;LEN(A245)))),1))," ",REPT(" ",LEN(A245))),LEN(A245)))), LARGE(INDEX(ISNUMBER(--MID((--TRIM(RIGHT(SUBSTITUTE(LEFT(A245,_xlfn.AGGREGATE(16,6,FIND({0,1,2,3,4,5,6,7,8,9},A245,ROW(INDIRECT("1:"&amp;LEN(A245)))),1))," ",REPT(" ",LEN(A245))),LEN(A245)))), ROW(INDIRECT("1:"&amp;LEN((--TRIM(RIGHT(SUBSTITUTE(LEFT(A245,_xlfn.AGGREGATE(16,6,FIND({0,1,2,3,4,5,6,7,8,9},A245,ROW(INDIRECT("1:"&amp;LEN(A245)))),1))," ",REPT(" ",LEN(A245))),LEN(A245))))))), 1)) * ROW(INDIRECT("1:"&amp;LEN((--TRIM(RIGHT(SUBSTITUTE(LEFT(A245,_xlfn.AGGREGATE(16,6,FIND({0,1,2,3,4,5,6,7,8,9},A245,ROW(INDIRECT("1:"&amp;LEN(A245)))),1))," ",REPT(" ",LEN(A245))),LEN(A245))))))), 0), ROW(INDIRECT("1:"&amp;LEN((--TRIM(RIGHT(SUBSTITUTE(LEFT(A245,_xlfn.AGGREGATE(16,6,FIND({0,1,2,3,4,5,6,7,8,9},A245,ROW(INDIRECT("1:"&amp;LEN(A245)))),1))," ",REPT(" ",LEN(A245))),LEN(A245))))))))+1, 1) * 10^ROW(INDIRECT("1:"&amp;LEN((--TRIM(RIGHT(SUBSTITUTE(LEFT(A245,_xlfn.AGGREGATE(16,6,FIND({0,1,2,3,4,5,6,7,8,9},A245,ROW(INDIRECT("1:"&amp;LEN(A245)))),1))," ",REPT(" ",LEN(A245))),LEN(A245)))))))/10))*1+1</f>
        <v>202 &amp; 502</v>
      </c>
      <c r="B246" s="99"/>
      <c r="C246" s="39"/>
      <c r="D246" s="39"/>
      <c r="E246" s="48">
        <v>0</v>
      </c>
      <c r="F246" s="48">
        <f>D246+E246</f>
        <v>0</v>
      </c>
      <c r="G246" s="48">
        <v>0</v>
      </c>
      <c r="H246" s="48">
        <f>F246*(($H$219)+1)+(IF(G246&lt;101,G246,IF(G246&lt;201,G246/2,IF(G246&lt;=301,G246/3,G246/4))))</f>
        <v>0</v>
      </c>
      <c r="I246" s="33"/>
    </row>
    <row r="247" spans="1:20" s="34" customFormat="1" ht="15.75" hidden="1" customHeight="1" x14ac:dyDescent="0.25">
      <c r="A247" s="98"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10^ROW(INDIRECT("1:"&amp;LEN((LEFT(A246,SUM(LEN(A246)-LEN(SUBSTITUTE(A246,{"0","1","2"},""))))))))/10))*1+1&amp;""&amp;" &amp;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",LEN(A246))),LEN(A246)))))))/10))*1+1</f>
        <v>203 &amp; 503</v>
      </c>
      <c r="B247" s="99"/>
      <c r="C247" s="39"/>
      <c r="D247" s="39"/>
      <c r="E247" s="48">
        <v>0</v>
      </c>
      <c r="F247" s="48">
        <f>D247+E247</f>
        <v>0</v>
      </c>
      <c r="G247" s="48">
        <v>0</v>
      </c>
      <c r="H247" s="48">
        <f>F247*(($H$219)+1)+(IF(G247&lt;101,G247,IF(G247&lt;201,G247/2,IF(G247&lt;=301,G247/3,G247/4))))</f>
        <v>0</v>
      </c>
      <c r="I247" s="33"/>
    </row>
    <row r="248" spans="1:20" s="34" customFormat="1" ht="15.75" hidden="1" customHeight="1" x14ac:dyDescent="0.25">
      <c r="A248" s="98"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&amp;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204 &amp; 504</v>
      </c>
      <c r="B248" s="99"/>
      <c r="C248" s="39"/>
      <c r="D248" s="39"/>
      <c r="E248" s="48">
        <v>0</v>
      </c>
      <c r="F248" s="48">
        <f>D248+E248</f>
        <v>0</v>
      </c>
      <c r="G248" s="48">
        <v>0</v>
      </c>
      <c r="H248" s="48">
        <f>F248*(($H$219)+1)+(IF(G248&lt;101,G248,IF(G248&lt;201,G248/2,IF(G248&lt;=301,G248/3,G248/4))))</f>
        <v>0</v>
      </c>
      <c r="I248" s="33"/>
    </row>
    <row r="249" spans="1:20" s="32" customFormat="1" hidden="1" x14ac:dyDescent="0.25">
      <c r="A249" s="98"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&amp;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205 &amp; 505</v>
      </c>
      <c r="B249" s="99"/>
      <c r="C249" s="39"/>
      <c r="D249" s="39"/>
      <c r="E249" s="48">
        <v>0</v>
      </c>
      <c r="F249" s="48">
        <f>D249+E249</f>
        <v>0</v>
      </c>
      <c r="G249" s="48">
        <v>0</v>
      </c>
      <c r="H249" s="48">
        <f>F249*(($H$219)+1)+(IF(G249&lt;101,G249,IF(G249&lt;201,G249/2,IF(G249&lt;=301,G249/3,G249/4))))</f>
        <v>0</v>
      </c>
      <c r="T249" s="34"/>
    </row>
    <row r="250" spans="1:20" s="32" customFormat="1" x14ac:dyDescent="0.25">
      <c r="A250" s="224" t="s">
        <v>63</v>
      </c>
      <c r="B250" s="224"/>
      <c r="C250" s="224"/>
      <c r="D250" s="224"/>
      <c r="E250" s="224"/>
      <c r="F250" s="224"/>
      <c r="G250" s="224"/>
      <c r="H250" s="224"/>
      <c r="T250" s="64"/>
    </row>
    <row r="251" spans="1:20" s="32" customFormat="1" ht="15.75" customHeight="1" x14ac:dyDescent="0.25">
      <c r="A251" s="78" t="s">
        <v>150</v>
      </c>
      <c r="B251" s="86" t="s">
        <v>341</v>
      </c>
      <c r="C251" s="87"/>
      <c r="D251" s="87"/>
      <c r="E251" s="87"/>
      <c r="F251" s="87"/>
      <c r="G251" s="87"/>
      <c r="H251" s="88"/>
      <c r="T251" s="71"/>
    </row>
    <row r="252" spans="1:20" s="32" customFormat="1" ht="15.75" hidden="1" customHeight="1" x14ac:dyDescent="0.25">
      <c r="A252" s="78" t="s">
        <v>150</v>
      </c>
      <c r="B252" s="86" t="str">
        <f>(IF(H218="Saleable area Loading :","We have considered Saleable area of Flats as per our Calculation.","We considered Saleable area of Flat as per Builder area Sheet."))</f>
        <v>We have considered Saleable area of Flats as per our Calculation.</v>
      </c>
      <c r="C252" s="87"/>
      <c r="D252" s="87"/>
      <c r="E252" s="87"/>
      <c r="F252" s="87"/>
      <c r="G252" s="87"/>
      <c r="H252" s="88"/>
      <c r="T252" s="71"/>
    </row>
    <row r="253" spans="1:20" s="32" customFormat="1" ht="15.75" customHeight="1" x14ac:dyDescent="0.25">
      <c r="A253" s="78" t="s">
        <v>150</v>
      </c>
      <c r="B253" s="86" t="str">
        <f>(IF(H117="Saleable area Loading :","We have considered Saleable area of Commercial as per our Calculation.","We considered Saleable area of Commercial as per Builder area Sheet."))</f>
        <v>We have considered Saleable area of Commercial as per our Calculation.</v>
      </c>
      <c r="C253" s="87"/>
      <c r="D253" s="87"/>
      <c r="E253" s="87"/>
      <c r="F253" s="87"/>
      <c r="G253" s="87"/>
      <c r="H253" s="88"/>
    </row>
    <row r="254" spans="1:20" s="32" customFormat="1" ht="15.75" customHeight="1" x14ac:dyDescent="0.25">
      <c r="A254" s="78" t="s">
        <v>150</v>
      </c>
      <c r="B254" s="225" t="s">
        <v>117</v>
      </c>
      <c r="C254" s="226"/>
      <c r="D254" s="226"/>
      <c r="E254" s="226"/>
      <c r="F254" s="226"/>
      <c r="G254" s="226"/>
      <c r="H254" s="227"/>
    </row>
    <row r="255" spans="1:20" s="32" customFormat="1" ht="15.75" customHeight="1" x14ac:dyDescent="0.25">
      <c r="A255" s="78" t="s">
        <v>150</v>
      </c>
      <c r="B255" s="86" t="s">
        <v>362</v>
      </c>
      <c r="C255" s="87"/>
      <c r="D255" s="87"/>
      <c r="E255" s="87"/>
      <c r="F255" s="87"/>
      <c r="G255" s="87"/>
      <c r="H255" s="88"/>
    </row>
    <row r="256" spans="1:20" s="32" customFormat="1" x14ac:dyDescent="0.25">
      <c r="A256" s="78" t="s">
        <v>150</v>
      </c>
      <c r="B256" s="86" t="s">
        <v>149</v>
      </c>
      <c r="C256" s="87"/>
      <c r="D256" s="87"/>
      <c r="E256" s="87"/>
      <c r="F256" s="87"/>
      <c r="G256" s="87"/>
      <c r="H256" s="88"/>
    </row>
    <row r="257" spans="1:20" s="32" customFormat="1" ht="15.75" customHeight="1" x14ac:dyDescent="0.25">
      <c r="A257" s="78" t="s">
        <v>150</v>
      </c>
      <c r="B257" s="86" t="s">
        <v>118</v>
      </c>
      <c r="C257" s="87"/>
      <c r="D257" s="87"/>
      <c r="E257" s="87"/>
      <c r="F257" s="87"/>
      <c r="G257" s="87"/>
      <c r="H257" s="88"/>
      <c r="T257" s="71"/>
    </row>
    <row r="258" spans="1:20" s="32" customFormat="1" ht="32.25" customHeight="1" x14ac:dyDescent="0.25">
      <c r="A258" s="78" t="s">
        <v>150</v>
      </c>
      <c r="B258" s="86" t="s">
        <v>151</v>
      </c>
      <c r="C258" s="87"/>
      <c r="D258" s="87"/>
      <c r="E258" s="87"/>
      <c r="F258" s="87"/>
      <c r="G258" s="87"/>
      <c r="H258" s="88"/>
      <c r="I258" s="89" t="s">
        <v>342</v>
      </c>
      <c r="J258" s="90"/>
      <c r="K258" s="90"/>
      <c r="L258" s="90"/>
      <c r="T258" s="71"/>
    </row>
    <row r="259" spans="1:20" s="32" customFormat="1" x14ac:dyDescent="0.25">
      <c r="A259" s="78" t="s">
        <v>150</v>
      </c>
      <c r="B259" s="225" t="s">
        <v>119</v>
      </c>
      <c r="C259" s="226"/>
      <c r="D259" s="226"/>
      <c r="E259" s="226"/>
      <c r="F259" s="226"/>
      <c r="G259" s="226"/>
      <c r="H259" s="227"/>
    </row>
    <row r="260" spans="1:20" ht="35.25" customHeight="1" x14ac:dyDescent="0.25">
      <c r="A260" s="78" t="s">
        <v>150</v>
      </c>
      <c r="B260" s="86" t="s">
        <v>363</v>
      </c>
      <c r="C260" s="87"/>
      <c r="D260" s="87"/>
      <c r="E260" s="87"/>
      <c r="F260" s="87"/>
      <c r="G260" s="87"/>
      <c r="H260" s="88"/>
      <c r="T260" s="32"/>
    </row>
    <row r="261" spans="1:20" ht="31.5" customHeight="1" x14ac:dyDescent="0.25">
      <c r="A261" s="78" t="s">
        <v>150</v>
      </c>
      <c r="B261" s="86" t="s">
        <v>365</v>
      </c>
      <c r="C261" s="87"/>
      <c r="D261" s="87"/>
      <c r="E261" s="87"/>
      <c r="F261" s="87"/>
      <c r="G261" s="87"/>
      <c r="H261" s="88"/>
      <c r="T261" s="32"/>
    </row>
    <row r="262" spans="1:20" ht="36" customHeight="1" x14ac:dyDescent="0.25">
      <c r="A262" s="78" t="s">
        <v>150</v>
      </c>
      <c r="B262" s="86" t="s">
        <v>367</v>
      </c>
      <c r="C262" s="87"/>
      <c r="D262" s="87"/>
      <c r="E262" s="87"/>
      <c r="F262" s="87"/>
      <c r="G262" s="87"/>
      <c r="H262" s="88"/>
      <c r="T262" s="32"/>
    </row>
    <row r="263" spans="1:20" x14ac:dyDescent="0.25">
      <c r="A263" s="79" t="s">
        <v>150</v>
      </c>
      <c r="B263" s="86" t="s">
        <v>368</v>
      </c>
      <c r="C263" s="87"/>
      <c r="D263" s="87"/>
      <c r="E263" s="87"/>
      <c r="F263" s="87"/>
      <c r="G263" s="87"/>
      <c r="H263" s="88"/>
      <c r="T263" s="32"/>
    </row>
    <row r="264" spans="1:20" ht="49.5" customHeight="1" x14ac:dyDescent="0.25">
      <c r="A264" s="78" t="s">
        <v>150</v>
      </c>
      <c r="B264" s="86" t="s">
        <v>360</v>
      </c>
      <c r="C264" s="87"/>
      <c r="D264" s="87"/>
      <c r="E264" s="87"/>
      <c r="F264" s="87"/>
      <c r="G264" s="87"/>
      <c r="H264" s="88"/>
      <c r="I264" s="18" t="s">
        <v>366</v>
      </c>
      <c r="T264" s="32"/>
    </row>
    <row r="265" spans="1:20" x14ac:dyDescent="0.25">
      <c r="A265" s="82" t="s">
        <v>150</v>
      </c>
      <c r="B265" s="86" t="s">
        <v>371</v>
      </c>
      <c r="C265" s="87"/>
      <c r="D265" s="87"/>
      <c r="E265" s="87"/>
      <c r="F265" s="87"/>
      <c r="G265" s="87"/>
      <c r="H265" s="88"/>
    </row>
    <row r="266" spans="1:20" x14ac:dyDescent="0.25">
      <c r="A266" s="78" t="s">
        <v>150</v>
      </c>
      <c r="B266" s="86" t="s">
        <v>375</v>
      </c>
      <c r="C266" s="87"/>
      <c r="D266" s="87"/>
      <c r="E266" s="87"/>
      <c r="F266" s="87"/>
      <c r="G266" s="87"/>
      <c r="H266" s="88"/>
    </row>
    <row r="267" spans="1:20" x14ac:dyDescent="0.25">
      <c r="A267" s="218" t="s">
        <v>56</v>
      </c>
      <c r="B267" s="218"/>
      <c r="C267" s="218"/>
      <c r="D267" s="218"/>
      <c r="E267" s="218"/>
      <c r="F267" s="218"/>
      <c r="G267" s="218"/>
      <c r="H267" s="218"/>
    </row>
    <row r="268" spans="1:20" x14ac:dyDescent="0.25">
      <c r="A268" s="113" t="s">
        <v>57</v>
      </c>
      <c r="B268" s="113"/>
      <c r="C268" s="113"/>
      <c r="D268" s="113"/>
      <c r="E268" s="113"/>
      <c r="F268" s="113"/>
      <c r="G268" s="113"/>
      <c r="H268" s="113"/>
    </row>
    <row r="269" spans="1:20" x14ac:dyDescent="0.25">
      <c r="A269" s="228" t="s">
        <v>58</v>
      </c>
      <c r="B269" s="228"/>
      <c r="C269" s="228"/>
      <c r="D269" s="228"/>
      <c r="E269" s="228"/>
      <c r="F269" s="228"/>
      <c r="G269" s="228"/>
      <c r="H269" s="228"/>
    </row>
    <row r="270" spans="1:20" x14ac:dyDescent="0.25">
      <c r="A270" s="113" t="s">
        <v>59</v>
      </c>
      <c r="B270" s="113"/>
      <c r="C270" s="113"/>
      <c r="D270" s="113"/>
      <c r="E270" s="113"/>
      <c r="F270" s="113"/>
      <c r="G270" s="113"/>
      <c r="H270" s="113"/>
    </row>
    <row r="271" spans="1:20" x14ac:dyDescent="0.25">
      <c r="A271" s="113" t="s">
        <v>60</v>
      </c>
      <c r="B271" s="113"/>
      <c r="C271" s="113"/>
      <c r="D271" s="113"/>
      <c r="E271" s="113"/>
      <c r="F271" s="113"/>
      <c r="G271" s="113"/>
      <c r="H271" s="113"/>
    </row>
    <row r="272" spans="1:20" x14ac:dyDescent="0.25">
      <c r="A272" s="113" t="s">
        <v>120</v>
      </c>
      <c r="B272" s="113"/>
      <c r="C272" s="113"/>
      <c r="D272" s="113"/>
      <c r="E272" s="113"/>
      <c r="F272" s="113"/>
      <c r="G272" s="113"/>
      <c r="H272" s="113"/>
    </row>
    <row r="273" spans="1:8" x14ac:dyDescent="0.25">
      <c r="A273" s="194" t="s">
        <v>121</v>
      </c>
      <c r="B273" s="194"/>
      <c r="C273" s="194"/>
      <c r="D273" s="194"/>
      <c r="E273" s="194"/>
      <c r="F273" s="194"/>
      <c r="G273" s="194"/>
      <c r="H273" s="194"/>
    </row>
    <row r="274" spans="1:8" x14ac:dyDescent="0.25">
      <c r="A274" s="216" t="s">
        <v>71</v>
      </c>
      <c r="B274" s="216"/>
      <c r="C274" s="216" t="s">
        <v>378</v>
      </c>
      <c r="D274" s="216"/>
      <c r="E274" s="216" t="s">
        <v>100</v>
      </c>
      <c r="F274" s="216"/>
      <c r="G274" s="216" t="s">
        <v>377</v>
      </c>
      <c r="H274" s="216"/>
    </row>
    <row r="275" spans="1:8" x14ac:dyDescent="0.25">
      <c r="A275" s="215" t="s">
        <v>73</v>
      </c>
      <c r="B275" s="215"/>
      <c r="C275" s="215"/>
      <c r="D275" s="215"/>
      <c r="E275" s="215"/>
      <c r="F275" s="215"/>
      <c r="G275" s="215"/>
      <c r="H275" s="215"/>
    </row>
    <row r="276" spans="1:8" x14ac:dyDescent="0.25">
      <c r="A276" s="215"/>
      <c r="B276" s="215"/>
      <c r="C276" s="215"/>
      <c r="D276" s="215"/>
      <c r="E276" s="215"/>
      <c r="F276" s="215"/>
      <c r="G276" s="215"/>
      <c r="H276" s="215"/>
    </row>
    <row r="277" spans="1:8" x14ac:dyDescent="0.25">
      <c r="A277" s="215"/>
      <c r="B277" s="215"/>
      <c r="C277" s="215"/>
      <c r="D277" s="215"/>
      <c r="E277" s="215"/>
      <c r="F277" s="215"/>
      <c r="G277" s="215"/>
      <c r="H277" s="215"/>
    </row>
    <row r="278" spans="1:8" x14ac:dyDescent="0.25">
      <c r="A278" s="215"/>
      <c r="B278" s="215"/>
      <c r="C278" s="215"/>
      <c r="D278" s="215"/>
      <c r="E278" s="215"/>
      <c r="F278" s="215"/>
      <c r="G278" s="215"/>
      <c r="H278" s="215"/>
    </row>
    <row r="279" spans="1:8" x14ac:dyDescent="0.25">
      <c r="A279" s="35" t="s">
        <v>61</v>
      </c>
      <c r="B279" s="36"/>
      <c r="C279" s="36"/>
      <c r="D279" s="35" t="str">
        <f>E9</f>
        <v>Crescent WTC (Western Trade Center)</v>
      </c>
      <c r="F279" s="36"/>
      <c r="G279" s="36"/>
      <c r="H279" s="36"/>
    </row>
    <row r="280" spans="1:8" x14ac:dyDescent="0.25">
      <c r="A280" s="36"/>
      <c r="B280" s="36"/>
      <c r="C280" s="36"/>
      <c r="D280" s="36"/>
      <c r="E280" s="36"/>
      <c r="F280" s="36"/>
      <c r="G280" s="36"/>
      <c r="H280" s="36"/>
    </row>
    <row r="281" spans="1:8" x14ac:dyDescent="0.25">
      <c r="A281" s="36"/>
      <c r="B281" s="36"/>
      <c r="C281" s="36"/>
      <c r="D281" s="36"/>
      <c r="E281" s="36"/>
      <c r="F281" s="36"/>
      <c r="G281" s="36"/>
      <c r="H281" s="36"/>
    </row>
    <row r="322" spans="1:1" x14ac:dyDescent="0.25">
      <c r="A322" s="38" t="s">
        <v>160</v>
      </c>
    </row>
    <row r="358" spans="1:1" hidden="1" x14ac:dyDescent="0.25"/>
    <row r="359" spans="1:1" hidden="1" x14ac:dyDescent="0.25"/>
    <row r="360" spans="1:1" hidden="1" x14ac:dyDescent="0.25"/>
    <row r="361" spans="1:1" hidden="1" x14ac:dyDescent="0.25"/>
    <row r="362" spans="1:1" hidden="1" x14ac:dyDescent="0.25"/>
    <row r="363" spans="1:1" hidden="1" x14ac:dyDescent="0.25"/>
    <row r="366" spans="1:1" x14ac:dyDescent="0.25">
      <c r="A366" s="38" t="s">
        <v>364</v>
      </c>
    </row>
    <row r="398" hidden="1" x14ac:dyDescent="0.25"/>
    <row r="399" hidden="1" x14ac:dyDescent="0.25"/>
    <row r="400" hidden="1" x14ac:dyDescent="0.25"/>
    <row r="401" spans="1:1" hidden="1" x14ac:dyDescent="0.25"/>
    <row r="402" spans="1:1" hidden="1" x14ac:dyDescent="0.25"/>
    <row r="403" spans="1:1" hidden="1" x14ac:dyDescent="0.25"/>
    <row r="410" spans="1:1" x14ac:dyDescent="0.25">
      <c r="A410" s="38" t="s">
        <v>62</v>
      </c>
    </row>
  </sheetData>
  <mergeCells count="517">
    <mergeCell ref="E15:H15"/>
    <mergeCell ref="B263:H263"/>
    <mergeCell ref="I15:P15"/>
    <mergeCell ref="F101:H101"/>
    <mergeCell ref="F99:H99"/>
    <mergeCell ref="E43:H43"/>
    <mergeCell ref="A43:D43"/>
    <mergeCell ref="A50:B50"/>
    <mergeCell ref="C50:E50"/>
    <mergeCell ref="G50:H50"/>
    <mergeCell ref="G52:H52"/>
    <mergeCell ref="A51:B51"/>
    <mergeCell ref="A54:B55"/>
    <mergeCell ref="L133:M133"/>
    <mergeCell ref="L162:M162"/>
    <mergeCell ref="L163:M163"/>
    <mergeCell ref="L164:M164"/>
    <mergeCell ref="L165:M165"/>
    <mergeCell ref="A178:B178"/>
    <mergeCell ref="L177:M177"/>
    <mergeCell ref="A135:H135"/>
    <mergeCell ref="A136:H136"/>
    <mergeCell ref="A138:H138"/>
    <mergeCell ref="A58:B59"/>
    <mergeCell ref="A225:B225"/>
    <mergeCell ref="A133:B133"/>
    <mergeCell ref="G56:H56"/>
    <mergeCell ref="A60:B61"/>
    <mergeCell ref="C60:E60"/>
    <mergeCell ref="G60:H60"/>
    <mergeCell ref="A137:H137"/>
    <mergeCell ref="C163:G163"/>
    <mergeCell ref="C164:G164"/>
    <mergeCell ref="D73:H73"/>
    <mergeCell ref="A76:C76"/>
    <mergeCell ref="D76:H76"/>
    <mergeCell ref="A74:C74"/>
    <mergeCell ref="D75:H75"/>
    <mergeCell ref="A81:B81"/>
    <mergeCell ref="G80:H80"/>
    <mergeCell ref="A83:B83"/>
    <mergeCell ref="A149:B149"/>
    <mergeCell ref="A155:B155"/>
    <mergeCell ref="C58:E58"/>
    <mergeCell ref="G58:H58"/>
    <mergeCell ref="C59:H59"/>
    <mergeCell ref="A87:B87"/>
    <mergeCell ref="A216:B216"/>
    <mergeCell ref="A234:B234"/>
    <mergeCell ref="A116:H116"/>
    <mergeCell ref="G105:H105"/>
    <mergeCell ref="A100:E100"/>
    <mergeCell ref="A123:B123"/>
    <mergeCell ref="A62:B62"/>
    <mergeCell ref="C62:E62"/>
    <mergeCell ref="D64:H64"/>
    <mergeCell ref="F100:H100"/>
    <mergeCell ref="E105:F105"/>
    <mergeCell ref="A105:B105"/>
    <mergeCell ref="A107:B107"/>
    <mergeCell ref="C110:D110"/>
    <mergeCell ref="D74:H74"/>
    <mergeCell ref="A75:C75"/>
    <mergeCell ref="A86:B86"/>
    <mergeCell ref="A120:H120"/>
    <mergeCell ref="A67:C69"/>
    <mergeCell ref="D67:H67"/>
    <mergeCell ref="D68:H68"/>
    <mergeCell ref="A63:H63"/>
    <mergeCell ref="A64:C64"/>
    <mergeCell ref="A65:C65"/>
    <mergeCell ref="D65:H65"/>
    <mergeCell ref="A272:H272"/>
    <mergeCell ref="A269:H269"/>
    <mergeCell ref="A227:B227"/>
    <mergeCell ref="A110:B110"/>
    <mergeCell ref="D218:D219"/>
    <mergeCell ref="E218:E219"/>
    <mergeCell ref="F92:H92"/>
    <mergeCell ref="G106:H106"/>
    <mergeCell ref="F98:H98"/>
    <mergeCell ref="C105:D105"/>
    <mergeCell ref="C113:D113"/>
    <mergeCell ref="A221:H221"/>
    <mergeCell ref="A236:B236"/>
    <mergeCell ref="A233:B233"/>
    <mergeCell ref="A122:B122"/>
    <mergeCell ref="A114:B114"/>
    <mergeCell ref="C114:D114"/>
    <mergeCell ref="E114:F114"/>
    <mergeCell ref="A247:B247"/>
    <mergeCell ref="A244:H244"/>
    <mergeCell ref="A126:B126"/>
    <mergeCell ref="A245:B245"/>
    <mergeCell ref="A246:B246"/>
    <mergeCell ref="A249:B249"/>
    <mergeCell ref="A248:B248"/>
    <mergeCell ref="B262:H262"/>
    <mergeCell ref="A250:H250"/>
    <mergeCell ref="B264:H264"/>
    <mergeCell ref="B260:H260"/>
    <mergeCell ref="B251:H251"/>
    <mergeCell ref="B252:H252"/>
    <mergeCell ref="B253:H253"/>
    <mergeCell ref="B254:H254"/>
    <mergeCell ref="B255:H255"/>
    <mergeCell ref="B256:H256"/>
    <mergeCell ref="B257:H257"/>
    <mergeCell ref="B258:H258"/>
    <mergeCell ref="B259:H259"/>
    <mergeCell ref="B261:H261"/>
    <mergeCell ref="A242:B242"/>
    <mergeCell ref="A243:B243"/>
    <mergeCell ref="A238:H238"/>
    <mergeCell ref="A232:H232"/>
    <mergeCell ref="F91:H91"/>
    <mergeCell ref="F96:H96"/>
    <mergeCell ref="A222:B222"/>
    <mergeCell ref="A125:B125"/>
    <mergeCell ref="A124:B124"/>
    <mergeCell ref="A97:E97"/>
    <mergeCell ref="F97:H97"/>
    <mergeCell ref="A99:E99"/>
    <mergeCell ref="F94:H94"/>
    <mergeCell ref="A98:E98"/>
    <mergeCell ref="A217:H217"/>
    <mergeCell ref="E110:F110"/>
    <mergeCell ref="A115:H115"/>
    <mergeCell ref="A218:A219"/>
    <mergeCell ref="F218:F219"/>
    <mergeCell ref="A162:H162"/>
    <mergeCell ref="A163:B163"/>
    <mergeCell ref="A164:B164"/>
    <mergeCell ref="A165:B165"/>
    <mergeCell ref="A166:B166"/>
    <mergeCell ref="A275:H278"/>
    <mergeCell ref="A274:B274"/>
    <mergeCell ref="E274:F274"/>
    <mergeCell ref="C274:D274"/>
    <mergeCell ref="G274:H274"/>
    <mergeCell ref="A104:H104"/>
    <mergeCell ref="A102:E102"/>
    <mergeCell ref="F102:H102"/>
    <mergeCell ref="A103:E103"/>
    <mergeCell ref="F103:H103"/>
    <mergeCell ref="A226:H226"/>
    <mergeCell ref="A111:B111"/>
    <mergeCell ref="A235:B235"/>
    <mergeCell ref="A106:B106"/>
    <mergeCell ref="A270:H270"/>
    <mergeCell ref="A109:H109"/>
    <mergeCell ref="A273:H273"/>
    <mergeCell ref="A271:H271"/>
    <mergeCell ref="A267:H267"/>
    <mergeCell ref="G110:H110"/>
    <mergeCell ref="A237:B237"/>
    <mergeCell ref="C117:C118"/>
    <mergeCell ref="B218:B219"/>
    <mergeCell ref="A268:H26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A16:B16"/>
    <mergeCell ref="C16:H16"/>
    <mergeCell ref="C17:H17"/>
    <mergeCell ref="A18:B18"/>
    <mergeCell ref="C18:H18"/>
    <mergeCell ref="A13:D13"/>
    <mergeCell ref="E13:H13"/>
    <mergeCell ref="E12:H12"/>
    <mergeCell ref="A17:B17"/>
    <mergeCell ref="A14:D14"/>
    <mergeCell ref="A19:B19"/>
    <mergeCell ref="C19:D19"/>
    <mergeCell ref="E19:F19"/>
    <mergeCell ref="G19:H19"/>
    <mergeCell ref="A20:B20"/>
    <mergeCell ref="C20:D20"/>
    <mergeCell ref="E20:F20"/>
    <mergeCell ref="A12:D12"/>
    <mergeCell ref="G20:H20"/>
    <mergeCell ref="A21:B21"/>
    <mergeCell ref="C21:D21"/>
    <mergeCell ref="E21:F21"/>
    <mergeCell ref="G21:H21"/>
    <mergeCell ref="A22:B22"/>
    <mergeCell ref="C22:D22"/>
    <mergeCell ref="E22:F22"/>
    <mergeCell ref="G22:H22"/>
    <mergeCell ref="A38:H38"/>
    <mergeCell ref="A42:D42"/>
    <mergeCell ref="E42:H42"/>
    <mergeCell ref="A41:H41"/>
    <mergeCell ref="E26:H26"/>
    <mergeCell ref="A25:D25"/>
    <mergeCell ref="E25:H25"/>
    <mergeCell ref="A30:D30"/>
    <mergeCell ref="E30:H30"/>
    <mergeCell ref="A27:D27"/>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80:B80"/>
    <mergeCell ref="A79:B79"/>
    <mergeCell ref="A77:B77"/>
    <mergeCell ref="C77:H77"/>
    <mergeCell ref="A85:B85"/>
    <mergeCell ref="A72:C72"/>
    <mergeCell ref="D72:H72"/>
    <mergeCell ref="C79:H79"/>
    <mergeCell ref="A82:B82"/>
    <mergeCell ref="A84:B84"/>
    <mergeCell ref="E80:F80"/>
    <mergeCell ref="A73:C73"/>
    <mergeCell ref="A70:C70"/>
    <mergeCell ref="A71:C71"/>
    <mergeCell ref="D70:H70"/>
    <mergeCell ref="D71:H71"/>
    <mergeCell ref="A44:D44"/>
    <mergeCell ref="E44:H44"/>
    <mergeCell ref="E45:H45"/>
    <mergeCell ref="E46:H46"/>
    <mergeCell ref="E47:H47"/>
    <mergeCell ref="C57:H57"/>
    <mergeCell ref="C61:H61"/>
    <mergeCell ref="D69:H69"/>
    <mergeCell ref="C54:E54"/>
    <mergeCell ref="G54:H54"/>
    <mergeCell ref="A56:B57"/>
    <mergeCell ref="C56:E56"/>
    <mergeCell ref="D66:H66"/>
    <mergeCell ref="A66:C66"/>
    <mergeCell ref="A45:D45"/>
    <mergeCell ref="G51:H51"/>
    <mergeCell ref="A52:B53"/>
    <mergeCell ref="C55:H55"/>
    <mergeCell ref="C51:E51"/>
    <mergeCell ref="G62:H62"/>
    <mergeCell ref="L125:M125"/>
    <mergeCell ref="L124:M124"/>
    <mergeCell ref="L123:M123"/>
    <mergeCell ref="L122:M122"/>
    <mergeCell ref="A88:B88"/>
    <mergeCell ref="C111:D111"/>
    <mergeCell ref="E111:F111"/>
    <mergeCell ref="G111:H111"/>
    <mergeCell ref="A92:E92"/>
    <mergeCell ref="A121:H121"/>
    <mergeCell ref="E117:E118"/>
    <mergeCell ref="F93:H93"/>
    <mergeCell ref="A93:E93"/>
    <mergeCell ref="A95:E95"/>
    <mergeCell ref="A94:E94"/>
    <mergeCell ref="A91:E91"/>
    <mergeCell ref="F95:H95"/>
    <mergeCell ref="E81:F90"/>
    <mergeCell ref="G81:H90"/>
    <mergeCell ref="A89:B89"/>
    <mergeCell ref="A90:B90"/>
    <mergeCell ref="A241:B241"/>
    <mergeCell ref="A230:B230"/>
    <mergeCell ref="D117:D118"/>
    <mergeCell ref="G117:G118"/>
    <mergeCell ref="A240:B240"/>
    <mergeCell ref="L224:M224"/>
    <mergeCell ref="L221:M221"/>
    <mergeCell ref="A223:B223"/>
    <mergeCell ref="G114:H114"/>
    <mergeCell ref="L222:M222"/>
    <mergeCell ref="A224:B224"/>
    <mergeCell ref="L223:M223"/>
    <mergeCell ref="L126:M126"/>
    <mergeCell ref="L127:M127"/>
    <mergeCell ref="A129:B129"/>
    <mergeCell ref="L129:M129"/>
    <mergeCell ref="A130:B130"/>
    <mergeCell ref="L130:M130"/>
    <mergeCell ref="A131:B131"/>
    <mergeCell ref="L131:M131"/>
    <mergeCell ref="A132:B132"/>
    <mergeCell ref="L132:M132"/>
    <mergeCell ref="A139:B139"/>
    <mergeCell ref="L138:M138"/>
    <mergeCell ref="A239:B239"/>
    <mergeCell ref="A40:B40"/>
    <mergeCell ref="C40:H40"/>
    <mergeCell ref="A96:E96"/>
    <mergeCell ref="A113:B113"/>
    <mergeCell ref="E113:F113"/>
    <mergeCell ref="A101:E101"/>
    <mergeCell ref="G113:H113"/>
    <mergeCell ref="C107:D107"/>
    <mergeCell ref="E107:F107"/>
    <mergeCell ref="G107:H107"/>
    <mergeCell ref="A108:B108"/>
    <mergeCell ref="C108:D108"/>
    <mergeCell ref="E108:F108"/>
    <mergeCell ref="G108:H108"/>
    <mergeCell ref="A112:B112"/>
    <mergeCell ref="C112:D112"/>
    <mergeCell ref="E112:F112"/>
    <mergeCell ref="G112:H112"/>
    <mergeCell ref="A140:B140"/>
    <mergeCell ref="A141:B141"/>
    <mergeCell ref="A142:B142"/>
    <mergeCell ref="A127:B127"/>
    <mergeCell ref="A220:H220"/>
    <mergeCell ref="L225:M225"/>
    <mergeCell ref="A231:B231"/>
    <mergeCell ref="A228:B228"/>
    <mergeCell ref="A229:B229"/>
    <mergeCell ref="L139:M139"/>
    <mergeCell ref="L140:M140"/>
    <mergeCell ref="A128:H128"/>
    <mergeCell ref="F117:F118"/>
    <mergeCell ref="C106:D106"/>
    <mergeCell ref="E106:F106"/>
    <mergeCell ref="B117:B118"/>
    <mergeCell ref="A117:A118"/>
    <mergeCell ref="C218:C219"/>
    <mergeCell ref="G218:G219"/>
    <mergeCell ref="A167:B167"/>
    <mergeCell ref="A158:B158"/>
    <mergeCell ref="A215:B215"/>
    <mergeCell ref="L141:M141"/>
    <mergeCell ref="A157:B157"/>
    <mergeCell ref="L156:M156"/>
    <mergeCell ref="A147:B147"/>
    <mergeCell ref="L146:M146"/>
    <mergeCell ref="A148:B148"/>
    <mergeCell ref="L147:M147"/>
    <mergeCell ref="I14:L14"/>
    <mergeCell ref="I42:L42"/>
    <mergeCell ref="I43:L43"/>
    <mergeCell ref="I44:L44"/>
    <mergeCell ref="I45:L45"/>
    <mergeCell ref="I46:L46"/>
    <mergeCell ref="C53:H53"/>
    <mergeCell ref="A49:B49"/>
    <mergeCell ref="C49:H49"/>
    <mergeCell ref="A39:B39"/>
    <mergeCell ref="C39:H39"/>
    <mergeCell ref="A46:D46"/>
    <mergeCell ref="A47:D47"/>
    <mergeCell ref="A48:H48"/>
    <mergeCell ref="A37:B37"/>
    <mergeCell ref="C37:E37"/>
    <mergeCell ref="F37:H37"/>
    <mergeCell ref="C52:E52"/>
    <mergeCell ref="A28:D28"/>
    <mergeCell ref="E28:H28"/>
    <mergeCell ref="E27:H27"/>
    <mergeCell ref="A29:D29"/>
    <mergeCell ref="E29:H29"/>
    <mergeCell ref="A26:D26"/>
    <mergeCell ref="L148:M148"/>
    <mergeCell ref="A150:B150"/>
    <mergeCell ref="L149:M149"/>
    <mergeCell ref="A143:B143"/>
    <mergeCell ref="L142:M142"/>
    <mergeCell ref="A144:B144"/>
    <mergeCell ref="L143:M143"/>
    <mergeCell ref="A145:B145"/>
    <mergeCell ref="L144:M144"/>
    <mergeCell ref="L154:M154"/>
    <mergeCell ref="A156:B156"/>
    <mergeCell ref="L155:M155"/>
    <mergeCell ref="A151:B151"/>
    <mergeCell ref="L150:M150"/>
    <mergeCell ref="A152:B152"/>
    <mergeCell ref="L151:M151"/>
    <mergeCell ref="A153:B153"/>
    <mergeCell ref="L152:M152"/>
    <mergeCell ref="A154:B154"/>
    <mergeCell ref="L153:M153"/>
    <mergeCell ref="L215:M215"/>
    <mergeCell ref="A146:B146"/>
    <mergeCell ref="L145:M145"/>
    <mergeCell ref="A159:B159"/>
    <mergeCell ref="L158:M158"/>
    <mergeCell ref="A160:B160"/>
    <mergeCell ref="L159:M159"/>
    <mergeCell ref="A161:B161"/>
    <mergeCell ref="L160:M160"/>
    <mergeCell ref="A211:H211"/>
    <mergeCell ref="A177:B177"/>
    <mergeCell ref="L176:M176"/>
    <mergeCell ref="A175:B175"/>
    <mergeCell ref="L174:M174"/>
    <mergeCell ref="A176:B176"/>
    <mergeCell ref="L175:M175"/>
    <mergeCell ref="A171:B171"/>
    <mergeCell ref="L170:M170"/>
    <mergeCell ref="A172:B172"/>
    <mergeCell ref="L171:M171"/>
    <mergeCell ref="A173:B173"/>
    <mergeCell ref="A170:B170"/>
    <mergeCell ref="L157:M157"/>
    <mergeCell ref="A212:B212"/>
    <mergeCell ref="L211:M211"/>
    <mergeCell ref="A213:B213"/>
    <mergeCell ref="L212:M212"/>
    <mergeCell ref="A214:B214"/>
    <mergeCell ref="L213:M213"/>
    <mergeCell ref="L172:M172"/>
    <mergeCell ref="A174:B174"/>
    <mergeCell ref="L173:M173"/>
    <mergeCell ref="A185:B185"/>
    <mergeCell ref="L184:M184"/>
    <mergeCell ref="A186:H186"/>
    <mergeCell ref="A187:B187"/>
    <mergeCell ref="L186:M186"/>
    <mergeCell ref="A188:B188"/>
    <mergeCell ref="L187:M187"/>
    <mergeCell ref="A180:B180"/>
    <mergeCell ref="L179:M179"/>
    <mergeCell ref="A181:B181"/>
    <mergeCell ref="L180:M180"/>
    <mergeCell ref="A182:B182"/>
    <mergeCell ref="L214:M214"/>
    <mergeCell ref="A207:B207"/>
    <mergeCell ref="L181:M181"/>
    <mergeCell ref="A183:B183"/>
    <mergeCell ref="L193:M193"/>
    <mergeCell ref="L182:M182"/>
    <mergeCell ref="A184:B184"/>
    <mergeCell ref="L183:M183"/>
    <mergeCell ref="L166:M166"/>
    <mergeCell ref="A168:B168"/>
    <mergeCell ref="L167:M167"/>
    <mergeCell ref="A169:B169"/>
    <mergeCell ref="L168:M168"/>
    <mergeCell ref="L169:M169"/>
    <mergeCell ref="A179:B179"/>
    <mergeCell ref="L178:M178"/>
    <mergeCell ref="B265:H265"/>
    <mergeCell ref="A189:B189"/>
    <mergeCell ref="L188:M188"/>
    <mergeCell ref="A190:B190"/>
    <mergeCell ref="C188:G188"/>
    <mergeCell ref="L199:M199"/>
    <mergeCell ref="A201:B201"/>
    <mergeCell ref="L200:M200"/>
    <mergeCell ref="A202:B202"/>
    <mergeCell ref="L201:M201"/>
    <mergeCell ref="A195:B195"/>
    <mergeCell ref="L194:M194"/>
    <mergeCell ref="A196:B196"/>
    <mergeCell ref="L195:M195"/>
    <mergeCell ref="L196:M196"/>
    <mergeCell ref="A198:B198"/>
    <mergeCell ref="L197:M197"/>
    <mergeCell ref="A191:B191"/>
    <mergeCell ref="L190:M190"/>
    <mergeCell ref="A192:B192"/>
    <mergeCell ref="L191:M191"/>
    <mergeCell ref="A193:B193"/>
    <mergeCell ref="L192:M192"/>
    <mergeCell ref="A194:B194"/>
    <mergeCell ref="I11:L11"/>
    <mergeCell ref="B266:H266"/>
    <mergeCell ref="I258:L258"/>
    <mergeCell ref="A134:H134"/>
    <mergeCell ref="A119:H119"/>
    <mergeCell ref="A210:H210"/>
    <mergeCell ref="L189:M189"/>
    <mergeCell ref="A206:B206"/>
    <mergeCell ref="L205:M205"/>
    <mergeCell ref="A205:B205"/>
    <mergeCell ref="L204:M204"/>
    <mergeCell ref="A203:B203"/>
    <mergeCell ref="L202:M202"/>
    <mergeCell ref="A204:B204"/>
    <mergeCell ref="L203:M203"/>
    <mergeCell ref="A199:B199"/>
    <mergeCell ref="L198:M198"/>
    <mergeCell ref="A200:B200"/>
    <mergeCell ref="L206:M206"/>
    <mergeCell ref="A208:B208"/>
    <mergeCell ref="L207:M207"/>
    <mergeCell ref="A209:B209"/>
    <mergeCell ref="L208:M208"/>
    <mergeCell ref="A197:B197"/>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 (As per appoved CC),Survey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7:E118" xr:uid="{00000000-0002-0000-0000-000003000000}">
      <formula1>"AP Area,Attached Loft area,Attached Otla area,Attached Mezzanine area"</formula1>
    </dataValidation>
    <dataValidation type="list" allowBlank="1" showInputMessage="1" showErrorMessage="1" sqref="G274:H274" xr:uid="{00000000-0002-0000-0000-000004000000}">
      <formula1>"Kunal Kadam,Gaurav Panchal,Pranita Mhatre,Shruti Fule,Pooja Kawale,Neha Dhokale,Shruti Tathare, Hitakshi Mhatre, Sachin Sawant"</formula1>
    </dataValidation>
    <dataValidation type="list" allowBlank="1" showInputMessage="1" showErrorMessage="1" sqref="F91:H91" xr:uid="{00000000-0002-0000-0000-000005000000}">
      <formula1>"On Saleable Area,On Builtup Area,On Carpet Area,On Plot Area"</formula1>
    </dataValidation>
    <dataValidation type="list" allowBlank="1" showInputMessage="1" showErrorMessage="1" sqref="F102:H102" xr:uid="{00000000-0002-0000-0000-000006000000}">
      <formula1>OFFSET($S$91,1,MATCH($G20,$S$91:$W$91,0)-1,15,1)</formula1>
    </dataValidation>
    <dataValidation type="list" allowBlank="1" showInputMessage="1" showErrorMessage="1" sqref="B117:B118" xr:uid="{00000000-0002-0000-0000-000007000000}">
      <formula1>"Shop No. (Sale Plan),Sale / Rehab,Sale / Mhada"</formula1>
    </dataValidation>
    <dataValidation type="list" allowBlank="1" showInputMessage="1" showErrorMessage="1" sqref="B218:B219"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218:E219" xr:uid="{00000000-0002-0000-0000-00000B000000}">
      <formula1>"Fungible area,Balcony Area,Chajja Area,Cornice Area,AP Area,WS Area"</formula1>
    </dataValidation>
    <dataValidation type="list" allowBlank="1" showInputMessage="1" showErrorMessage="1" sqref="H219 H118"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6" xr:uid="{00000000-0002-0000-0000-00000F000000}">
      <formula1>0</formula1>
      <formula2>H78</formula2>
    </dataValidation>
    <dataValidation type="list" allowBlank="1" showInputMessage="1" showErrorMessage="1" sqref="H117 H218" xr:uid="{00000000-0002-0000-0000-000010000000}">
      <formula1>"Saleable area Loading :,Builder Saleable Area"</formula1>
    </dataValidation>
    <dataValidation type="list" allowBlank="1" showInputMessage="1" showErrorMessage="1" sqref="D218:D219 D117:D118" xr:uid="{00000000-0002-0000-0000-000011000000}">
      <formula1>"Carpet area,RERA Carpet area"</formula1>
    </dataValidation>
  </dataValidations>
  <hyperlinks>
    <hyperlink ref="C40" r:id="rId1" xr:uid="{00000000-0004-0000-0000-000000000000}"/>
    <hyperlink ref="I73" r:id="rId2" xr:uid="{00000000-0004-0000-0000-000001000000}"/>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4" manualBreakCount="4">
    <brk id="278" max="7" man="1"/>
    <brk id="321" max="7" man="1"/>
    <brk id="365" max="16383" man="1"/>
    <brk id="409"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7" sqref="B17"/>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6" t="s">
        <v>101</v>
      </c>
      <c r="C3" s="256"/>
      <c r="D3" s="256"/>
      <c r="E3" s="256"/>
      <c r="F3" s="256"/>
      <c r="G3" s="256"/>
      <c r="H3" s="256"/>
    </row>
    <row r="4" spans="1:9" x14ac:dyDescent="0.25">
      <c r="A4" s="2"/>
      <c r="B4" s="3" t="s">
        <v>102</v>
      </c>
      <c r="C4" s="3" t="s">
        <v>103</v>
      </c>
      <c r="D4" s="3" t="s">
        <v>64</v>
      </c>
      <c r="E4" s="3" t="s">
        <v>104</v>
      </c>
      <c r="F4" s="3" t="s">
        <v>110</v>
      </c>
      <c r="G4" s="3" t="s">
        <v>111</v>
      </c>
      <c r="H4" s="3" t="s">
        <v>105</v>
      </c>
    </row>
    <row r="5" spans="1:9" ht="15" customHeight="1" x14ac:dyDescent="0.25">
      <c r="A5" s="2"/>
      <c r="B5" s="5" t="s">
        <v>106</v>
      </c>
      <c r="C5" s="6"/>
      <c r="D5" s="5"/>
      <c r="E5" s="5"/>
      <c r="F5" s="7">
        <f>E5*1.6</f>
        <v>0</v>
      </c>
      <c r="G5" s="7" t="e">
        <f>H5/F5</f>
        <v>#DIV/0!</v>
      </c>
      <c r="H5" s="8"/>
    </row>
    <row r="6" spans="1:9" x14ac:dyDescent="0.25">
      <c r="A6" s="2"/>
      <c r="B6" s="5" t="s">
        <v>106</v>
      </c>
      <c r="C6" s="9"/>
      <c r="D6" s="5"/>
      <c r="E6" s="5"/>
      <c r="F6" s="7">
        <f t="shared" ref="F6:F11" si="0">E6*1.6</f>
        <v>0</v>
      </c>
      <c r="G6" s="7" t="e">
        <f t="shared" ref="G6:G11" si="1">H6/F6</f>
        <v>#DIV/0!</v>
      </c>
      <c r="H6" s="8"/>
    </row>
    <row r="7" spans="1:9" ht="15" customHeight="1" x14ac:dyDescent="0.25">
      <c r="A7" s="2"/>
      <c r="B7" s="5" t="s">
        <v>106</v>
      </c>
      <c r="C7" s="6"/>
      <c r="D7" s="5"/>
      <c r="E7" s="5"/>
      <c r="F7" s="7">
        <f t="shared" si="0"/>
        <v>0</v>
      </c>
      <c r="G7" s="7" t="e">
        <f t="shared" si="1"/>
        <v>#DIV/0!</v>
      </c>
      <c r="H7" s="8"/>
    </row>
    <row r="8" spans="1:9" x14ac:dyDescent="0.25">
      <c r="A8" s="2"/>
      <c r="B8" s="5" t="s">
        <v>106</v>
      </c>
      <c r="C8" s="9"/>
      <c r="D8" s="5"/>
      <c r="E8" s="5"/>
      <c r="F8" s="7">
        <f t="shared" si="0"/>
        <v>0</v>
      </c>
      <c r="G8" s="7" t="e">
        <f t="shared" si="1"/>
        <v>#DIV/0!</v>
      </c>
      <c r="H8" s="8"/>
    </row>
    <row r="9" spans="1:9" ht="15" customHeight="1" x14ac:dyDescent="0.25">
      <c r="A9" s="2"/>
      <c r="B9" s="5" t="s">
        <v>106</v>
      </c>
      <c r="C9" s="9"/>
      <c r="D9" s="5"/>
      <c r="E9" s="5"/>
      <c r="F9" s="7">
        <f t="shared" si="0"/>
        <v>0</v>
      </c>
      <c r="G9" s="7" t="e">
        <f t="shared" si="1"/>
        <v>#DIV/0!</v>
      </c>
      <c r="H9" s="8"/>
    </row>
    <row r="10" spans="1:9" ht="15" customHeight="1" x14ac:dyDescent="0.25">
      <c r="A10" s="2"/>
      <c r="B10" s="5" t="s">
        <v>107</v>
      </c>
      <c r="C10" s="6"/>
      <c r="D10" s="5"/>
      <c r="E10" s="5"/>
      <c r="F10" s="7">
        <f t="shared" si="0"/>
        <v>0</v>
      </c>
      <c r="G10" s="7" t="e">
        <f t="shared" si="1"/>
        <v>#DIV/0!</v>
      </c>
      <c r="H10" s="8"/>
    </row>
    <row r="11" spans="1:9" ht="15" customHeight="1" x14ac:dyDescent="0.25">
      <c r="A11" s="2"/>
      <c r="B11" s="5" t="s">
        <v>107</v>
      </c>
      <c r="C11" s="6"/>
      <c r="D11" s="5"/>
      <c r="E11" s="5"/>
      <c r="F11" s="7">
        <f t="shared" si="0"/>
        <v>0</v>
      </c>
      <c r="G11" s="7" t="e">
        <f t="shared" si="1"/>
        <v>#DIV/0!</v>
      </c>
      <c r="H11" s="8"/>
    </row>
    <row r="12" spans="1:9" ht="15" customHeight="1" x14ac:dyDescent="0.25">
      <c r="A12" s="2"/>
      <c r="B12" s="10" t="s">
        <v>108</v>
      </c>
      <c r="C12" s="5"/>
      <c r="D12" s="5"/>
      <c r="E12" s="5"/>
      <c r="F12" s="5"/>
      <c r="G12" s="11" t="e">
        <f>AVERAGE(G5:G11)</f>
        <v>#DIV/0!</v>
      </c>
      <c r="H12" s="5"/>
    </row>
    <row r="13" spans="1:9" ht="15" customHeight="1" x14ac:dyDescent="0.25">
      <c r="B13" s="10" t="s">
        <v>109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6"/>
      <c r="C4" s="46" t="s">
        <v>9</v>
      </c>
      <c r="D4" s="47" t="s">
        <v>175</v>
      </c>
      <c r="E4" s="47" t="s">
        <v>185</v>
      </c>
      <c r="F4" s="47" t="s">
        <v>170</v>
      </c>
      <c r="G4" s="47" t="s">
        <v>190</v>
      </c>
      <c r="H4" s="47" t="s">
        <v>208</v>
      </c>
      <c r="J4" t="s">
        <v>190</v>
      </c>
      <c r="K4" t="s">
        <v>206</v>
      </c>
    </row>
    <row r="5" spans="2:11" x14ac:dyDescent="0.25">
      <c r="B5" s="46"/>
      <c r="C5" s="46"/>
      <c r="D5" s="47" t="s">
        <v>176</v>
      </c>
      <c r="E5" s="47" t="s">
        <v>183</v>
      </c>
      <c r="F5" s="47" t="s">
        <v>205</v>
      </c>
      <c r="G5" s="47" t="s">
        <v>191</v>
      </c>
      <c r="H5" s="47" t="s">
        <v>209</v>
      </c>
    </row>
    <row r="6" spans="2:11" x14ac:dyDescent="0.25">
      <c r="B6" s="46"/>
      <c r="C6" s="46"/>
      <c r="D6" s="47" t="s">
        <v>177</v>
      </c>
      <c r="E6" s="47" t="s">
        <v>184</v>
      </c>
      <c r="F6" s="47" t="s">
        <v>206</v>
      </c>
      <c r="G6" s="47" t="s">
        <v>192</v>
      </c>
      <c r="H6" s="47" t="s">
        <v>222</v>
      </c>
    </row>
    <row r="7" spans="2:11" x14ac:dyDescent="0.25">
      <c r="B7" s="46"/>
      <c r="C7" s="46"/>
      <c r="D7" s="47" t="s">
        <v>178</v>
      </c>
      <c r="E7" s="47" t="s">
        <v>186</v>
      </c>
      <c r="F7" s="47" t="s">
        <v>207</v>
      </c>
      <c r="G7" s="47" t="s">
        <v>193</v>
      </c>
      <c r="H7" s="47" t="s">
        <v>210</v>
      </c>
    </row>
    <row r="8" spans="2:11" x14ac:dyDescent="0.25">
      <c r="B8" s="46"/>
      <c r="C8" s="46"/>
      <c r="D8" s="47" t="s">
        <v>179</v>
      </c>
      <c r="E8" s="47" t="s">
        <v>187</v>
      </c>
      <c r="F8" s="47"/>
      <c r="G8" s="47" t="s">
        <v>194</v>
      </c>
      <c r="H8" s="47" t="s">
        <v>211</v>
      </c>
    </row>
    <row r="9" spans="2:11" x14ac:dyDescent="0.25">
      <c r="B9" s="46"/>
      <c r="C9" s="46"/>
      <c r="D9" s="47" t="s">
        <v>180</v>
      </c>
      <c r="E9" s="47" t="s">
        <v>185</v>
      </c>
      <c r="F9" s="47"/>
      <c r="G9" s="47" t="s">
        <v>195</v>
      </c>
      <c r="H9" s="47" t="s">
        <v>212</v>
      </c>
    </row>
    <row r="10" spans="2:11" x14ac:dyDescent="0.25">
      <c r="B10" s="46"/>
      <c r="C10" s="46"/>
      <c r="D10" s="47" t="s">
        <v>181</v>
      </c>
      <c r="E10" s="47" t="s">
        <v>188</v>
      </c>
      <c r="F10" s="47"/>
      <c r="G10" s="47" t="s">
        <v>196</v>
      </c>
      <c r="H10" s="47" t="s">
        <v>213</v>
      </c>
    </row>
    <row r="11" spans="2:11" x14ac:dyDescent="0.25">
      <c r="B11" s="46"/>
      <c r="C11" s="46"/>
      <c r="D11" s="47" t="s">
        <v>182</v>
      </c>
      <c r="E11" s="47" t="s">
        <v>189</v>
      </c>
      <c r="F11" s="47"/>
      <c r="G11" s="47" t="s">
        <v>197</v>
      </c>
      <c r="H11" s="47" t="s">
        <v>214</v>
      </c>
    </row>
    <row r="12" spans="2:11" x14ac:dyDescent="0.25">
      <c r="B12" s="46"/>
      <c r="C12" s="46"/>
      <c r="D12" s="47"/>
      <c r="E12" s="47"/>
      <c r="F12" s="47"/>
      <c r="G12" s="47" t="s">
        <v>198</v>
      </c>
      <c r="H12" s="47" t="s">
        <v>215</v>
      </c>
    </row>
    <row r="13" spans="2:11" x14ac:dyDescent="0.25">
      <c r="B13" s="46"/>
      <c r="C13" s="46"/>
      <c r="D13" s="47"/>
      <c r="E13" s="47"/>
      <c r="F13" s="47"/>
      <c r="G13" s="47" t="s">
        <v>199</v>
      </c>
      <c r="H13" s="47" t="s">
        <v>216</v>
      </c>
    </row>
    <row r="14" spans="2:11" x14ac:dyDescent="0.25">
      <c r="B14" s="46"/>
      <c r="C14" s="46"/>
      <c r="D14" s="47"/>
      <c r="E14" s="47"/>
      <c r="F14" s="47"/>
      <c r="G14" s="47" t="s">
        <v>200</v>
      </c>
      <c r="H14" s="47" t="s">
        <v>217</v>
      </c>
    </row>
    <row r="15" spans="2:11" x14ac:dyDescent="0.25">
      <c r="B15" s="46"/>
      <c r="C15" s="46"/>
      <c r="D15" s="47"/>
      <c r="E15" s="47"/>
      <c r="F15" s="47"/>
      <c r="G15" s="47" t="s">
        <v>201</v>
      </c>
      <c r="H15" s="47" t="s">
        <v>218</v>
      </c>
    </row>
    <row r="16" spans="2:11" x14ac:dyDescent="0.25">
      <c r="B16" s="46"/>
      <c r="C16" s="46"/>
      <c r="D16" s="47"/>
      <c r="E16" s="47"/>
      <c r="F16" s="47"/>
      <c r="G16" s="47" t="s">
        <v>202</v>
      </c>
      <c r="H16" s="47" t="s">
        <v>219</v>
      </c>
    </row>
    <row r="17" spans="2:8" x14ac:dyDescent="0.25">
      <c r="B17" s="46"/>
      <c r="C17" s="46"/>
      <c r="D17" s="47"/>
      <c r="E17" s="47"/>
      <c r="F17" s="47"/>
      <c r="G17" s="47" t="s">
        <v>203</v>
      </c>
      <c r="H17" s="47" t="s">
        <v>220</v>
      </c>
    </row>
    <row r="18" spans="2:8" x14ac:dyDescent="0.25">
      <c r="B18" s="46"/>
      <c r="C18" s="46"/>
      <c r="D18" s="47"/>
      <c r="E18" s="47"/>
      <c r="F18" s="47"/>
      <c r="G18" s="47" t="s">
        <v>204</v>
      </c>
      <c r="H18" s="47" t="s">
        <v>221</v>
      </c>
    </row>
    <row r="24" spans="2:8" x14ac:dyDescent="0.25">
      <c r="C24" t="s">
        <v>167</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167</v>
      </c>
    </row>
    <row r="33" spans="3:11" x14ac:dyDescent="0.25">
      <c r="J33">
        <v>1</v>
      </c>
      <c r="K33">
        <v>2</v>
      </c>
    </row>
    <row r="34" spans="3:11" x14ac:dyDescent="0.25">
      <c r="C34" s="50" t="s">
        <v>233</v>
      </c>
      <c r="D34" s="47" t="s">
        <v>231</v>
      </c>
      <c r="E34" s="47" t="s">
        <v>236</v>
      </c>
      <c r="F34" s="47" t="s">
        <v>234</v>
      </c>
      <c r="G34" s="47" t="s">
        <v>235</v>
      </c>
      <c r="H34" s="47" t="s">
        <v>237</v>
      </c>
      <c r="J34" t="s">
        <v>190</v>
      </c>
      <c r="K34" t="s">
        <v>206</v>
      </c>
    </row>
    <row r="35" spans="3:11" x14ac:dyDescent="0.25">
      <c r="C35" s="46" t="s">
        <v>232</v>
      </c>
      <c r="D35" s="47" t="s">
        <v>168</v>
      </c>
      <c r="E35" s="47" t="s">
        <v>241</v>
      </c>
      <c r="F35" s="47" t="s">
        <v>243</v>
      </c>
      <c r="G35" s="47" t="s">
        <v>245</v>
      </c>
      <c r="H35" s="47"/>
    </row>
    <row r="36" spans="3:11" x14ac:dyDescent="0.25">
      <c r="C36" s="46"/>
      <c r="D36" s="47" t="s">
        <v>238</v>
      </c>
      <c r="E36" s="47" t="s">
        <v>242</v>
      </c>
      <c r="F36" s="47" t="s">
        <v>244</v>
      </c>
      <c r="G36" s="47" t="s">
        <v>246</v>
      </c>
      <c r="H36" s="47"/>
    </row>
    <row r="37" spans="3:11" x14ac:dyDescent="0.25">
      <c r="C37" s="46"/>
      <c r="D37" s="47" t="s">
        <v>239</v>
      </c>
      <c r="E37" s="47"/>
      <c r="F37" s="47"/>
      <c r="G37" s="47" t="s">
        <v>247</v>
      </c>
      <c r="H37" s="47"/>
    </row>
    <row r="38" spans="3:11" x14ac:dyDescent="0.25">
      <c r="C38" s="46"/>
      <c r="D38" s="47" t="s">
        <v>240</v>
      </c>
      <c r="E38" s="47"/>
      <c r="F38" s="47"/>
      <c r="G38" s="47" t="s">
        <v>247</v>
      </c>
      <c r="H38" s="47"/>
    </row>
    <row r="39" spans="3:11" x14ac:dyDescent="0.25">
      <c r="C39" s="46"/>
      <c r="D39" s="47"/>
      <c r="E39" s="47"/>
      <c r="F39" s="47"/>
      <c r="G39" s="47" t="s">
        <v>248</v>
      </c>
      <c r="H39" s="47"/>
    </row>
    <row r="40" spans="3:11" x14ac:dyDescent="0.25">
      <c r="C40" s="46"/>
      <c r="D40" s="47"/>
      <c r="E40" s="47"/>
      <c r="F40" s="47"/>
      <c r="G40" s="47" t="s">
        <v>249</v>
      </c>
      <c r="H40" s="47"/>
    </row>
    <row r="41" spans="3:11" x14ac:dyDescent="0.25">
      <c r="C41" s="46"/>
      <c r="D41" s="47"/>
      <c r="E41" s="47"/>
      <c r="F41" s="47"/>
      <c r="G41" s="47"/>
      <c r="H41" s="47"/>
    </row>
    <row r="43" spans="3:11" x14ac:dyDescent="0.25">
      <c r="C43" t="s">
        <v>250</v>
      </c>
    </row>
    <row r="44" spans="3:11" x14ac:dyDescent="0.25">
      <c r="C44" t="s">
        <v>170</v>
      </c>
      <c r="D44" t="s">
        <v>251</v>
      </c>
    </row>
    <row r="45" spans="3:11" x14ac:dyDescent="0.25">
      <c r="D45" t="s">
        <v>252</v>
      </c>
    </row>
    <row r="46" spans="3:11" x14ac:dyDescent="0.25">
      <c r="D46" t="s">
        <v>253</v>
      </c>
    </row>
    <row r="47" spans="3:11" x14ac:dyDescent="0.25">
      <c r="D47" t="s">
        <v>254</v>
      </c>
    </row>
    <row r="48" spans="3:11" x14ac:dyDescent="0.25">
      <c r="D48" t="s">
        <v>255</v>
      </c>
    </row>
    <row r="49" spans="3:4" x14ac:dyDescent="0.25">
      <c r="C49" t="s">
        <v>175</v>
      </c>
      <c r="D49" t="s">
        <v>256</v>
      </c>
    </row>
    <row r="50" spans="3:4" x14ac:dyDescent="0.25">
      <c r="D50" t="s">
        <v>257</v>
      </c>
    </row>
    <row r="51" spans="3:4" x14ac:dyDescent="0.25">
      <c r="D51" t="s">
        <v>258</v>
      </c>
    </row>
    <row r="52" spans="3:4" x14ac:dyDescent="0.25">
      <c r="D52" t="s">
        <v>261</v>
      </c>
    </row>
    <row r="53" spans="3:4" x14ac:dyDescent="0.25">
      <c r="D53" t="s">
        <v>259</v>
      </c>
    </row>
    <row r="54" spans="3:4" x14ac:dyDescent="0.25">
      <c r="D54" t="s">
        <v>260</v>
      </c>
    </row>
    <row r="55" spans="3:4" x14ac:dyDescent="0.25">
      <c r="D55" t="s">
        <v>262</v>
      </c>
    </row>
    <row r="56" spans="3:4" x14ac:dyDescent="0.25">
      <c r="D56" t="s">
        <v>263</v>
      </c>
    </row>
    <row r="57" spans="3:4" x14ac:dyDescent="0.25">
      <c r="D57" t="s">
        <v>264</v>
      </c>
    </row>
    <row r="58" spans="3:4" x14ac:dyDescent="0.25">
      <c r="D58" t="s">
        <v>266</v>
      </c>
    </row>
    <row r="59" spans="3:4" x14ac:dyDescent="0.25">
      <c r="D59" t="s">
        <v>275</v>
      </c>
    </row>
    <row r="60" spans="3:4" x14ac:dyDescent="0.25">
      <c r="C60" t="s">
        <v>190</v>
      </c>
      <c r="D60" t="s">
        <v>267</v>
      </c>
    </row>
    <row r="61" spans="3:4" x14ac:dyDescent="0.25">
      <c r="D61" t="s">
        <v>265</v>
      </c>
    </row>
    <row r="62" spans="3:4" x14ac:dyDescent="0.25">
      <c r="D62" t="s">
        <v>255</v>
      </c>
    </row>
    <row r="63" spans="3:4" x14ac:dyDescent="0.25">
      <c r="D63" t="s">
        <v>268</v>
      </c>
    </row>
    <row r="64" spans="3:4" x14ac:dyDescent="0.25">
      <c r="D64" t="s">
        <v>269</v>
      </c>
    </row>
    <row r="65" spans="3:4" x14ac:dyDescent="0.25">
      <c r="D65" t="s">
        <v>270</v>
      </c>
    </row>
    <row r="66" spans="3:4" x14ac:dyDescent="0.25">
      <c r="D66" t="s">
        <v>271</v>
      </c>
    </row>
    <row r="67" spans="3:4" x14ac:dyDescent="0.25">
      <c r="C67" t="s">
        <v>185</v>
      </c>
      <c r="D67" t="s">
        <v>272</v>
      </c>
    </row>
    <row r="68" spans="3:4" x14ac:dyDescent="0.25">
      <c r="D68" t="s">
        <v>273</v>
      </c>
    </row>
    <row r="69" spans="3:4" x14ac:dyDescent="0.25">
      <c r="D69" t="s">
        <v>274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6" workbookViewId="0">
      <selection activeCell="C14" sqref="C14"/>
    </sheetView>
  </sheetViews>
  <sheetFormatPr defaultRowHeight="15" x14ac:dyDescent="0.25"/>
  <cols>
    <col min="2" max="2" width="3" bestFit="1" customWidth="1"/>
    <col min="3" max="3" width="130" customWidth="1"/>
  </cols>
  <sheetData>
    <row r="2" spans="2:3" ht="15" customHeight="1" x14ac:dyDescent="0.25">
      <c r="B2" s="51">
        <v>1</v>
      </c>
      <c r="C2" s="54" t="s">
        <v>281</v>
      </c>
    </row>
    <row r="3" spans="2:3" x14ac:dyDescent="0.25">
      <c r="B3" s="51">
        <v>2</v>
      </c>
      <c r="C3" s="52" t="s">
        <v>282</v>
      </c>
    </row>
    <row r="4" spans="2:3" x14ac:dyDescent="0.25">
      <c r="B4" s="51">
        <v>3</v>
      </c>
      <c r="C4" s="53" t="s">
        <v>283</v>
      </c>
    </row>
    <row r="5" spans="2:3" ht="30" x14ac:dyDescent="0.25">
      <c r="B5" s="51">
        <v>4</v>
      </c>
      <c r="C5" s="52" t="s">
        <v>284</v>
      </c>
    </row>
    <row r="6" spans="2:3" x14ac:dyDescent="0.25">
      <c r="B6" s="51">
        <v>5</v>
      </c>
      <c r="C6" s="53" t="s">
        <v>285</v>
      </c>
    </row>
    <row r="7" spans="2:3" ht="30" x14ac:dyDescent="0.25">
      <c r="B7" s="51">
        <v>6</v>
      </c>
      <c r="C7" s="52" t="s">
        <v>286</v>
      </c>
    </row>
    <row r="8" spans="2:3" ht="90" x14ac:dyDescent="0.25">
      <c r="B8" s="51">
        <v>7</v>
      </c>
      <c r="C8" s="52" t="s">
        <v>287</v>
      </c>
    </row>
    <row r="9" spans="2:3" x14ac:dyDescent="0.25">
      <c r="B9" s="51">
        <v>8</v>
      </c>
      <c r="C9" s="53" t="s">
        <v>288</v>
      </c>
    </row>
    <row r="10" spans="2:3" x14ac:dyDescent="0.25">
      <c r="B10" s="51">
        <v>9</v>
      </c>
      <c r="C10" s="53" t="s">
        <v>289</v>
      </c>
    </row>
    <row r="11" spans="2:3" x14ac:dyDescent="0.25">
      <c r="B11" s="51">
        <v>10</v>
      </c>
      <c r="C11" s="53" t="s">
        <v>290</v>
      </c>
    </row>
    <row r="12" spans="2:3" x14ac:dyDescent="0.25">
      <c r="B12" s="51">
        <v>11</v>
      </c>
      <c r="C12" s="53" t="s">
        <v>291</v>
      </c>
    </row>
    <row r="13" spans="2:3" x14ac:dyDescent="0.25">
      <c r="B13" s="51">
        <v>12</v>
      </c>
      <c r="C13" s="53" t="s">
        <v>292</v>
      </c>
    </row>
    <row r="14" spans="2:3" x14ac:dyDescent="0.25">
      <c r="B14" s="51">
        <v>13</v>
      </c>
      <c r="C14" s="53" t="s">
        <v>293</v>
      </c>
    </row>
    <row r="15" spans="2:3" x14ac:dyDescent="0.25">
      <c r="B15" s="51">
        <v>14</v>
      </c>
      <c r="C15" s="53" t="s">
        <v>283</v>
      </c>
    </row>
    <row r="16" spans="2:3" x14ac:dyDescent="0.25">
      <c r="B16" s="51">
        <v>15</v>
      </c>
      <c r="C16" s="53" t="s">
        <v>296</v>
      </c>
    </row>
    <row r="17" spans="2:3" ht="31.5" customHeight="1" x14ac:dyDescent="0.25">
      <c r="B17" s="57">
        <v>16</v>
      </c>
      <c r="C17" s="59" t="s">
        <v>297</v>
      </c>
    </row>
    <row r="18" spans="2:3" x14ac:dyDescent="0.25">
      <c r="B18" s="58">
        <v>17</v>
      </c>
      <c r="C18" s="59" t="s">
        <v>298</v>
      </c>
    </row>
    <row r="19" spans="2:3" x14ac:dyDescent="0.25">
      <c r="B19" s="57">
        <v>18</v>
      </c>
      <c r="C19" s="51" t="s">
        <v>299</v>
      </c>
    </row>
    <row r="20" spans="2:3" x14ac:dyDescent="0.25">
      <c r="B20" s="58">
        <v>19</v>
      </c>
      <c r="C20" s="51"/>
    </row>
    <row r="21" spans="2:3" x14ac:dyDescent="0.25">
      <c r="B21" s="60">
        <v>20</v>
      </c>
      <c r="C21" s="51"/>
    </row>
    <row r="22" spans="2:3" x14ac:dyDescent="0.25">
      <c r="B22" s="51"/>
      <c r="C22" s="51"/>
    </row>
    <row r="23" spans="2:3" x14ac:dyDescent="0.25">
      <c r="B23" s="51"/>
      <c r="C23" s="51"/>
    </row>
    <row r="24" spans="2:3" x14ac:dyDescent="0.25">
      <c r="B24" s="51"/>
      <c r="C24" s="51"/>
    </row>
    <row r="25" spans="2:3" x14ac:dyDescent="0.25">
      <c r="B25" s="51"/>
      <c r="C25" s="51"/>
    </row>
    <row r="26" spans="2:3" x14ac:dyDescent="0.25">
      <c r="B26" s="51"/>
      <c r="C26" s="5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2025-07-14T07:53:29Z</cp:lastPrinted>
  <dcterms:created xsi:type="dcterms:W3CDTF">2019-07-16T09:29:46Z</dcterms:created>
  <dcterms:modified xsi:type="dcterms:W3CDTF">2025-07-14T07:55:26Z</dcterms:modified>
</cp:coreProperties>
</file>