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July 25\Dump\"/>
    </mc:Choice>
  </mc:AlternateContent>
  <xr:revisionPtr revIDLastSave="0" documentId="13_ncr:1_{73A18F85-8ECD-45CB-9FCB-F27780BF8FA0}" xr6:coauthVersionLast="47" xr6:coauthVersionMax="47" xr10:uidLastSave="{00000000-0000-0000-0000-000000000000}"/>
  <bookViews>
    <workbookView xWindow="-120" yWindow="-120" windowWidth="20730" windowHeight="11160" tabRatio="725" xr2:uid="{00000000-000D-0000-FFFF-FFFF00000000}"/>
  </bookViews>
  <sheets>
    <sheet name="Report" sheetId="1" r:id="rId1"/>
    <sheet name="valuation" sheetId="5" r:id="rId2"/>
    <sheet name="Research" sheetId="4" r:id="rId3"/>
  </sheets>
  <definedNames>
    <definedName name="_xlnm.Print_Area" localSheetId="0">Report!$A$1:$H$331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3" i="1" l="1"/>
  <c r="G199" i="1" l="1"/>
  <c r="G198" i="1"/>
  <c r="G197" i="1"/>
  <c r="E199" i="1"/>
  <c r="E198" i="1"/>
  <c r="E197" i="1"/>
  <c r="D199" i="1"/>
  <c r="D198" i="1"/>
  <c r="D197" i="1"/>
  <c r="A198" i="1"/>
  <c r="A199" i="1" s="1"/>
  <c r="E193" i="1"/>
  <c r="D193" i="1"/>
  <c r="E195" i="1"/>
  <c r="D195" i="1"/>
  <c r="E194" i="1"/>
  <c r="D194" i="1"/>
  <c r="F194" i="1" s="1"/>
  <c r="H194" i="1" s="1"/>
  <c r="E192" i="1"/>
  <c r="D192" i="1"/>
  <c r="A192" i="1"/>
  <c r="A193" i="1" s="1"/>
  <c r="A194" i="1" s="1"/>
  <c r="A195" i="1" s="1"/>
  <c r="E191" i="1"/>
  <c r="D191" i="1"/>
  <c r="E189" i="1"/>
  <c r="E188" i="1"/>
  <c r="E185" i="1"/>
  <c r="E186" i="1"/>
  <c r="D189" i="1"/>
  <c r="D188" i="1"/>
  <c r="E187" i="1"/>
  <c r="D187" i="1"/>
  <c r="D186" i="1"/>
  <c r="D185" i="1"/>
  <c r="A186" i="1"/>
  <c r="A187" i="1" s="1"/>
  <c r="A188" i="1" s="1"/>
  <c r="A189" i="1" s="1"/>
  <c r="E183" i="1"/>
  <c r="D183" i="1"/>
  <c r="E182" i="1"/>
  <c r="D182" i="1"/>
  <c r="E181" i="1"/>
  <c r="D181" i="1"/>
  <c r="E180" i="1"/>
  <c r="D180" i="1"/>
  <c r="F180" i="1" s="1"/>
  <c r="H180" i="1" s="1"/>
  <c r="E179" i="1"/>
  <c r="D179" i="1"/>
  <c r="A180" i="1"/>
  <c r="A181" i="1" s="1"/>
  <c r="A182" i="1" s="1"/>
  <c r="A183" i="1" s="1"/>
  <c r="E177" i="1"/>
  <c r="D177" i="1"/>
  <c r="E176" i="1"/>
  <c r="D176" i="1"/>
  <c r="E175" i="1"/>
  <c r="D175" i="1"/>
  <c r="E174" i="1"/>
  <c r="D174" i="1"/>
  <c r="E173" i="1"/>
  <c r="D173" i="1"/>
  <c r="I175" i="1"/>
  <c r="G170" i="1"/>
  <c r="G169" i="1"/>
  <c r="G168" i="1"/>
  <c r="G167" i="1"/>
  <c r="E170" i="1"/>
  <c r="D170" i="1"/>
  <c r="E169" i="1"/>
  <c r="D169" i="1"/>
  <c r="E168" i="1"/>
  <c r="D168" i="1"/>
  <c r="E167" i="1"/>
  <c r="D167" i="1"/>
  <c r="I169" i="1"/>
  <c r="J167" i="1"/>
  <c r="I167" i="1"/>
  <c r="H171" i="1"/>
  <c r="E161" i="1"/>
  <c r="D161" i="1"/>
  <c r="E160" i="1"/>
  <c r="D160" i="1"/>
  <c r="A161" i="1"/>
  <c r="E158" i="1"/>
  <c r="D158" i="1"/>
  <c r="E157" i="1"/>
  <c r="D157" i="1"/>
  <c r="E156" i="1"/>
  <c r="D156" i="1"/>
  <c r="E155" i="1"/>
  <c r="D155" i="1"/>
  <c r="E154" i="1"/>
  <c r="D154" i="1"/>
  <c r="E153" i="1"/>
  <c r="D153" i="1"/>
  <c r="E152" i="1"/>
  <c r="D152" i="1"/>
  <c r="E151" i="1"/>
  <c r="D151" i="1"/>
  <c r="E150" i="1"/>
  <c r="D150" i="1"/>
  <c r="E149" i="1"/>
  <c r="D149" i="1"/>
  <c r="H149" i="1" s="1"/>
  <c r="E148" i="1"/>
  <c r="D148" i="1"/>
  <c r="E147" i="1"/>
  <c r="D147" i="1"/>
  <c r="E146" i="1"/>
  <c r="D146" i="1"/>
  <c r="E145" i="1"/>
  <c r="D145" i="1"/>
  <c r="E144" i="1"/>
  <c r="D144" i="1"/>
  <c r="E143" i="1"/>
  <c r="D143" i="1"/>
  <c r="E142" i="1"/>
  <c r="D142" i="1"/>
  <c r="E141" i="1"/>
  <c r="D141" i="1"/>
  <c r="E140" i="1"/>
  <c r="D140" i="1"/>
  <c r="E139" i="1"/>
  <c r="D139" i="1"/>
  <c r="I152" i="1"/>
  <c r="I151" i="1"/>
  <c r="I150" i="1"/>
  <c r="I144" i="1"/>
  <c r="F146" i="1" l="1"/>
  <c r="F153" i="1"/>
  <c r="H157" i="1"/>
  <c r="F195" i="1"/>
  <c r="H195" i="1" s="1"/>
  <c r="K167" i="1"/>
  <c r="H160" i="1"/>
  <c r="F179" i="1"/>
  <c r="H179" i="1" s="1"/>
  <c r="F183" i="1"/>
  <c r="H183" i="1" s="1"/>
  <c r="F192" i="1"/>
  <c r="H192" i="1" s="1"/>
  <c r="H144" i="1"/>
  <c r="H148" i="1"/>
  <c r="H156" i="1"/>
  <c r="F170" i="1"/>
  <c r="F191" i="1"/>
  <c r="H191" i="1" s="1"/>
  <c r="F193" i="1"/>
  <c r="H193" i="1" s="1"/>
  <c r="F151" i="1"/>
  <c r="F181" i="1"/>
  <c r="H181" i="1" s="1"/>
  <c r="F187" i="1"/>
  <c r="H187" i="1" s="1"/>
  <c r="F182" i="1"/>
  <c r="H182" i="1" s="1"/>
  <c r="F197" i="1"/>
  <c r="H197" i="1" s="1"/>
  <c r="F198" i="1"/>
  <c r="H198" i="1" s="1"/>
  <c r="F161" i="1"/>
  <c r="F156" i="1"/>
  <c r="F158" i="1"/>
  <c r="F143" i="1"/>
  <c r="F199" i="1"/>
  <c r="H199" i="1" s="1"/>
  <c r="F189" i="1"/>
  <c r="H189" i="1" s="1"/>
  <c r="F186" i="1"/>
  <c r="H186" i="1" s="1"/>
  <c r="F185" i="1"/>
  <c r="H185" i="1" s="1"/>
  <c r="F188" i="1"/>
  <c r="H188" i="1" s="1"/>
  <c r="H170" i="1"/>
  <c r="F155" i="1"/>
  <c r="F150" i="1"/>
  <c r="H161" i="1"/>
  <c r="F160" i="1"/>
  <c r="H158" i="1"/>
  <c r="F144" i="1"/>
  <c r="H154" i="1"/>
  <c r="H152" i="1"/>
  <c r="H151" i="1"/>
  <c r="H150" i="1"/>
  <c r="F149" i="1"/>
  <c r="H147" i="1"/>
  <c r="H145" i="1"/>
  <c r="H143" i="1"/>
  <c r="F157" i="1"/>
  <c r="H155" i="1"/>
  <c r="F154" i="1"/>
  <c r="H153" i="1"/>
  <c r="F152" i="1"/>
  <c r="F148" i="1"/>
  <c r="F147" i="1"/>
  <c r="H146" i="1"/>
  <c r="F145" i="1"/>
  <c r="E42" i="1"/>
  <c r="G126" i="1" l="1"/>
  <c r="E126" i="1"/>
  <c r="C126" i="1"/>
  <c r="H139" i="1"/>
  <c r="F140" i="1"/>
  <c r="F141" i="1"/>
  <c r="F142" i="1"/>
  <c r="F139" i="1"/>
  <c r="H140" i="1"/>
  <c r="H141" i="1"/>
  <c r="H142" i="1"/>
  <c r="F177" i="1"/>
  <c r="H177" i="1" s="1"/>
  <c r="J177" i="1" s="1"/>
  <c r="F176" i="1"/>
  <c r="H176" i="1" s="1"/>
  <c r="J176" i="1" s="1"/>
  <c r="F175" i="1"/>
  <c r="H175" i="1" s="1"/>
  <c r="J175" i="1" s="1"/>
  <c r="F174" i="1"/>
  <c r="H174" i="1" s="1"/>
  <c r="J174" i="1" s="1"/>
  <c r="F173" i="1"/>
  <c r="H173" i="1" s="1"/>
  <c r="J173" i="1" s="1"/>
  <c r="B203" i="1"/>
  <c r="B202" i="1"/>
  <c r="F167" i="1"/>
  <c r="F168" i="1"/>
  <c r="F169" i="1"/>
  <c r="E125" i="1" l="1"/>
  <c r="E127" i="1" s="1"/>
  <c r="C125" i="1"/>
  <c r="C127" i="1" s="1"/>
  <c r="C130" i="1"/>
  <c r="C132" i="1" s="1"/>
  <c r="E130" i="1"/>
  <c r="E132" i="1" s="1"/>
  <c r="G125" i="1"/>
  <c r="G127" i="1" s="1"/>
  <c r="C15" i="1"/>
  <c r="Z12" i="1" l="1"/>
  <c r="I14" i="1"/>
  <c r="H166" i="1" l="1"/>
  <c r="E133" i="1" l="1"/>
  <c r="C133" i="1"/>
  <c r="E43" i="1" l="1"/>
  <c r="E44" i="1" s="1"/>
  <c r="E30" i="1" l="1"/>
  <c r="H167" i="1" l="1"/>
  <c r="H168" i="1"/>
  <c r="H169" i="1"/>
  <c r="A167" i="1"/>
  <c r="A168" i="1" s="1"/>
  <c r="A169" i="1" s="1"/>
  <c r="A170" i="1" s="1"/>
  <c r="A171" i="1" s="1"/>
  <c r="G130" i="1" l="1"/>
  <c r="G132" i="1" s="1"/>
  <c r="G133" i="1" s="1"/>
  <c r="F122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24" i="1"/>
  <c r="A174" i="1"/>
  <c r="A175" i="1" s="1"/>
  <c r="A176" i="1" s="1"/>
  <c r="A177" i="1" s="1"/>
  <c r="A140" i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C96" i="1"/>
  <c r="B97" i="1" s="1"/>
  <c r="C82" i="1"/>
  <c r="B83" i="1" s="1"/>
  <c r="C68" i="1"/>
  <c r="B69" i="1" s="1"/>
  <c r="D55" i="1"/>
  <c r="G50" i="1"/>
  <c r="G51" i="1" s="1"/>
  <c r="C50" i="1"/>
  <c r="E27" i="1"/>
  <c r="E25" i="1"/>
  <c r="E7" i="1"/>
  <c r="E3" i="1"/>
  <c r="H97" i="1"/>
  <c r="D62" i="1" l="1"/>
  <c r="C102" i="1"/>
  <c r="J96" i="1" s="1"/>
  <c r="J98" i="1" s="1"/>
  <c r="J100" i="1"/>
  <c r="D109" i="1"/>
  <c r="D107" i="1"/>
  <c r="D105" i="1"/>
  <c r="D103" i="1"/>
  <c r="J101" i="1"/>
  <c r="C100" i="1" s="1"/>
  <c r="J99" i="1"/>
  <c r="J102" i="1"/>
  <c r="J103" i="1" s="1"/>
  <c r="J108" i="1" s="1"/>
  <c r="D108" i="1"/>
  <c r="D106" i="1"/>
  <c r="D104" i="1"/>
  <c r="H83" i="1"/>
  <c r="H69" i="1"/>
  <c r="J87" i="1" l="1"/>
  <c r="C86" i="1" s="1"/>
  <c r="D86" i="1" s="1"/>
  <c r="J85" i="1"/>
  <c r="J88" i="1"/>
  <c r="J89" i="1" s="1"/>
  <c r="J94" i="1" s="1"/>
  <c r="J82" i="1"/>
  <c r="J84" i="1" s="1"/>
  <c r="D90" i="1"/>
  <c r="D92" i="1"/>
  <c r="D95" i="1"/>
  <c r="D89" i="1"/>
  <c r="D93" i="1"/>
  <c r="D94" i="1"/>
  <c r="D91" i="1"/>
  <c r="J86" i="1"/>
  <c r="D81" i="1"/>
  <c r="D79" i="1"/>
  <c r="D78" i="1"/>
  <c r="D75" i="1"/>
  <c r="D77" i="1"/>
  <c r="J74" i="1"/>
  <c r="J75" i="1" s="1"/>
  <c r="J80" i="1" s="1"/>
  <c r="D80" i="1"/>
  <c r="J68" i="1"/>
  <c r="J70" i="1" s="1"/>
  <c r="D76" i="1"/>
  <c r="J72" i="1"/>
  <c r="J73" i="1"/>
  <c r="C72" i="1" s="1"/>
  <c r="D72" i="1" s="1"/>
  <c r="J71" i="1"/>
  <c r="J104" i="1"/>
  <c r="J105" i="1" s="1"/>
  <c r="J106" i="1" s="1"/>
  <c r="J107" i="1" s="1"/>
  <c r="J109" i="1" s="1"/>
  <c r="C101" i="1" s="1"/>
  <c r="J90" i="1"/>
  <c r="J91" i="1" s="1"/>
  <c r="J92" i="1" s="1"/>
  <c r="J93" i="1" s="1"/>
  <c r="J76" i="1"/>
  <c r="J77" i="1" s="1"/>
  <c r="J78" i="1" s="1"/>
  <c r="J79" i="1" s="1"/>
  <c r="D102" i="1"/>
  <c r="D100" i="1"/>
  <c r="D88" i="1"/>
  <c r="D74" i="1"/>
  <c r="J81" i="1" l="1"/>
  <c r="C73" i="1" s="1"/>
  <c r="G72" i="1" s="1"/>
  <c r="D66" i="1" s="1"/>
  <c r="D67" i="1" s="1"/>
  <c r="E100" i="1"/>
  <c r="G100" i="1"/>
  <c r="D101" i="1"/>
  <c r="I97" i="1" s="1"/>
  <c r="J95" i="1"/>
  <c r="J83" i="1" s="1"/>
  <c r="J97" i="1"/>
  <c r="J69" i="1" l="1"/>
  <c r="D73" i="1"/>
  <c r="I69" i="1" s="1"/>
  <c r="I70" i="1" s="1"/>
  <c r="E72" i="1"/>
  <c r="F67" i="1"/>
  <c r="E86" i="1"/>
  <c r="G86" i="1"/>
  <c r="D87" i="1"/>
  <c r="I83" i="1" s="1"/>
  <c r="I84" i="1" s="1"/>
  <c r="I98" i="1"/>
  <c r="I96" i="1" s="1"/>
  <c r="C98" i="1" s="1"/>
  <c r="I68" i="1" l="1"/>
  <c r="C70" i="1" s="1"/>
  <c r="I82" i="1"/>
  <c r="C8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Sachin</author>
  </authors>
  <commentList>
    <comment ref="E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<sst xmlns="http://schemas.openxmlformats.org/spreadsheetml/2006/main" count="509" uniqueCount="286">
  <si>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</si>
  <si>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</si>
  <si>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</si>
  <si>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</si>
  <si>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</si>
  <si>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</si>
  <si>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</si>
  <si>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</si>
  <si>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</si>
  <si>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</si>
  <si>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</si>
  <si>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</si>
  <si>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</si>
  <si>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</si>
  <si>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</si>
  <si>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</si>
  <si>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</si>
  <si>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</si>
  <si>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</si>
  <si>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</si>
  <si>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</si>
  <si>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</si>
  <si>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</si>
  <si>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</si>
  <si>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</si>
  <si>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</si>
  <si>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</si>
  <si>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</si>
  <si>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</si>
  <si>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</si>
  <si>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</si>
  <si>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</si>
  <si>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</si>
  <si>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</si>
  <si>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</si>
  <si>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</si>
  <si>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</si>
  <si>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</si>
  <si>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</si>
  <si>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</si>
  <si>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</si>
  <si>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</si>
  <si>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</si>
  <si>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</si>
  <si>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</si>
  <si>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</si>
  <si>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</si>
  <si>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</si>
  <si>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</si>
  <si>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</si>
  <si>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</si>
  <si>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</si>
  <si>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</si>
  <si>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</si>
  <si>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</si>
  <si>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</si>
  <si>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</si>
  <si>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</si>
  <si>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</si>
  <si>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</si>
  <si>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</si>
  <si>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</si>
  <si>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</si>
  <si>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</si>
  <si>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</si>
  <si>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</si>
  <si>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</si>
  <si>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</si>
  <si>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</si>
  <si>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</si>
  <si>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</si>
  <si>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</si>
  <si>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</si>
  <si>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</si>
  <si>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</si>
  <si>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</si>
  <si>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</si>
  <si>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</si>
  <si>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</si>
  <si>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</si>
  <si>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</si>
  <si>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</si>
  <si>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</si>
  <si>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</si>
  <si>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</si>
  <si>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</si>
  <si>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</si>
  <si>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</si>
  <si>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</si>
  <si>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</si>
  <si>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</si>
  <si>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</si>
  <si>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</si>
  <si>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</si>
  <si>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</si>
  <si>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</si>
  <si>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</si>
  <si>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</si>
  <si>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</si>
  <si>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</si>
  <si>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</si>
  <si>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</si>
  <si>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</si>
  <si>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</si>
  <si>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</si>
  <si>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</si>
  <si>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</si>
  <si>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</si>
  <si>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</si>
  <si>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</si>
  <si>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</si>
  <si>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</si>
  <si>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</si>
  <si>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</si>
  <si>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</si>
  <si>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</si>
  <si>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</si>
  <si>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</si>
  <si>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</si>
  <si>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</si>
  <si>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</si>
  <si>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</si>
  <si>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</si>
  <si>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</si>
  <si>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</si>
  <si>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</si>
  <si>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</si>
  <si>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</si>
  <si>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</si>
  <si>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</si>
  <si>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</si>
  <si>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</si>
  <si>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</si>
  <si>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</si>
  <si>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</si>
  <si>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</si>
  <si>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</si>
  <si>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</si>
  <si>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</si>
  <si>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</si>
  <si>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</si>
  <si>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</si>
  <si>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</si>
  <si>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</si>
  <si>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</si>
  <si>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</si>
  <si>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</si>
  <si>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</si>
  <si>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</si>
  <si>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</si>
  <si>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</si>
  <si>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</si>
  <si>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</si>
  <si>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</si>
  <si>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</si>
  <si>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</si>
  <si>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</si>
  <si>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</si>
  <si>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</si>
  <si>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</si>
  <si>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</si>
  <si>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</si>
  <si>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</si>
  <si>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</si>
  <si>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</si>
  <si>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</si>
  <si>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</si>
  <si>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Approved Plans, CC, Sale Plans, Builder Saleable Area, Cost Sheet, Airport Noc, Railway Noc, OC</t>
  </si>
  <si>
    <t>Name / No of the Existing Building</t>
  </si>
  <si>
    <t>Mumbai</t>
  </si>
  <si>
    <t>As per Layout</t>
  </si>
  <si>
    <t xml:space="preserve">Details of Residential &amp; Commercials in Building   </t>
  </si>
  <si>
    <t>Shop No. (Sale Plan)</t>
  </si>
  <si>
    <t>Flat No. (Sale Plan)</t>
  </si>
  <si>
    <t xml:space="preserve">As the project is redevelopement project but rehab statement or rehab flats is not mentioned approved layout plan &amp; floor plan.
</t>
  </si>
  <si>
    <t xml:space="preserve">Thane </t>
  </si>
  <si>
    <t>Thane</t>
  </si>
  <si>
    <t>Shahpur</t>
  </si>
  <si>
    <t>Kalyan</t>
  </si>
  <si>
    <t>Bhiwandi</t>
  </si>
  <si>
    <t>Ulhasnagar</t>
  </si>
  <si>
    <t>Ambernath</t>
  </si>
  <si>
    <t>Murbad</t>
  </si>
  <si>
    <t>Mokhada</t>
  </si>
  <si>
    <t>Talasari</t>
  </si>
  <si>
    <t>Palghar</t>
  </si>
  <si>
    <t>Vasai</t>
  </si>
  <si>
    <t>Vikramgad</t>
  </si>
  <si>
    <t>Dahanu</t>
  </si>
  <si>
    <t>Wada</t>
  </si>
  <si>
    <t>Raigad</t>
  </si>
  <si>
    <t>Alibag</t>
  </si>
  <si>
    <t>Panvel</t>
  </si>
  <si>
    <t>Uran</t>
  </si>
  <si>
    <t>Karjat</t>
  </si>
  <si>
    <t>Khalapur</t>
  </si>
  <si>
    <t>Pen</t>
  </si>
  <si>
    <t>Sudhagad</t>
  </si>
  <si>
    <t>Mahad</t>
  </si>
  <si>
    <t>Roha</t>
  </si>
  <si>
    <t>Mangaon</t>
  </si>
  <si>
    <t>Poladpur</t>
  </si>
  <si>
    <t>Mahasala</t>
  </si>
  <si>
    <t>Shriwardhan</t>
  </si>
  <si>
    <t>Murud</t>
  </si>
  <si>
    <t>Andheri</t>
  </si>
  <si>
    <t>Borivali</t>
  </si>
  <si>
    <t>Kurla</t>
  </si>
  <si>
    <t>Pune</t>
  </si>
  <si>
    <t>Pune City</t>
  </si>
  <si>
    <t>Khed</t>
  </si>
  <si>
    <t>Baramati</t>
  </si>
  <si>
    <t>Junnar</t>
  </si>
  <si>
    <t>Shirur</t>
  </si>
  <si>
    <t>Indapur</t>
  </si>
  <si>
    <t>Daund</t>
  </si>
  <si>
    <t>Mawal</t>
  </si>
  <si>
    <t>Ambegaon</t>
  </si>
  <si>
    <t>Purandhar</t>
  </si>
  <si>
    <t>Bhor</t>
  </si>
  <si>
    <t>Mulshi</t>
  </si>
  <si>
    <t>Velhe</t>
  </si>
  <si>
    <t>Haveli</t>
  </si>
  <si>
    <t>Approved Plans, CC</t>
  </si>
  <si>
    <t>Approved Plans, CC, Sale Plans</t>
  </si>
  <si>
    <t>Approved Plans, CC, Sale Plans, Builder Saleable Area</t>
  </si>
  <si>
    <t>Approved Plans, CC, Sale Plans, Builder Saleable Area, Cost Sheet,</t>
  </si>
  <si>
    <t>Approved Plans, CC, Builder Saleable Area,</t>
  </si>
  <si>
    <t>Fungible area</t>
  </si>
  <si>
    <t>Carpet area</t>
  </si>
  <si>
    <t xml:space="preserve">Please check for Environment Clearance Certificate.
</t>
  </si>
  <si>
    <t>Axis Sanpada</t>
  </si>
  <si>
    <t>Sathe Schemes</t>
  </si>
  <si>
    <t>Equinox</t>
  </si>
  <si>
    <t>Approved Plans, Sale Plans, Cost Sheet.</t>
  </si>
  <si>
    <t>P52000052525</t>
  </si>
  <si>
    <t>Plot No</t>
  </si>
  <si>
    <t>20/1</t>
  </si>
  <si>
    <t>Chinchpada</t>
  </si>
  <si>
    <t>Internal Rd</t>
  </si>
  <si>
    <t>750M from Pen Railway Station</t>
  </si>
  <si>
    <t>Vishal Complex</t>
  </si>
  <si>
    <t>Internal Rd/ Building</t>
  </si>
  <si>
    <t>Shri Vasanti Steel Pen</t>
  </si>
  <si>
    <t>20M Wide DP Road</t>
  </si>
  <si>
    <t>ADJ 20/3 Open Space</t>
  </si>
  <si>
    <t>Open Plot/K.E.S SCHOOL</t>
  </si>
  <si>
    <t>ADJ FP On 20/2</t>
  </si>
  <si>
    <t>9M Wide DP Road</t>
  </si>
  <si>
    <t>18.738976,73.090657</t>
  </si>
  <si>
    <t>https://maps.app.goo.gl/qZuJEC3onHxuDTfQA</t>
  </si>
  <si>
    <t>Pen Municipal Council</t>
  </si>
  <si>
    <t>PNP/K4/B.V3396BP/310</t>
  </si>
  <si>
    <t>PNP/K4/BV/BP/3396/2022-2023/310/2023</t>
  </si>
  <si>
    <t>Gr/Stilt + 1st to 15th Floor</t>
  </si>
  <si>
    <t>As per RERA - 31/05/2030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</si>
  <si>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Times New Roman"/>
        <family val="1"/>
      </rPr>
      <t xml:space="preserve">                                               </t>
    </r>
  </si>
  <si>
    <t>Ground Floor For Commercial &amp; Parking</t>
  </si>
  <si>
    <t>Shop</t>
  </si>
  <si>
    <t>1st Floor + 2nd Floor((Mezzanine Floor) For Commercial Units &amp; Parking</t>
  </si>
  <si>
    <t>Unit Duplex With Mezzanine Floor</t>
  </si>
  <si>
    <t>Attached Loft Area/ Mezzanine area</t>
  </si>
  <si>
    <t>3rd Floor For Residential &amp; Amenities</t>
  </si>
  <si>
    <t>Driver Rest Room/Indoore Game Hall/Gymnasium</t>
  </si>
  <si>
    <t>3BHK</t>
  </si>
  <si>
    <t>2BHK</t>
  </si>
  <si>
    <t>Screening Room/Society Office</t>
  </si>
  <si>
    <t>4th Floor</t>
  </si>
  <si>
    <t>5th Floor</t>
  </si>
  <si>
    <t>6th, 7th, 9th to 12th, &amp; 14th Floor</t>
  </si>
  <si>
    <t>8th &amp; 13th Floor(Part Refuge Area)</t>
  </si>
  <si>
    <t>15th Floor</t>
  </si>
  <si>
    <t>Commercial Unit</t>
  </si>
  <si>
    <t>Flats</t>
  </si>
  <si>
    <t>Flats - 62, Shops - 20, Commercial Unit - 02</t>
  </si>
  <si>
    <t>We considered Gross carpet area = Net carpet + Balcony + Weather Shed Area.</t>
  </si>
  <si>
    <t>5500 to 6000</t>
  </si>
  <si>
    <r>
      <t xml:space="preserve">Floor Rise Rate from  6th  Floor </t>
    </r>
    <r>
      <rPr>
        <sz val="12"/>
        <color rgb="FFFF0000"/>
        <rFont val="Times New Roman"/>
        <family val="1"/>
      </rPr>
      <t>Per Sq. Ft</t>
    </r>
  </si>
  <si>
    <t xml:space="preserve"> Charges</t>
  </si>
  <si>
    <t>Society Formation + M.S.E.B Charges</t>
  </si>
  <si>
    <t>Swimming Pool, Kids Play Area, Gym, Etc..</t>
  </si>
  <si>
    <t>Miss.Kalyani : 8149490487</t>
  </si>
  <si>
    <t>Construction work is in process at the time of Visit.</t>
  </si>
  <si>
    <t>Mr. Milind Mokal 7774948881</t>
  </si>
  <si>
    <t>Gaurav Panchal</t>
  </si>
  <si>
    <t>Nitesh Patil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</si>
</sst>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30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214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20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8" fillId="0" borderId="0" xfId="0" applyFont="1" applyProtection="1">
      <protection hidden="1"/>
    </xf>
    <xf numFmtId="0" fontId="15" fillId="0" borderId="1" xfId="1" applyFont="1" applyBorder="1" applyAlignment="1" applyProtection="1">
      <alignment horizontal="center" vertical="top"/>
      <protection locked="0"/>
    </xf>
    <xf numFmtId="0" fontId="18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4" fillId="0" borderId="0" xfId="1" applyFont="1"/>
    <xf numFmtId="0" fontId="7" fillId="0" borderId="10" xfId="1" applyFont="1" applyBorder="1"/>
    <xf numFmtId="0" fontId="18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5" fillId="2" borderId="30" xfId="0" applyFont="1" applyFill="1" applyBorder="1"/>
    <xf numFmtId="0" fontId="26" fillId="0" borderId="31" xfId="0" applyFont="1" applyBorder="1"/>
    <xf numFmtId="0" fontId="26" fillId="0" borderId="1" xfId="0" applyFont="1" applyBorder="1"/>
    <xf numFmtId="0" fontId="26" fillId="0" borderId="5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164" fontId="7" fillId="0" borderId="0" xfId="1" applyNumberFormat="1" applyFont="1" applyAlignment="1">
      <alignment horizontal="center" vertical="center"/>
    </xf>
    <xf numFmtId="0" fontId="7" fillId="0" borderId="1" xfId="1" applyFont="1" applyBorder="1" applyAlignment="1" applyProtection="1">
      <alignment horizontal="center" vertical="top"/>
      <protection locked="0"/>
    </xf>
    <xf numFmtId="0" fontId="7" fillId="0" borderId="1" xfId="1" applyFont="1" applyFill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" fontId="8" fillId="0" borderId="3" xfId="0" applyNumberFormat="1" applyFont="1" applyBorder="1" applyAlignment="1" applyProtection="1">
      <alignment horizontal="center" vertical="center" wrapText="1"/>
      <protection locked="0"/>
    </xf>
    <xf numFmtId="1" fontId="10" fillId="0" borderId="3" xfId="0" applyNumberFormat="1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8" fillId="0" borderId="3" xfId="0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10" fillId="0" borderId="8" xfId="1" applyFont="1" applyBorder="1" applyAlignment="1" applyProtection="1">
      <alignment horizontal="left" vertical="top"/>
      <protection locked="0"/>
    </xf>
    <xf numFmtId="0" fontId="10" fillId="0" borderId="21" xfId="1" applyFont="1" applyBorder="1" applyAlignment="1" applyProtection="1">
      <alignment horizontal="left" vertical="top"/>
      <protection locked="0"/>
    </xf>
    <xf numFmtId="0" fontId="10" fillId="0" borderId="9" xfId="1" applyFont="1" applyBorder="1" applyAlignment="1" applyProtection="1">
      <alignment horizontal="left" vertical="top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0" fontId="27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" fontId="8" fillId="0" borderId="33" xfId="0" applyNumberFormat="1" applyFont="1" applyBorder="1" applyAlignment="1" applyProtection="1">
      <alignment horizontal="center" vertical="top" wrapText="1"/>
      <protection locked="0"/>
    </xf>
    <xf numFmtId="1" fontId="8" fillId="0" borderId="34" xfId="0" applyNumberFormat="1" applyFont="1" applyBorder="1" applyAlignment="1" applyProtection="1">
      <alignment horizontal="center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23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7" fillId="0" borderId="3" xfId="1" applyFont="1" applyBorder="1" applyAlignment="1" applyProtection="1">
      <alignment horizontal="left" vertical="top" wrapText="1"/>
      <protection locked="0"/>
    </xf>
    <xf numFmtId="0" fontId="7" fillId="0" borderId="3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14" fontId="6" fillId="0" borderId="9" xfId="1" applyNumberFormat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8" xfId="1" applyFont="1" applyBorder="1" applyAlignment="1" applyProtection="1">
      <alignment horizontal="center" vertical="top"/>
      <protection locked="0"/>
    </xf>
    <xf numFmtId="0" fontId="12" fillId="0" borderId="21" xfId="1" applyFont="1" applyBorder="1" applyAlignment="1" applyProtection="1">
      <alignment horizontal="center" vertical="top"/>
      <protection locked="0"/>
    </xf>
    <xf numFmtId="0" fontId="12" fillId="0" borderId="9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9" fontId="7" fillId="0" borderId="18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9" xfId="8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center" vertical="top"/>
      <protection locked="0"/>
    </xf>
    <xf numFmtId="0" fontId="13" fillId="0" borderId="21" xfId="1" applyFont="1" applyBorder="1" applyAlignment="1" applyProtection="1">
      <alignment horizontal="center" vertical="top"/>
      <protection locked="0"/>
    </xf>
    <xf numFmtId="0" fontId="13" fillId="0" borderId="9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/>
      <protection locked="0"/>
    </xf>
    <xf numFmtId="49" fontId="7" fillId="0" borderId="1" xfId="1" applyNumberFormat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0" fillId="0" borderId="1" xfId="1" applyFont="1" applyBorder="1" applyAlignment="1" applyProtection="1">
      <alignment horizontal="left" vertical="top"/>
      <protection locked="0"/>
    </xf>
    <xf numFmtId="14" fontId="7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6" fillId="0" borderId="1" xfId="1" applyFont="1" applyBorder="1" applyAlignment="1" applyProtection="1">
      <alignment horizontal="center" vertical="top" wrapText="1"/>
      <protection locked="0"/>
    </xf>
    <xf numFmtId="167" fontId="7" fillId="0" borderId="1" xfId="9" applyNumberFormat="1" applyFont="1" applyFill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17" fillId="0" borderId="8" xfId="0" applyNumberFormat="1" applyFont="1" applyBorder="1" applyAlignment="1" applyProtection="1">
      <alignment vertical="top" wrapText="1"/>
      <protection locked="0"/>
    </xf>
    <xf numFmtId="1" fontId="17" fillId="0" borderId="21" xfId="0" applyNumberFormat="1" applyFont="1" applyBorder="1" applyAlignment="1" applyProtection="1">
      <alignment vertical="top" wrapText="1"/>
      <protection locked="0"/>
    </xf>
    <xf numFmtId="1" fontId="17" fillId="0" borderId="9" xfId="0" applyNumberFormat="1" applyFont="1" applyBorder="1" applyAlignment="1" applyProtection="1">
      <alignment vertical="top" wrapText="1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1" fontId="8" fillId="0" borderId="33" xfId="0" applyNumberFormat="1" applyFont="1" applyBorder="1" applyAlignment="1" applyProtection="1">
      <alignment horizontal="center" vertical="center" wrapText="1"/>
      <protection locked="0"/>
    </xf>
    <xf numFmtId="0" fontId="10" fillId="0" borderId="33" xfId="0" applyFont="1" applyBorder="1" applyAlignment="1" applyProtection="1">
      <alignment horizontal="center" vertical="center"/>
      <protection locked="0"/>
    </xf>
    <xf numFmtId="1" fontId="10" fillId="0" borderId="33" xfId="0" applyNumberFormat="1" applyFont="1" applyBorder="1" applyAlignment="1" applyProtection="1">
      <alignment horizontal="center"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10" fillId="0" borderId="8" xfId="0" applyNumberFormat="1" applyFont="1" applyBorder="1" applyAlignment="1" applyProtection="1">
      <alignment vertical="top" wrapText="1"/>
      <protection locked="0"/>
    </xf>
    <xf numFmtId="1" fontId="10" fillId="0" borderId="21" xfId="0" applyNumberFormat="1" applyFont="1" applyBorder="1" applyAlignment="1" applyProtection="1">
      <alignment vertical="top" wrapText="1"/>
      <protection locked="0"/>
    </xf>
    <xf numFmtId="1" fontId="10" fillId="0" borderId="9" xfId="0" applyNumberFormat="1" applyFont="1" applyBorder="1" applyAlignment="1" applyProtection="1">
      <alignment vertical="top" wrapText="1"/>
      <protection locked="0"/>
    </xf>
    <xf numFmtId="0" fontId="15" fillId="0" borderId="1" xfId="1" applyFont="1" applyBorder="1" applyAlignment="1" applyProtection="1">
      <alignment horizontal="left" vertical="top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10" fillId="0" borderId="3" xfId="0" applyNumberFormat="1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7" fillId="0" borderId="25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10" fillId="0" borderId="1" xfId="1" applyFont="1" applyBorder="1" applyAlignment="1" applyProtection="1">
      <alignment horizontal="center" vertical="top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268</xdr:row>
      <xdr:rowOff>19050</xdr:rowOff>
    </xdr:from>
    <xdr:to>
      <xdr:col>7</xdr:col>
      <xdr:colOff>717418</xdr:colOff>
      <xdr:row>286</xdr:row>
      <xdr:rowOff>18600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3825" y="51654075"/>
          <a:ext cx="6270493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</xdr:col>
      <xdr:colOff>238125</xdr:colOff>
      <xdr:row>282</xdr:row>
      <xdr:rowOff>114300</xdr:rowOff>
    </xdr:from>
    <xdr:to>
      <xdr:col>2</xdr:col>
      <xdr:colOff>238125</xdr:colOff>
      <xdr:row>284</xdr:row>
      <xdr:rowOff>57150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1800225" y="54549675"/>
          <a:ext cx="0" cy="342900"/>
        </a:xfrm>
        <a:prstGeom prst="straightConnector1">
          <a:avLst/>
        </a:prstGeom>
        <a:ln w="38100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28575</xdr:colOff>
      <xdr:row>283</xdr:row>
      <xdr:rowOff>95250</xdr:rowOff>
    </xdr:from>
    <xdr:to>
      <xdr:col>3</xdr:col>
      <xdr:colOff>495300</xdr:colOff>
      <xdr:row>287</xdr:row>
      <xdr:rowOff>38100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590675" y="54730650"/>
          <a:ext cx="1314450" cy="7429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2800" b="1">
              <a:solidFill>
                <a:srgbClr val="C00000"/>
              </a:solidFill>
            </a:rPr>
            <a:t>N</a:t>
          </a:r>
        </a:p>
      </xdr:txBody>
    </xdr:sp>
    <xdr:clientData/>
  </xdr:twoCellAnchor>
  <xdr:twoCellAnchor editAs="oneCell">
    <xdr:from>
      <xdr:col>0</xdr:col>
      <xdr:colOff>485775</xdr:colOff>
      <xdr:row>309</xdr:row>
      <xdr:rowOff>7549</xdr:rowOff>
    </xdr:from>
    <xdr:to>
      <xdr:col>7</xdr:col>
      <xdr:colOff>388021</xdr:colOff>
      <xdr:row>327</xdr:row>
      <xdr:rowOff>7099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85775" y="63244024"/>
          <a:ext cx="5579146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434496</xdr:colOff>
      <xdr:row>294</xdr:row>
      <xdr:rowOff>9525</xdr:rowOff>
    </xdr:from>
    <xdr:to>
      <xdr:col>6</xdr:col>
      <xdr:colOff>393080</xdr:colOff>
      <xdr:row>308</xdr:row>
      <xdr:rowOff>89175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96496" y="60245625"/>
          <a:ext cx="4111484" cy="28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</xdr:col>
      <xdr:colOff>742950</xdr:colOff>
      <xdr:row>314</xdr:row>
      <xdr:rowOff>9525</xdr:rowOff>
    </xdr:from>
    <xdr:to>
      <xdr:col>3</xdr:col>
      <xdr:colOff>361950</xdr:colOff>
      <xdr:row>318</xdr:row>
      <xdr:rowOff>9525</xdr:rowOff>
    </xdr:to>
    <xdr:sp macro="" textlink="">
      <xdr:nvSpPr>
        <xdr:cNvPr id="14" name="Freeform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504950" y="64246125"/>
          <a:ext cx="1266825" cy="800100"/>
        </a:xfrm>
        <a:custGeom>
          <a:avLst/>
          <a:gdLst>
            <a:gd name="connsiteX0" fmla="*/ 85725 w 1266825"/>
            <a:gd name="connsiteY0" fmla="*/ 0 h 800100"/>
            <a:gd name="connsiteX1" fmla="*/ 876300 w 1266825"/>
            <a:gd name="connsiteY1" fmla="*/ 57150 h 800100"/>
            <a:gd name="connsiteX2" fmla="*/ 1266825 w 1266825"/>
            <a:gd name="connsiteY2" fmla="*/ 800100 h 800100"/>
            <a:gd name="connsiteX3" fmla="*/ 0 w 1266825"/>
            <a:gd name="connsiteY3" fmla="*/ 657225 h 800100"/>
            <a:gd name="connsiteX4" fmla="*/ 85725 w 1266825"/>
            <a:gd name="connsiteY4" fmla="*/ 0 h 8001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266825" h="800100">
              <a:moveTo>
                <a:pt x="85725" y="0"/>
              </a:moveTo>
              <a:lnTo>
                <a:pt x="876300" y="57150"/>
              </a:lnTo>
              <a:lnTo>
                <a:pt x="1266825" y="800100"/>
              </a:lnTo>
              <a:lnTo>
                <a:pt x="0" y="657225"/>
              </a:lnTo>
              <a:lnTo>
                <a:pt x="85725" y="0"/>
              </a:lnTo>
              <a:close/>
            </a:path>
          </a:pathLst>
        </a:custGeom>
        <a:noFill/>
        <a:ln w="381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8</xdr:col>
      <xdr:colOff>198904</xdr:colOff>
      <xdr:row>225</xdr:row>
      <xdr:rowOff>145677</xdr:rowOff>
    </xdr:from>
    <xdr:to>
      <xdr:col>15</xdr:col>
      <xdr:colOff>222436</xdr:colOff>
      <xdr:row>266</xdr:row>
      <xdr:rowOff>0</xdr:rowOff>
    </xdr:to>
    <xdr:grpSp>
      <xdr:nvGrpSpPr>
        <xdr:cNvPr id="30" name="Group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GrpSpPr/>
      </xdr:nvGrpSpPr>
      <xdr:grpSpPr>
        <a:xfrm>
          <a:off x="6704479" y="41484177"/>
          <a:ext cx="5643282" cy="8045823"/>
          <a:chOff x="866425" y="718100"/>
          <a:chExt cx="5085747" cy="7549774"/>
        </a:xfrm>
      </xdr:grpSpPr>
      <xdr:pic>
        <xdr:nvPicPr>
          <xdr:cNvPr id="31" name="Picture 30" descr="https://vsjcllp.vsjadon.com/upload/insp-225894-843.jpg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763502" y="6237594"/>
            <a:ext cx="1520595" cy="203028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2" name="Picture 31" descr="https://vsjcllp.vsjadon.com/upload/insp-225894-849.jpg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922356" y="4129377"/>
            <a:ext cx="2703279" cy="203028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3" name="Picture 32" descr="https://vsjcllp.vsjadon.com/upload/insp-225894-862.jpg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455639" y="718100"/>
            <a:ext cx="2496533" cy="333334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4" name="Picture 33" descr="https://vsjcllp.vsjadon.com/upload/insp-225894-871.jpg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866425" y="718100"/>
            <a:ext cx="2496533" cy="333334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5" name="Picture 34" descr="https://vsjcllp.vsjadon.com/upload/insp-225894-874.jpg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329509" y="4131114"/>
            <a:ext cx="1520595" cy="203028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6" name="Picture 35" descr="https://vsjcllp.vsjadon.com/upload/insp-225894-880.jpg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368357" y="6237594"/>
            <a:ext cx="1520595" cy="203028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152400</xdr:colOff>
      <xdr:row>224</xdr:row>
      <xdr:rowOff>161924</xdr:rowOff>
    </xdr:from>
    <xdr:to>
      <xdr:col>7</xdr:col>
      <xdr:colOff>628649</xdr:colOff>
      <xdr:row>264</xdr:row>
      <xdr:rowOff>161924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9469FE7-3241-456C-A188-C101625D189B}"/>
            </a:ext>
          </a:extLst>
        </xdr:cNvPr>
        <xdr:cNvGrpSpPr/>
      </xdr:nvGrpSpPr>
      <xdr:grpSpPr>
        <a:xfrm>
          <a:off x="152400" y="41300399"/>
          <a:ext cx="6153149" cy="7991475"/>
          <a:chOff x="1002375" y="179294"/>
          <a:chExt cx="5014894" cy="7490826"/>
        </a:xfrm>
      </xdr:grpSpPr>
      <xdr:pic>
        <xdr:nvPicPr>
          <xdr:cNvPr id="16" name="Picture 15">
            <a:extLst>
              <a:ext uri="{FF2B5EF4-FFF2-40B4-BE49-F238E27FC236}">
                <a16:creationId xmlns:a16="http://schemas.microsoft.com/office/drawing/2014/main" id="{837C76B6-AB44-42CC-837D-DF6E2FEAB49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02375" y="179294"/>
            <a:ext cx="2426625" cy="32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36C981BF-6E58-4DDA-9614-D2AAC0C9888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90644" y="179294"/>
            <a:ext cx="2426625" cy="32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8" name="Picture 17">
            <a:extLst>
              <a:ext uri="{FF2B5EF4-FFF2-40B4-BE49-F238E27FC236}">
                <a16:creationId xmlns:a16="http://schemas.microsoft.com/office/drawing/2014/main" id="{9F19E6A9-9D12-4E68-AA76-0EC2A4A9771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45807" y="3564707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9" name="Picture 18">
            <a:extLst>
              <a:ext uri="{FF2B5EF4-FFF2-40B4-BE49-F238E27FC236}">
                <a16:creationId xmlns:a16="http://schemas.microsoft.com/office/drawing/2014/main" id="{DFF68374-EB25-46DA-ACC8-ABBCD2D3CF5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943309" y="3564707"/>
            <a:ext cx="2876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7C251D65-833F-4B9E-966F-E50E7D055F6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80875" y="5870120"/>
            <a:ext cx="1348125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1" name="Picture 20">
            <a:extLst>
              <a:ext uri="{FF2B5EF4-FFF2-40B4-BE49-F238E27FC236}">
                <a16:creationId xmlns:a16="http://schemas.microsoft.com/office/drawing/2014/main" id="{6B2F85E9-AB21-4245-A04F-5B6B4548892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90644" y="5870120"/>
            <a:ext cx="1348125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493058</xdr:colOff>
      <xdr:row>1</xdr:row>
      <xdr:rowOff>168088</xdr:rowOff>
    </xdr:from>
    <xdr:to>
      <xdr:col>14</xdr:col>
      <xdr:colOff>253521</xdr:colOff>
      <xdr:row>24</xdr:row>
      <xdr:rowOff>95382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269"/>
        <a:stretch/>
      </xdr:blipFill>
      <xdr:spPr>
        <a:xfrm>
          <a:off x="9905999" y="358588"/>
          <a:ext cx="3256698" cy="43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qZuJEC3onHxuDTfQA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294"/>
  <sheetViews>
    <sheetView tabSelected="1" view="pageBreakPreview" zoomScaleNormal="100" zoomScaleSheetLayoutView="100" zoomScalePageLayoutView="85" workbookViewId="0">
      <selection activeCell="I6" sqref="I6"/>
    </sheetView>
  </sheetViews>
  <sheetFormatPr defaultColWidth="9.140625" defaultRowHeight="15.75" x14ac:dyDescent="0.25"/>
  <cols>
    <col min="1" max="1" width="11.42578125" style="41" customWidth="1"/>
    <col min="2" max="2" width="12" style="41" customWidth="1"/>
    <col min="3" max="3" width="12.7109375" style="41" customWidth="1"/>
    <col min="4" max="4" width="14.140625" style="41" customWidth="1"/>
    <col min="5" max="6" width="11.7109375" style="41" customWidth="1"/>
    <col min="7" max="7" width="11.42578125" style="41" customWidth="1"/>
    <col min="8" max="8" width="12.42578125" style="41" customWidth="1"/>
    <col min="9" max="9" width="17.42578125" style="22" customWidth="1"/>
    <col min="10" max="10" width="11.42578125" style="22" customWidth="1"/>
    <col min="11" max="11" width="10.5703125" style="22" bestFit="1" customWidth="1"/>
    <col min="12" max="12" width="10.5703125" style="22" customWidth="1"/>
    <col min="13" max="13" width="11.85546875" style="22" customWidth="1"/>
    <col min="14" max="14" width="12.5703125" style="22" customWidth="1"/>
    <col min="15" max="15" width="9.85546875" style="22" customWidth="1"/>
    <col min="16" max="16" width="11.7109375" style="22" customWidth="1"/>
    <col min="17" max="247" width="9.140625" style="22"/>
    <col min="248" max="248" width="8.7109375" style="22" customWidth="1"/>
    <col min="249" max="249" width="9.85546875" style="22" customWidth="1"/>
    <col min="250" max="250" width="14.42578125" style="22" customWidth="1"/>
    <col min="251" max="251" width="7.28515625" style="22" customWidth="1"/>
    <col min="252" max="252" width="5.5703125" style="22" customWidth="1"/>
    <col min="253" max="253" width="9" style="22" customWidth="1"/>
    <col min="254" max="255" width="9.85546875" style="22" customWidth="1"/>
    <col min="256" max="256" width="11.140625" style="22" customWidth="1"/>
    <col min="257" max="257" width="2.85546875" style="22" customWidth="1"/>
    <col min="258" max="258" width="3.5703125" style="22" customWidth="1"/>
    <col min="259" max="503" width="9.140625" style="22"/>
    <col min="504" max="504" width="8.7109375" style="22" customWidth="1"/>
    <col min="505" max="505" width="9.85546875" style="22" customWidth="1"/>
    <col min="506" max="506" width="14.42578125" style="22" customWidth="1"/>
    <col min="507" max="507" width="7.28515625" style="22" customWidth="1"/>
    <col min="508" max="508" width="5.5703125" style="22" customWidth="1"/>
    <col min="509" max="509" width="9" style="22" customWidth="1"/>
    <col min="510" max="511" width="9.85546875" style="22" customWidth="1"/>
    <col min="512" max="512" width="11.140625" style="22" customWidth="1"/>
    <col min="513" max="513" width="2.85546875" style="22" customWidth="1"/>
    <col min="514" max="514" width="3.5703125" style="22" customWidth="1"/>
    <col min="515" max="759" width="9.140625" style="22"/>
    <col min="760" max="760" width="8.7109375" style="22" customWidth="1"/>
    <col min="761" max="761" width="9.85546875" style="22" customWidth="1"/>
    <col min="762" max="762" width="14.42578125" style="22" customWidth="1"/>
    <col min="763" max="763" width="7.28515625" style="22" customWidth="1"/>
    <col min="764" max="764" width="5.5703125" style="22" customWidth="1"/>
    <col min="765" max="765" width="9" style="22" customWidth="1"/>
    <col min="766" max="767" width="9.85546875" style="22" customWidth="1"/>
    <col min="768" max="768" width="11.140625" style="22" customWidth="1"/>
    <col min="769" max="769" width="2.85546875" style="22" customWidth="1"/>
    <col min="770" max="770" width="3.5703125" style="22" customWidth="1"/>
    <col min="771" max="1015" width="9.140625" style="22"/>
    <col min="1016" max="1016" width="8.7109375" style="22" customWidth="1"/>
    <col min="1017" max="1017" width="9.85546875" style="22" customWidth="1"/>
    <col min="1018" max="1018" width="14.42578125" style="22" customWidth="1"/>
    <col min="1019" max="1019" width="7.28515625" style="22" customWidth="1"/>
    <col min="1020" max="1020" width="5.5703125" style="22" customWidth="1"/>
    <col min="1021" max="1021" width="9" style="22" customWidth="1"/>
    <col min="1022" max="1023" width="9.85546875" style="22" customWidth="1"/>
    <col min="1024" max="1024" width="11.140625" style="22" customWidth="1"/>
    <col min="1025" max="1025" width="2.85546875" style="22" customWidth="1"/>
    <col min="1026" max="1026" width="3.5703125" style="22" customWidth="1"/>
    <col min="1027" max="1271" width="9.140625" style="22"/>
    <col min="1272" max="1272" width="8.7109375" style="22" customWidth="1"/>
    <col min="1273" max="1273" width="9.85546875" style="22" customWidth="1"/>
    <col min="1274" max="1274" width="14.42578125" style="22" customWidth="1"/>
    <col min="1275" max="1275" width="7.28515625" style="22" customWidth="1"/>
    <col min="1276" max="1276" width="5.5703125" style="22" customWidth="1"/>
    <col min="1277" max="1277" width="9" style="22" customWidth="1"/>
    <col min="1278" max="1279" width="9.85546875" style="22" customWidth="1"/>
    <col min="1280" max="1280" width="11.140625" style="22" customWidth="1"/>
    <col min="1281" max="1281" width="2.85546875" style="22" customWidth="1"/>
    <col min="1282" max="1282" width="3.5703125" style="22" customWidth="1"/>
    <col min="1283" max="1527" width="9.140625" style="22"/>
    <col min="1528" max="1528" width="8.7109375" style="22" customWidth="1"/>
    <col min="1529" max="1529" width="9.85546875" style="22" customWidth="1"/>
    <col min="1530" max="1530" width="14.42578125" style="22" customWidth="1"/>
    <col min="1531" max="1531" width="7.28515625" style="22" customWidth="1"/>
    <col min="1532" max="1532" width="5.5703125" style="22" customWidth="1"/>
    <col min="1533" max="1533" width="9" style="22" customWidth="1"/>
    <col min="1534" max="1535" width="9.85546875" style="22" customWidth="1"/>
    <col min="1536" max="1536" width="11.140625" style="22" customWidth="1"/>
    <col min="1537" max="1537" width="2.85546875" style="22" customWidth="1"/>
    <col min="1538" max="1538" width="3.5703125" style="22" customWidth="1"/>
    <col min="1539" max="1783" width="9.140625" style="22"/>
    <col min="1784" max="1784" width="8.7109375" style="22" customWidth="1"/>
    <col min="1785" max="1785" width="9.85546875" style="22" customWidth="1"/>
    <col min="1786" max="1786" width="14.42578125" style="22" customWidth="1"/>
    <col min="1787" max="1787" width="7.28515625" style="22" customWidth="1"/>
    <col min="1788" max="1788" width="5.5703125" style="22" customWidth="1"/>
    <col min="1789" max="1789" width="9" style="22" customWidth="1"/>
    <col min="1790" max="1791" width="9.85546875" style="22" customWidth="1"/>
    <col min="1792" max="1792" width="11.140625" style="22" customWidth="1"/>
    <col min="1793" max="1793" width="2.85546875" style="22" customWidth="1"/>
    <col min="1794" max="1794" width="3.5703125" style="22" customWidth="1"/>
    <col min="1795" max="2039" width="9.140625" style="22"/>
    <col min="2040" max="2040" width="8.7109375" style="22" customWidth="1"/>
    <col min="2041" max="2041" width="9.85546875" style="22" customWidth="1"/>
    <col min="2042" max="2042" width="14.42578125" style="22" customWidth="1"/>
    <col min="2043" max="2043" width="7.28515625" style="22" customWidth="1"/>
    <col min="2044" max="2044" width="5.5703125" style="22" customWidth="1"/>
    <col min="2045" max="2045" width="9" style="22" customWidth="1"/>
    <col min="2046" max="2047" width="9.85546875" style="22" customWidth="1"/>
    <col min="2048" max="2048" width="11.140625" style="22" customWidth="1"/>
    <col min="2049" max="2049" width="2.85546875" style="22" customWidth="1"/>
    <col min="2050" max="2050" width="3.5703125" style="22" customWidth="1"/>
    <col min="2051" max="2295" width="9.140625" style="22"/>
    <col min="2296" max="2296" width="8.7109375" style="22" customWidth="1"/>
    <col min="2297" max="2297" width="9.85546875" style="22" customWidth="1"/>
    <col min="2298" max="2298" width="14.42578125" style="22" customWidth="1"/>
    <col min="2299" max="2299" width="7.28515625" style="22" customWidth="1"/>
    <col min="2300" max="2300" width="5.5703125" style="22" customWidth="1"/>
    <col min="2301" max="2301" width="9" style="22" customWidth="1"/>
    <col min="2302" max="2303" width="9.85546875" style="22" customWidth="1"/>
    <col min="2304" max="2304" width="11.140625" style="22" customWidth="1"/>
    <col min="2305" max="2305" width="2.85546875" style="22" customWidth="1"/>
    <col min="2306" max="2306" width="3.5703125" style="22" customWidth="1"/>
    <col min="2307" max="2551" width="9.140625" style="22"/>
    <col min="2552" max="2552" width="8.7109375" style="22" customWidth="1"/>
    <col min="2553" max="2553" width="9.85546875" style="22" customWidth="1"/>
    <col min="2554" max="2554" width="14.42578125" style="22" customWidth="1"/>
    <col min="2555" max="2555" width="7.28515625" style="22" customWidth="1"/>
    <col min="2556" max="2556" width="5.5703125" style="22" customWidth="1"/>
    <col min="2557" max="2557" width="9" style="22" customWidth="1"/>
    <col min="2558" max="2559" width="9.85546875" style="22" customWidth="1"/>
    <col min="2560" max="2560" width="11.140625" style="22" customWidth="1"/>
    <col min="2561" max="2561" width="2.85546875" style="22" customWidth="1"/>
    <col min="2562" max="2562" width="3.5703125" style="22" customWidth="1"/>
    <col min="2563" max="2807" width="9.140625" style="22"/>
    <col min="2808" max="2808" width="8.7109375" style="22" customWidth="1"/>
    <col min="2809" max="2809" width="9.85546875" style="22" customWidth="1"/>
    <col min="2810" max="2810" width="14.42578125" style="22" customWidth="1"/>
    <col min="2811" max="2811" width="7.28515625" style="22" customWidth="1"/>
    <col min="2812" max="2812" width="5.5703125" style="22" customWidth="1"/>
    <col min="2813" max="2813" width="9" style="22" customWidth="1"/>
    <col min="2814" max="2815" width="9.85546875" style="22" customWidth="1"/>
    <col min="2816" max="2816" width="11.140625" style="22" customWidth="1"/>
    <col min="2817" max="2817" width="2.85546875" style="22" customWidth="1"/>
    <col min="2818" max="2818" width="3.5703125" style="22" customWidth="1"/>
    <col min="2819" max="3063" width="9.140625" style="22"/>
    <col min="3064" max="3064" width="8.7109375" style="22" customWidth="1"/>
    <col min="3065" max="3065" width="9.85546875" style="22" customWidth="1"/>
    <col min="3066" max="3066" width="14.42578125" style="22" customWidth="1"/>
    <col min="3067" max="3067" width="7.28515625" style="22" customWidth="1"/>
    <col min="3068" max="3068" width="5.5703125" style="22" customWidth="1"/>
    <col min="3069" max="3069" width="9" style="22" customWidth="1"/>
    <col min="3070" max="3071" width="9.85546875" style="22" customWidth="1"/>
    <col min="3072" max="3072" width="11.140625" style="22" customWidth="1"/>
    <col min="3073" max="3073" width="2.85546875" style="22" customWidth="1"/>
    <col min="3074" max="3074" width="3.5703125" style="22" customWidth="1"/>
    <col min="3075" max="3319" width="9.140625" style="22"/>
    <col min="3320" max="3320" width="8.7109375" style="22" customWidth="1"/>
    <col min="3321" max="3321" width="9.85546875" style="22" customWidth="1"/>
    <col min="3322" max="3322" width="14.42578125" style="22" customWidth="1"/>
    <col min="3323" max="3323" width="7.28515625" style="22" customWidth="1"/>
    <col min="3324" max="3324" width="5.5703125" style="22" customWidth="1"/>
    <col min="3325" max="3325" width="9" style="22" customWidth="1"/>
    <col min="3326" max="3327" width="9.85546875" style="22" customWidth="1"/>
    <col min="3328" max="3328" width="11.140625" style="22" customWidth="1"/>
    <col min="3329" max="3329" width="2.85546875" style="22" customWidth="1"/>
    <col min="3330" max="3330" width="3.5703125" style="22" customWidth="1"/>
    <col min="3331" max="3575" width="9.140625" style="22"/>
    <col min="3576" max="3576" width="8.7109375" style="22" customWidth="1"/>
    <col min="3577" max="3577" width="9.85546875" style="22" customWidth="1"/>
    <col min="3578" max="3578" width="14.42578125" style="22" customWidth="1"/>
    <col min="3579" max="3579" width="7.28515625" style="22" customWidth="1"/>
    <col min="3580" max="3580" width="5.5703125" style="22" customWidth="1"/>
    <col min="3581" max="3581" width="9" style="22" customWidth="1"/>
    <col min="3582" max="3583" width="9.85546875" style="22" customWidth="1"/>
    <col min="3584" max="3584" width="11.140625" style="22" customWidth="1"/>
    <col min="3585" max="3585" width="2.85546875" style="22" customWidth="1"/>
    <col min="3586" max="3586" width="3.5703125" style="22" customWidth="1"/>
    <col min="3587" max="3831" width="9.140625" style="22"/>
    <col min="3832" max="3832" width="8.7109375" style="22" customWidth="1"/>
    <col min="3833" max="3833" width="9.85546875" style="22" customWidth="1"/>
    <col min="3834" max="3834" width="14.42578125" style="22" customWidth="1"/>
    <col min="3835" max="3835" width="7.28515625" style="22" customWidth="1"/>
    <col min="3836" max="3836" width="5.5703125" style="22" customWidth="1"/>
    <col min="3837" max="3837" width="9" style="22" customWidth="1"/>
    <col min="3838" max="3839" width="9.85546875" style="22" customWidth="1"/>
    <col min="3840" max="3840" width="11.140625" style="22" customWidth="1"/>
    <col min="3841" max="3841" width="2.85546875" style="22" customWidth="1"/>
    <col min="3842" max="3842" width="3.5703125" style="22" customWidth="1"/>
    <col min="3843" max="4087" width="9.140625" style="22"/>
    <col min="4088" max="4088" width="8.7109375" style="22" customWidth="1"/>
    <col min="4089" max="4089" width="9.85546875" style="22" customWidth="1"/>
    <col min="4090" max="4090" width="14.42578125" style="22" customWidth="1"/>
    <col min="4091" max="4091" width="7.28515625" style="22" customWidth="1"/>
    <col min="4092" max="4092" width="5.5703125" style="22" customWidth="1"/>
    <col min="4093" max="4093" width="9" style="22" customWidth="1"/>
    <col min="4094" max="4095" width="9.85546875" style="22" customWidth="1"/>
    <col min="4096" max="4096" width="11.140625" style="22" customWidth="1"/>
    <col min="4097" max="4097" width="2.85546875" style="22" customWidth="1"/>
    <col min="4098" max="4098" width="3.5703125" style="22" customWidth="1"/>
    <col min="4099" max="4343" width="9.140625" style="22"/>
    <col min="4344" max="4344" width="8.7109375" style="22" customWidth="1"/>
    <col min="4345" max="4345" width="9.85546875" style="22" customWidth="1"/>
    <col min="4346" max="4346" width="14.42578125" style="22" customWidth="1"/>
    <col min="4347" max="4347" width="7.28515625" style="22" customWidth="1"/>
    <col min="4348" max="4348" width="5.5703125" style="22" customWidth="1"/>
    <col min="4349" max="4349" width="9" style="22" customWidth="1"/>
    <col min="4350" max="4351" width="9.85546875" style="22" customWidth="1"/>
    <col min="4352" max="4352" width="11.140625" style="22" customWidth="1"/>
    <col min="4353" max="4353" width="2.85546875" style="22" customWidth="1"/>
    <col min="4354" max="4354" width="3.5703125" style="22" customWidth="1"/>
    <col min="4355" max="4599" width="9.140625" style="22"/>
    <col min="4600" max="4600" width="8.7109375" style="22" customWidth="1"/>
    <col min="4601" max="4601" width="9.85546875" style="22" customWidth="1"/>
    <col min="4602" max="4602" width="14.42578125" style="22" customWidth="1"/>
    <col min="4603" max="4603" width="7.28515625" style="22" customWidth="1"/>
    <col min="4604" max="4604" width="5.5703125" style="22" customWidth="1"/>
    <col min="4605" max="4605" width="9" style="22" customWidth="1"/>
    <col min="4606" max="4607" width="9.85546875" style="22" customWidth="1"/>
    <col min="4608" max="4608" width="11.140625" style="22" customWidth="1"/>
    <col min="4609" max="4609" width="2.85546875" style="22" customWidth="1"/>
    <col min="4610" max="4610" width="3.5703125" style="22" customWidth="1"/>
    <col min="4611" max="4855" width="9.140625" style="22"/>
    <col min="4856" max="4856" width="8.7109375" style="22" customWidth="1"/>
    <col min="4857" max="4857" width="9.85546875" style="22" customWidth="1"/>
    <col min="4858" max="4858" width="14.42578125" style="22" customWidth="1"/>
    <col min="4859" max="4859" width="7.28515625" style="22" customWidth="1"/>
    <col min="4860" max="4860" width="5.5703125" style="22" customWidth="1"/>
    <col min="4861" max="4861" width="9" style="22" customWidth="1"/>
    <col min="4862" max="4863" width="9.85546875" style="22" customWidth="1"/>
    <col min="4864" max="4864" width="11.140625" style="22" customWidth="1"/>
    <col min="4865" max="4865" width="2.85546875" style="22" customWidth="1"/>
    <col min="4866" max="4866" width="3.5703125" style="22" customWidth="1"/>
    <col min="4867" max="5111" width="9.140625" style="22"/>
    <col min="5112" max="5112" width="8.7109375" style="22" customWidth="1"/>
    <col min="5113" max="5113" width="9.85546875" style="22" customWidth="1"/>
    <col min="5114" max="5114" width="14.42578125" style="22" customWidth="1"/>
    <col min="5115" max="5115" width="7.28515625" style="22" customWidth="1"/>
    <col min="5116" max="5116" width="5.5703125" style="22" customWidth="1"/>
    <col min="5117" max="5117" width="9" style="22" customWidth="1"/>
    <col min="5118" max="5119" width="9.85546875" style="22" customWidth="1"/>
    <col min="5120" max="5120" width="11.140625" style="22" customWidth="1"/>
    <col min="5121" max="5121" width="2.85546875" style="22" customWidth="1"/>
    <col min="5122" max="5122" width="3.5703125" style="22" customWidth="1"/>
    <col min="5123" max="5367" width="9.140625" style="22"/>
    <col min="5368" max="5368" width="8.7109375" style="22" customWidth="1"/>
    <col min="5369" max="5369" width="9.85546875" style="22" customWidth="1"/>
    <col min="5370" max="5370" width="14.42578125" style="22" customWidth="1"/>
    <col min="5371" max="5371" width="7.28515625" style="22" customWidth="1"/>
    <col min="5372" max="5372" width="5.5703125" style="22" customWidth="1"/>
    <col min="5373" max="5373" width="9" style="22" customWidth="1"/>
    <col min="5374" max="5375" width="9.85546875" style="22" customWidth="1"/>
    <col min="5376" max="5376" width="11.140625" style="22" customWidth="1"/>
    <col min="5377" max="5377" width="2.85546875" style="22" customWidth="1"/>
    <col min="5378" max="5378" width="3.5703125" style="22" customWidth="1"/>
    <col min="5379" max="5623" width="9.140625" style="22"/>
    <col min="5624" max="5624" width="8.7109375" style="22" customWidth="1"/>
    <col min="5625" max="5625" width="9.85546875" style="22" customWidth="1"/>
    <col min="5626" max="5626" width="14.42578125" style="22" customWidth="1"/>
    <col min="5627" max="5627" width="7.28515625" style="22" customWidth="1"/>
    <col min="5628" max="5628" width="5.5703125" style="22" customWidth="1"/>
    <col min="5629" max="5629" width="9" style="22" customWidth="1"/>
    <col min="5630" max="5631" width="9.85546875" style="22" customWidth="1"/>
    <col min="5632" max="5632" width="11.140625" style="22" customWidth="1"/>
    <col min="5633" max="5633" width="2.85546875" style="22" customWidth="1"/>
    <col min="5634" max="5634" width="3.5703125" style="22" customWidth="1"/>
    <col min="5635" max="5879" width="9.140625" style="22"/>
    <col min="5880" max="5880" width="8.7109375" style="22" customWidth="1"/>
    <col min="5881" max="5881" width="9.85546875" style="22" customWidth="1"/>
    <col min="5882" max="5882" width="14.42578125" style="22" customWidth="1"/>
    <col min="5883" max="5883" width="7.28515625" style="22" customWidth="1"/>
    <col min="5884" max="5884" width="5.5703125" style="22" customWidth="1"/>
    <col min="5885" max="5885" width="9" style="22" customWidth="1"/>
    <col min="5886" max="5887" width="9.85546875" style="22" customWidth="1"/>
    <col min="5888" max="5888" width="11.140625" style="22" customWidth="1"/>
    <col min="5889" max="5889" width="2.85546875" style="22" customWidth="1"/>
    <col min="5890" max="5890" width="3.5703125" style="22" customWidth="1"/>
    <col min="5891" max="6135" width="9.140625" style="22"/>
    <col min="6136" max="6136" width="8.7109375" style="22" customWidth="1"/>
    <col min="6137" max="6137" width="9.85546875" style="22" customWidth="1"/>
    <col min="6138" max="6138" width="14.42578125" style="22" customWidth="1"/>
    <col min="6139" max="6139" width="7.28515625" style="22" customWidth="1"/>
    <col min="6140" max="6140" width="5.5703125" style="22" customWidth="1"/>
    <col min="6141" max="6141" width="9" style="22" customWidth="1"/>
    <col min="6142" max="6143" width="9.85546875" style="22" customWidth="1"/>
    <col min="6144" max="6144" width="11.140625" style="22" customWidth="1"/>
    <col min="6145" max="6145" width="2.85546875" style="22" customWidth="1"/>
    <col min="6146" max="6146" width="3.5703125" style="22" customWidth="1"/>
    <col min="6147" max="6391" width="9.140625" style="22"/>
    <col min="6392" max="6392" width="8.7109375" style="22" customWidth="1"/>
    <col min="6393" max="6393" width="9.85546875" style="22" customWidth="1"/>
    <col min="6394" max="6394" width="14.42578125" style="22" customWidth="1"/>
    <col min="6395" max="6395" width="7.28515625" style="22" customWidth="1"/>
    <col min="6396" max="6396" width="5.5703125" style="22" customWidth="1"/>
    <col min="6397" max="6397" width="9" style="22" customWidth="1"/>
    <col min="6398" max="6399" width="9.85546875" style="22" customWidth="1"/>
    <col min="6400" max="6400" width="11.140625" style="22" customWidth="1"/>
    <col min="6401" max="6401" width="2.85546875" style="22" customWidth="1"/>
    <col min="6402" max="6402" width="3.5703125" style="22" customWidth="1"/>
    <col min="6403" max="6647" width="9.140625" style="22"/>
    <col min="6648" max="6648" width="8.7109375" style="22" customWidth="1"/>
    <col min="6649" max="6649" width="9.85546875" style="22" customWidth="1"/>
    <col min="6650" max="6650" width="14.42578125" style="22" customWidth="1"/>
    <col min="6651" max="6651" width="7.28515625" style="22" customWidth="1"/>
    <col min="6652" max="6652" width="5.5703125" style="22" customWidth="1"/>
    <col min="6653" max="6653" width="9" style="22" customWidth="1"/>
    <col min="6654" max="6655" width="9.85546875" style="22" customWidth="1"/>
    <col min="6656" max="6656" width="11.140625" style="22" customWidth="1"/>
    <col min="6657" max="6657" width="2.85546875" style="22" customWidth="1"/>
    <col min="6658" max="6658" width="3.5703125" style="22" customWidth="1"/>
    <col min="6659" max="6903" width="9.140625" style="22"/>
    <col min="6904" max="6904" width="8.7109375" style="22" customWidth="1"/>
    <col min="6905" max="6905" width="9.85546875" style="22" customWidth="1"/>
    <col min="6906" max="6906" width="14.42578125" style="22" customWidth="1"/>
    <col min="6907" max="6907" width="7.28515625" style="22" customWidth="1"/>
    <col min="6908" max="6908" width="5.5703125" style="22" customWidth="1"/>
    <col min="6909" max="6909" width="9" style="22" customWidth="1"/>
    <col min="6910" max="6911" width="9.85546875" style="22" customWidth="1"/>
    <col min="6912" max="6912" width="11.140625" style="22" customWidth="1"/>
    <col min="6913" max="6913" width="2.85546875" style="22" customWidth="1"/>
    <col min="6914" max="6914" width="3.5703125" style="22" customWidth="1"/>
    <col min="6915" max="7159" width="9.140625" style="22"/>
    <col min="7160" max="7160" width="8.7109375" style="22" customWidth="1"/>
    <col min="7161" max="7161" width="9.85546875" style="22" customWidth="1"/>
    <col min="7162" max="7162" width="14.42578125" style="22" customWidth="1"/>
    <col min="7163" max="7163" width="7.28515625" style="22" customWidth="1"/>
    <col min="7164" max="7164" width="5.5703125" style="22" customWidth="1"/>
    <col min="7165" max="7165" width="9" style="22" customWidth="1"/>
    <col min="7166" max="7167" width="9.85546875" style="22" customWidth="1"/>
    <col min="7168" max="7168" width="11.140625" style="22" customWidth="1"/>
    <col min="7169" max="7169" width="2.85546875" style="22" customWidth="1"/>
    <col min="7170" max="7170" width="3.5703125" style="22" customWidth="1"/>
    <col min="7171" max="7415" width="9.140625" style="22"/>
    <col min="7416" max="7416" width="8.7109375" style="22" customWidth="1"/>
    <col min="7417" max="7417" width="9.85546875" style="22" customWidth="1"/>
    <col min="7418" max="7418" width="14.42578125" style="22" customWidth="1"/>
    <col min="7419" max="7419" width="7.28515625" style="22" customWidth="1"/>
    <col min="7420" max="7420" width="5.5703125" style="22" customWidth="1"/>
    <col min="7421" max="7421" width="9" style="22" customWidth="1"/>
    <col min="7422" max="7423" width="9.85546875" style="22" customWidth="1"/>
    <col min="7424" max="7424" width="11.140625" style="22" customWidth="1"/>
    <col min="7425" max="7425" width="2.85546875" style="22" customWidth="1"/>
    <col min="7426" max="7426" width="3.5703125" style="22" customWidth="1"/>
    <col min="7427" max="7671" width="9.140625" style="22"/>
    <col min="7672" max="7672" width="8.7109375" style="22" customWidth="1"/>
    <col min="7673" max="7673" width="9.85546875" style="22" customWidth="1"/>
    <col min="7674" max="7674" width="14.42578125" style="22" customWidth="1"/>
    <col min="7675" max="7675" width="7.28515625" style="22" customWidth="1"/>
    <col min="7676" max="7676" width="5.5703125" style="22" customWidth="1"/>
    <col min="7677" max="7677" width="9" style="22" customWidth="1"/>
    <col min="7678" max="7679" width="9.85546875" style="22" customWidth="1"/>
    <col min="7680" max="7680" width="11.140625" style="22" customWidth="1"/>
    <col min="7681" max="7681" width="2.85546875" style="22" customWidth="1"/>
    <col min="7682" max="7682" width="3.5703125" style="22" customWidth="1"/>
    <col min="7683" max="7927" width="9.140625" style="22"/>
    <col min="7928" max="7928" width="8.7109375" style="22" customWidth="1"/>
    <col min="7929" max="7929" width="9.85546875" style="22" customWidth="1"/>
    <col min="7930" max="7930" width="14.42578125" style="22" customWidth="1"/>
    <col min="7931" max="7931" width="7.28515625" style="22" customWidth="1"/>
    <col min="7932" max="7932" width="5.5703125" style="22" customWidth="1"/>
    <col min="7933" max="7933" width="9" style="22" customWidth="1"/>
    <col min="7934" max="7935" width="9.85546875" style="22" customWidth="1"/>
    <col min="7936" max="7936" width="11.140625" style="22" customWidth="1"/>
    <col min="7937" max="7937" width="2.85546875" style="22" customWidth="1"/>
    <col min="7938" max="7938" width="3.5703125" style="22" customWidth="1"/>
    <col min="7939" max="8183" width="9.140625" style="22"/>
    <col min="8184" max="8184" width="8.7109375" style="22" customWidth="1"/>
    <col min="8185" max="8185" width="9.85546875" style="22" customWidth="1"/>
    <col min="8186" max="8186" width="14.42578125" style="22" customWidth="1"/>
    <col min="8187" max="8187" width="7.28515625" style="22" customWidth="1"/>
    <col min="8188" max="8188" width="5.5703125" style="22" customWidth="1"/>
    <col min="8189" max="8189" width="9" style="22" customWidth="1"/>
    <col min="8190" max="8191" width="9.85546875" style="22" customWidth="1"/>
    <col min="8192" max="8192" width="11.140625" style="22" customWidth="1"/>
    <col min="8193" max="8193" width="2.85546875" style="22" customWidth="1"/>
    <col min="8194" max="8194" width="3.5703125" style="22" customWidth="1"/>
    <col min="8195" max="8439" width="9.140625" style="22"/>
    <col min="8440" max="8440" width="8.7109375" style="22" customWidth="1"/>
    <col min="8441" max="8441" width="9.85546875" style="22" customWidth="1"/>
    <col min="8442" max="8442" width="14.42578125" style="22" customWidth="1"/>
    <col min="8443" max="8443" width="7.28515625" style="22" customWidth="1"/>
    <col min="8444" max="8444" width="5.5703125" style="22" customWidth="1"/>
    <col min="8445" max="8445" width="9" style="22" customWidth="1"/>
    <col min="8446" max="8447" width="9.85546875" style="22" customWidth="1"/>
    <col min="8448" max="8448" width="11.140625" style="22" customWidth="1"/>
    <col min="8449" max="8449" width="2.85546875" style="22" customWidth="1"/>
    <col min="8450" max="8450" width="3.5703125" style="22" customWidth="1"/>
    <col min="8451" max="8695" width="9.140625" style="22"/>
    <col min="8696" max="8696" width="8.7109375" style="22" customWidth="1"/>
    <col min="8697" max="8697" width="9.85546875" style="22" customWidth="1"/>
    <col min="8698" max="8698" width="14.42578125" style="22" customWidth="1"/>
    <col min="8699" max="8699" width="7.28515625" style="22" customWidth="1"/>
    <col min="8700" max="8700" width="5.5703125" style="22" customWidth="1"/>
    <col min="8701" max="8701" width="9" style="22" customWidth="1"/>
    <col min="8702" max="8703" width="9.85546875" style="22" customWidth="1"/>
    <col min="8704" max="8704" width="11.140625" style="22" customWidth="1"/>
    <col min="8705" max="8705" width="2.85546875" style="22" customWidth="1"/>
    <col min="8706" max="8706" width="3.5703125" style="22" customWidth="1"/>
    <col min="8707" max="8951" width="9.140625" style="22"/>
    <col min="8952" max="8952" width="8.7109375" style="22" customWidth="1"/>
    <col min="8953" max="8953" width="9.85546875" style="22" customWidth="1"/>
    <col min="8954" max="8954" width="14.42578125" style="22" customWidth="1"/>
    <col min="8955" max="8955" width="7.28515625" style="22" customWidth="1"/>
    <col min="8956" max="8956" width="5.5703125" style="22" customWidth="1"/>
    <col min="8957" max="8957" width="9" style="22" customWidth="1"/>
    <col min="8958" max="8959" width="9.85546875" style="22" customWidth="1"/>
    <col min="8960" max="8960" width="11.140625" style="22" customWidth="1"/>
    <col min="8961" max="8961" width="2.85546875" style="22" customWidth="1"/>
    <col min="8962" max="8962" width="3.5703125" style="22" customWidth="1"/>
    <col min="8963" max="9207" width="9.140625" style="22"/>
    <col min="9208" max="9208" width="8.7109375" style="22" customWidth="1"/>
    <col min="9209" max="9209" width="9.85546875" style="22" customWidth="1"/>
    <col min="9210" max="9210" width="14.42578125" style="22" customWidth="1"/>
    <col min="9211" max="9211" width="7.28515625" style="22" customWidth="1"/>
    <col min="9212" max="9212" width="5.5703125" style="22" customWidth="1"/>
    <col min="9213" max="9213" width="9" style="22" customWidth="1"/>
    <col min="9214" max="9215" width="9.85546875" style="22" customWidth="1"/>
    <col min="9216" max="9216" width="11.140625" style="22" customWidth="1"/>
    <col min="9217" max="9217" width="2.85546875" style="22" customWidth="1"/>
    <col min="9218" max="9218" width="3.5703125" style="22" customWidth="1"/>
    <col min="9219" max="9463" width="9.140625" style="22"/>
    <col min="9464" max="9464" width="8.7109375" style="22" customWidth="1"/>
    <col min="9465" max="9465" width="9.85546875" style="22" customWidth="1"/>
    <col min="9466" max="9466" width="14.42578125" style="22" customWidth="1"/>
    <col min="9467" max="9467" width="7.28515625" style="22" customWidth="1"/>
    <col min="9468" max="9468" width="5.5703125" style="22" customWidth="1"/>
    <col min="9469" max="9469" width="9" style="22" customWidth="1"/>
    <col min="9470" max="9471" width="9.85546875" style="22" customWidth="1"/>
    <col min="9472" max="9472" width="11.140625" style="22" customWidth="1"/>
    <col min="9473" max="9473" width="2.85546875" style="22" customWidth="1"/>
    <col min="9474" max="9474" width="3.5703125" style="22" customWidth="1"/>
    <col min="9475" max="9719" width="9.140625" style="22"/>
    <col min="9720" max="9720" width="8.7109375" style="22" customWidth="1"/>
    <col min="9721" max="9721" width="9.85546875" style="22" customWidth="1"/>
    <col min="9722" max="9722" width="14.42578125" style="22" customWidth="1"/>
    <col min="9723" max="9723" width="7.28515625" style="22" customWidth="1"/>
    <col min="9724" max="9724" width="5.5703125" style="22" customWidth="1"/>
    <col min="9725" max="9725" width="9" style="22" customWidth="1"/>
    <col min="9726" max="9727" width="9.85546875" style="22" customWidth="1"/>
    <col min="9728" max="9728" width="11.140625" style="22" customWidth="1"/>
    <col min="9729" max="9729" width="2.85546875" style="22" customWidth="1"/>
    <col min="9730" max="9730" width="3.5703125" style="22" customWidth="1"/>
    <col min="9731" max="9975" width="9.140625" style="22"/>
    <col min="9976" max="9976" width="8.7109375" style="22" customWidth="1"/>
    <col min="9977" max="9977" width="9.85546875" style="22" customWidth="1"/>
    <col min="9978" max="9978" width="14.42578125" style="22" customWidth="1"/>
    <col min="9979" max="9979" width="7.28515625" style="22" customWidth="1"/>
    <col min="9980" max="9980" width="5.5703125" style="22" customWidth="1"/>
    <col min="9981" max="9981" width="9" style="22" customWidth="1"/>
    <col min="9982" max="9983" width="9.85546875" style="22" customWidth="1"/>
    <col min="9984" max="9984" width="11.140625" style="22" customWidth="1"/>
    <col min="9985" max="9985" width="2.85546875" style="22" customWidth="1"/>
    <col min="9986" max="9986" width="3.5703125" style="22" customWidth="1"/>
    <col min="9987" max="10231" width="9.140625" style="22"/>
    <col min="10232" max="10232" width="8.7109375" style="22" customWidth="1"/>
    <col min="10233" max="10233" width="9.85546875" style="22" customWidth="1"/>
    <col min="10234" max="10234" width="14.42578125" style="22" customWidth="1"/>
    <col min="10235" max="10235" width="7.28515625" style="22" customWidth="1"/>
    <col min="10236" max="10236" width="5.5703125" style="22" customWidth="1"/>
    <col min="10237" max="10237" width="9" style="22" customWidth="1"/>
    <col min="10238" max="10239" width="9.85546875" style="22" customWidth="1"/>
    <col min="10240" max="10240" width="11.140625" style="22" customWidth="1"/>
    <col min="10241" max="10241" width="2.85546875" style="22" customWidth="1"/>
    <col min="10242" max="10242" width="3.5703125" style="22" customWidth="1"/>
    <col min="10243" max="10487" width="9.140625" style="22"/>
    <col min="10488" max="10488" width="8.7109375" style="22" customWidth="1"/>
    <col min="10489" max="10489" width="9.85546875" style="22" customWidth="1"/>
    <col min="10490" max="10490" width="14.42578125" style="22" customWidth="1"/>
    <col min="10491" max="10491" width="7.28515625" style="22" customWidth="1"/>
    <col min="10492" max="10492" width="5.5703125" style="22" customWidth="1"/>
    <col min="10493" max="10493" width="9" style="22" customWidth="1"/>
    <col min="10494" max="10495" width="9.85546875" style="22" customWidth="1"/>
    <col min="10496" max="10496" width="11.140625" style="22" customWidth="1"/>
    <col min="10497" max="10497" width="2.85546875" style="22" customWidth="1"/>
    <col min="10498" max="10498" width="3.5703125" style="22" customWidth="1"/>
    <col min="10499" max="10743" width="9.140625" style="22"/>
    <col min="10744" max="10744" width="8.7109375" style="22" customWidth="1"/>
    <col min="10745" max="10745" width="9.85546875" style="22" customWidth="1"/>
    <col min="10746" max="10746" width="14.42578125" style="22" customWidth="1"/>
    <col min="10747" max="10747" width="7.28515625" style="22" customWidth="1"/>
    <col min="10748" max="10748" width="5.5703125" style="22" customWidth="1"/>
    <col min="10749" max="10749" width="9" style="22" customWidth="1"/>
    <col min="10750" max="10751" width="9.85546875" style="22" customWidth="1"/>
    <col min="10752" max="10752" width="11.140625" style="22" customWidth="1"/>
    <col min="10753" max="10753" width="2.85546875" style="22" customWidth="1"/>
    <col min="10754" max="10754" width="3.5703125" style="22" customWidth="1"/>
    <col min="10755" max="10999" width="9.140625" style="22"/>
    <col min="11000" max="11000" width="8.7109375" style="22" customWidth="1"/>
    <col min="11001" max="11001" width="9.85546875" style="22" customWidth="1"/>
    <col min="11002" max="11002" width="14.42578125" style="22" customWidth="1"/>
    <col min="11003" max="11003" width="7.28515625" style="22" customWidth="1"/>
    <col min="11004" max="11004" width="5.5703125" style="22" customWidth="1"/>
    <col min="11005" max="11005" width="9" style="22" customWidth="1"/>
    <col min="11006" max="11007" width="9.85546875" style="22" customWidth="1"/>
    <col min="11008" max="11008" width="11.140625" style="22" customWidth="1"/>
    <col min="11009" max="11009" width="2.85546875" style="22" customWidth="1"/>
    <col min="11010" max="11010" width="3.5703125" style="22" customWidth="1"/>
    <col min="11011" max="11255" width="9.140625" style="22"/>
    <col min="11256" max="11256" width="8.7109375" style="22" customWidth="1"/>
    <col min="11257" max="11257" width="9.85546875" style="22" customWidth="1"/>
    <col min="11258" max="11258" width="14.42578125" style="22" customWidth="1"/>
    <col min="11259" max="11259" width="7.28515625" style="22" customWidth="1"/>
    <col min="11260" max="11260" width="5.5703125" style="22" customWidth="1"/>
    <col min="11261" max="11261" width="9" style="22" customWidth="1"/>
    <col min="11262" max="11263" width="9.85546875" style="22" customWidth="1"/>
    <col min="11264" max="11264" width="11.140625" style="22" customWidth="1"/>
    <col min="11265" max="11265" width="2.85546875" style="22" customWidth="1"/>
    <col min="11266" max="11266" width="3.5703125" style="22" customWidth="1"/>
    <col min="11267" max="11511" width="9.140625" style="22"/>
    <col min="11512" max="11512" width="8.7109375" style="22" customWidth="1"/>
    <col min="11513" max="11513" width="9.85546875" style="22" customWidth="1"/>
    <col min="11514" max="11514" width="14.42578125" style="22" customWidth="1"/>
    <col min="11515" max="11515" width="7.28515625" style="22" customWidth="1"/>
    <col min="11516" max="11516" width="5.5703125" style="22" customWidth="1"/>
    <col min="11517" max="11517" width="9" style="22" customWidth="1"/>
    <col min="11518" max="11519" width="9.85546875" style="22" customWidth="1"/>
    <col min="11520" max="11520" width="11.140625" style="22" customWidth="1"/>
    <col min="11521" max="11521" width="2.85546875" style="22" customWidth="1"/>
    <col min="11522" max="11522" width="3.5703125" style="22" customWidth="1"/>
    <col min="11523" max="11767" width="9.140625" style="22"/>
    <col min="11768" max="11768" width="8.7109375" style="22" customWidth="1"/>
    <col min="11769" max="11769" width="9.85546875" style="22" customWidth="1"/>
    <col min="11770" max="11770" width="14.42578125" style="22" customWidth="1"/>
    <col min="11771" max="11771" width="7.28515625" style="22" customWidth="1"/>
    <col min="11772" max="11772" width="5.5703125" style="22" customWidth="1"/>
    <col min="11773" max="11773" width="9" style="22" customWidth="1"/>
    <col min="11774" max="11775" width="9.85546875" style="22" customWidth="1"/>
    <col min="11776" max="11776" width="11.140625" style="22" customWidth="1"/>
    <col min="11777" max="11777" width="2.85546875" style="22" customWidth="1"/>
    <col min="11778" max="11778" width="3.5703125" style="22" customWidth="1"/>
    <col min="11779" max="12023" width="9.140625" style="22"/>
    <col min="12024" max="12024" width="8.7109375" style="22" customWidth="1"/>
    <col min="12025" max="12025" width="9.85546875" style="22" customWidth="1"/>
    <col min="12026" max="12026" width="14.42578125" style="22" customWidth="1"/>
    <col min="12027" max="12027" width="7.28515625" style="22" customWidth="1"/>
    <col min="12028" max="12028" width="5.5703125" style="22" customWidth="1"/>
    <col min="12029" max="12029" width="9" style="22" customWidth="1"/>
    <col min="12030" max="12031" width="9.85546875" style="22" customWidth="1"/>
    <col min="12032" max="12032" width="11.140625" style="22" customWidth="1"/>
    <col min="12033" max="12033" width="2.85546875" style="22" customWidth="1"/>
    <col min="12034" max="12034" width="3.5703125" style="22" customWidth="1"/>
    <col min="12035" max="12279" width="9.140625" style="22"/>
    <col min="12280" max="12280" width="8.7109375" style="22" customWidth="1"/>
    <col min="12281" max="12281" width="9.85546875" style="22" customWidth="1"/>
    <col min="12282" max="12282" width="14.42578125" style="22" customWidth="1"/>
    <col min="12283" max="12283" width="7.28515625" style="22" customWidth="1"/>
    <col min="12284" max="12284" width="5.5703125" style="22" customWidth="1"/>
    <col min="12285" max="12285" width="9" style="22" customWidth="1"/>
    <col min="12286" max="12287" width="9.85546875" style="22" customWidth="1"/>
    <col min="12288" max="12288" width="11.140625" style="22" customWidth="1"/>
    <col min="12289" max="12289" width="2.85546875" style="22" customWidth="1"/>
    <col min="12290" max="12290" width="3.5703125" style="22" customWidth="1"/>
    <col min="12291" max="12535" width="9.140625" style="22"/>
    <col min="12536" max="12536" width="8.7109375" style="22" customWidth="1"/>
    <col min="12537" max="12537" width="9.85546875" style="22" customWidth="1"/>
    <col min="12538" max="12538" width="14.42578125" style="22" customWidth="1"/>
    <col min="12539" max="12539" width="7.28515625" style="22" customWidth="1"/>
    <col min="12540" max="12540" width="5.5703125" style="22" customWidth="1"/>
    <col min="12541" max="12541" width="9" style="22" customWidth="1"/>
    <col min="12542" max="12543" width="9.85546875" style="22" customWidth="1"/>
    <col min="12544" max="12544" width="11.140625" style="22" customWidth="1"/>
    <col min="12545" max="12545" width="2.85546875" style="22" customWidth="1"/>
    <col min="12546" max="12546" width="3.5703125" style="22" customWidth="1"/>
    <col min="12547" max="12791" width="9.140625" style="22"/>
    <col min="12792" max="12792" width="8.7109375" style="22" customWidth="1"/>
    <col min="12793" max="12793" width="9.85546875" style="22" customWidth="1"/>
    <col min="12794" max="12794" width="14.42578125" style="22" customWidth="1"/>
    <col min="12795" max="12795" width="7.28515625" style="22" customWidth="1"/>
    <col min="12796" max="12796" width="5.5703125" style="22" customWidth="1"/>
    <col min="12797" max="12797" width="9" style="22" customWidth="1"/>
    <col min="12798" max="12799" width="9.85546875" style="22" customWidth="1"/>
    <col min="12800" max="12800" width="11.140625" style="22" customWidth="1"/>
    <col min="12801" max="12801" width="2.85546875" style="22" customWidth="1"/>
    <col min="12802" max="12802" width="3.5703125" style="22" customWidth="1"/>
    <col min="12803" max="13047" width="9.140625" style="22"/>
    <col min="13048" max="13048" width="8.7109375" style="22" customWidth="1"/>
    <col min="13049" max="13049" width="9.85546875" style="22" customWidth="1"/>
    <col min="13050" max="13050" width="14.42578125" style="22" customWidth="1"/>
    <col min="13051" max="13051" width="7.28515625" style="22" customWidth="1"/>
    <col min="13052" max="13052" width="5.5703125" style="22" customWidth="1"/>
    <col min="13053" max="13053" width="9" style="22" customWidth="1"/>
    <col min="13054" max="13055" width="9.85546875" style="22" customWidth="1"/>
    <col min="13056" max="13056" width="11.140625" style="22" customWidth="1"/>
    <col min="13057" max="13057" width="2.85546875" style="22" customWidth="1"/>
    <col min="13058" max="13058" width="3.5703125" style="22" customWidth="1"/>
    <col min="13059" max="13303" width="9.140625" style="22"/>
    <col min="13304" max="13304" width="8.7109375" style="22" customWidth="1"/>
    <col min="13305" max="13305" width="9.85546875" style="22" customWidth="1"/>
    <col min="13306" max="13306" width="14.42578125" style="22" customWidth="1"/>
    <col min="13307" max="13307" width="7.28515625" style="22" customWidth="1"/>
    <col min="13308" max="13308" width="5.5703125" style="22" customWidth="1"/>
    <col min="13309" max="13309" width="9" style="22" customWidth="1"/>
    <col min="13310" max="13311" width="9.85546875" style="22" customWidth="1"/>
    <col min="13312" max="13312" width="11.140625" style="22" customWidth="1"/>
    <col min="13313" max="13313" width="2.85546875" style="22" customWidth="1"/>
    <col min="13314" max="13314" width="3.5703125" style="22" customWidth="1"/>
    <col min="13315" max="13559" width="9.140625" style="22"/>
    <col min="13560" max="13560" width="8.7109375" style="22" customWidth="1"/>
    <col min="13561" max="13561" width="9.85546875" style="22" customWidth="1"/>
    <col min="13562" max="13562" width="14.42578125" style="22" customWidth="1"/>
    <col min="13563" max="13563" width="7.28515625" style="22" customWidth="1"/>
    <col min="13564" max="13564" width="5.5703125" style="22" customWidth="1"/>
    <col min="13565" max="13565" width="9" style="22" customWidth="1"/>
    <col min="13566" max="13567" width="9.85546875" style="22" customWidth="1"/>
    <col min="13568" max="13568" width="11.140625" style="22" customWidth="1"/>
    <col min="13569" max="13569" width="2.85546875" style="22" customWidth="1"/>
    <col min="13570" max="13570" width="3.5703125" style="22" customWidth="1"/>
    <col min="13571" max="13815" width="9.140625" style="22"/>
    <col min="13816" max="13816" width="8.7109375" style="22" customWidth="1"/>
    <col min="13817" max="13817" width="9.85546875" style="22" customWidth="1"/>
    <col min="13818" max="13818" width="14.42578125" style="22" customWidth="1"/>
    <col min="13819" max="13819" width="7.28515625" style="22" customWidth="1"/>
    <col min="13820" max="13820" width="5.5703125" style="22" customWidth="1"/>
    <col min="13821" max="13821" width="9" style="22" customWidth="1"/>
    <col min="13822" max="13823" width="9.85546875" style="22" customWidth="1"/>
    <col min="13824" max="13824" width="11.140625" style="22" customWidth="1"/>
    <col min="13825" max="13825" width="2.85546875" style="22" customWidth="1"/>
    <col min="13826" max="13826" width="3.5703125" style="22" customWidth="1"/>
    <col min="13827" max="14071" width="9.140625" style="22"/>
    <col min="14072" max="14072" width="8.7109375" style="22" customWidth="1"/>
    <col min="14073" max="14073" width="9.85546875" style="22" customWidth="1"/>
    <col min="14074" max="14074" width="14.42578125" style="22" customWidth="1"/>
    <col min="14075" max="14075" width="7.28515625" style="22" customWidth="1"/>
    <col min="14076" max="14076" width="5.5703125" style="22" customWidth="1"/>
    <col min="14077" max="14077" width="9" style="22" customWidth="1"/>
    <col min="14078" max="14079" width="9.85546875" style="22" customWidth="1"/>
    <col min="14080" max="14080" width="11.140625" style="22" customWidth="1"/>
    <col min="14081" max="14081" width="2.85546875" style="22" customWidth="1"/>
    <col min="14082" max="14082" width="3.5703125" style="22" customWidth="1"/>
    <col min="14083" max="14327" width="9.140625" style="22"/>
    <col min="14328" max="14328" width="8.7109375" style="22" customWidth="1"/>
    <col min="14329" max="14329" width="9.85546875" style="22" customWidth="1"/>
    <col min="14330" max="14330" width="14.42578125" style="22" customWidth="1"/>
    <col min="14331" max="14331" width="7.28515625" style="22" customWidth="1"/>
    <col min="14332" max="14332" width="5.5703125" style="22" customWidth="1"/>
    <col min="14333" max="14333" width="9" style="22" customWidth="1"/>
    <col min="14334" max="14335" width="9.85546875" style="22" customWidth="1"/>
    <col min="14336" max="14336" width="11.140625" style="22" customWidth="1"/>
    <col min="14337" max="14337" width="2.85546875" style="22" customWidth="1"/>
    <col min="14338" max="14338" width="3.5703125" style="22" customWidth="1"/>
    <col min="14339" max="14583" width="9.140625" style="22"/>
    <col min="14584" max="14584" width="8.7109375" style="22" customWidth="1"/>
    <col min="14585" max="14585" width="9.85546875" style="22" customWidth="1"/>
    <col min="14586" max="14586" width="14.42578125" style="22" customWidth="1"/>
    <col min="14587" max="14587" width="7.28515625" style="22" customWidth="1"/>
    <col min="14588" max="14588" width="5.5703125" style="22" customWidth="1"/>
    <col min="14589" max="14589" width="9" style="22" customWidth="1"/>
    <col min="14590" max="14591" width="9.85546875" style="22" customWidth="1"/>
    <col min="14592" max="14592" width="11.140625" style="22" customWidth="1"/>
    <col min="14593" max="14593" width="2.85546875" style="22" customWidth="1"/>
    <col min="14594" max="14594" width="3.5703125" style="22" customWidth="1"/>
    <col min="14595" max="14839" width="9.140625" style="22"/>
    <col min="14840" max="14840" width="8.7109375" style="22" customWidth="1"/>
    <col min="14841" max="14841" width="9.85546875" style="22" customWidth="1"/>
    <col min="14842" max="14842" width="14.42578125" style="22" customWidth="1"/>
    <col min="14843" max="14843" width="7.28515625" style="22" customWidth="1"/>
    <col min="14844" max="14844" width="5.5703125" style="22" customWidth="1"/>
    <col min="14845" max="14845" width="9" style="22" customWidth="1"/>
    <col min="14846" max="14847" width="9.85546875" style="22" customWidth="1"/>
    <col min="14848" max="14848" width="11.140625" style="22" customWidth="1"/>
    <col min="14849" max="14849" width="2.85546875" style="22" customWidth="1"/>
    <col min="14850" max="14850" width="3.5703125" style="22" customWidth="1"/>
    <col min="14851" max="15095" width="9.140625" style="22"/>
    <col min="15096" max="15096" width="8.7109375" style="22" customWidth="1"/>
    <col min="15097" max="15097" width="9.85546875" style="22" customWidth="1"/>
    <col min="15098" max="15098" width="14.42578125" style="22" customWidth="1"/>
    <col min="15099" max="15099" width="7.28515625" style="22" customWidth="1"/>
    <col min="15100" max="15100" width="5.5703125" style="22" customWidth="1"/>
    <col min="15101" max="15101" width="9" style="22" customWidth="1"/>
    <col min="15102" max="15103" width="9.85546875" style="22" customWidth="1"/>
    <col min="15104" max="15104" width="11.140625" style="22" customWidth="1"/>
    <col min="15105" max="15105" width="2.85546875" style="22" customWidth="1"/>
    <col min="15106" max="15106" width="3.5703125" style="22" customWidth="1"/>
    <col min="15107" max="15351" width="9.140625" style="22"/>
    <col min="15352" max="15352" width="8.7109375" style="22" customWidth="1"/>
    <col min="15353" max="15353" width="9.85546875" style="22" customWidth="1"/>
    <col min="15354" max="15354" width="14.42578125" style="22" customWidth="1"/>
    <col min="15355" max="15355" width="7.28515625" style="22" customWidth="1"/>
    <col min="15356" max="15356" width="5.5703125" style="22" customWidth="1"/>
    <col min="15357" max="15357" width="9" style="22" customWidth="1"/>
    <col min="15358" max="15359" width="9.85546875" style="22" customWidth="1"/>
    <col min="15360" max="15360" width="11.140625" style="22" customWidth="1"/>
    <col min="15361" max="15361" width="2.85546875" style="22" customWidth="1"/>
    <col min="15362" max="15362" width="3.5703125" style="22" customWidth="1"/>
    <col min="15363" max="15607" width="9.140625" style="22"/>
    <col min="15608" max="15608" width="8.7109375" style="22" customWidth="1"/>
    <col min="15609" max="15609" width="9.85546875" style="22" customWidth="1"/>
    <col min="15610" max="15610" width="14.42578125" style="22" customWidth="1"/>
    <col min="15611" max="15611" width="7.28515625" style="22" customWidth="1"/>
    <col min="15612" max="15612" width="5.5703125" style="22" customWidth="1"/>
    <col min="15613" max="15613" width="9" style="22" customWidth="1"/>
    <col min="15614" max="15615" width="9.85546875" style="22" customWidth="1"/>
    <col min="15616" max="15616" width="11.140625" style="22" customWidth="1"/>
    <col min="15617" max="15617" width="2.85546875" style="22" customWidth="1"/>
    <col min="15618" max="15618" width="3.5703125" style="22" customWidth="1"/>
    <col min="15619" max="15863" width="9.140625" style="22"/>
    <col min="15864" max="15864" width="8.7109375" style="22" customWidth="1"/>
    <col min="15865" max="15865" width="9.85546875" style="22" customWidth="1"/>
    <col min="15866" max="15866" width="14.42578125" style="22" customWidth="1"/>
    <col min="15867" max="15867" width="7.28515625" style="22" customWidth="1"/>
    <col min="15868" max="15868" width="5.5703125" style="22" customWidth="1"/>
    <col min="15869" max="15869" width="9" style="22" customWidth="1"/>
    <col min="15870" max="15871" width="9.85546875" style="22" customWidth="1"/>
    <col min="15872" max="15872" width="11.140625" style="22" customWidth="1"/>
    <col min="15873" max="15873" width="2.85546875" style="22" customWidth="1"/>
    <col min="15874" max="15874" width="3.5703125" style="22" customWidth="1"/>
    <col min="15875" max="16119" width="9.140625" style="22"/>
    <col min="16120" max="16120" width="8.7109375" style="22" customWidth="1"/>
    <col min="16121" max="16121" width="9.85546875" style="22" customWidth="1"/>
    <col min="16122" max="16122" width="14.42578125" style="22" customWidth="1"/>
    <col min="16123" max="16123" width="7.28515625" style="22" customWidth="1"/>
    <col min="16124" max="16124" width="5.5703125" style="22" customWidth="1"/>
    <col min="16125" max="16125" width="9" style="22" customWidth="1"/>
    <col min="16126" max="16127" width="9.85546875" style="22" customWidth="1"/>
    <col min="16128" max="16128" width="11.140625" style="22" customWidth="1"/>
    <col min="16129" max="16129" width="2.85546875" style="22" customWidth="1"/>
    <col min="16130" max="16130" width="3.5703125" style="22" customWidth="1"/>
    <col min="16131" max="16384" width="9.140625" style="22"/>
  </cols>
  <sheetData>
    <row r="1" spans="1:26" ht="46.5" customHeight="1" x14ac:dyDescent="0.25">
      <c r="A1" s="167" t="s">
        <v>162</v>
      </c>
      <c r="B1" s="167"/>
      <c r="C1" s="167"/>
      <c r="D1" s="167"/>
      <c r="E1" s="167"/>
      <c r="F1" s="167"/>
      <c r="G1" s="167"/>
      <c r="H1" s="167"/>
    </row>
    <row r="2" spans="1:26" ht="16.5" customHeight="1" x14ac:dyDescent="0.25">
      <c r="A2" s="168" t="s">
        <v>0</v>
      </c>
      <c r="B2" s="168"/>
      <c r="C2" s="168"/>
      <c r="D2" s="168"/>
      <c r="E2" s="168"/>
      <c r="F2" s="168"/>
      <c r="G2" s="168"/>
      <c r="H2" s="168"/>
    </row>
    <row r="3" spans="1:26" x14ac:dyDescent="0.25">
      <c r="A3" s="137" t="s">
        <v>1</v>
      </c>
      <c r="B3" s="137"/>
      <c r="C3" s="137"/>
      <c r="D3" s="137"/>
      <c r="E3" s="137" t="str">
        <f ca="1">TEXT(TODAY(),"DD/MM/YYYY")</f>
        <v>15/07/2025</v>
      </c>
      <c r="F3" s="137"/>
      <c r="G3" s="137"/>
      <c r="H3" s="137"/>
    </row>
    <row r="4" spans="1:26" ht="15" customHeight="1" x14ac:dyDescent="0.25">
      <c r="A4" s="137" t="s">
        <v>2</v>
      </c>
      <c r="B4" s="137"/>
      <c r="C4" s="137"/>
      <c r="D4" s="137"/>
      <c r="E4" s="135" t="s">
        <v>231</v>
      </c>
      <c r="F4" s="135"/>
      <c r="G4" s="135"/>
      <c r="H4" s="135"/>
    </row>
    <row r="5" spans="1:26" x14ac:dyDescent="0.25">
      <c r="A5" s="137" t="s">
        <v>3</v>
      </c>
      <c r="B5" s="137"/>
      <c r="C5" s="137"/>
      <c r="D5" s="137"/>
      <c r="E5" s="170">
        <v>45846</v>
      </c>
      <c r="F5" s="135"/>
      <c r="G5" s="135"/>
      <c r="H5" s="135"/>
    </row>
    <row r="6" spans="1:26" ht="16.5" customHeight="1" x14ac:dyDescent="0.25">
      <c r="A6" s="137" t="s">
        <v>4</v>
      </c>
      <c r="B6" s="137"/>
      <c r="C6" s="137"/>
      <c r="D6" s="137"/>
      <c r="E6" s="135" t="s">
        <v>232</v>
      </c>
      <c r="F6" s="135"/>
      <c r="G6" s="135"/>
      <c r="H6" s="135"/>
    </row>
    <row r="7" spans="1:26" ht="15" customHeight="1" x14ac:dyDescent="0.25">
      <c r="A7" s="137" t="s">
        <v>5</v>
      </c>
      <c r="B7" s="137"/>
      <c r="C7" s="137"/>
      <c r="D7" s="137"/>
      <c r="E7" s="135" t="str">
        <f>E6</f>
        <v>Sathe Schemes</v>
      </c>
      <c r="F7" s="135"/>
      <c r="G7" s="135"/>
      <c r="H7" s="135"/>
    </row>
    <row r="8" spans="1:26" x14ac:dyDescent="0.25">
      <c r="A8" s="137" t="s">
        <v>6</v>
      </c>
      <c r="B8" s="137"/>
      <c r="C8" s="137"/>
      <c r="D8" s="137"/>
      <c r="E8" s="169" t="s">
        <v>233</v>
      </c>
      <c r="F8" s="169"/>
      <c r="G8" s="169"/>
      <c r="H8" s="169"/>
    </row>
    <row r="9" spans="1:26" x14ac:dyDescent="0.25">
      <c r="A9" s="137" t="s">
        <v>165</v>
      </c>
      <c r="B9" s="137"/>
      <c r="C9" s="137"/>
      <c r="D9" s="137"/>
      <c r="E9" s="135">
        <v>8483990487</v>
      </c>
      <c r="F9" s="135"/>
      <c r="G9" s="135"/>
      <c r="H9" s="135"/>
    </row>
    <row r="10" spans="1:26" x14ac:dyDescent="0.25">
      <c r="A10" s="137" t="s">
        <v>166</v>
      </c>
      <c r="B10" s="137"/>
      <c r="C10" s="137"/>
      <c r="D10" s="137"/>
      <c r="E10" s="135" t="s">
        <v>283</v>
      </c>
      <c r="F10" s="135"/>
      <c r="G10" s="135"/>
      <c r="H10" s="135"/>
      <c r="I10" s="169" t="s">
        <v>281</v>
      </c>
      <c r="J10" s="169"/>
      <c r="K10" s="169"/>
      <c r="L10" s="169"/>
    </row>
    <row r="11" spans="1:26" x14ac:dyDescent="0.25">
      <c r="A11" s="137" t="s">
        <v>7</v>
      </c>
      <c r="B11" s="137"/>
      <c r="C11" s="137"/>
      <c r="D11" s="137"/>
      <c r="E11" s="135" t="s">
        <v>119</v>
      </c>
      <c r="F11" s="135"/>
      <c r="G11" s="135"/>
      <c r="H11" s="135"/>
    </row>
    <row r="12" spans="1:26" x14ac:dyDescent="0.25">
      <c r="A12" s="137" t="s">
        <v>168</v>
      </c>
      <c r="B12" s="137"/>
      <c r="C12" s="137"/>
      <c r="D12" s="137"/>
      <c r="E12" s="135" t="s">
        <v>29</v>
      </c>
      <c r="F12" s="135"/>
      <c r="G12" s="135"/>
      <c r="H12" s="135"/>
      <c r="S12" s="59" t="s">
        <v>175</v>
      </c>
      <c r="T12" s="59" t="s">
        <v>185</v>
      </c>
      <c r="U12" s="59" t="s">
        <v>169</v>
      </c>
      <c r="V12" s="59" t="s">
        <v>190</v>
      </c>
      <c r="W12" s="59" t="s">
        <v>208</v>
      </c>
      <c r="X12"/>
      <c r="Y12" t="s">
        <v>190</v>
      </c>
      <c r="Z12" t="e">
        <f ca="1">OFFSET($S$12,1,MATCH($G19,$S$12:$W$12,0)-1,15,1)</f>
        <v>#VALUE!</v>
      </c>
    </row>
    <row r="13" spans="1:26" x14ac:dyDescent="0.25">
      <c r="A13" s="90" t="s">
        <v>8</v>
      </c>
      <c r="B13" s="90"/>
      <c r="C13" s="90"/>
      <c r="D13" s="90"/>
      <c r="E13" s="164" t="s">
        <v>234</v>
      </c>
      <c r="F13" s="164"/>
      <c r="G13" s="164"/>
      <c r="H13" s="164"/>
      <c r="S13" s="59" t="s">
        <v>176</v>
      </c>
      <c r="T13" s="59" t="s">
        <v>183</v>
      </c>
      <c r="U13" s="59" t="s">
        <v>205</v>
      </c>
      <c r="V13" s="59" t="s">
        <v>191</v>
      </c>
      <c r="W13" s="59" t="s">
        <v>209</v>
      </c>
      <c r="X13"/>
      <c r="Y13"/>
      <c r="Z13"/>
    </row>
    <row r="14" spans="1:26" x14ac:dyDescent="0.25">
      <c r="A14" s="90" t="s">
        <v>9</v>
      </c>
      <c r="B14" s="90"/>
      <c r="C14" s="90"/>
      <c r="D14" s="90"/>
      <c r="E14" s="164" t="s">
        <v>235</v>
      </c>
      <c r="F14" s="135"/>
      <c r="G14" s="135"/>
      <c r="H14" s="135"/>
      <c r="I14" s="206" t="e">
        <f ca="1">OFFSET($D$4,1,MATCH($J12,$D$4:$H$4,0)-1,15,1)</f>
        <v>#N/A</v>
      </c>
      <c r="J14" s="207"/>
      <c r="K14" s="207"/>
      <c r="L14" s="207"/>
      <c r="M14" s="207"/>
      <c r="N14" s="207"/>
      <c r="O14" s="207"/>
      <c r="P14" s="207"/>
      <c r="S14" s="59" t="s">
        <v>177</v>
      </c>
      <c r="T14" s="59" t="s">
        <v>184</v>
      </c>
      <c r="U14" s="59" t="s">
        <v>206</v>
      </c>
      <c r="V14" s="59" t="s">
        <v>192</v>
      </c>
      <c r="W14" s="59" t="s">
        <v>222</v>
      </c>
      <c r="X14"/>
      <c r="Y14"/>
      <c r="Z14"/>
    </row>
    <row r="15" spans="1:26" ht="33" customHeight="1" x14ac:dyDescent="0.25">
      <c r="A15" s="134" t="s">
        <v>10</v>
      </c>
      <c r="B15" s="134"/>
      <c r="C15" s="134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Equinox, Plot No.20/1, near Vishal Complex, Internal Rd, Chinchpada, Pen, Pen, Pen, Raigad - 402107.</v>
      </c>
      <c r="D15" s="134"/>
      <c r="E15" s="134"/>
      <c r="F15" s="134"/>
      <c r="G15" s="134"/>
      <c r="H15" s="134"/>
      <c r="S15" s="59" t="s">
        <v>178</v>
      </c>
      <c r="T15" s="59" t="s">
        <v>186</v>
      </c>
      <c r="U15" s="59" t="s">
        <v>207</v>
      </c>
      <c r="V15" s="59" t="s">
        <v>193</v>
      </c>
      <c r="W15" s="59" t="s">
        <v>210</v>
      </c>
      <c r="X15"/>
      <c r="Y15"/>
      <c r="Z15"/>
    </row>
    <row r="16" spans="1:26" x14ac:dyDescent="0.25">
      <c r="A16" s="164" t="s">
        <v>236</v>
      </c>
      <c r="B16" s="164"/>
      <c r="C16" s="166" t="s">
        <v>237</v>
      </c>
      <c r="D16" s="166"/>
      <c r="E16" s="166"/>
      <c r="F16" s="166"/>
      <c r="G16" s="166"/>
      <c r="H16" s="166"/>
      <c r="S16" s="59" t="s">
        <v>179</v>
      </c>
      <c r="T16" s="59" t="s">
        <v>187</v>
      </c>
      <c r="U16" s="59" t="s">
        <v>169</v>
      </c>
      <c r="V16" s="59" t="s">
        <v>194</v>
      </c>
      <c r="W16" s="59" t="s">
        <v>211</v>
      </c>
      <c r="X16"/>
      <c r="Y16"/>
      <c r="Z16"/>
    </row>
    <row r="17" spans="1:26" ht="15.75" customHeight="1" x14ac:dyDescent="0.25">
      <c r="A17" s="126" t="s">
        <v>160</v>
      </c>
      <c r="B17" s="126"/>
      <c r="C17" s="126" t="s">
        <v>238</v>
      </c>
      <c r="D17" s="126"/>
      <c r="E17" s="126"/>
      <c r="F17" s="126"/>
      <c r="G17" s="126"/>
      <c r="H17" s="126"/>
      <c r="S17" s="59" t="s">
        <v>180</v>
      </c>
      <c r="T17" s="59" t="s">
        <v>185</v>
      </c>
      <c r="U17" s="59"/>
      <c r="V17" s="59" t="s">
        <v>195</v>
      </c>
      <c r="W17" s="59" t="s">
        <v>212</v>
      </c>
      <c r="X17"/>
      <c r="Y17"/>
      <c r="Z17"/>
    </row>
    <row r="18" spans="1:26" ht="15.75" customHeight="1" x14ac:dyDescent="0.25">
      <c r="A18" s="134" t="s">
        <v>11</v>
      </c>
      <c r="B18" s="134"/>
      <c r="C18" s="137" t="s">
        <v>239</v>
      </c>
      <c r="D18" s="137"/>
      <c r="E18" s="134" t="s">
        <v>72</v>
      </c>
      <c r="F18" s="134"/>
      <c r="G18" s="126" t="s">
        <v>196</v>
      </c>
      <c r="H18" s="126"/>
      <c r="S18" s="59" t="s">
        <v>181</v>
      </c>
      <c r="T18" s="59" t="s">
        <v>188</v>
      </c>
      <c r="U18" s="59"/>
      <c r="V18" s="59" t="s">
        <v>196</v>
      </c>
      <c r="W18" s="59" t="s">
        <v>213</v>
      </c>
      <c r="X18"/>
      <c r="Y18"/>
      <c r="Z18"/>
    </row>
    <row r="19" spans="1:26" x14ac:dyDescent="0.25">
      <c r="A19" s="90" t="s">
        <v>13</v>
      </c>
      <c r="B19" s="90"/>
      <c r="C19" s="164" t="s">
        <v>196</v>
      </c>
      <c r="D19" s="164"/>
      <c r="E19" s="164" t="s">
        <v>12</v>
      </c>
      <c r="F19" s="164"/>
      <c r="G19" s="165" t="s">
        <v>190</v>
      </c>
      <c r="H19" s="165"/>
      <c r="S19" s="59" t="s">
        <v>182</v>
      </c>
      <c r="T19" s="59" t="s">
        <v>189</v>
      </c>
      <c r="U19" s="59"/>
      <c r="V19" s="59" t="s">
        <v>197</v>
      </c>
      <c r="W19" s="59" t="s">
        <v>214</v>
      </c>
      <c r="X19"/>
      <c r="Y19"/>
      <c r="Z19"/>
    </row>
    <row r="20" spans="1:26" x14ac:dyDescent="0.25">
      <c r="A20" s="90" t="s">
        <v>73</v>
      </c>
      <c r="B20" s="90"/>
      <c r="C20" s="164" t="s">
        <v>196</v>
      </c>
      <c r="D20" s="164"/>
      <c r="E20" s="164" t="s">
        <v>14</v>
      </c>
      <c r="F20" s="164"/>
      <c r="G20" s="164">
        <v>402107</v>
      </c>
      <c r="H20" s="164"/>
      <c r="S20" s="59"/>
      <c r="T20" s="59"/>
      <c r="U20" s="59"/>
      <c r="V20" s="59" t="s">
        <v>198</v>
      </c>
      <c r="W20" s="59" t="s">
        <v>215</v>
      </c>
      <c r="X20"/>
      <c r="Y20"/>
      <c r="Z20"/>
    </row>
    <row r="21" spans="1:26" ht="32.25" customHeight="1" x14ac:dyDescent="0.25">
      <c r="A21" s="90" t="s">
        <v>120</v>
      </c>
      <c r="B21" s="90"/>
      <c r="C21" s="164" t="s">
        <v>241</v>
      </c>
      <c r="D21" s="164"/>
      <c r="E21" s="164" t="s">
        <v>15</v>
      </c>
      <c r="F21" s="164"/>
      <c r="G21" s="164" t="s">
        <v>240</v>
      </c>
      <c r="H21" s="164"/>
      <c r="S21" s="59"/>
      <c r="T21" s="59"/>
      <c r="U21" s="59"/>
      <c r="V21" s="59" t="s">
        <v>199</v>
      </c>
      <c r="W21" s="59" t="s">
        <v>216</v>
      </c>
      <c r="X21"/>
      <c r="Y21"/>
      <c r="Z21"/>
    </row>
    <row r="22" spans="1:26" ht="15" customHeight="1" x14ac:dyDescent="0.25">
      <c r="A22" s="134" t="s">
        <v>75</v>
      </c>
      <c r="B22" s="134"/>
      <c r="C22" s="134"/>
      <c r="D22" s="134"/>
      <c r="E22" s="137" t="s">
        <v>16</v>
      </c>
      <c r="F22" s="137"/>
      <c r="G22" s="137"/>
      <c r="H22" s="137"/>
      <c r="S22" s="59"/>
      <c r="T22" s="59"/>
      <c r="U22" s="59"/>
      <c r="V22" s="59" t="s">
        <v>200</v>
      </c>
      <c r="W22" s="59" t="s">
        <v>217</v>
      </c>
      <c r="X22"/>
      <c r="Y22"/>
      <c r="Z22"/>
    </row>
    <row r="23" spans="1:26" ht="18.75" customHeight="1" x14ac:dyDescent="0.25">
      <c r="A23" s="134"/>
      <c r="B23" s="134"/>
      <c r="C23" s="134"/>
      <c r="D23" s="134"/>
      <c r="E23" s="137"/>
      <c r="F23" s="137"/>
      <c r="G23" s="137"/>
      <c r="H23" s="137"/>
      <c r="S23" s="59"/>
      <c r="T23" s="59"/>
      <c r="U23" s="59"/>
      <c r="V23" s="59" t="s">
        <v>201</v>
      </c>
      <c r="W23" s="59" t="s">
        <v>218</v>
      </c>
      <c r="X23"/>
      <c r="Y23"/>
      <c r="Z23"/>
    </row>
    <row r="24" spans="1:26" ht="15" customHeight="1" x14ac:dyDescent="0.25">
      <c r="A24" s="134" t="s">
        <v>17</v>
      </c>
      <c r="B24" s="134"/>
      <c r="C24" s="134"/>
      <c r="D24" s="134"/>
      <c r="E24" s="126" t="s">
        <v>18</v>
      </c>
      <c r="F24" s="126"/>
      <c r="G24" s="126"/>
      <c r="H24" s="126"/>
      <c r="S24" s="59"/>
      <c r="T24" s="59"/>
      <c r="U24" s="59"/>
      <c r="V24" s="59" t="s">
        <v>202</v>
      </c>
      <c r="W24" s="59" t="s">
        <v>219</v>
      </c>
      <c r="X24"/>
      <c r="Y24"/>
      <c r="Z24"/>
    </row>
    <row r="25" spans="1:26" ht="15" customHeight="1" x14ac:dyDescent="0.25">
      <c r="A25" s="90" t="s">
        <v>19</v>
      </c>
      <c r="B25" s="90"/>
      <c r="C25" s="90"/>
      <c r="D25" s="90"/>
      <c r="E25" s="126" t="str">
        <f>IF(AND(G19="Mumbai"),"Upper Class","Middle Class")</f>
        <v>Middle Class</v>
      </c>
      <c r="F25" s="126"/>
      <c r="G25" s="126"/>
      <c r="H25" s="126"/>
      <c r="S25" s="59"/>
      <c r="T25" s="59"/>
      <c r="U25" s="59"/>
      <c r="V25" s="59" t="s">
        <v>203</v>
      </c>
      <c r="W25" s="59" t="s">
        <v>220</v>
      </c>
      <c r="X25"/>
      <c r="Y25"/>
      <c r="Z25"/>
    </row>
    <row r="26" spans="1:26" x14ac:dyDescent="0.25">
      <c r="A26" s="90" t="s">
        <v>20</v>
      </c>
      <c r="B26" s="90"/>
      <c r="C26" s="90"/>
      <c r="D26" s="90"/>
      <c r="E26" s="126" t="s">
        <v>21</v>
      </c>
      <c r="F26" s="126"/>
      <c r="G26" s="126"/>
      <c r="H26" s="126"/>
      <c r="S26" s="59"/>
      <c r="T26" s="59"/>
      <c r="U26" s="59"/>
      <c r="V26" s="59" t="s">
        <v>204</v>
      </c>
      <c r="W26" s="59" t="s">
        <v>221</v>
      </c>
      <c r="X26"/>
      <c r="Y26"/>
      <c r="Z26"/>
    </row>
    <row r="27" spans="1:26" ht="15.75" customHeight="1" x14ac:dyDescent="0.25">
      <c r="A27" s="90" t="s">
        <v>22</v>
      </c>
      <c r="B27" s="90"/>
      <c r="C27" s="90"/>
      <c r="D27" s="90"/>
      <c r="E27" s="126" t="str">
        <f>IF(AND(G19="Mumbai"),"Developed","Developing")</f>
        <v>Developing</v>
      </c>
      <c r="F27" s="126"/>
      <c r="G27" s="126"/>
      <c r="H27" s="126"/>
    </row>
    <row r="28" spans="1:26" x14ac:dyDescent="0.25">
      <c r="A28" s="90" t="s">
        <v>23</v>
      </c>
      <c r="B28" s="90"/>
      <c r="C28" s="90"/>
      <c r="D28" s="90"/>
      <c r="E28" s="126" t="s">
        <v>24</v>
      </c>
      <c r="F28" s="126"/>
      <c r="G28" s="126"/>
      <c r="H28" s="126"/>
    </row>
    <row r="29" spans="1:26" ht="15.75" customHeight="1" x14ac:dyDescent="0.25">
      <c r="A29" s="90" t="s">
        <v>80</v>
      </c>
      <c r="B29" s="90"/>
      <c r="C29" s="90"/>
      <c r="D29" s="90"/>
      <c r="E29" s="126" t="s">
        <v>81</v>
      </c>
      <c r="F29" s="126"/>
      <c r="G29" s="126"/>
      <c r="H29" s="126"/>
    </row>
    <row r="30" spans="1:26" ht="15" customHeight="1" x14ac:dyDescent="0.25">
      <c r="A30" s="90" t="s">
        <v>32</v>
      </c>
      <c r="B30" s="90"/>
      <c r="C30" s="90"/>
      <c r="D30" s="90"/>
      <c r="E30" s="126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 + Commercial</v>
      </c>
      <c r="F30" s="126"/>
      <c r="G30" s="126"/>
      <c r="H30" s="126"/>
    </row>
    <row r="31" spans="1:26" ht="15.75" customHeight="1" x14ac:dyDescent="0.25">
      <c r="A31" s="90" t="s">
        <v>92</v>
      </c>
      <c r="B31" s="90"/>
      <c r="C31" s="90"/>
      <c r="D31" s="90"/>
      <c r="E31" s="126" t="s">
        <v>33</v>
      </c>
      <c r="F31" s="126"/>
      <c r="G31" s="126"/>
      <c r="H31" s="126"/>
    </row>
    <row r="32" spans="1:26" s="23" customFormat="1" x14ac:dyDescent="0.25">
      <c r="A32" s="163" t="s">
        <v>93</v>
      </c>
      <c r="B32" s="163"/>
      <c r="C32" s="160" t="s">
        <v>170</v>
      </c>
      <c r="D32" s="161"/>
      <c r="E32" s="162"/>
      <c r="F32" s="160" t="s">
        <v>30</v>
      </c>
      <c r="G32" s="161"/>
      <c r="H32" s="162"/>
    </row>
    <row r="33" spans="1:8" s="23" customFormat="1" x14ac:dyDescent="0.25">
      <c r="A33" s="149" t="s">
        <v>25</v>
      </c>
      <c r="B33" s="149" t="s">
        <v>29</v>
      </c>
      <c r="C33" s="150" t="s">
        <v>244</v>
      </c>
      <c r="D33" s="151"/>
      <c r="E33" s="152"/>
      <c r="F33" s="150" t="s">
        <v>11</v>
      </c>
      <c r="G33" s="151"/>
      <c r="H33" s="152"/>
    </row>
    <row r="34" spans="1:8" x14ac:dyDescent="0.25">
      <c r="A34" s="149" t="s">
        <v>26</v>
      </c>
      <c r="B34" s="149" t="s">
        <v>29</v>
      </c>
      <c r="C34" s="150" t="s">
        <v>245</v>
      </c>
      <c r="D34" s="151"/>
      <c r="E34" s="152"/>
      <c r="F34" s="150" t="s">
        <v>246</v>
      </c>
      <c r="G34" s="151"/>
      <c r="H34" s="152"/>
    </row>
    <row r="35" spans="1:8" s="23" customFormat="1" x14ac:dyDescent="0.25">
      <c r="A35" s="149" t="s">
        <v>28</v>
      </c>
      <c r="B35" s="149" t="s">
        <v>29</v>
      </c>
      <c r="C35" s="150" t="s">
        <v>248</v>
      </c>
      <c r="D35" s="151"/>
      <c r="E35" s="152"/>
      <c r="F35" s="150" t="s">
        <v>242</v>
      </c>
      <c r="G35" s="151"/>
      <c r="H35" s="152"/>
    </row>
    <row r="36" spans="1:8" x14ac:dyDescent="0.25">
      <c r="A36" s="149" t="s">
        <v>27</v>
      </c>
      <c r="B36" s="149" t="s">
        <v>29</v>
      </c>
      <c r="C36" s="150" t="s">
        <v>247</v>
      </c>
      <c r="D36" s="151"/>
      <c r="E36" s="152"/>
      <c r="F36" s="150" t="s">
        <v>243</v>
      </c>
      <c r="G36" s="151"/>
      <c r="H36" s="152"/>
    </row>
    <row r="37" spans="1:8" x14ac:dyDescent="0.25">
      <c r="A37" s="90" t="s">
        <v>31</v>
      </c>
      <c r="B37" s="90"/>
      <c r="C37" s="90"/>
      <c r="D37" s="90"/>
      <c r="E37" s="90"/>
      <c r="F37" s="90"/>
      <c r="G37" s="90"/>
      <c r="H37" s="90"/>
    </row>
    <row r="38" spans="1:8" ht="15.75" customHeight="1" x14ac:dyDescent="0.25">
      <c r="A38" s="90" t="s">
        <v>163</v>
      </c>
      <c r="B38" s="90"/>
      <c r="C38" s="136" t="s">
        <v>249</v>
      </c>
      <c r="D38" s="136"/>
      <c r="E38" s="136"/>
      <c r="F38" s="136"/>
      <c r="G38" s="136"/>
      <c r="H38" s="136"/>
    </row>
    <row r="39" spans="1:8" x14ac:dyDescent="0.25">
      <c r="A39" s="90" t="s">
        <v>159</v>
      </c>
      <c r="B39" s="90"/>
      <c r="C39" s="125" t="s">
        <v>250</v>
      </c>
      <c r="D39" s="126"/>
      <c r="E39" s="126"/>
      <c r="F39" s="126"/>
      <c r="G39" s="126"/>
      <c r="H39" s="126"/>
    </row>
    <row r="40" spans="1:8" x14ac:dyDescent="0.25">
      <c r="A40" s="136" t="s">
        <v>34</v>
      </c>
      <c r="B40" s="136"/>
      <c r="C40" s="136"/>
      <c r="D40" s="136"/>
      <c r="E40" s="136"/>
      <c r="F40" s="136"/>
      <c r="G40" s="136"/>
      <c r="H40" s="136"/>
    </row>
    <row r="41" spans="1:8" x14ac:dyDescent="0.25">
      <c r="A41" s="90" t="s">
        <v>35</v>
      </c>
      <c r="B41" s="90"/>
      <c r="C41" s="90"/>
      <c r="D41" s="90"/>
      <c r="E41" s="153">
        <v>2868.02</v>
      </c>
      <c r="F41" s="153"/>
      <c r="G41" s="153"/>
      <c r="H41" s="153"/>
    </row>
    <row r="42" spans="1:8" x14ac:dyDescent="0.25">
      <c r="A42" s="90" t="s">
        <v>36</v>
      </c>
      <c r="B42" s="90"/>
      <c r="C42" s="90"/>
      <c r="D42" s="90"/>
      <c r="E42" s="158">
        <f>3154.822/E41</f>
        <v>1.1000000000000001</v>
      </c>
      <c r="F42" s="158"/>
      <c r="G42" s="158"/>
      <c r="H42" s="158"/>
    </row>
    <row r="43" spans="1:8" x14ac:dyDescent="0.25">
      <c r="A43" s="90" t="s">
        <v>37</v>
      </c>
      <c r="B43" s="90"/>
      <c r="C43" s="90"/>
      <c r="D43" s="90"/>
      <c r="E43" s="158">
        <f>E45/E41-E42</f>
        <v>2.3041268889338284</v>
      </c>
      <c r="F43" s="158"/>
      <c r="G43" s="158"/>
      <c r="H43" s="158"/>
    </row>
    <row r="44" spans="1:8" x14ac:dyDescent="0.25">
      <c r="A44" s="90" t="s">
        <v>38</v>
      </c>
      <c r="B44" s="90"/>
      <c r="C44" s="90"/>
      <c r="D44" s="90"/>
      <c r="E44" s="158">
        <f>E42+E43</f>
        <v>3.4041268889338285</v>
      </c>
      <c r="F44" s="158"/>
      <c r="G44" s="158"/>
      <c r="H44" s="158"/>
    </row>
    <row r="45" spans="1:8" x14ac:dyDescent="0.25">
      <c r="A45" s="90" t="s">
        <v>91</v>
      </c>
      <c r="B45" s="90"/>
      <c r="C45" s="90"/>
      <c r="D45" s="90"/>
      <c r="E45" s="159">
        <v>9763.1039999999994</v>
      </c>
      <c r="F45" s="159"/>
      <c r="G45" s="159"/>
      <c r="H45" s="159"/>
    </row>
    <row r="46" spans="1:8" x14ac:dyDescent="0.25">
      <c r="A46" s="137" t="s">
        <v>39</v>
      </c>
      <c r="B46" s="137"/>
      <c r="C46" s="137"/>
      <c r="D46" s="137"/>
      <c r="E46" s="135" t="s">
        <v>119</v>
      </c>
      <c r="F46" s="135"/>
      <c r="G46" s="135"/>
      <c r="H46" s="135"/>
    </row>
    <row r="47" spans="1:8" x14ac:dyDescent="0.25">
      <c r="A47" s="136" t="s">
        <v>40</v>
      </c>
      <c r="B47" s="136"/>
      <c r="C47" s="136"/>
      <c r="D47" s="136"/>
      <c r="E47" s="136"/>
      <c r="F47" s="136"/>
      <c r="G47" s="136"/>
      <c r="H47" s="136"/>
    </row>
    <row r="48" spans="1:8" ht="33.75" customHeight="1" x14ac:dyDescent="0.25">
      <c r="A48" s="104" t="s">
        <v>149</v>
      </c>
      <c r="B48" s="105"/>
      <c r="C48" s="106" t="s">
        <v>251</v>
      </c>
      <c r="D48" s="107"/>
      <c r="E48" s="107"/>
      <c r="F48" s="107"/>
      <c r="G48" s="107"/>
      <c r="H48" s="108"/>
    </row>
    <row r="49" spans="1:14" ht="15.75" customHeight="1" x14ac:dyDescent="0.25">
      <c r="A49" s="104" t="s">
        <v>41</v>
      </c>
      <c r="B49" s="105"/>
      <c r="C49" s="104" t="s">
        <v>252</v>
      </c>
      <c r="D49" s="193"/>
      <c r="E49" s="105"/>
      <c r="F49" s="19" t="s">
        <v>42</v>
      </c>
      <c r="G49" s="143">
        <v>45042</v>
      </c>
      <c r="H49" s="105"/>
    </row>
    <row r="50" spans="1:14" x14ac:dyDescent="0.25">
      <c r="A50" s="104" t="s">
        <v>43</v>
      </c>
      <c r="B50" s="105"/>
      <c r="C50" s="104" t="str">
        <f>C49</f>
        <v>PNP/K4/B.V3396BP/310</v>
      </c>
      <c r="D50" s="193"/>
      <c r="E50" s="105"/>
      <c r="F50" s="19" t="s">
        <v>42</v>
      </c>
      <c r="G50" s="143">
        <f>G49</f>
        <v>45042</v>
      </c>
      <c r="H50" s="144"/>
    </row>
    <row r="51" spans="1:14" s="24" customFormat="1" ht="30.75" customHeight="1" x14ac:dyDescent="0.25">
      <c r="A51" s="145" t="s">
        <v>153</v>
      </c>
      <c r="B51" s="146"/>
      <c r="C51" s="104" t="s">
        <v>253</v>
      </c>
      <c r="D51" s="193"/>
      <c r="E51" s="105"/>
      <c r="F51" s="19" t="s">
        <v>42</v>
      </c>
      <c r="G51" s="143">
        <f>G50</f>
        <v>45042</v>
      </c>
      <c r="H51" s="144"/>
    </row>
    <row r="52" spans="1:14" s="24" customFormat="1" x14ac:dyDescent="0.25">
      <c r="A52" s="147"/>
      <c r="B52" s="148"/>
      <c r="C52" s="104" t="s">
        <v>254</v>
      </c>
      <c r="D52" s="193"/>
      <c r="E52" s="193"/>
      <c r="F52" s="193"/>
      <c r="G52" s="193"/>
      <c r="H52" s="105"/>
    </row>
    <row r="53" spans="1:14" x14ac:dyDescent="0.25">
      <c r="A53" s="209" t="s">
        <v>44</v>
      </c>
      <c r="B53" s="210"/>
      <c r="C53" s="209" t="s">
        <v>103</v>
      </c>
      <c r="D53" s="211"/>
      <c r="E53" s="210"/>
      <c r="F53" s="46" t="s">
        <v>42</v>
      </c>
      <c r="G53" s="204" t="s">
        <v>29</v>
      </c>
      <c r="H53" s="205"/>
    </row>
    <row r="54" spans="1:14" x14ac:dyDescent="0.25">
      <c r="A54" s="175" t="s">
        <v>46</v>
      </c>
      <c r="B54" s="175"/>
      <c r="C54" s="175"/>
      <c r="D54" s="175"/>
      <c r="E54" s="175"/>
      <c r="F54" s="175"/>
      <c r="G54" s="175"/>
      <c r="H54" s="175"/>
    </row>
    <row r="55" spans="1:14" x14ac:dyDescent="0.25">
      <c r="A55" s="134" t="s">
        <v>90</v>
      </c>
      <c r="B55" s="134"/>
      <c r="C55" s="134"/>
      <c r="D55" s="90">
        <f>E45</f>
        <v>9763.1039999999994</v>
      </c>
      <c r="E55" s="90"/>
      <c r="F55" s="90"/>
      <c r="G55" s="90"/>
      <c r="H55" s="90"/>
    </row>
    <row r="56" spans="1:14" x14ac:dyDescent="0.25">
      <c r="A56" s="126" t="s">
        <v>47</v>
      </c>
      <c r="B56" s="137"/>
      <c r="C56" s="137"/>
      <c r="D56" s="135" t="s">
        <v>274</v>
      </c>
      <c r="E56" s="135"/>
      <c r="F56" s="135"/>
      <c r="G56" s="135"/>
      <c r="H56" s="135"/>
      <c r="I56" s="25"/>
    </row>
    <row r="57" spans="1:14" x14ac:dyDescent="0.25">
      <c r="A57" s="140" t="s">
        <v>48</v>
      </c>
      <c r="B57" s="141"/>
      <c r="C57" s="142"/>
      <c r="D57" s="138" t="s">
        <v>254</v>
      </c>
      <c r="E57" s="139"/>
      <c r="F57" s="139"/>
      <c r="G57" s="139"/>
      <c r="H57" s="139"/>
    </row>
    <row r="58" spans="1:14" ht="15.75" customHeight="1" x14ac:dyDescent="0.25">
      <c r="A58" s="140" t="s">
        <v>88</v>
      </c>
      <c r="B58" s="141"/>
      <c r="C58" s="141"/>
      <c r="D58" s="135" t="s">
        <v>254</v>
      </c>
      <c r="E58" s="135"/>
      <c r="F58" s="135"/>
      <c r="G58" s="135"/>
      <c r="H58" s="135"/>
    </row>
    <row r="59" spans="1:14" ht="15.75" hidden="1" customHeight="1" x14ac:dyDescent="0.25">
      <c r="A59" s="194"/>
      <c r="B59" s="195"/>
      <c r="C59" s="195"/>
      <c r="D59" s="192"/>
      <c r="E59" s="192"/>
      <c r="F59" s="192"/>
      <c r="G59" s="192"/>
      <c r="H59" s="192"/>
    </row>
    <row r="60" spans="1:14" ht="15.75" hidden="1" customHeight="1" x14ac:dyDescent="0.25">
      <c r="A60" s="196"/>
      <c r="B60" s="197"/>
      <c r="C60" s="197"/>
      <c r="D60" s="192"/>
      <c r="E60" s="192"/>
      <c r="F60" s="192"/>
      <c r="G60" s="192"/>
      <c r="H60" s="192"/>
    </row>
    <row r="61" spans="1:14" ht="15.75" customHeight="1" x14ac:dyDescent="0.25">
      <c r="A61" s="90" t="s">
        <v>45</v>
      </c>
      <c r="B61" s="90"/>
      <c r="C61" s="90"/>
      <c r="D61" s="134" t="s">
        <v>255</v>
      </c>
      <c r="E61" s="134"/>
      <c r="F61" s="134"/>
      <c r="G61" s="134"/>
      <c r="H61" s="134"/>
      <c r="J61" s="26"/>
      <c r="K61" s="25"/>
      <c r="N61" s="25"/>
    </row>
    <row r="62" spans="1:14" ht="15.75" customHeight="1" x14ac:dyDescent="0.25">
      <c r="A62" s="90" t="s">
        <v>86</v>
      </c>
      <c r="B62" s="90"/>
      <c r="C62" s="90"/>
      <c r="D62" s="157" t="str">
        <f>(IF(G53="NA","60 Years After Completion",IF(G53&lt;&gt;"NA",""&amp;60-ROUNDDOWN((E3-G53)/360,0)&amp;" Years"," ")))</f>
        <v>60 Years After Completion</v>
      </c>
      <c r="E62" s="157"/>
      <c r="F62" s="157"/>
      <c r="G62" s="157"/>
      <c r="H62" s="157"/>
      <c r="N62" s="25"/>
    </row>
    <row r="63" spans="1:14" ht="15.75" customHeight="1" x14ac:dyDescent="0.25">
      <c r="A63" s="90" t="s">
        <v>87</v>
      </c>
      <c r="B63" s="90"/>
      <c r="C63" s="90"/>
      <c r="D63" s="134" t="s">
        <v>24</v>
      </c>
      <c r="E63" s="134"/>
      <c r="F63" s="134"/>
      <c r="G63" s="134"/>
      <c r="H63" s="134"/>
      <c r="J63" s="27"/>
      <c r="K63" s="27"/>
    </row>
    <row r="64" spans="1:14" x14ac:dyDescent="0.25">
      <c r="A64" s="135" t="s">
        <v>256</v>
      </c>
      <c r="B64" s="135"/>
      <c r="C64" s="135"/>
      <c r="D64" s="126" t="s">
        <v>280</v>
      </c>
      <c r="E64" s="134"/>
      <c r="F64" s="134"/>
      <c r="G64" s="134"/>
      <c r="H64" s="134"/>
    </row>
    <row r="65" spans="1:14" x14ac:dyDescent="0.25">
      <c r="A65" s="134" t="s">
        <v>146</v>
      </c>
      <c r="B65" s="134"/>
      <c r="C65" s="134"/>
      <c r="D65" s="134" t="s">
        <v>29</v>
      </c>
      <c r="E65" s="134"/>
      <c r="F65" s="134"/>
      <c r="G65" s="134"/>
      <c r="H65" s="134"/>
      <c r="I65" s="28"/>
      <c r="J65" s="28"/>
      <c r="K65" s="28"/>
      <c r="L65" s="28"/>
      <c r="M65" s="28"/>
      <c r="N65" s="28"/>
    </row>
    <row r="66" spans="1:14" ht="15.75" customHeight="1" x14ac:dyDescent="0.25">
      <c r="A66" s="212" t="s">
        <v>85</v>
      </c>
      <c r="B66" s="212"/>
      <c r="C66" s="212"/>
      <c r="D66" s="199" t="str">
        <f ca="1">(IF(G72&gt;95%,"Nothing",IF(G72&gt;0%,"Cement, Aggregate, Steel, etc",IF(G72=0%,"Work not yet Started"))))</f>
        <v>Cement, Aggregate, Steel, etc</v>
      </c>
      <c r="E66" s="199"/>
      <c r="F66" s="199"/>
      <c r="G66" s="199"/>
      <c r="H66" s="199"/>
      <c r="J66" s="27"/>
    </row>
    <row r="67" spans="1:14" ht="33.75" customHeight="1" thickBot="1" x14ac:dyDescent="0.3">
      <c r="A67" s="198" t="s">
        <v>116</v>
      </c>
      <c r="B67" s="198"/>
      <c r="C67" s="198"/>
      <c r="D67" s="199" t="str">
        <f ca="1">(IF(D66="Nothing","Yes",IF(D66="Cement, Aggregate, Steel, etc","Under Construction",IF(D66="Work not yet Started","Work not yet Started"))))</f>
        <v>Under Construction</v>
      </c>
      <c r="E67" s="199"/>
      <c r="F67" s="199" t="str">
        <f ca="1">(IF(D66="Nothing","Yes",IF(D66="Cement, Aggregate, Steel, etc","Under Construction",IF(D66="Work not yet Started","Work not yet Started"))))</f>
        <v>Under Construction</v>
      </c>
      <c r="G67" s="199"/>
      <c r="H67" s="199"/>
    </row>
    <row r="68" spans="1:14" ht="15.75" customHeight="1" x14ac:dyDescent="0.25">
      <c r="A68" s="129" t="s">
        <v>138</v>
      </c>
      <c r="B68" s="130"/>
      <c r="C68" s="131" t="str">
        <f>D58</f>
        <v>Gr/Stilt + 1st to 15th Floor</v>
      </c>
      <c r="D68" s="132"/>
      <c r="E68" s="132"/>
      <c r="F68" s="132"/>
      <c r="G68" s="132"/>
      <c r="H68" s="133"/>
      <c r="I68" s="50" t="str">
        <f ca="1">IF(D81=100%,"All work Completed. Possession granted to the Building.",IF(D80=100%,"All work Completed, Waiting for OC",I69&amp;""&amp;I70&amp;""&amp;J69&amp;""&amp;J68&amp;" "&amp;J70))</f>
        <v>Excavation, Plinth, RCC Slab Completed, Brickwork upto 7 Floor, Internal Plaster upto 5 Floor, External Plaster upto 1 Floor Completed</v>
      </c>
      <c r="J68" s="51" t="str">
        <f ca="1">(IF(C74=(D69+F69+H69),"",IF(C74&gt;0,", RCC upto "&amp;C74&amp;" Slab","")))&amp;(IF(C75=H69,"",IF(C75&gt;0,", Brickwork upto "&amp;C75&amp;" Floor","")))&amp;(IF(C76=H69,"",IF(C76&gt;0,", Internal Plaster upto "&amp;C76&amp;" Floor","")))&amp;(IF(C77=H69,"",IF(C77&gt;0,", External Plaster upto "&amp;C77&amp;" Floor","")))&amp;(IF(C78=H69,"",IF(C78&gt;0,", Flooring upto "&amp;C78&amp;" Floor","")))&amp;(IF(C79=H69,"",IF(C79&gt;0,", Painting upto "&amp;C79&amp;" Floor","")))&amp;(IF(C80=H69,"",IF(C80&gt;0,", Finishing upto "&amp;C80&amp;" Floor","")))&amp;(IF(C81=H69,"",IF(C81&gt;0,", Possession upto "&amp;C81&amp;" Floor","")))</f>
        <v>, Brickwork upto 7 Floor, Internal Plaster upto 5 Floor, External Plaster upto 1 Floor</v>
      </c>
    </row>
    <row r="69" spans="1:14" x14ac:dyDescent="0.25">
      <c r="A69" s="17" t="s">
        <v>140</v>
      </c>
      <c r="B69" s="54">
        <f>IF(AND(ISNUMBER(SEARCH("1B",C68))),1,IF(AND(ISNUMBER(SEARCH("2B",C68))),2,IF(AND(ISNUMBER(SEARCH("3B",C68))),3,IF(AND(ISNUMBER(SEARCH("4B",C68))),4,IF(ISNUMBER(SEARCH("5B",C68)),5,0)))))</f>
        <v>0</v>
      </c>
      <c r="C69" s="48" t="s">
        <v>71</v>
      </c>
      <c r="D69" s="48">
        <v>1</v>
      </c>
      <c r="E69" s="48" t="s">
        <v>70</v>
      </c>
      <c r="F69" s="68">
        <v>0</v>
      </c>
      <c r="G69" s="49" t="s">
        <v>79</v>
      </c>
      <c r="H69" s="18">
        <f ca="1">--TRIM(RIGHT(SUBSTITUTE(LEFT(C68,_xlfn.AGGREGATE(16,6,FIND({0,1,2,3,4,5,6,7,8,9},C68,ROW(INDIRECT("1:"&amp;LEN(C68)))),1))," ",REPT(" ",LEN(C68))),LEN(C68)))</f>
        <v>15</v>
      </c>
      <c r="I69" s="52" t="str">
        <f ca="1">IF(D72=100%,"Excavation","")&amp;IF(D73=100%,", Plinth","")&amp;IF(D74=100%,", RCC Slab","")&amp;IF(D75=100%,", Brickwork","")&amp;IF(D76=100%,", Internal Plaster","")&amp;IF(D77=100%,", External Plaster","")&amp;IF(D78=100%,", Flooring","")&amp;IF(D79=100%,", Painting","")&amp;IF(D80=100%,", Building common Amenities","")</f>
        <v>Excavation, Plinth, RCC Slab</v>
      </c>
      <c r="J69" s="53" t="str">
        <f ca="1">(IF(C72=0,"Work not yet Started.",IF(D72=25%,"Piling work in process",IF(D72=50%,"Excavation work in process",IF(D72=100%,"","0")))))&amp;(IF(C73=0%,"",IF(C73=J74,", Footing work is process",IF(C73=J75,", Footing work Completed",IF(C73=J76,", 1st Basement Completed",IF(C73=J77,", 1st &amp; 2nd Basement Completed",IF(C73=J78,", 1st to 3rd Basement Completed",IF(C73=J79,", 1st to 4th Basement Completed",IF(C73=J80,", Plinth work is process",IF(C73=J81,"","0"))))))))))</f>
        <v/>
      </c>
    </row>
    <row r="70" spans="1:14" ht="31.5" customHeight="1" x14ac:dyDescent="0.25">
      <c r="A70" s="121" t="s">
        <v>89</v>
      </c>
      <c r="B70" s="122"/>
      <c r="C70" s="88" t="str">
        <f ca="1">I68</f>
        <v>Excavation, Plinth, RCC Slab Completed, Brickwork upto 7 Floor, Internal Plaster upto 5 Floor, External Plaster upto 1 Floor Completed</v>
      </c>
      <c r="D70" s="88"/>
      <c r="E70" s="88"/>
      <c r="F70" s="88"/>
      <c r="G70" s="88"/>
      <c r="H70" s="89"/>
      <c r="I70" s="52" t="str">
        <f ca="1">IF(I69&lt;&gt;""," Completed","")</f>
        <v xml:space="preserve"> Completed</v>
      </c>
      <c r="J70" s="53" t="str">
        <f ca="1">IF(J68&lt;&gt;"","Completed","")</f>
        <v>Completed</v>
      </c>
    </row>
    <row r="71" spans="1:14" ht="15.75" customHeight="1" x14ac:dyDescent="0.25">
      <c r="A71" s="83" t="s">
        <v>49</v>
      </c>
      <c r="B71" s="84"/>
      <c r="C71" s="44" t="s">
        <v>137</v>
      </c>
      <c r="D71" s="44" t="s">
        <v>82</v>
      </c>
      <c r="E71" s="84" t="s">
        <v>84</v>
      </c>
      <c r="F71" s="84"/>
      <c r="G71" s="84" t="s">
        <v>83</v>
      </c>
      <c r="H71" s="120"/>
      <c r="I71" s="14" t="s">
        <v>139</v>
      </c>
      <c r="J71" s="29">
        <f ca="1">H69*25%</f>
        <v>3.75</v>
      </c>
    </row>
    <row r="72" spans="1:14" x14ac:dyDescent="0.25">
      <c r="A72" s="83" t="s">
        <v>126</v>
      </c>
      <c r="B72" s="84"/>
      <c r="C72" s="44">
        <f ca="1">J73</f>
        <v>15</v>
      </c>
      <c r="D72" s="20">
        <f ca="1">((100/H69)*C72)/100</f>
        <v>1</v>
      </c>
      <c r="E72" s="112">
        <f ca="1">(((C73/H69*10)+(40/(D69+F69+H69)*C74)+(7.5/(H69)*C75)+(7.5/(H69)*C76)+(10/H69*C77)+(10/H69*C78)+(5/H69*C79)+(5/H69*C80)+(5/H69*C81))/100)</f>
        <v>0.56666666666666665</v>
      </c>
      <c r="F72" s="154"/>
      <c r="G72" s="112">
        <f ca="1">((((C72/H69)*20)+((C73/H69)*25)+(30/(H69+F69+D69)*C74)+(5/H69*C75)+(5/H69*C76)+(5/H69*C77)+(5/H69*C78)+(0/H69*C79)+(0/H69*C80)+(5/H69*C81))/100)</f>
        <v>0.79333333333333333</v>
      </c>
      <c r="H72" s="113"/>
      <c r="I72" s="14" t="s">
        <v>98</v>
      </c>
      <c r="J72" s="30">
        <f ca="1">H69*50%</f>
        <v>7.5</v>
      </c>
    </row>
    <row r="73" spans="1:14" x14ac:dyDescent="0.25">
      <c r="A73" s="83" t="s">
        <v>50</v>
      </c>
      <c r="B73" s="84"/>
      <c r="C73" s="44">
        <f ca="1">J81</f>
        <v>15</v>
      </c>
      <c r="D73" s="20">
        <f ca="1">((100/H69)*C73)/100</f>
        <v>1</v>
      </c>
      <c r="E73" s="114"/>
      <c r="F73" s="155"/>
      <c r="G73" s="114"/>
      <c r="H73" s="115"/>
      <c r="I73" s="14" t="s">
        <v>99</v>
      </c>
      <c r="J73" s="30">
        <f ca="1">H69</f>
        <v>15</v>
      </c>
    </row>
    <row r="74" spans="1:14" ht="15.75" customHeight="1" x14ac:dyDescent="0.25">
      <c r="A74" s="83" t="s">
        <v>127</v>
      </c>
      <c r="B74" s="84"/>
      <c r="C74" s="69">
        <v>16</v>
      </c>
      <c r="D74" s="20">
        <f ca="1">((100/(D69+F69+H69))*C74)/100</f>
        <v>1</v>
      </c>
      <c r="E74" s="114"/>
      <c r="F74" s="155"/>
      <c r="G74" s="114"/>
      <c r="H74" s="115"/>
      <c r="I74" s="14" t="s">
        <v>100</v>
      </c>
      <c r="J74" s="31">
        <f ca="1">(IF(B69&gt;1,(H69/(B69+2)),H69/4))</f>
        <v>3.75</v>
      </c>
    </row>
    <row r="75" spans="1:14" ht="15.75" customHeight="1" x14ac:dyDescent="0.25">
      <c r="A75" s="83" t="s">
        <v>134</v>
      </c>
      <c r="B75" s="84" t="s">
        <v>128</v>
      </c>
      <c r="C75" s="44">
        <v>7</v>
      </c>
      <c r="D75" s="20">
        <f ca="1">((100/H69)*C75)/100</f>
        <v>0.46666666666666673</v>
      </c>
      <c r="E75" s="114"/>
      <c r="F75" s="155"/>
      <c r="G75" s="114"/>
      <c r="H75" s="115"/>
      <c r="I75" s="14" t="s">
        <v>101</v>
      </c>
      <c r="J75" s="31">
        <f ca="1">(IF(B69&gt;1,(H69/(B69+2)+J74),H69/4+J74))</f>
        <v>7.5</v>
      </c>
    </row>
    <row r="76" spans="1:14" ht="15.75" customHeight="1" x14ac:dyDescent="0.25">
      <c r="A76" s="83" t="s">
        <v>135</v>
      </c>
      <c r="B76" s="84" t="s">
        <v>128</v>
      </c>
      <c r="C76" s="44">
        <v>5</v>
      </c>
      <c r="D76" s="20">
        <f ca="1">((100/H69)*C76)/100</f>
        <v>0.33333333333333337</v>
      </c>
      <c r="E76" s="114"/>
      <c r="F76" s="155"/>
      <c r="G76" s="114"/>
      <c r="H76" s="115"/>
      <c r="I76" s="14" t="s">
        <v>144</v>
      </c>
      <c r="J76" s="31">
        <f>(IF(B69&gt;1,(H69/(B69+2)+J75),0))</f>
        <v>0</v>
      </c>
    </row>
    <row r="77" spans="1:14" ht="15" customHeight="1" x14ac:dyDescent="0.25">
      <c r="A77" s="83" t="s">
        <v>133</v>
      </c>
      <c r="B77" s="84" t="s">
        <v>130</v>
      </c>
      <c r="C77" s="44">
        <v>1</v>
      </c>
      <c r="D77" s="20">
        <f ca="1">((100/(H69))*C77)/100</f>
        <v>6.6666666666666666E-2</v>
      </c>
      <c r="E77" s="114"/>
      <c r="F77" s="155"/>
      <c r="G77" s="114"/>
      <c r="H77" s="115"/>
      <c r="I77" s="14" t="s">
        <v>141</v>
      </c>
      <c r="J77" s="31">
        <f>(IF(B69&gt;2,(H69/(B69+2)+J76),0))</f>
        <v>0</v>
      </c>
    </row>
    <row r="78" spans="1:14" ht="15.75" customHeight="1" x14ac:dyDescent="0.25">
      <c r="A78" s="83" t="s">
        <v>129</v>
      </c>
      <c r="B78" s="84" t="s">
        <v>129</v>
      </c>
      <c r="C78" s="44">
        <v>0</v>
      </c>
      <c r="D78" s="20">
        <f ca="1">((100/H69)*C78)/100</f>
        <v>0</v>
      </c>
      <c r="E78" s="114"/>
      <c r="F78" s="155"/>
      <c r="G78" s="114"/>
      <c r="H78" s="115"/>
      <c r="I78" s="14" t="s">
        <v>142</v>
      </c>
      <c r="J78" s="32">
        <f>(IF(B69&gt;3,(H69/(B69+2)+J77),0))</f>
        <v>0</v>
      </c>
    </row>
    <row r="79" spans="1:14" ht="15.75" customHeight="1" x14ac:dyDescent="0.25">
      <c r="A79" s="83" t="s">
        <v>136</v>
      </c>
      <c r="B79" s="84"/>
      <c r="C79" s="44">
        <v>0</v>
      </c>
      <c r="D79" s="20">
        <f ca="1">((100/H69)*C79)/100</f>
        <v>0</v>
      </c>
      <c r="E79" s="114"/>
      <c r="F79" s="155"/>
      <c r="G79" s="114"/>
      <c r="H79" s="115"/>
      <c r="I79" s="14" t="s">
        <v>143</v>
      </c>
      <c r="J79" s="31">
        <f>(IF(B69&gt;4,(H69/(B69+2)+J78),0))</f>
        <v>0</v>
      </c>
    </row>
    <row r="80" spans="1:14" ht="15.75" customHeight="1" x14ac:dyDescent="0.25">
      <c r="A80" s="83" t="s">
        <v>131</v>
      </c>
      <c r="B80" s="84" t="s">
        <v>131</v>
      </c>
      <c r="C80" s="44">
        <v>0</v>
      </c>
      <c r="D80" s="20">
        <f ca="1">((100/(H69))*C80)/100</f>
        <v>0</v>
      </c>
      <c r="E80" s="114"/>
      <c r="F80" s="155"/>
      <c r="G80" s="114"/>
      <c r="H80" s="115"/>
      <c r="I80" s="14" t="s">
        <v>145</v>
      </c>
      <c r="J80" s="31">
        <f ca="1">(IF(B69=1,(H69/(B69+3)+J75),IF(B69=0,(H69/4+J75),IF(B69&gt;1,0))))</f>
        <v>11.25</v>
      </c>
    </row>
    <row r="81" spans="1:10" ht="16.5" thickBot="1" x14ac:dyDescent="0.3">
      <c r="A81" s="81" t="s">
        <v>132</v>
      </c>
      <c r="B81" s="82"/>
      <c r="C81" s="45">
        <v>0</v>
      </c>
      <c r="D81" s="21">
        <f ca="1">((100/(H69))*C81)/100</f>
        <v>0</v>
      </c>
      <c r="E81" s="116"/>
      <c r="F81" s="156"/>
      <c r="G81" s="116"/>
      <c r="H81" s="117"/>
      <c r="I81" s="16" t="s">
        <v>102</v>
      </c>
      <c r="J81" s="33">
        <f ca="1">(IF(B69&gt;1.5,(H69/(B69+2)+J75+MAX(0,J76-J75)+MAX(0,J77-J76)+MAX(0,J78-J77)+MAX(0,J79-J78)+MAX(0,J80-J79)),IF(B69=1,(H69/(B69+3)+J80),IF(B69=0,H69/4+J80))))</f>
        <v>15</v>
      </c>
    </row>
    <row r="82" spans="1:10" ht="15.75" hidden="1" customHeight="1" x14ac:dyDescent="0.25">
      <c r="A82" s="129" t="s">
        <v>138</v>
      </c>
      <c r="B82" s="130"/>
      <c r="C82" s="131">
        <f>D59</f>
        <v>0</v>
      </c>
      <c r="D82" s="132"/>
      <c r="E82" s="132"/>
      <c r="F82" s="132"/>
      <c r="G82" s="132"/>
      <c r="H82" s="133"/>
      <c r="I82" s="50" t="e">
        <f ca="1">IF(D95=100%,"All work Completed. Possession granted to the Building.",IF(D94=100%,"All work Completed, Waiting for OC",I83&amp;""&amp;I84&amp;""&amp;J83&amp;""&amp;J82&amp;" "&amp;J84))</f>
        <v>#DIV/0!</v>
      </c>
      <c r="J82" s="51" t="str">
        <f ca="1">(IF(C88=(D83+F83+H83),"",IF(C88&gt;0,", RCC upto "&amp;C88&amp;" Slab","")))&amp;(IF(C89=H83,"",IF(C89&gt;0,", Brickwork upto "&amp;C89&amp;" Floor","")))&amp;(IF(C90=H83,"",IF(C90&gt;0,", Internal Plaster upto "&amp;C90&amp;" Floor","")))&amp;(IF(C91=H83,"",IF(C91&gt;0,", External Plaster upto "&amp;C91&amp;" Floor","")))&amp;(IF(C92=H83,"",IF(C92&gt;0,", Flooring upto "&amp;C92&amp;" Floor","")))&amp;(IF(C93=H83,"",IF(C93&gt;0,", Painting upto "&amp;C93&amp;" Floor","")))&amp;(IF(C94=H83,"",IF(C94&gt;0,", Finishing upto "&amp;C94&amp;" Floor","")))&amp;(IF(C95=H83,"",IF(C95&gt;0,", Possession upto "&amp;C95&amp;" Floor","")))</f>
        <v/>
      </c>
    </row>
    <row r="83" spans="1:10" hidden="1" x14ac:dyDescent="0.25">
      <c r="A83" s="17" t="s">
        <v>140</v>
      </c>
      <c r="B83" s="55">
        <f>IF(AND(ISNUMBER(SEARCH("1B",C82))),1,IF(AND(ISNUMBER(SEARCH("2B",C82))),2,IF(AND(ISNUMBER(SEARCH("3B",C82))),3,IF(AND(ISNUMBER(SEARCH("4B",C82))),4,IF(ISNUMBER(SEARCH("5B",C82)),5,0)))))</f>
        <v>0</v>
      </c>
      <c r="C83" s="48" t="s">
        <v>71</v>
      </c>
      <c r="D83" s="48">
        <v>1</v>
      </c>
      <c r="E83" s="48" t="s">
        <v>70</v>
      </c>
      <c r="F83" s="15">
        <v>0</v>
      </c>
      <c r="G83" s="49" t="s">
        <v>79</v>
      </c>
      <c r="H83" s="18">
        <f ca="1">--TRIM(RIGHT(SUBSTITUTE(LEFT(C82,_xlfn.AGGREGATE(16,6,FIND({0,1,2,3,4,5,6,7,8,9},C82,ROW(INDIRECT("1:"&amp;LEN(C82)))),1))," ",REPT(" ",LEN(C82))),LEN(C82)))</f>
        <v>0</v>
      </c>
      <c r="I83" s="52" t="e">
        <f ca="1">IF(D86=100%,"Excavation","")&amp;IF(D87=100%,", Plinth","")&amp;IF(D88=100%,", RCC Slab","")&amp;IF(D89=100%,", Brickwork","")&amp;IF(D90=100%,", Internal Plaster","")&amp;IF(D91=100%,", External Plaster","")&amp;IF(D92=100%,", Flooring","")&amp;IF(D93=100%,", Painting","")&amp;IF(D94=100%,", Building common Amenities","")</f>
        <v>#DIV/0!</v>
      </c>
      <c r="J83" s="53" t="str">
        <f ca="1">(IF(C86=0,"Work not yet Started.",IF(D86=25%,"Piling work in process",IF(D86=50%,"Excavation work in process",IF(D86=100%,"","0")))))&amp;(IF(C87=0%,"",IF(C87=J88,", Footing work is process",IF(C87=J89,", Footing work Completed",IF(C87=J90,", 1st Basement Completed",IF(C87=J91,", 1st &amp; 2nd Basement Completed",IF(C87=J92,", 1st to 3rd Basement Completed",IF(C87=J93,", 1st to 4th Basement Completed",IF(C87=J94,", Plinth work is process",IF(C87=J95,"","0"))))))))))</f>
        <v>Work not yet Started.0</v>
      </c>
    </row>
    <row r="84" spans="1:10" ht="33.75" hidden="1" customHeight="1" x14ac:dyDescent="0.25">
      <c r="A84" s="121" t="s">
        <v>89</v>
      </c>
      <c r="B84" s="122"/>
      <c r="C84" s="88" t="e">
        <f ca="1">(IF($G$53="NA",I82,"All work Completed. OC Received."))</f>
        <v>#DIV/0!</v>
      </c>
      <c r="D84" s="88"/>
      <c r="E84" s="88"/>
      <c r="F84" s="88"/>
      <c r="G84" s="88"/>
      <c r="H84" s="89"/>
      <c r="I84" s="52" t="e">
        <f ca="1">IF(I83&lt;&gt;""," Completed","")</f>
        <v>#DIV/0!</v>
      </c>
      <c r="J84" s="53" t="str">
        <f ca="1">IF(J82&lt;&gt;"","Completed","")</f>
        <v/>
      </c>
    </row>
    <row r="85" spans="1:10" ht="15.75" hidden="1" customHeight="1" x14ac:dyDescent="0.25">
      <c r="A85" s="83" t="s">
        <v>49</v>
      </c>
      <c r="B85" s="84"/>
      <c r="C85" s="44" t="s">
        <v>137</v>
      </c>
      <c r="D85" s="44" t="s">
        <v>82</v>
      </c>
      <c r="E85" s="84" t="s">
        <v>84</v>
      </c>
      <c r="F85" s="84"/>
      <c r="G85" s="84" t="s">
        <v>83</v>
      </c>
      <c r="H85" s="120"/>
      <c r="I85" s="14" t="s">
        <v>139</v>
      </c>
      <c r="J85" s="29">
        <f ca="1">H83*25%</f>
        <v>0</v>
      </c>
    </row>
    <row r="86" spans="1:10" hidden="1" x14ac:dyDescent="0.25">
      <c r="A86" s="83" t="s">
        <v>126</v>
      </c>
      <c r="B86" s="84"/>
      <c r="C86" s="44">
        <f ca="1">J87</f>
        <v>0</v>
      </c>
      <c r="D86" s="20" t="e">
        <f ca="1">((100/H83)*C86)/100</f>
        <v>#DIV/0!</v>
      </c>
      <c r="E86" s="112" t="e">
        <f ca="1">(((C87/H83*10)+(40/(D83+F83+H83)*C88)+(7.5/(H83)*C89)+(7.5/(H83)*C90)+(10/H83*C91)+(10/H83*C92)+(5/H83*C93)+(5/H83*C94)+(5/H83*C95))/100)</f>
        <v>#DIV/0!</v>
      </c>
      <c r="F86" s="154"/>
      <c r="G86" s="112" t="e">
        <f ca="1">((((C86/H83)*20)+((C87/H83)*25)+(30/(H83+F83+D83)*C88)+(5/H83*C89)+(5/H83*C90)+(5/H83*C91)+(5/H83*C92)+(0/H83*C93)+(0/H83*C94)+(5/H83*C95))/100)</f>
        <v>#DIV/0!</v>
      </c>
      <c r="H86" s="113"/>
      <c r="I86" s="14" t="s">
        <v>98</v>
      </c>
      <c r="J86" s="30">
        <f ca="1">H83*50%</f>
        <v>0</v>
      </c>
    </row>
    <row r="87" spans="1:10" hidden="1" x14ac:dyDescent="0.25">
      <c r="A87" s="83" t="s">
        <v>50</v>
      </c>
      <c r="B87" s="84"/>
      <c r="C87" s="56">
        <v>20</v>
      </c>
      <c r="D87" s="20" t="e">
        <f ca="1">((100/H83)*C87)/100</f>
        <v>#DIV/0!</v>
      </c>
      <c r="E87" s="114"/>
      <c r="F87" s="155"/>
      <c r="G87" s="114"/>
      <c r="H87" s="115"/>
      <c r="I87" s="14" t="s">
        <v>99</v>
      </c>
      <c r="J87" s="30">
        <f ca="1">H83</f>
        <v>0</v>
      </c>
    </row>
    <row r="88" spans="1:10" ht="15.75" hidden="1" customHeight="1" x14ac:dyDescent="0.25">
      <c r="A88" s="83" t="s">
        <v>127</v>
      </c>
      <c r="B88" s="84"/>
      <c r="C88" s="44">
        <v>0</v>
      </c>
      <c r="D88" s="20">
        <f ca="1">((100/(D83+F83+H83))*C88)/100</f>
        <v>0</v>
      </c>
      <c r="E88" s="114"/>
      <c r="F88" s="155"/>
      <c r="G88" s="114"/>
      <c r="H88" s="115"/>
      <c r="I88" s="14" t="s">
        <v>100</v>
      </c>
      <c r="J88" s="31">
        <f ca="1">(IF(B83&gt;1,(H83/(B83+2)),H83/4))</f>
        <v>0</v>
      </c>
    </row>
    <row r="89" spans="1:10" ht="15.75" hidden="1" customHeight="1" x14ac:dyDescent="0.25">
      <c r="A89" s="83" t="s">
        <v>134</v>
      </c>
      <c r="B89" s="84" t="s">
        <v>128</v>
      </c>
      <c r="C89" s="44">
        <v>0</v>
      </c>
      <c r="D89" s="20" t="e">
        <f ca="1">((100/H83)*C89)/100</f>
        <v>#DIV/0!</v>
      </c>
      <c r="E89" s="114"/>
      <c r="F89" s="155"/>
      <c r="G89" s="114"/>
      <c r="H89" s="115"/>
      <c r="I89" s="14" t="s">
        <v>101</v>
      </c>
      <c r="J89" s="31">
        <f ca="1">(IF(B83&gt;1,(H83/(B83+2)+J88),H83/4+J88))</f>
        <v>0</v>
      </c>
    </row>
    <row r="90" spans="1:10" ht="15.75" hidden="1" customHeight="1" x14ac:dyDescent="0.25">
      <c r="A90" s="83" t="s">
        <v>135</v>
      </c>
      <c r="B90" s="84" t="s">
        <v>128</v>
      </c>
      <c r="C90" s="44">
        <v>0</v>
      </c>
      <c r="D90" s="20" t="e">
        <f ca="1">((100/H83)*C90)/100</f>
        <v>#DIV/0!</v>
      </c>
      <c r="E90" s="114"/>
      <c r="F90" s="155"/>
      <c r="G90" s="114"/>
      <c r="H90" s="115"/>
      <c r="I90" s="14" t="s">
        <v>144</v>
      </c>
      <c r="J90" s="31">
        <f>(IF(B83&gt;1,(H83/(B83+2)+J89),0))</f>
        <v>0</v>
      </c>
    </row>
    <row r="91" spans="1:10" ht="15" hidden="1" customHeight="1" x14ac:dyDescent="0.25">
      <c r="A91" s="83" t="s">
        <v>133</v>
      </c>
      <c r="B91" s="84" t="s">
        <v>130</v>
      </c>
      <c r="C91" s="44">
        <v>0</v>
      </c>
      <c r="D91" s="20" t="e">
        <f ca="1">((100/(H83))*C91)/100</f>
        <v>#DIV/0!</v>
      </c>
      <c r="E91" s="114"/>
      <c r="F91" s="155"/>
      <c r="G91" s="114"/>
      <c r="H91" s="115"/>
      <c r="I91" s="14" t="s">
        <v>141</v>
      </c>
      <c r="J91" s="31">
        <f>(IF(B83&gt;2,(H83/(B83+2)+J90),0))</f>
        <v>0</v>
      </c>
    </row>
    <row r="92" spans="1:10" ht="15.75" hidden="1" customHeight="1" x14ac:dyDescent="0.25">
      <c r="A92" s="83" t="s">
        <v>129</v>
      </c>
      <c r="B92" s="84" t="s">
        <v>129</v>
      </c>
      <c r="C92" s="44">
        <v>0</v>
      </c>
      <c r="D92" s="20" t="e">
        <f ca="1">((100/H83)*C92)/100</f>
        <v>#DIV/0!</v>
      </c>
      <c r="E92" s="114"/>
      <c r="F92" s="155"/>
      <c r="G92" s="114"/>
      <c r="H92" s="115"/>
      <c r="I92" s="14" t="s">
        <v>142</v>
      </c>
      <c r="J92" s="32">
        <f>(IF(B83&gt;3,(H83/(B83+2)+J91),0))</f>
        <v>0</v>
      </c>
    </row>
    <row r="93" spans="1:10" ht="15.75" hidden="1" customHeight="1" x14ac:dyDescent="0.25">
      <c r="A93" s="83" t="s">
        <v>136</v>
      </c>
      <c r="B93" s="84"/>
      <c r="C93" s="44">
        <v>0</v>
      </c>
      <c r="D93" s="20" t="e">
        <f ca="1">((100/H83)*C93)/100</f>
        <v>#DIV/0!</v>
      </c>
      <c r="E93" s="114"/>
      <c r="F93" s="155"/>
      <c r="G93" s="114"/>
      <c r="H93" s="115"/>
      <c r="I93" s="14" t="s">
        <v>143</v>
      </c>
      <c r="J93" s="31">
        <f>(IF(B83&gt;4,(H83/(B83+2)+J92),0))</f>
        <v>0</v>
      </c>
    </row>
    <row r="94" spans="1:10" ht="15.75" hidden="1" customHeight="1" x14ac:dyDescent="0.25">
      <c r="A94" s="83" t="s">
        <v>131</v>
      </c>
      <c r="B94" s="84" t="s">
        <v>131</v>
      </c>
      <c r="C94" s="44">
        <v>0</v>
      </c>
      <c r="D94" s="20" t="e">
        <f ca="1">((100/(H83))*C94)/100</f>
        <v>#DIV/0!</v>
      </c>
      <c r="E94" s="114"/>
      <c r="F94" s="155"/>
      <c r="G94" s="114"/>
      <c r="H94" s="115"/>
      <c r="I94" s="14" t="s">
        <v>145</v>
      </c>
      <c r="J94" s="31">
        <f ca="1">(IF(B83=1,(H83/(B83+3)+J89),IF(B83=0,(H83/4+J89),IF(B83&gt;1,0))))</f>
        <v>0</v>
      </c>
    </row>
    <row r="95" spans="1:10" ht="16.5" hidden="1" thickBot="1" x14ac:dyDescent="0.3">
      <c r="A95" s="81" t="s">
        <v>132</v>
      </c>
      <c r="B95" s="82"/>
      <c r="C95" s="45">
        <v>0</v>
      </c>
      <c r="D95" s="21" t="e">
        <f ca="1">((100/(H83))*C95)/100</f>
        <v>#DIV/0!</v>
      </c>
      <c r="E95" s="116"/>
      <c r="F95" s="156"/>
      <c r="G95" s="116"/>
      <c r="H95" s="117"/>
      <c r="I95" s="16" t="s">
        <v>102</v>
      </c>
      <c r="J95" s="33">
        <f ca="1">(IF(B83&gt;1.5,(H83/(B83+2)+J89+MAX(0,J90-J89)+MAX(0,J91-J90)+MAX(0,J92-J91)+MAX(0,J93-J92)+MAX(0,J94-J93)),IF(B83=1,(H83/(B83+3)+J94),IF(B83=0,H83/4+J94))))</f>
        <v>0</v>
      </c>
    </row>
    <row r="96" spans="1:10" ht="15.75" hidden="1" customHeight="1" x14ac:dyDescent="0.25">
      <c r="A96" s="129" t="s">
        <v>138</v>
      </c>
      <c r="B96" s="130"/>
      <c r="C96" s="131">
        <f>D60</f>
        <v>0</v>
      </c>
      <c r="D96" s="132"/>
      <c r="E96" s="132"/>
      <c r="F96" s="132"/>
      <c r="G96" s="132"/>
      <c r="H96" s="133"/>
      <c r="I96" s="50" t="e">
        <f ca="1">IF(D109=100%,"All work Completed. Possession granted to the Building.",IF(D108=100%,"All work Completed, Waiting for OC",I97&amp;""&amp;I98&amp;""&amp;J97&amp;""&amp;J96&amp;" "&amp;J98))</f>
        <v>#DIV/0!</v>
      </c>
      <c r="J96" s="51" t="str">
        <f ca="1">(IF(C102=(D97+F97+H97),"",IF(C102&gt;0,", RCC upto "&amp;C102&amp;" Slab","")))&amp;(IF(C103=H97,"",IF(C103&gt;0,", Brickwork upto "&amp;C103&amp;" Floor","")))&amp;(IF(C104=H97,"",IF(C104&gt;0,", Internal Plaster upto "&amp;C104&amp;" Floor","")))&amp;(IF(C105=H97,"",IF(C105&gt;0,", External Plaster upto "&amp;C105&amp;" Floor","")))&amp;(IF(C106=H97,"",IF(C106&gt;0,", Flooring upto "&amp;C106&amp;" Floor","")))&amp;(IF(C107=H97,"",IF(C107&gt;0,", Painting upto "&amp;C107&amp;" Floor","")))&amp;(IF(C108=H97,"",IF(C108&gt;0,", Finishing upto "&amp;C108&amp;" Floor","")))&amp;(IF(C109=H97,"",IF(C109&gt;0,", Possession upto "&amp;C109&amp;" Floor","")))</f>
        <v/>
      </c>
    </row>
    <row r="97" spans="1:10" hidden="1" x14ac:dyDescent="0.25">
      <c r="A97" s="17" t="s">
        <v>140</v>
      </c>
      <c r="B97" s="55">
        <f>IF(AND(ISNUMBER(SEARCH("1B",C96))),1,IF(AND(ISNUMBER(SEARCH("2B",C96))),2,IF(AND(ISNUMBER(SEARCH("3B",C96))),3,IF(AND(ISNUMBER(SEARCH("4B",C96))),4,IF(ISNUMBER(SEARCH("5B",C96)),5,0)))))</f>
        <v>0</v>
      </c>
      <c r="C97" s="48" t="s">
        <v>71</v>
      </c>
      <c r="D97" s="48">
        <v>1</v>
      </c>
      <c r="E97" s="48" t="s">
        <v>70</v>
      </c>
      <c r="F97" s="15">
        <v>0</v>
      </c>
      <c r="G97" s="49" t="s">
        <v>79</v>
      </c>
      <c r="H97" s="18">
        <f ca="1">--TRIM(RIGHT(SUBSTITUTE(LEFT(C96,_xlfn.AGGREGATE(16,6,FIND({0,1,2,3,4,5,6,7,8,9},C96,ROW(INDIRECT("1:"&amp;LEN(C96)))),1))," ",REPT(" ",LEN(C96))),LEN(C96)))</f>
        <v>0</v>
      </c>
      <c r="I97" s="52" t="e">
        <f ca="1">IF(D100=100%,"Excavation","")&amp;IF(D101=100%,", Plinth","")&amp;IF(D102=100%,", RCC Slab","")&amp;IF(D103=100%,", Brickwork","")&amp;IF(D104=100%,", Internal Plaster","")&amp;IF(D105=100%,", External Plaster","")&amp;IF(D106=100%,", Flooring","")&amp;IF(D107=100%,", Painting","")&amp;IF(D108=100%,", Building common Amenities","")</f>
        <v>#DIV/0!</v>
      </c>
      <c r="J97" s="53" t="str">
        <f ca="1">(IF(C100=0,"Work not yet Started.",IF(D100=25%,"Piling work in process",IF(D100=50%,"Excavation work in process",IF(D100=100%,"","0")))))&amp;(IF(C101=0%,"",IF(C101=J102,", Footing work is process",IF(C101=J103,", Footing work Completed",IF(C101=J104,", 1st Basement Completed",IF(C101=J105,", 1st &amp; 2nd Basement Completed",IF(C101=J106,", 1st to 3rd Basement Completed",IF(C101=J107,", 1st to 4th Basement Completed",IF(C101=J108,", Plinth work is process",IF(C101=J109,"","0"))))))))))</f>
        <v>Work not yet Started.</v>
      </c>
    </row>
    <row r="98" spans="1:10" hidden="1" x14ac:dyDescent="0.25">
      <c r="A98" s="121" t="s">
        <v>89</v>
      </c>
      <c r="B98" s="122"/>
      <c r="C98" s="88" t="e">
        <f ca="1">(IF($G$53="NA",I96,"All work Completed. OC Received."))</f>
        <v>#DIV/0!</v>
      </c>
      <c r="D98" s="88"/>
      <c r="E98" s="88"/>
      <c r="F98" s="88"/>
      <c r="G98" s="88"/>
      <c r="H98" s="89"/>
      <c r="I98" s="52" t="e">
        <f ca="1">IF(I97&lt;&gt;""," Completed","")</f>
        <v>#DIV/0!</v>
      </c>
      <c r="J98" s="53" t="str">
        <f ca="1">IF(J96&lt;&gt;"","Completed","")</f>
        <v/>
      </c>
    </row>
    <row r="99" spans="1:10" ht="15.75" hidden="1" customHeight="1" x14ac:dyDescent="0.25">
      <c r="A99" s="83" t="s">
        <v>49</v>
      </c>
      <c r="B99" s="84"/>
      <c r="C99" s="44" t="s">
        <v>137</v>
      </c>
      <c r="D99" s="44" t="s">
        <v>82</v>
      </c>
      <c r="E99" s="84" t="s">
        <v>84</v>
      </c>
      <c r="F99" s="84"/>
      <c r="G99" s="84" t="s">
        <v>83</v>
      </c>
      <c r="H99" s="120"/>
      <c r="I99" s="14" t="s">
        <v>139</v>
      </c>
      <c r="J99" s="29">
        <f ca="1">H97*25%</f>
        <v>0</v>
      </c>
    </row>
    <row r="100" spans="1:10" hidden="1" x14ac:dyDescent="0.25">
      <c r="A100" s="83" t="s">
        <v>126</v>
      </c>
      <c r="B100" s="84"/>
      <c r="C100" s="44">
        <f ca="1">J101</f>
        <v>0</v>
      </c>
      <c r="D100" s="20" t="e">
        <f ca="1">((100/H97)*C100)/100</f>
        <v>#DIV/0!</v>
      </c>
      <c r="E100" s="112" t="e">
        <f ca="1">(((C101/H97*10)+(40/(D97+F97+H97)*C102)+(7.5/(H97)*C103)+(7.5/(H97)*C104)+(10/H97*C105)+(10/H97*C106)+(5/H97*C107)+(5/H97*C108)+(5/H97*C109))/100)</f>
        <v>#DIV/0!</v>
      </c>
      <c r="F100" s="154"/>
      <c r="G100" s="112" t="e">
        <f ca="1">((((C100/H97)*20)+((C101/H97)*25)+(30/(H97+F97+D97)*C102)+(5/H97*C103)+(5/H97*C104)+(5/H97*C105)+(5/H97*C106)+(0/H97*C107)+(0/H97*C108)+(5/H97*C109))/100)</f>
        <v>#DIV/0!</v>
      </c>
      <c r="H100" s="113"/>
      <c r="I100" s="14" t="s">
        <v>98</v>
      </c>
      <c r="J100" s="30">
        <f ca="1">H97*50%</f>
        <v>0</v>
      </c>
    </row>
    <row r="101" spans="1:10" hidden="1" x14ac:dyDescent="0.25">
      <c r="A101" s="83" t="s">
        <v>50</v>
      </c>
      <c r="B101" s="84"/>
      <c r="C101" s="44">
        <f ca="1">J109</f>
        <v>0</v>
      </c>
      <c r="D101" s="20" t="e">
        <f ca="1">((100/H97)*C101)/100</f>
        <v>#DIV/0!</v>
      </c>
      <c r="E101" s="114"/>
      <c r="F101" s="155"/>
      <c r="G101" s="114"/>
      <c r="H101" s="115"/>
      <c r="I101" s="14" t="s">
        <v>99</v>
      </c>
      <c r="J101" s="30">
        <f ca="1">H97</f>
        <v>0</v>
      </c>
    </row>
    <row r="102" spans="1:10" ht="15.75" hidden="1" customHeight="1" x14ac:dyDescent="0.25">
      <c r="A102" s="83" t="s">
        <v>127</v>
      </c>
      <c r="B102" s="84"/>
      <c r="C102" s="44">
        <f ca="1">D97+H97</f>
        <v>1</v>
      </c>
      <c r="D102" s="20">
        <f ca="1">((100/(D97+F97+H97))*C102)/100</f>
        <v>1</v>
      </c>
      <c r="E102" s="114"/>
      <c r="F102" s="155"/>
      <c r="G102" s="114"/>
      <c r="H102" s="115"/>
      <c r="I102" s="14" t="s">
        <v>100</v>
      </c>
      <c r="J102" s="31">
        <f ca="1">(IF(B97&gt;1,(H97/(B97+2)),H97/4))</f>
        <v>0</v>
      </c>
    </row>
    <row r="103" spans="1:10" ht="15.75" hidden="1" customHeight="1" x14ac:dyDescent="0.25">
      <c r="A103" s="83" t="s">
        <v>134</v>
      </c>
      <c r="B103" s="84" t="s">
        <v>128</v>
      </c>
      <c r="C103" s="44">
        <v>0</v>
      </c>
      <c r="D103" s="20" t="e">
        <f ca="1">((100/H97)*C103)/100</f>
        <v>#DIV/0!</v>
      </c>
      <c r="E103" s="114"/>
      <c r="F103" s="155"/>
      <c r="G103" s="114"/>
      <c r="H103" s="115"/>
      <c r="I103" s="14" t="s">
        <v>101</v>
      </c>
      <c r="J103" s="31">
        <f ca="1">(IF(B97&gt;1,(H97/(B97+2)+J102),H97/4+J102))</f>
        <v>0</v>
      </c>
    </row>
    <row r="104" spans="1:10" ht="15.75" hidden="1" customHeight="1" x14ac:dyDescent="0.25">
      <c r="A104" s="83" t="s">
        <v>135</v>
      </c>
      <c r="B104" s="84" t="s">
        <v>128</v>
      </c>
      <c r="C104" s="44">
        <v>0</v>
      </c>
      <c r="D104" s="20" t="e">
        <f ca="1">((100/H97)*C104)/100</f>
        <v>#DIV/0!</v>
      </c>
      <c r="E104" s="114"/>
      <c r="F104" s="155"/>
      <c r="G104" s="114"/>
      <c r="H104" s="115"/>
      <c r="I104" s="14" t="s">
        <v>144</v>
      </c>
      <c r="J104" s="31">
        <f>(IF(B97&gt;1,(H97/(B97+2)+J103),0))</f>
        <v>0</v>
      </c>
    </row>
    <row r="105" spans="1:10" ht="15" hidden="1" customHeight="1" x14ac:dyDescent="0.25">
      <c r="A105" s="83" t="s">
        <v>133</v>
      </c>
      <c r="B105" s="84" t="s">
        <v>130</v>
      </c>
      <c r="C105" s="44">
        <v>0</v>
      </c>
      <c r="D105" s="20" t="e">
        <f ca="1">((100/(H97))*C105)/100</f>
        <v>#DIV/0!</v>
      </c>
      <c r="E105" s="114"/>
      <c r="F105" s="155"/>
      <c r="G105" s="114"/>
      <c r="H105" s="115"/>
      <c r="I105" s="14" t="s">
        <v>141</v>
      </c>
      <c r="J105" s="31">
        <f>(IF(B97&gt;2,(H97/(B97+2)+J104),0))</f>
        <v>0</v>
      </c>
    </row>
    <row r="106" spans="1:10" ht="15.75" hidden="1" customHeight="1" x14ac:dyDescent="0.25">
      <c r="A106" s="83" t="s">
        <v>129</v>
      </c>
      <c r="B106" s="84" t="s">
        <v>129</v>
      </c>
      <c r="C106" s="44">
        <v>0</v>
      </c>
      <c r="D106" s="20" t="e">
        <f ca="1">((100/H97)*C106)/100</f>
        <v>#DIV/0!</v>
      </c>
      <c r="E106" s="114"/>
      <c r="F106" s="155"/>
      <c r="G106" s="114"/>
      <c r="H106" s="115"/>
      <c r="I106" s="14" t="s">
        <v>142</v>
      </c>
      <c r="J106" s="32">
        <f>(IF(B97&gt;3,(H97/(B97+2)+J105),0))</f>
        <v>0</v>
      </c>
    </row>
    <row r="107" spans="1:10" ht="15.75" hidden="1" customHeight="1" x14ac:dyDescent="0.25">
      <c r="A107" s="83" t="s">
        <v>136</v>
      </c>
      <c r="B107" s="84"/>
      <c r="C107" s="44">
        <v>0</v>
      </c>
      <c r="D107" s="20" t="e">
        <f ca="1">((100/H97)*C107)/100</f>
        <v>#DIV/0!</v>
      </c>
      <c r="E107" s="114"/>
      <c r="F107" s="155"/>
      <c r="G107" s="114"/>
      <c r="H107" s="115"/>
      <c r="I107" s="14" t="s">
        <v>143</v>
      </c>
      <c r="J107" s="31">
        <f>(IF(B97&gt;4,(H97/(B97+2)+J106),0))</f>
        <v>0</v>
      </c>
    </row>
    <row r="108" spans="1:10" ht="15.75" hidden="1" customHeight="1" x14ac:dyDescent="0.25">
      <c r="A108" s="83" t="s">
        <v>131</v>
      </c>
      <c r="B108" s="84" t="s">
        <v>131</v>
      </c>
      <c r="C108" s="44">
        <v>0</v>
      </c>
      <c r="D108" s="20" t="e">
        <f ca="1">((100/(H97))*C108)/100</f>
        <v>#DIV/0!</v>
      </c>
      <c r="E108" s="114"/>
      <c r="F108" s="155"/>
      <c r="G108" s="114"/>
      <c r="H108" s="115"/>
      <c r="I108" s="14" t="s">
        <v>145</v>
      </c>
      <c r="J108" s="31">
        <f ca="1">(IF(B97=1,(H97/(B97+3)+J103),IF(B97=0,(H97/4+J103),IF(B97&gt;1,0))))</f>
        <v>0</v>
      </c>
    </row>
    <row r="109" spans="1:10" ht="16.5" hidden="1" thickBot="1" x14ac:dyDescent="0.3">
      <c r="A109" s="81" t="s">
        <v>132</v>
      </c>
      <c r="B109" s="82"/>
      <c r="C109" s="45">
        <v>0</v>
      </c>
      <c r="D109" s="21" t="e">
        <f ca="1">((100/(H97))*C109)/100</f>
        <v>#DIV/0!</v>
      </c>
      <c r="E109" s="116"/>
      <c r="F109" s="156"/>
      <c r="G109" s="116"/>
      <c r="H109" s="117"/>
      <c r="I109" s="16" t="s">
        <v>102</v>
      </c>
      <c r="J109" s="33">
        <f ca="1">(IF(B97&gt;1.5,(H97/(B97+2)+J103+MAX(0,J104-J103)+MAX(0,J105-J104)+MAX(0,J106-J105)+MAX(0,J107-J106)+MAX(0,J108-J107)),IF(B97=1,(H97/(B97+3)+J108),IF(B97=0,H97/4+J108))))</f>
        <v>0</v>
      </c>
    </row>
    <row r="110" spans="1:10" x14ac:dyDescent="0.25">
      <c r="A110" s="119" t="s">
        <v>154</v>
      </c>
      <c r="B110" s="119"/>
      <c r="C110" s="119"/>
      <c r="D110" s="119"/>
      <c r="E110" s="119"/>
      <c r="F110" s="179" t="s">
        <v>158</v>
      </c>
      <c r="G110" s="179"/>
      <c r="H110" s="179"/>
    </row>
    <row r="111" spans="1:10" x14ac:dyDescent="0.25">
      <c r="A111" s="90" t="s">
        <v>156</v>
      </c>
      <c r="B111" s="90"/>
      <c r="C111" s="90"/>
      <c r="D111" s="90"/>
      <c r="E111" s="90"/>
      <c r="F111" s="118">
        <v>4200</v>
      </c>
      <c r="G111" s="118"/>
      <c r="H111" s="118"/>
      <c r="I111" s="22" t="s">
        <v>276</v>
      </c>
    </row>
    <row r="112" spans="1:10" x14ac:dyDescent="0.25">
      <c r="A112" s="90" t="s">
        <v>155</v>
      </c>
      <c r="B112" s="90"/>
      <c r="C112" s="90"/>
      <c r="D112" s="90"/>
      <c r="E112" s="90"/>
      <c r="F112" s="118">
        <v>9000</v>
      </c>
      <c r="G112" s="118"/>
      <c r="H112" s="118"/>
    </row>
    <row r="113" spans="1:8" x14ac:dyDescent="0.25">
      <c r="A113" s="90" t="s">
        <v>157</v>
      </c>
      <c r="B113" s="90"/>
      <c r="C113" s="90"/>
      <c r="D113" s="90"/>
      <c r="E113" s="90"/>
      <c r="F113" s="118">
        <v>7000</v>
      </c>
      <c r="G113" s="118"/>
      <c r="H113" s="118"/>
    </row>
    <row r="114" spans="1:8" s="34" customFormat="1" hidden="1" x14ac:dyDescent="0.25">
      <c r="A114" s="90" t="s">
        <v>277</v>
      </c>
      <c r="B114" s="90"/>
      <c r="C114" s="90"/>
      <c r="D114" s="90"/>
      <c r="E114" s="90"/>
      <c r="F114" s="118"/>
      <c r="G114" s="118"/>
      <c r="H114" s="118"/>
    </row>
    <row r="115" spans="1:8" s="34" customFormat="1" x14ac:dyDescent="0.25">
      <c r="A115" s="90" t="s">
        <v>94</v>
      </c>
      <c r="B115" s="90"/>
      <c r="C115" s="90"/>
      <c r="D115" s="90"/>
      <c r="E115" s="90"/>
      <c r="F115" s="118">
        <v>100000</v>
      </c>
      <c r="G115" s="118"/>
      <c r="H115" s="118"/>
    </row>
    <row r="116" spans="1:8" s="34" customFormat="1" x14ac:dyDescent="0.25">
      <c r="A116" s="90" t="s">
        <v>95</v>
      </c>
      <c r="B116" s="90"/>
      <c r="C116" s="90"/>
      <c r="D116" s="90"/>
      <c r="E116" s="90"/>
      <c r="F116" s="118">
        <v>100000</v>
      </c>
      <c r="G116" s="118"/>
      <c r="H116" s="118"/>
    </row>
    <row r="117" spans="1:8" s="34" customFormat="1" hidden="1" x14ac:dyDescent="0.25">
      <c r="A117" s="90" t="s">
        <v>96</v>
      </c>
      <c r="B117" s="90"/>
      <c r="C117" s="90"/>
      <c r="D117" s="90"/>
      <c r="E117" s="90"/>
      <c r="F117" s="118"/>
      <c r="G117" s="118"/>
      <c r="H117" s="118"/>
    </row>
    <row r="118" spans="1:8" s="34" customFormat="1" x14ac:dyDescent="0.25">
      <c r="A118" s="90" t="s">
        <v>279</v>
      </c>
      <c r="B118" s="90"/>
      <c r="C118" s="90"/>
      <c r="D118" s="90"/>
      <c r="E118" s="90"/>
      <c r="F118" s="118">
        <v>50000</v>
      </c>
      <c r="G118" s="118"/>
      <c r="H118" s="118"/>
    </row>
    <row r="119" spans="1:8" s="34" customFormat="1" hidden="1" x14ac:dyDescent="0.25">
      <c r="A119" s="90" t="s">
        <v>278</v>
      </c>
      <c r="B119" s="90"/>
      <c r="C119" s="90"/>
      <c r="D119" s="90"/>
      <c r="E119" s="90"/>
      <c r="F119" s="118"/>
      <c r="G119" s="118"/>
      <c r="H119" s="118"/>
    </row>
    <row r="120" spans="1:8" s="34" customFormat="1" hidden="1" x14ac:dyDescent="0.25">
      <c r="A120" s="90" t="s">
        <v>97</v>
      </c>
      <c r="B120" s="90"/>
      <c r="C120" s="90"/>
      <c r="D120" s="90"/>
      <c r="E120" s="90"/>
      <c r="F120" s="118"/>
      <c r="G120" s="118"/>
      <c r="H120" s="118"/>
    </row>
    <row r="121" spans="1:8" x14ac:dyDescent="0.25">
      <c r="A121" s="90" t="s">
        <v>51</v>
      </c>
      <c r="B121" s="90"/>
      <c r="C121" s="90"/>
      <c r="D121" s="90"/>
      <c r="E121" s="90"/>
      <c r="F121" s="174">
        <v>200000</v>
      </c>
      <c r="G121" s="174"/>
      <c r="H121" s="174"/>
    </row>
    <row r="122" spans="1:8" s="35" customFormat="1" x14ac:dyDescent="0.25">
      <c r="A122" s="136" t="s">
        <v>52</v>
      </c>
      <c r="B122" s="136"/>
      <c r="C122" s="136"/>
      <c r="D122" s="136"/>
      <c r="E122" s="136"/>
      <c r="F122" s="118">
        <f>F111*0.8</f>
        <v>3360</v>
      </c>
      <c r="G122" s="118"/>
      <c r="H122" s="118"/>
    </row>
    <row r="123" spans="1:8" s="36" customFormat="1" ht="15.75" customHeight="1" x14ac:dyDescent="0.25">
      <c r="A123" s="96" t="s">
        <v>74</v>
      </c>
      <c r="B123" s="96"/>
      <c r="C123" s="96"/>
      <c r="D123" s="96"/>
      <c r="E123" s="96"/>
      <c r="F123" s="96"/>
      <c r="G123" s="96"/>
      <c r="H123" s="96"/>
    </row>
    <row r="124" spans="1:8" s="36" customFormat="1" ht="15.75" customHeight="1" x14ac:dyDescent="0.25">
      <c r="A124" s="101" t="s">
        <v>53</v>
      </c>
      <c r="B124" s="101"/>
      <c r="C124" s="98" t="s">
        <v>77</v>
      </c>
      <c r="D124" s="98"/>
      <c r="E124" s="100" t="s">
        <v>54</v>
      </c>
      <c r="F124" s="100"/>
      <c r="G124" s="101" t="s">
        <v>55</v>
      </c>
      <c r="H124" s="101"/>
    </row>
    <row r="125" spans="1:8" s="36" customFormat="1" x14ac:dyDescent="0.25">
      <c r="A125" s="102" t="s">
        <v>258</v>
      </c>
      <c r="B125" s="102"/>
      <c r="C125" s="92">
        <f>COUNT(F139:F158)</f>
        <v>20</v>
      </c>
      <c r="D125" s="93"/>
      <c r="E125" s="94">
        <f>SUM(F139:F158)</f>
        <v>10877.883119999999</v>
      </c>
      <c r="F125" s="95"/>
      <c r="G125" s="94">
        <f>SUM(H139:H158)</f>
        <v>16316.824680000003</v>
      </c>
      <c r="H125" s="95"/>
    </row>
    <row r="126" spans="1:8" s="36" customFormat="1" x14ac:dyDescent="0.25">
      <c r="A126" s="102" t="s">
        <v>272</v>
      </c>
      <c r="B126" s="102"/>
      <c r="C126" s="92">
        <f>COUNT(F160:F161)</f>
        <v>2</v>
      </c>
      <c r="D126" s="93"/>
      <c r="E126" s="94">
        <f>SUM(F160:F161)</f>
        <v>3129.4500119999998</v>
      </c>
      <c r="F126" s="95"/>
      <c r="G126" s="94">
        <f>SUM(H160:H161)</f>
        <v>4694.1750179999999</v>
      </c>
      <c r="H126" s="95"/>
    </row>
    <row r="127" spans="1:8" s="36" customFormat="1" x14ac:dyDescent="0.25">
      <c r="A127" s="96" t="s">
        <v>148</v>
      </c>
      <c r="B127" s="96"/>
      <c r="C127" s="97">
        <f>SUM(C125:C126)</f>
        <v>22</v>
      </c>
      <c r="D127" s="98"/>
      <c r="E127" s="99">
        <f>SUM(E125:E126)</f>
        <v>14007.333131999998</v>
      </c>
      <c r="F127" s="100"/>
      <c r="G127" s="101">
        <f>SUM(G125:G126)</f>
        <v>21010.999698000003</v>
      </c>
      <c r="H127" s="101"/>
    </row>
    <row r="128" spans="1:8" s="36" customFormat="1" x14ac:dyDescent="0.25">
      <c r="A128" s="96" t="s">
        <v>69</v>
      </c>
      <c r="B128" s="96"/>
      <c r="C128" s="96"/>
      <c r="D128" s="96"/>
      <c r="E128" s="96"/>
      <c r="F128" s="96"/>
      <c r="G128" s="96"/>
      <c r="H128" s="96"/>
    </row>
    <row r="129" spans="1:14" s="36" customFormat="1" ht="15.75" customHeight="1" x14ac:dyDescent="0.25">
      <c r="A129" s="101" t="s">
        <v>53</v>
      </c>
      <c r="B129" s="101"/>
      <c r="C129" s="98" t="s">
        <v>77</v>
      </c>
      <c r="D129" s="98"/>
      <c r="E129" s="100" t="s">
        <v>54</v>
      </c>
      <c r="F129" s="100"/>
      <c r="G129" s="101" t="s">
        <v>55</v>
      </c>
      <c r="H129" s="101"/>
    </row>
    <row r="130" spans="1:14" s="36" customFormat="1" ht="16.5" thickBot="1" x14ac:dyDescent="0.3">
      <c r="A130" s="102" t="s">
        <v>273</v>
      </c>
      <c r="B130" s="102"/>
      <c r="C130" s="92">
        <f>COUNT(F167:F170)+COUNT(F173:F177)+COUNT(F179:F183)+COUNT(F185:F189)*7+COUNT(F191:F195)*2+COUNT(F197:F199)</f>
        <v>62</v>
      </c>
      <c r="D130" s="92"/>
      <c r="E130" s="94">
        <f>SUM(F167:F170)+SUM(F173:F177)+SUM(F179:F183)+SUM(F185:F189)*7+SUM(F191:F195)*2+SUM(F197:F199)</f>
        <v>73305.547145999983</v>
      </c>
      <c r="F130" s="94"/>
      <c r="G130" s="94">
        <f>SUM(H167:H170)+SUM(H173:H177)+SUM(H179:H183)+SUM(H185:H189)*7+SUM(H191:H195)*2+SUM(H197:H199)</f>
        <v>111116.572866</v>
      </c>
      <c r="H130" s="94"/>
    </row>
    <row r="131" spans="1:14" s="36" customFormat="1" hidden="1" x14ac:dyDescent="0.25">
      <c r="A131" s="102"/>
      <c r="B131" s="102"/>
      <c r="C131" s="93"/>
      <c r="D131" s="93"/>
      <c r="E131" s="95"/>
      <c r="F131" s="95"/>
      <c r="G131" s="103"/>
      <c r="H131" s="103"/>
    </row>
    <row r="132" spans="1:14" s="36" customFormat="1" ht="16.5" hidden="1" thickBot="1" x14ac:dyDescent="0.3">
      <c r="A132" s="85" t="s">
        <v>148</v>
      </c>
      <c r="B132" s="85"/>
      <c r="C132" s="201">
        <f>SUM(C130:C131)</f>
        <v>62</v>
      </c>
      <c r="D132" s="202"/>
      <c r="E132" s="86">
        <f>SUM(E130:E131)</f>
        <v>73305.547145999983</v>
      </c>
      <c r="F132" s="87"/>
      <c r="G132" s="91">
        <f>SUM(G130:G131)</f>
        <v>111116.572866</v>
      </c>
      <c r="H132" s="91"/>
    </row>
    <row r="133" spans="1:14" s="36" customFormat="1" ht="16.5" thickBot="1" x14ac:dyDescent="0.3">
      <c r="A133" s="182" t="s">
        <v>164</v>
      </c>
      <c r="B133" s="183"/>
      <c r="C133" s="184">
        <f>C127+C132</f>
        <v>84</v>
      </c>
      <c r="D133" s="184"/>
      <c r="E133" s="185">
        <f>E127+E132</f>
        <v>87312.880277999982</v>
      </c>
      <c r="F133" s="185"/>
      <c r="G133" s="127">
        <f>G127+G132</f>
        <v>132127.572564</v>
      </c>
      <c r="H133" s="128"/>
    </row>
    <row r="134" spans="1:14" s="35" customFormat="1" x14ac:dyDescent="0.25">
      <c r="A134" s="179" t="s">
        <v>56</v>
      </c>
      <c r="B134" s="179"/>
      <c r="C134" s="179"/>
      <c r="D134" s="179"/>
      <c r="E134" s="179"/>
      <c r="F134" s="179"/>
      <c r="G134" s="179"/>
      <c r="H134" s="179"/>
    </row>
    <row r="135" spans="1:14" x14ac:dyDescent="0.25">
      <c r="A135" s="208" t="s">
        <v>171</v>
      </c>
      <c r="B135" s="208"/>
      <c r="C135" s="208"/>
      <c r="D135" s="208"/>
      <c r="E135" s="208"/>
      <c r="F135" s="208"/>
      <c r="G135" s="208"/>
      <c r="H135" s="208"/>
    </row>
    <row r="136" spans="1:14" ht="47.25" customHeight="1" x14ac:dyDescent="0.25">
      <c r="A136" s="79" t="s">
        <v>117</v>
      </c>
      <c r="B136" s="79" t="s">
        <v>172</v>
      </c>
      <c r="C136" s="79" t="s">
        <v>57</v>
      </c>
      <c r="D136" s="79" t="s">
        <v>229</v>
      </c>
      <c r="E136" s="123" t="s">
        <v>261</v>
      </c>
      <c r="F136" s="79" t="s">
        <v>58</v>
      </c>
      <c r="G136" s="123" t="s">
        <v>59</v>
      </c>
      <c r="H136" s="61" t="s">
        <v>147</v>
      </c>
    </row>
    <row r="137" spans="1:14" s="38" customFormat="1" x14ac:dyDescent="0.25">
      <c r="A137" s="80"/>
      <c r="B137" s="80"/>
      <c r="C137" s="80"/>
      <c r="D137" s="80"/>
      <c r="E137" s="124"/>
      <c r="F137" s="80"/>
      <c r="G137" s="124"/>
      <c r="H137" s="13">
        <v>0.5</v>
      </c>
    </row>
    <row r="138" spans="1:14" s="38" customFormat="1" x14ac:dyDescent="0.25">
      <c r="A138" s="76" t="s">
        <v>257</v>
      </c>
      <c r="B138" s="77"/>
      <c r="C138" s="77"/>
      <c r="D138" s="77"/>
      <c r="E138" s="77"/>
      <c r="F138" s="77"/>
      <c r="G138" s="77"/>
      <c r="H138" s="78"/>
      <c r="I138" s="66">
        <v>10.763999999999999</v>
      </c>
      <c r="J138" s="37"/>
    </row>
    <row r="139" spans="1:14" s="38" customFormat="1" ht="15.75" customHeight="1" x14ac:dyDescent="0.25">
      <c r="A139" s="73">
        <v>1</v>
      </c>
      <c r="B139" s="75"/>
      <c r="C139" s="43" t="s">
        <v>258</v>
      </c>
      <c r="D139" s="66">
        <f>(16.238)*10.764</f>
        <v>174.78583199999997</v>
      </c>
      <c r="E139" s="66">
        <f>(8.119)*10.764</f>
        <v>87.392915999999985</v>
      </c>
      <c r="F139" s="43">
        <f>D139+E139</f>
        <v>262.17874799999993</v>
      </c>
      <c r="G139" s="60">
        <v>0</v>
      </c>
      <c r="H139" s="60">
        <f>(D139+E139)*(($H$137)+1)</f>
        <v>393.26812199999989</v>
      </c>
      <c r="I139" s="37"/>
      <c r="L139" s="72"/>
      <c r="M139" s="72"/>
      <c r="N139" s="37"/>
    </row>
    <row r="140" spans="1:14" s="38" customFormat="1" ht="15.75" customHeight="1" x14ac:dyDescent="0.25">
      <c r="A140" s="73">
        <f t="shared" ref="A140:A158" si="0">A139+1</f>
        <v>2</v>
      </c>
      <c r="B140" s="75"/>
      <c r="C140" s="63" t="s">
        <v>258</v>
      </c>
      <c r="D140" s="66">
        <f>(32.634)*10.764</f>
        <v>351.27237600000001</v>
      </c>
      <c r="E140" s="66">
        <f>(16.317)*10.764</f>
        <v>175.636188</v>
      </c>
      <c r="F140" s="60">
        <f t="shared" ref="F140:F142" si="1">D140+E140</f>
        <v>526.90856400000007</v>
      </c>
      <c r="G140" s="60">
        <v>0</v>
      </c>
      <c r="H140" s="60">
        <f t="shared" ref="H140:H142" si="2">(D140+E140)*(($H$137)+1)</f>
        <v>790.3628460000001</v>
      </c>
      <c r="I140" s="37"/>
      <c r="L140" s="72"/>
      <c r="M140" s="72"/>
      <c r="N140" s="37"/>
    </row>
    <row r="141" spans="1:14" s="38" customFormat="1" ht="15.75" customHeight="1" x14ac:dyDescent="0.25">
      <c r="A141" s="73">
        <f t="shared" si="0"/>
        <v>3</v>
      </c>
      <c r="B141" s="75"/>
      <c r="C141" s="63" t="s">
        <v>258</v>
      </c>
      <c r="D141" s="66">
        <f>(50.283)*10.764</f>
        <v>541.24621200000001</v>
      </c>
      <c r="E141" s="66">
        <f>(25.141)*10.764</f>
        <v>270.61772399999995</v>
      </c>
      <c r="F141" s="60">
        <f t="shared" si="1"/>
        <v>811.86393599999997</v>
      </c>
      <c r="G141" s="60">
        <v>0</v>
      </c>
      <c r="H141" s="60">
        <f t="shared" si="2"/>
        <v>1217.7959040000001</v>
      </c>
      <c r="I141" s="37"/>
      <c r="L141" s="72"/>
      <c r="M141" s="72"/>
      <c r="N141" s="37"/>
    </row>
    <row r="142" spans="1:14" s="38" customFormat="1" ht="15.75" customHeight="1" x14ac:dyDescent="0.25">
      <c r="A142" s="73">
        <f t="shared" si="0"/>
        <v>4</v>
      </c>
      <c r="B142" s="75"/>
      <c r="C142" s="63" t="s">
        <v>258</v>
      </c>
      <c r="D142" s="66">
        <f>(50.641)*10.764</f>
        <v>545.09972399999992</v>
      </c>
      <c r="E142" s="66">
        <f>(25.32)*10.764</f>
        <v>272.54447999999996</v>
      </c>
      <c r="F142" s="60">
        <f t="shared" si="1"/>
        <v>817.64420399999995</v>
      </c>
      <c r="G142" s="60">
        <v>0</v>
      </c>
      <c r="H142" s="60">
        <f t="shared" si="2"/>
        <v>1226.4663059999998</v>
      </c>
      <c r="I142" s="37"/>
      <c r="L142" s="72"/>
      <c r="M142" s="72"/>
      <c r="N142" s="37"/>
    </row>
    <row r="143" spans="1:14" s="64" customFormat="1" ht="15.75" customHeight="1" x14ac:dyDescent="0.25">
      <c r="A143" s="73">
        <f t="shared" si="0"/>
        <v>5</v>
      </c>
      <c r="B143" s="75"/>
      <c r="C143" s="63" t="s">
        <v>258</v>
      </c>
      <c r="D143" s="66">
        <f>(54.307)*10.764</f>
        <v>584.56054800000004</v>
      </c>
      <c r="E143" s="66">
        <f>(27.153)*10.764</f>
        <v>292.27489199999997</v>
      </c>
      <c r="F143" s="63">
        <f t="shared" ref="F143:F148" si="3">D143+E143</f>
        <v>876.83544000000006</v>
      </c>
      <c r="G143" s="63">
        <v>0</v>
      </c>
      <c r="H143" s="63">
        <f t="shared" ref="H143:H148" si="4">(D143+E143)*(($H$137)+1)</f>
        <v>1315.2531600000002</v>
      </c>
      <c r="I143" s="37"/>
      <c r="L143" s="72"/>
      <c r="M143" s="72"/>
      <c r="N143" s="37"/>
    </row>
    <row r="144" spans="1:14" s="64" customFormat="1" ht="15.75" customHeight="1" x14ac:dyDescent="0.25">
      <c r="A144" s="73">
        <f t="shared" si="0"/>
        <v>6</v>
      </c>
      <c r="B144" s="75"/>
      <c r="C144" s="63" t="s">
        <v>258</v>
      </c>
      <c r="D144" s="66">
        <f>(58.546)*10.764</f>
        <v>630.18914399999994</v>
      </c>
      <c r="E144" s="66">
        <f>(29.273)*10.764</f>
        <v>315.09457199999997</v>
      </c>
      <c r="F144" s="63">
        <f t="shared" si="3"/>
        <v>945.28371599999991</v>
      </c>
      <c r="G144" s="63">
        <v>0</v>
      </c>
      <c r="H144" s="63">
        <f t="shared" si="4"/>
        <v>1417.9255739999999</v>
      </c>
      <c r="I144" s="37">
        <f>3.73*15.58</f>
        <v>58.113399999999999</v>
      </c>
      <c r="L144" s="72"/>
      <c r="M144" s="72"/>
      <c r="N144" s="37"/>
    </row>
    <row r="145" spans="1:14" s="64" customFormat="1" ht="15.75" customHeight="1" x14ac:dyDescent="0.25">
      <c r="A145" s="73">
        <f t="shared" si="0"/>
        <v>7</v>
      </c>
      <c r="B145" s="75"/>
      <c r="C145" s="63" t="s">
        <v>258</v>
      </c>
      <c r="D145" s="66">
        <f>(53.934)*10.764</f>
        <v>580.54557599999998</v>
      </c>
      <c r="E145" s="66">
        <f>(26.967)*10.764</f>
        <v>290.27278799999999</v>
      </c>
      <c r="F145" s="63">
        <f t="shared" si="3"/>
        <v>870.81836399999997</v>
      </c>
      <c r="G145" s="63">
        <v>0</v>
      </c>
      <c r="H145" s="63">
        <f t="shared" si="4"/>
        <v>1306.2275460000001</v>
      </c>
      <c r="I145" s="37"/>
      <c r="L145" s="72"/>
      <c r="M145" s="72"/>
      <c r="N145" s="37"/>
    </row>
    <row r="146" spans="1:14" s="64" customFormat="1" ht="15.75" customHeight="1" x14ac:dyDescent="0.25">
      <c r="A146" s="73">
        <f t="shared" si="0"/>
        <v>8</v>
      </c>
      <c r="B146" s="75"/>
      <c r="C146" s="63" t="s">
        <v>258</v>
      </c>
      <c r="D146" s="66">
        <f>(37.309)*10.764</f>
        <v>401.59407599999997</v>
      </c>
      <c r="E146" s="66">
        <f>(12.311)*10.764</f>
        <v>132.515604</v>
      </c>
      <c r="F146" s="63">
        <f t="shared" si="3"/>
        <v>534.10968000000003</v>
      </c>
      <c r="G146" s="63">
        <v>0</v>
      </c>
      <c r="H146" s="63">
        <f t="shared" si="4"/>
        <v>801.16452000000004</v>
      </c>
      <c r="I146" s="37"/>
      <c r="L146" s="72"/>
      <c r="M146" s="72"/>
      <c r="N146" s="37"/>
    </row>
    <row r="147" spans="1:14" s="64" customFormat="1" ht="15.75" customHeight="1" x14ac:dyDescent="0.25">
      <c r="A147" s="73">
        <f t="shared" si="0"/>
        <v>9</v>
      </c>
      <c r="B147" s="75"/>
      <c r="C147" s="63" t="s">
        <v>258</v>
      </c>
      <c r="D147" s="66">
        <f>(24.851)*10.764</f>
        <v>267.49616399999996</v>
      </c>
      <c r="E147" s="66">
        <f>(8.2)*10.764</f>
        <v>88.264799999999994</v>
      </c>
      <c r="F147" s="63">
        <f t="shared" si="3"/>
        <v>355.76096399999994</v>
      </c>
      <c r="G147" s="63">
        <v>0</v>
      </c>
      <c r="H147" s="63">
        <f t="shared" si="4"/>
        <v>533.64144599999986</v>
      </c>
      <c r="I147" s="37"/>
      <c r="L147" s="72"/>
      <c r="M147" s="72"/>
      <c r="N147" s="37"/>
    </row>
    <row r="148" spans="1:14" s="64" customFormat="1" ht="15.75" customHeight="1" x14ac:dyDescent="0.25">
      <c r="A148" s="73">
        <f t="shared" si="0"/>
        <v>10</v>
      </c>
      <c r="B148" s="75"/>
      <c r="C148" s="63" t="s">
        <v>258</v>
      </c>
      <c r="D148" s="66">
        <f>(12.749)*10.764</f>
        <v>137.23023599999999</v>
      </c>
      <c r="E148" s="66">
        <f>(4.307)*10.764</f>
        <v>46.360548000000001</v>
      </c>
      <c r="F148" s="63">
        <f t="shared" si="3"/>
        <v>183.59078399999999</v>
      </c>
      <c r="G148" s="63">
        <v>0</v>
      </c>
      <c r="H148" s="63">
        <f t="shared" si="4"/>
        <v>275.38617599999998</v>
      </c>
      <c r="I148" s="37"/>
      <c r="L148" s="72"/>
      <c r="M148" s="72"/>
      <c r="N148" s="37"/>
    </row>
    <row r="149" spans="1:14" s="64" customFormat="1" ht="15.75" customHeight="1" x14ac:dyDescent="0.25">
      <c r="A149" s="73">
        <f t="shared" si="0"/>
        <v>11</v>
      </c>
      <c r="B149" s="75"/>
      <c r="C149" s="63" t="s">
        <v>258</v>
      </c>
      <c r="D149" s="66">
        <f>(28.868)*10.764</f>
        <v>310.73515199999997</v>
      </c>
      <c r="E149" s="66">
        <f>(9.526)*10.764</f>
        <v>102.53786399999998</v>
      </c>
      <c r="F149" s="63">
        <f t="shared" ref="F149:F154" si="5">D149+E149</f>
        <v>413.27301599999998</v>
      </c>
      <c r="G149" s="63">
        <v>0</v>
      </c>
      <c r="H149" s="63">
        <f t="shared" ref="H149:H154" si="6">(D149+E149)*(($H$137)+1)</f>
        <v>619.90952399999992</v>
      </c>
      <c r="I149" s="37"/>
      <c r="L149" s="72"/>
      <c r="M149" s="72"/>
      <c r="N149" s="37"/>
    </row>
    <row r="150" spans="1:14" s="64" customFormat="1" ht="15.75" customHeight="1" x14ac:dyDescent="0.25">
      <c r="A150" s="73">
        <f t="shared" si="0"/>
        <v>12</v>
      </c>
      <c r="B150" s="75"/>
      <c r="C150" s="63" t="s">
        <v>258</v>
      </c>
      <c r="D150" s="66">
        <f>(24.604)*10.764</f>
        <v>264.83745599999997</v>
      </c>
      <c r="E150" s="66">
        <f>(8.119)*10.764</f>
        <v>87.392915999999985</v>
      </c>
      <c r="F150" s="63">
        <f t="shared" si="5"/>
        <v>352.23037199999999</v>
      </c>
      <c r="G150" s="63">
        <v>0</v>
      </c>
      <c r="H150" s="63">
        <f t="shared" si="6"/>
        <v>528.34555799999998</v>
      </c>
      <c r="I150" s="37">
        <f>2.53*9.723</f>
        <v>24.59919</v>
      </c>
      <c r="L150" s="72"/>
      <c r="M150" s="72"/>
      <c r="N150" s="37"/>
    </row>
    <row r="151" spans="1:14" s="64" customFormat="1" ht="15.75" customHeight="1" x14ac:dyDescent="0.25">
      <c r="A151" s="73">
        <f t="shared" si="0"/>
        <v>13</v>
      </c>
      <c r="B151" s="75"/>
      <c r="C151" s="63" t="s">
        <v>258</v>
      </c>
      <c r="D151" s="66">
        <f>(32.288)*10.764</f>
        <v>347.54803199999992</v>
      </c>
      <c r="E151" s="66">
        <f>(16.144)*10.764</f>
        <v>173.77401599999996</v>
      </c>
      <c r="F151" s="63">
        <f t="shared" si="5"/>
        <v>521.32204799999988</v>
      </c>
      <c r="G151" s="63">
        <v>0</v>
      </c>
      <c r="H151" s="63">
        <f t="shared" si="6"/>
        <v>781.98307199999977</v>
      </c>
      <c r="I151" s="37">
        <f>3.321*9.723</f>
        <v>32.290083000000003</v>
      </c>
      <c r="L151" s="72"/>
      <c r="M151" s="72"/>
      <c r="N151" s="37"/>
    </row>
    <row r="152" spans="1:14" s="64" customFormat="1" ht="15.75" customHeight="1" x14ac:dyDescent="0.25">
      <c r="A152" s="73">
        <f t="shared" si="0"/>
        <v>14</v>
      </c>
      <c r="B152" s="75"/>
      <c r="C152" s="63" t="s">
        <v>258</v>
      </c>
      <c r="D152" s="66">
        <f>(29.165)*10.764</f>
        <v>313.93205999999998</v>
      </c>
      <c r="E152" s="66">
        <f>(9.624)*10.764</f>
        <v>103.592736</v>
      </c>
      <c r="F152" s="63">
        <f t="shared" si="5"/>
        <v>417.52479599999998</v>
      </c>
      <c r="G152" s="63">
        <v>0</v>
      </c>
      <c r="H152" s="63">
        <f t="shared" si="6"/>
        <v>626.287194</v>
      </c>
      <c r="I152" s="37">
        <f>3*9.723</f>
        <v>29.169000000000004</v>
      </c>
      <c r="L152" s="72"/>
      <c r="M152" s="72"/>
      <c r="N152" s="37"/>
    </row>
    <row r="153" spans="1:14" s="64" customFormat="1" ht="15.75" customHeight="1" x14ac:dyDescent="0.25">
      <c r="A153" s="73">
        <f t="shared" si="0"/>
        <v>15</v>
      </c>
      <c r="B153" s="75"/>
      <c r="C153" s="63" t="s">
        <v>258</v>
      </c>
      <c r="D153" s="66">
        <f>(29.165)*10.764</f>
        <v>313.93205999999998</v>
      </c>
      <c r="E153" s="66">
        <f>(9.624)*10.764</f>
        <v>103.592736</v>
      </c>
      <c r="F153" s="63">
        <f t="shared" si="5"/>
        <v>417.52479599999998</v>
      </c>
      <c r="G153" s="63">
        <v>0</v>
      </c>
      <c r="H153" s="63">
        <f t="shared" si="6"/>
        <v>626.287194</v>
      </c>
      <c r="I153" s="37"/>
      <c r="L153" s="72"/>
      <c r="M153" s="72"/>
      <c r="N153" s="37"/>
    </row>
    <row r="154" spans="1:14" s="64" customFormat="1" ht="15.75" customHeight="1" x14ac:dyDescent="0.25">
      <c r="A154" s="73">
        <f t="shared" si="0"/>
        <v>16</v>
      </c>
      <c r="B154" s="75"/>
      <c r="C154" s="63" t="s">
        <v>258</v>
      </c>
      <c r="D154" s="66">
        <f>(27.981)*10.764</f>
        <v>301.18748399999998</v>
      </c>
      <c r="E154" s="66">
        <f>(9.233)*10.764</f>
        <v>99.384011999999998</v>
      </c>
      <c r="F154" s="63">
        <f t="shared" si="5"/>
        <v>400.57149599999997</v>
      </c>
      <c r="G154" s="63">
        <v>0</v>
      </c>
      <c r="H154" s="63">
        <f t="shared" si="6"/>
        <v>600.85724399999992</v>
      </c>
      <c r="I154" s="37"/>
      <c r="L154" s="72"/>
      <c r="M154" s="72"/>
      <c r="N154" s="37"/>
    </row>
    <row r="155" spans="1:14" s="64" customFormat="1" ht="15.75" customHeight="1" x14ac:dyDescent="0.25">
      <c r="A155" s="73">
        <f t="shared" si="0"/>
        <v>17</v>
      </c>
      <c r="B155" s="75"/>
      <c r="C155" s="63" t="s">
        <v>258</v>
      </c>
      <c r="D155" s="66">
        <f>(28.469)*10.764</f>
        <v>306.440316</v>
      </c>
      <c r="E155" s="66">
        <f>(9.394)*10.764</f>
        <v>101.11701599999999</v>
      </c>
      <c r="F155" s="63">
        <f t="shared" ref="F155:F157" si="7">D155+E155</f>
        <v>407.55733199999997</v>
      </c>
      <c r="G155" s="63">
        <v>0</v>
      </c>
      <c r="H155" s="63">
        <f t="shared" ref="H155:H157" si="8">(D155+E155)*(($H$137)+1)</f>
        <v>611.33599800000002</v>
      </c>
      <c r="I155" s="37"/>
      <c r="L155" s="72"/>
      <c r="M155" s="72"/>
      <c r="N155" s="37"/>
    </row>
    <row r="156" spans="1:14" s="64" customFormat="1" ht="15.75" customHeight="1" x14ac:dyDescent="0.25">
      <c r="A156" s="73">
        <f t="shared" si="0"/>
        <v>18</v>
      </c>
      <c r="B156" s="75"/>
      <c r="C156" s="63" t="s">
        <v>258</v>
      </c>
      <c r="D156" s="66">
        <f>(31.115)*10.764</f>
        <v>334.92185999999998</v>
      </c>
      <c r="E156" s="66">
        <f>(15.557)*10.764</f>
        <v>167.45554799999999</v>
      </c>
      <c r="F156" s="63">
        <f t="shared" si="7"/>
        <v>502.37740799999995</v>
      </c>
      <c r="G156" s="63">
        <v>0</v>
      </c>
      <c r="H156" s="63">
        <f t="shared" si="8"/>
        <v>753.56611199999998</v>
      </c>
      <c r="I156" s="37"/>
      <c r="L156" s="72"/>
      <c r="M156" s="72"/>
      <c r="N156" s="37"/>
    </row>
    <row r="157" spans="1:14" s="64" customFormat="1" ht="15.75" customHeight="1" x14ac:dyDescent="0.25">
      <c r="A157" s="73">
        <f t="shared" si="0"/>
        <v>19</v>
      </c>
      <c r="B157" s="75"/>
      <c r="C157" s="63" t="s">
        <v>258</v>
      </c>
      <c r="D157" s="66">
        <f>(39.097)*10.764</f>
        <v>420.84010799999999</v>
      </c>
      <c r="E157" s="66">
        <f>(19.548)*10.764</f>
        <v>210.41467199999997</v>
      </c>
      <c r="F157" s="63">
        <f t="shared" si="7"/>
        <v>631.25477999999998</v>
      </c>
      <c r="G157" s="63">
        <v>0</v>
      </c>
      <c r="H157" s="63">
        <f t="shared" si="8"/>
        <v>946.88216999999997</v>
      </c>
      <c r="I157" s="37"/>
      <c r="L157" s="72"/>
      <c r="M157" s="72"/>
      <c r="N157" s="37"/>
    </row>
    <row r="158" spans="1:14" s="64" customFormat="1" ht="15.75" customHeight="1" x14ac:dyDescent="0.25">
      <c r="A158" s="73">
        <f t="shared" si="0"/>
        <v>20</v>
      </c>
      <c r="B158" s="75"/>
      <c r="C158" s="63" t="s">
        <v>258</v>
      </c>
      <c r="D158" s="66">
        <f>(38.973)*10.764</f>
        <v>419.50537199999997</v>
      </c>
      <c r="E158" s="66">
        <f>(19.486)*10.764</f>
        <v>209.74730399999999</v>
      </c>
      <c r="F158" s="63">
        <f t="shared" ref="F158" si="9">D158+E158</f>
        <v>629.25267599999995</v>
      </c>
      <c r="G158" s="63">
        <v>0</v>
      </c>
      <c r="H158" s="63">
        <f t="shared" ref="H158" si="10">(D158+E158)*(($H$137)+1)</f>
        <v>943.87901399999987</v>
      </c>
      <c r="I158" s="37"/>
      <c r="L158" s="72"/>
      <c r="M158" s="72"/>
      <c r="N158" s="37"/>
    </row>
    <row r="159" spans="1:14" s="64" customFormat="1" x14ac:dyDescent="0.25">
      <c r="A159" s="76" t="s">
        <v>259</v>
      </c>
      <c r="B159" s="77"/>
      <c r="C159" s="77"/>
      <c r="D159" s="77"/>
      <c r="E159" s="77"/>
      <c r="F159" s="77"/>
      <c r="G159" s="77"/>
      <c r="H159" s="78"/>
      <c r="I159" s="66">
        <v>10.763999999999999</v>
      </c>
      <c r="J159" s="37"/>
    </row>
    <row r="160" spans="1:14" s="64" customFormat="1" ht="60" customHeight="1" x14ac:dyDescent="0.25">
      <c r="A160" s="73">
        <v>1</v>
      </c>
      <c r="B160" s="75"/>
      <c r="C160" s="63" t="s">
        <v>260</v>
      </c>
      <c r="D160" s="66">
        <f>(107.407)*10.764</f>
        <v>1156.1289479999998</v>
      </c>
      <c r="E160" s="66">
        <f>(40.2)*10.764</f>
        <v>432.71280000000002</v>
      </c>
      <c r="F160" s="63">
        <f>D160+E160</f>
        <v>1588.8417479999998</v>
      </c>
      <c r="G160" s="63">
        <v>0</v>
      </c>
      <c r="H160" s="63">
        <f>(D160+E160)*(($H$137)+1)</f>
        <v>2383.2626219999997</v>
      </c>
      <c r="I160" s="37"/>
      <c r="L160" s="72"/>
      <c r="M160" s="72"/>
      <c r="N160" s="37"/>
    </row>
    <row r="161" spans="1:14" s="64" customFormat="1" ht="64.5" customHeight="1" x14ac:dyDescent="0.25">
      <c r="A161" s="73">
        <f t="shared" ref="A161" si="11">A160+1</f>
        <v>2</v>
      </c>
      <c r="B161" s="75"/>
      <c r="C161" s="63" t="s">
        <v>260</v>
      </c>
      <c r="D161" s="66">
        <f>(103.236)*10.764</f>
        <v>1111.2323039999999</v>
      </c>
      <c r="E161" s="66">
        <f>(39.89)*10.764</f>
        <v>429.37595999999996</v>
      </c>
      <c r="F161" s="63">
        <f t="shared" ref="F161" si="12">D161+E161</f>
        <v>1540.608264</v>
      </c>
      <c r="G161" s="63">
        <v>0</v>
      </c>
      <c r="H161" s="63">
        <f t="shared" ref="H161" si="13">(D161+E161)*(($H$137)+1)</f>
        <v>2310.9123959999997</v>
      </c>
      <c r="I161" s="37"/>
      <c r="L161" s="72"/>
      <c r="M161" s="72"/>
      <c r="N161" s="37"/>
    </row>
    <row r="162" spans="1:14" s="38" customFormat="1" x14ac:dyDescent="0.25">
      <c r="A162" s="73"/>
      <c r="B162" s="74"/>
      <c r="C162" s="74"/>
      <c r="D162" s="74"/>
      <c r="E162" s="74"/>
      <c r="F162" s="74"/>
      <c r="G162" s="74"/>
      <c r="H162" s="75"/>
      <c r="I162" s="37"/>
      <c r="N162" s="37"/>
    </row>
    <row r="163" spans="1:14" ht="47.25" customHeight="1" x14ac:dyDescent="0.25">
      <c r="A163" s="180" t="s">
        <v>118</v>
      </c>
      <c r="B163" s="79" t="s">
        <v>173</v>
      </c>
      <c r="C163" s="79" t="s">
        <v>57</v>
      </c>
      <c r="D163" s="79" t="s">
        <v>229</v>
      </c>
      <c r="E163" s="79" t="s">
        <v>228</v>
      </c>
      <c r="F163" s="79" t="s">
        <v>58</v>
      </c>
      <c r="G163" s="123" t="s">
        <v>59</v>
      </c>
      <c r="H163" s="61" t="s">
        <v>147</v>
      </c>
      <c r="I163" s="37"/>
    </row>
    <row r="164" spans="1:14" s="38" customFormat="1" x14ac:dyDescent="0.25">
      <c r="A164" s="181"/>
      <c r="B164" s="80"/>
      <c r="C164" s="80"/>
      <c r="D164" s="80"/>
      <c r="E164" s="80"/>
      <c r="F164" s="80"/>
      <c r="G164" s="124"/>
      <c r="H164" s="13">
        <v>0.5</v>
      </c>
      <c r="I164" s="37"/>
    </row>
    <row r="165" spans="1:14" s="38" customFormat="1" x14ac:dyDescent="0.25">
      <c r="A165" s="76" t="s">
        <v>262</v>
      </c>
      <c r="B165" s="77"/>
      <c r="C165" s="77"/>
      <c r="D165" s="77"/>
      <c r="E165" s="77"/>
      <c r="F165" s="77"/>
      <c r="G165" s="77"/>
      <c r="H165" s="78"/>
      <c r="J165" s="66">
        <v>10.763999999999999</v>
      </c>
    </row>
    <row r="166" spans="1:14" s="38" customFormat="1" ht="15.75" customHeight="1" x14ac:dyDescent="0.25">
      <c r="A166" s="73">
        <v>1</v>
      </c>
      <c r="B166" s="75"/>
      <c r="C166" s="73" t="s">
        <v>263</v>
      </c>
      <c r="D166" s="74"/>
      <c r="E166" s="74"/>
      <c r="F166" s="74"/>
      <c r="G166" s="75"/>
      <c r="H166" s="60">
        <f>F166*(($H$164)+1)+(IF(G166&lt;101,G166,IF(G166&lt;201,G166/2,IF(G166&lt;=301,G166/3,G166/4))))</f>
        <v>0</v>
      </c>
      <c r="I166" s="37"/>
      <c r="L166" s="72"/>
      <c r="M166" s="72"/>
      <c r="N166" s="37"/>
    </row>
    <row r="167" spans="1:14" s="38" customFormat="1" ht="15.75" customHeight="1" x14ac:dyDescent="0.25">
      <c r="A167" s="73">
        <f t="shared" ref="A167:A171" si="14">A166+1</f>
        <v>2</v>
      </c>
      <c r="B167" s="75"/>
      <c r="C167" s="43" t="s">
        <v>264</v>
      </c>
      <c r="D167" s="66">
        <f>(93.682)*10.764</f>
        <v>1008.3930479999999</v>
      </c>
      <c r="E167" s="66">
        <f>(0.75*(3.17+4.4))*10.764</f>
        <v>61.112609999999997</v>
      </c>
      <c r="F167" s="60">
        <f t="shared" ref="F167:F169" si="15">D167+E167</f>
        <v>1069.5056579999998</v>
      </c>
      <c r="G167" s="66">
        <f>(8.75*3.95+8*10.7)*10.764</f>
        <v>1293.4291499999999</v>
      </c>
      <c r="H167" s="60">
        <f t="shared" ref="H167:H169" si="16">F167*(($H$164)+1)+(IF(G167&lt;101,G167,IF(G167&lt;201,G167/2,IF(G167&lt;=301,G167/3,G167/4))))</f>
        <v>1927.6157744999996</v>
      </c>
      <c r="I167" s="37">
        <f>5.18*3.95+6.075*2.9+3.25*2.75+3.17*3.55+4.4*3.55+1.25*2.75+1.25*2.45+2.78*1.25+1.25*2.75</f>
        <v>87.301999999999992</v>
      </c>
      <c r="J167" s="38">
        <f>93.682</f>
        <v>93.682000000000002</v>
      </c>
      <c r="K167" s="37">
        <f>J167-I167</f>
        <v>6.3800000000000097</v>
      </c>
      <c r="L167" s="72"/>
      <c r="M167" s="72"/>
      <c r="N167" s="37"/>
    </row>
    <row r="168" spans="1:14" s="38" customFormat="1" ht="15.75" customHeight="1" x14ac:dyDescent="0.25">
      <c r="A168" s="73">
        <f t="shared" si="14"/>
        <v>3</v>
      </c>
      <c r="B168" s="75"/>
      <c r="C168" s="43" t="s">
        <v>264</v>
      </c>
      <c r="D168" s="66">
        <f>(96.552)*10.764</f>
        <v>1039.2857280000001</v>
      </c>
      <c r="E168" s="66">
        <f>(0.75*(2.45+3.05+3+3.05))*10.764</f>
        <v>93.243150000000014</v>
      </c>
      <c r="F168" s="60">
        <f t="shared" si="15"/>
        <v>1132.5288780000001</v>
      </c>
      <c r="G168" s="66">
        <f>(3.32*1.45)*10.764</f>
        <v>51.817895999999998</v>
      </c>
      <c r="H168" s="60">
        <f t="shared" si="16"/>
        <v>1750.6112130000001</v>
      </c>
      <c r="I168" s="37"/>
      <c r="L168" s="72"/>
      <c r="M168" s="72"/>
      <c r="N168" s="37"/>
    </row>
    <row r="169" spans="1:14" s="38" customFormat="1" ht="15.75" customHeight="1" x14ac:dyDescent="0.25">
      <c r="A169" s="73">
        <f t="shared" si="14"/>
        <v>4</v>
      </c>
      <c r="B169" s="75"/>
      <c r="C169" s="43" t="s">
        <v>265</v>
      </c>
      <c r="D169" s="66">
        <f>(57.614)*10.764</f>
        <v>620.15709599999991</v>
      </c>
      <c r="E169" s="66">
        <f>(5.75)*10.764</f>
        <v>61.892999999999994</v>
      </c>
      <c r="F169" s="60">
        <f t="shared" si="15"/>
        <v>682.05009599999994</v>
      </c>
      <c r="G169" s="66">
        <f>(0.5*(4+5.45)*1+3.69*1.9)*10.764</f>
        <v>126.32630399999998</v>
      </c>
      <c r="H169" s="60">
        <f t="shared" si="16"/>
        <v>1086.238296</v>
      </c>
      <c r="I169" s="37">
        <f>3.69*4.15+2.37*3.05+3.28*3.05+3.15*3.5+1.35*2.55+2.43*2.15+0.9*(1.35+2.43)+1.5*1.35</f>
        <v>57.664999999999999</v>
      </c>
      <c r="L169" s="72"/>
      <c r="M169" s="72"/>
      <c r="N169" s="37"/>
    </row>
    <row r="170" spans="1:14" s="64" customFormat="1" ht="15.75" customHeight="1" x14ac:dyDescent="0.25">
      <c r="A170" s="73">
        <f t="shared" si="14"/>
        <v>5</v>
      </c>
      <c r="B170" s="75"/>
      <c r="C170" s="63" t="s">
        <v>264</v>
      </c>
      <c r="D170" s="66">
        <f>(96.754)*10.764</f>
        <v>1041.4600559999999</v>
      </c>
      <c r="E170" s="66">
        <f>(5.6)*10.764</f>
        <v>60.278399999999991</v>
      </c>
      <c r="F170" s="63">
        <f t="shared" ref="F170" si="17">D170+E170</f>
        <v>1101.7384559999998</v>
      </c>
      <c r="G170" s="66">
        <f>(3.69*2+0.5*(1+1.5)*6.2+5.2*1.7+0.5*15*12.7)*10.764</f>
        <v>1283.2840799999999</v>
      </c>
      <c r="H170" s="63">
        <f t="shared" ref="H170" si="18">F170*(($H$164)+1)+(IF(G170&lt;101,G170,IF(G170&lt;201,G170/2,IF(G170&lt;=301,G170/3,G170/4))))</f>
        <v>1973.4287039999995</v>
      </c>
      <c r="I170" s="37"/>
      <c r="L170" s="72"/>
      <c r="M170" s="72"/>
      <c r="N170" s="37"/>
    </row>
    <row r="171" spans="1:14" s="64" customFormat="1" ht="15.75" hidden="1" customHeight="1" x14ac:dyDescent="0.25">
      <c r="A171" s="73">
        <f t="shared" si="14"/>
        <v>6</v>
      </c>
      <c r="B171" s="75"/>
      <c r="C171" s="73" t="s">
        <v>266</v>
      </c>
      <c r="D171" s="74"/>
      <c r="E171" s="74"/>
      <c r="F171" s="74"/>
      <c r="G171" s="75"/>
      <c r="H171" s="63">
        <f t="shared" ref="H171" si="19">F171*(($H$164)+1)+(IF(G171&lt;101,G171,IF(G171&lt;201,G171/2,IF(G171&lt;=301,G171/3,G171/4))))</f>
        <v>0</v>
      </c>
      <c r="I171" s="37"/>
      <c r="L171" s="72"/>
      <c r="M171" s="72"/>
      <c r="N171" s="37"/>
    </row>
    <row r="172" spans="1:14" s="38" customFormat="1" x14ac:dyDescent="0.25">
      <c r="A172" s="71" t="s">
        <v>267</v>
      </c>
      <c r="B172" s="71"/>
      <c r="C172" s="71"/>
      <c r="D172" s="71"/>
      <c r="E172" s="71"/>
      <c r="F172" s="71"/>
      <c r="G172" s="71"/>
      <c r="H172" s="71"/>
      <c r="I172" s="37"/>
      <c r="J172" s="38">
        <v>4200</v>
      </c>
      <c r="L172" s="72"/>
      <c r="M172" s="72"/>
    </row>
    <row r="173" spans="1:14" s="38" customFormat="1" x14ac:dyDescent="0.25">
      <c r="A173" s="70">
        <v>1</v>
      </c>
      <c r="B173" s="70"/>
      <c r="C173" s="63" t="s">
        <v>264</v>
      </c>
      <c r="D173" s="66">
        <f>(74.878)*10.764</f>
        <v>805.98679199999992</v>
      </c>
      <c r="E173" s="66">
        <f>(3.639+0.75*(3.65+3.05+4.9+2.45))*10.764</f>
        <v>152.59584599999999</v>
      </c>
      <c r="F173" s="60">
        <f>D173+E173</f>
        <v>958.58263799999986</v>
      </c>
      <c r="G173" s="60">
        <v>0</v>
      </c>
      <c r="H173" s="60">
        <f>F173*(($H$164)+1)+(IF(G173&lt;101,G173,IF(G173&lt;201,G173/2,IF(G173&lt;=301,G173/3,G173/4))))</f>
        <v>1437.8739569999998</v>
      </c>
      <c r="I173" s="37"/>
      <c r="J173" s="38">
        <f>J$172*H173</f>
        <v>6039070.6193999993</v>
      </c>
      <c r="K173" s="38">
        <f>6500/1.45</f>
        <v>4482.7586206896549</v>
      </c>
      <c r="N173" s="37"/>
    </row>
    <row r="174" spans="1:14" s="38" customFormat="1" x14ac:dyDescent="0.25">
      <c r="A174" s="70">
        <f>A173+1</f>
        <v>2</v>
      </c>
      <c r="B174" s="70"/>
      <c r="C174" s="63" t="s">
        <v>264</v>
      </c>
      <c r="D174" s="66">
        <f>(95.006)*10.764</f>
        <v>1022.6445839999999</v>
      </c>
      <c r="E174" s="66">
        <f>(4.683+0.75*(2.9+2.75+3.7+3.17+4.4))*10.764</f>
        <v>187.002972</v>
      </c>
      <c r="F174" s="60">
        <f t="shared" ref="F174:F176" si="20">D174+E174</f>
        <v>1209.6475559999999</v>
      </c>
      <c r="G174" s="60">
        <v>0</v>
      </c>
      <c r="H174" s="60">
        <f t="shared" ref="H174:H176" si="21">F174*(($H$164)+1)+(IF(G174&lt;101,G174,IF(G174&lt;201,G174/2,IF(G174&lt;=301,G174/3,G174/4))))</f>
        <v>1814.4713339999998</v>
      </c>
      <c r="I174" s="37"/>
      <c r="J174" s="65">
        <f t="shared" ref="J174:J177" si="22">J$172*H174</f>
        <v>7620779.6027999995</v>
      </c>
      <c r="K174" s="65"/>
      <c r="N174" s="37"/>
    </row>
    <row r="175" spans="1:14" s="38" customFormat="1" x14ac:dyDescent="0.25">
      <c r="A175" s="70">
        <f>A174+1</f>
        <v>3</v>
      </c>
      <c r="B175" s="70"/>
      <c r="C175" s="63" t="s">
        <v>264</v>
      </c>
      <c r="D175" s="66">
        <f>(96.552)*10.764</f>
        <v>1039.2857280000001</v>
      </c>
      <c r="E175" s="66">
        <f>(4.814+0.75*(3.05+2.45+3+3.05))*10.764</f>
        <v>145.061046</v>
      </c>
      <c r="F175" s="60">
        <f t="shared" si="20"/>
        <v>1184.3467740000001</v>
      </c>
      <c r="G175" s="60">
        <v>0</v>
      </c>
      <c r="H175" s="60">
        <f t="shared" si="21"/>
        <v>1776.5201610000001</v>
      </c>
      <c r="I175" s="67">
        <f>3.32*1.45</f>
        <v>4.8140000000000001</v>
      </c>
      <c r="J175" s="65">
        <f t="shared" si="22"/>
        <v>7461384.6762000006</v>
      </c>
      <c r="K175" s="65"/>
      <c r="N175" s="37"/>
    </row>
    <row r="176" spans="1:14" s="38" customFormat="1" x14ac:dyDescent="0.25">
      <c r="A176" s="70">
        <f>A175+1</f>
        <v>4</v>
      </c>
      <c r="B176" s="70"/>
      <c r="C176" s="43" t="s">
        <v>265</v>
      </c>
      <c r="D176" s="66">
        <f>(57.614)*10.764</f>
        <v>620.15709599999991</v>
      </c>
      <c r="E176" s="66">
        <f>(15.616+0.75*(2.37+3.28))*10.764</f>
        <v>213.70307399999999</v>
      </c>
      <c r="F176" s="60">
        <f t="shared" si="20"/>
        <v>833.86016999999993</v>
      </c>
      <c r="G176" s="60">
        <v>0</v>
      </c>
      <c r="H176" s="60">
        <f t="shared" si="21"/>
        <v>1250.7902549999999</v>
      </c>
      <c r="I176" s="37"/>
      <c r="J176" s="65">
        <f t="shared" si="22"/>
        <v>5253319.0709999995</v>
      </c>
      <c r="K176" s="65"/>
      <c r="N176" s="37"/>
    </row>
    <row r="177" spans="1:14" s="38" customFormat="1" x14ac:dyDescent="0.25">
      <c r="A177" s="70">
        <f>A176+1</f>
        <v>5</v>
      </c>
      <c r="B177" s="70"/>
      <c r="C177" s="43" t="s">
        <v>265</v>
      </c>
      <c r="D177" s="66">
        <f>(73.283)*10.764</f>
        <v>788.81821200000002</v>
      </c>
      <c r="E177" s="66">
        <f>(21.33+0.75*(3.1+2.4))*10.764</f>
        <v>273.99761999999998</v>
      </c>
      <c r="F177" s="60">
        <f>D177+E177</f>
        <v>1062.815832</v>
      </c>
      <c r="G177" s="60">
        <v>0</v>
      </c>
      <c r="H177" s="60">
        <f>F177*(($H$164)+1)+(IF(G177&lt;101,G177,IF(G177&lt;201,G177/2,IF(G177&lt;=301,G177/3,G177/4))))</f>
        <v>1594.2237479999999</v>
      </c>
      <c r="I177" s="37"/>
      <c r="J177" s="65">
        <f t="shared" si="22"/>
        <v>6695739.7415999994</v>
      </c>
      <c r="K177" s="65"/>
      <c r="N177" s="37"/>
    </row>
    <row r="178" spans="1:14" s="64" customFormat="1" x14ac:dyDescent="0.25">
      <c r="A178" s="71" t="s">
        <v>268</v>
      </c>
      <c r="B178" s="71"/>
      <c r="C178" s="71"/>
      <c r="D178" s="71"/>
      <c r="E178" s="71"/>
      <c r="F178" s="71"/>
      <c r="G178" s="71"/>
      <c r="H178" s="71"/>
      <c r="I178" s="37"/>
      <c r="L178" s="72"/>
      <c r="M178" s="72"/>
    </row>
    <row r="179" spans="1:14" s="64" customFormat="1" x14ac:dyDescent="0.25">
      <c r="A179" s="70">
        <v>1</v>
      </c>
      <c r="B179" s="70"/>
      <c r="C179" s="63" t="s">
        <v>264</v>
      </c>
      <c r="D179" s="66">
        <f>(74.878)*10.764</f>
        <v>805.98679199999992</v>
      </c>
      <c r="E179" s="66">
        <f>(3.639+0.75*(3.65+3.05+4.9+2.45))*10.764</f>
        <v>152.59584599999999</v>
      </c>
      <c r="F179" s="63">
        <f>D179+E179</f>
        <v>958.58263799999986</v>
      </c>
      <c r="G179" s="63">
        <v>0</v>
      </c>
      <c r="H179" s="63">
        <f>F179*(($H$164)+1)+(IF(G179&lt;101,G179,IF(G179&lt;201,G179/2,IF(G179&lt;=301,G179/3,G179/4))))</f>
        <v>1437.8739569999998</v>
      </c>
      <c r="I179" s="37"/>
      <c r="N179" s="37"/>
    </row>
    <row r="180" spans="1:14" s="64" customFormat="1" x14ac:dyDescent="0.25">
      <c r="A180" s="70">
        <f>A179+1</f>
        <v>2</v>
      </c>
      <c r="B180" s="70"/>
      <c r="C180" s="63" t="s">
        <v>264</v>
      </c>
      <c r="D180" s="66">
        <f>(95.006)*10.764</f>
        <v>1022.6445839999999</v>
      </c>
      <c r="E180" s="66">
        <f>(4.683+0.75*(2.9+2.75+3.7+3.17+4.4))*10.764</f>
        <v>187.002972</v>
      </c>
      <c r="F180" s="63">
        <f t="shared" ref="F180:F182" si="23">D180+E180</f>
        <v>1209.6475559999999</v>
      </c>
      <c r="G180" s="63">
        <v>0</v>
      </c>
      <c r="H180" s="63">
        <f t="shared" ref="H180:H182" si="24">F180*(($H$164)+1)+(IF(G180&lt;101,G180,IF(G180&lt;201,G180/2,IF(G180&lt;=301,G180/3,G180/4))))</f>
        <v>1814.4713339999998</v>
      </c>
      <c r="I180" s="37"/>
      <c r="N180" s="37"/>
    </row>
    <row r="181" spans="1:14" s="64" customFormat="1" x14ac:dyDescent="0.25">
      <c r="A181" s="70">
        <f>A180+1</f>
        <v>3</v>
      </c>
      <c r="B181" s="70"/>
      <c r="C181" s="63" t="s">
        <v>264</v>
      </c>
      <c r="D181" s="66">
        <f>(96.552)*10.764</f>
        <v>1039.2857280000001</v>
      </c>
      <c r="E181" s="66">
        <f>(4.814+0.75*(3.05+2.45+3+3.05))*10.764</f>
        <v>145.061046</v>
      </c>
      <c r="F181" s="63">
        <f t="shared" si="23"/>
        <v>1184.3467740000001</v>
      </c>
      <c r="G181" s="63">
        <v>0</v>
      </c>
      <c r="H181" s="63">
        <f t="shared" si="24"/>
        <v>1776.5201610000001</v>
      </c>
      <c r="I181" s="67"/>
      <c r="N181" s="37"/>
    </row>
    <row r="182" spans="1:14" s="64" customFormat="1" x14ac:dyDescent="0.25">
      <c r="A182" s="70">
        <f>A181+1</f>
        <v>4</v>
      </c>
      <c r="B182" s="70"/>
      <c r="C182" s="63" t="s">
        <v>265</v>
      </c>
      <c r="D182" s="66">
        <f>(57.614)*10.764</f>
        <v>620.15709599999991</v>
      </c>
      <c r="E182" s="66">
        <f>(15.616+0.75*(2.37+3.28))*10.764</f>
        <v>213.70307399999999</v>
      </c>
      <c r="F182" s="63">
        <f t="shared" si="23"/>
        <v>833.86016999999993</v>
      </c>
      <c r="G182" s="63">
        <v>0</v>
      </c>
      <c r="H182" s="63">
        <f t="shared" si="24"/>
        <v>1250.7902549999999</v>
      </c>
      <c r="I182" s="37"/>
      <c r="N182" s="37"/>
    </row>
    <row r="183" spans="1:14" s="64" customFormat="1" x14ac:dyDescent="0.25">
      <c r="A183" s="70">
        <f>A182+1</f>
        <v>5</v>
      </c>
      <c r="B183" s="70"/>
      <c r="C183" s="63" t="s">
        <v>265</v>
      </c>
      <c r="D183" s="66">
        <f>(73.283)*10.764</f>
        <v>788.81821200000002</v>
      </c>
      <c r="E183" s="66">
        <f>(21.33+0.75*(3.1+2.4))*10.764</f>
        <v>273.99761999999998</v>
      </c>
      <c r="F183" s="63">
        <f>D183+E183</f>
        <v>1062.815832</v>
      </c>
      <c r="G183" s="63">
        <v>0</v>
      </c>
      <c r="H183" s="63">
        <f>F183*(($H$164)+1)+(IF(G183&lt;101,G183,IF(G183&lt;201,G183/2,IF(G183&lt;=301,G183/3,G183/4))))</f>
        <v>1594.2237479999999</v>
      </c>
      <c r="I183" s="37"/>
      <c r="N183" s="37"/>
    </row>
    <row r="184" spans="1:14" s="64" customFormat="1" x14ac:dyDescent="0.25">
      <c r="A184" s="71" t="s">
        <v>269</v>
      </c>
      <c r="B184" s="71"/>
      <c r="C184" s="71"/>
      <c r="D184" s="71"/>
      <c r="E184" s="71"/>
      <c r="F184" s="71"/>
      <c r="G184" s="71"/>
      <c r="H184" s="71"/>
      <c r="I184" s="37"/>
      <c r="L184" s="72"/>
      <c r="M184" s="72"/>
    </row>
    <row r="185" spans="1:14" s="64" customFormat="1" x14ac:dyDescent="0.25">
      <c r="A185" s="70">
        <v>1</v>
      </c>
      <c r="B185" s="70"/>
      <c r="C185" s="63" t="s">
        <v>264</v>
      </c>
      <c r="D185" s="66">
        <f>(74.878)*10.764</f>
        <v>805.98679199999992</v>
      </c>
      <c r="E185" s="66">
        <f>(3.639+0.75*(3.65+4.9+2.45))*10.764</f>
        <v>127.97319599999999</v>
      </c>
      <c r="F185" s="63">
        <f>D185+E185</f>
        <v>933.95998799999995</v>
      </c>
      <c r="G185" s="63">
        <v>0</v>
      </c>
      <c r="H185" s="63">
        <f>F185*(($H$164)+1)+(IF(G185&lt;101,G185,IF(G185&lt;201,G185/2,IF(G185&lt;=301,G185/3,G185/4))))</f>
        <v>1400.9399819999999</v>
      </c>
      <c r="I185" s="37"/>
      <c r="N185" s="37"/>
    </row>
    <row r="186" spans="1:14" s="64" customFormat="1" x14ac:dyDescent="0.25">
      <c r="A186" s="70">
        <f>A185+1</f>
        <v>2</v>
      </c>
      <c r="B186" s="70"/>
      <c r="C186" s="63" t="s">
        <v>264</v>
      </c>
      <c r="D186" s="66">
        <f>(95.006)*10.764</f>
        <v>1022.6445839999999</v>
      </c>
      <c r="E186" s="66">
        <f>(4.683+0.75*(2.9+2.75+3.7+3.17+4.4))*10.764</f>
        <v>187.002972</v>
      </c>
      <c r="F186" s="63">
        <f t="shared" ref="F186:F188" si="25">D186+E186</f>
        <v>1209.6475559999999</v>
      </c>
      <c r="G186" s="63">
        <v>0</v>
      </c>
      <c r="H186" s="63">
        <f t="shared" ref="H186:H188" si="26">F186*(($H$164)+1)+(IF(G186&lt;101,G186,IF(G186&lt;201,G186/2,IF(G186&lt;=301,G186/3,G186/4))))</f>
        <v>1814.4713339999998</v>
      </c>
      <c r="I186" s="37"/>
      <c r="N186" s="37"/>
    </row>
    <row r="187" spans="1:14" s="64" customFormat="1" x14ac:dyDescent="0.25">
      <c r="A187" s="70">
        <f>A186+1</f>
        <v>3</v>
      </c>
      <c r="B187" s="70"/>
      <c r="C187" s="63" t="s">
        <v>264</v>
      </c>
      <c r="D187" s="66">
        <f>(96.552)*10.764</f>
        <v>1039.2857280000001</v>
      </c>
      <c r="E187" s="66">
        <f>(4.814+0.75*(3.05+2.45+3+3.05))*10.764</f>
        <v>145.061046</v>
      </c>
      <c r="F187" s="63">
        <f t="shared" si="25"/>
        <v>1184.3467740000001</v>
      </c>
      <c r="G187" s="63">
        <v>0</v>
      </c>
      <c r="H187" s="63">
        <f t="shared" si="26"/>
        <v>1776.5201610000001</v>
      </c>
      <c r="I187" s="67"/>
      <c r="N187" s="37"/>
    </row>
    <row r="188" spans="1:14" s="64" customFormat="1" x14ac:dyDescent="0.25">
      <c r="A188" s="70">
        <f>A187+1</f>
        <v>4</v>
      </c>
      <c r="B188" s="70"/>
      <c r="C188" s="63" t="s">
        <v>264</v>
      </c>
      <c r="D188" s="66">
        <f>(138.778)*10.764</f>
        <v>1493.8063919999997</v>
      </c>
      <c r="E188" s="66">
        <f>(37.172+0.75*(5.75+5.43))*10.764</f>
        <v>490.37554799999992</v>
      </c>
      <c r="F188" s="63">
        <f t="shared" si="25"/>
        <v>1984.1819399999997</v>
      </c>
      <c r="G188" s="63">
        <v>0</v>
      </c>
      <c r="H188" s="63">
        <f t="shared" si="26"/>
        <v>2976.2729099999997</v>
      </c>
      <c r="I188" s="37"/>
      <c r="N188" s="37"/>
    </row>
    <row r="189" spans="1:14" s="64" customFormat="1" x14ac:dyDescent="0.25">
      <c r="A189" s="70">
        <f>A188+1</f>
        <v>5</v>
      </c>
      <c r="B189" s="70"/>
      <c r="C189" s="63" t="s">
        <v>265</v>
      </c>
      <c r="D189" s="66">
        <f>(53.3)*10.764</f>
        <v>573.72119999999995</v>
      </c>
      <c r="E189" s="66">
        <f>(10.634+0.75*(3.05+2.6+2.75))*10.764</f>
        <v>182.27757600000001</v>
      </c>
      <c r="F189" s="63">
        <f>D189+E189</f>
        <v>755.99877599999991</v>
      </c>
      <c r="G189" s="63">
        <v>0</v>
      </c>
      <c r="H189" s="63">
        <f>F189*(($H$164)+1)+(IF(G189&lt;101,G189,IF(G189&lt;201,G189/2,IF(G189&lt;=301,G189/3,G189/4))))</f>
        <v>1133.9981639999999</v>
      </c>
      <c r="I189" s="37"/>
      <c r="N189" s="37"/>
    </row>
    <row r="190" spans="1:14" s="64" customFormat="1" x14ac:dyDescent="0.25">
      <c r="A190" s="71" t="s">
        <v>270</v>
      </c>
      <c r="B190" s="71"/>
      <c r="C190" s="71"/>
      <c r="D190" s="71"/>
      <c r="E190" s="71"/>
      <c r="F190" s="71"/>
      <c r="G190" s="71"/>
      <c r="H190" s="71"/>
      <c r="I190" s="37"/>
      <c r="L190" s="72"/>
      <c r="M190" s="72"/>
    </row>
    <row r="191" spans="1:14" s="64" customFormat="1" x14ac:dyDescent="0.25">
      <c r="A191" s="70">
        <v>1</v>
      </c>
      <c r="B191" s="70"/>
      <c r="C191" s="63" t="s">
        <v>264</v>
      </c>
      <c r="D191" s="66">
        <f>(74.878)*10.764</f>
        <v>805.98679199999992</v>
      </c>
      <c r="E191" s="66">
        <f>(3.639+0.75*(3.65+4.9+2.45))*10.764</f>
        <v>127.97319599999999</v>
      </c>
      <c r="F191" s="63">
        <f>D191+E191</f>
        <v>933.95998799999995</v>
      </c>
      <c r="G191" s="63">
        <v>0</v>
      </c>
      <c r="H191" s="63">
        <f>F191*(($H$164)+1)+(IF(G191&lt;101,G191,IF(G191&lt;201,G191/2,IF(G191&lt;=301,G191/3,G191/4))))</f>
        <v>1400.9399819999999</v>
      </c>
      <c r="I191" s="37"/>
      <c r="N191" s="37"/>
    </row>
    <row r="192" spans="1:14" s="64" customFormat="1" x14ac:dyDescent="0.25">
      <c r="A192" s="70">
        <f>A191+1</f>
        <v>2</v>
      </c>
      <c r="B192" s="70"/>
      <c r="C192" s="63" t="s">
        <v>264</v>
      </c>
      <c r="D192" s="66">
        <f>(95.006)*10.764</f>
        <v>1022.6445839999999</v>
      </c>
      <c r="E192" s="66">
        <f>(4.683+0.75*(2.9+2.75+3.7+3.17+4.4))*10.764</f>
        <v>187.002972</v>
      </c>
      <c r="F192" s="63">
        <f t="shared" ref="F192:F194" si="27">D192+E192</f>
        <v>1209.6475559999999</v>
      </c>
      <c r="G192" s="63">
        <v>0</v>
      </c>
      <c r="H192" s="63">
        <f t="shared" ref="H192:H194" si="28">F192*(($H$164)+1)+(IF(G192&lt;101,G192,IF(G192&lt;201,G192/2,IF(G192&lt;=301,G192/3,G192/4))))</f>
        <v>1814.4713339999998</v>
      </c>
      <c r="I192" s="37"/>
      <c r="N192" s="37"/>
    </row>
    <row r="193" spans="1:14" s="64" customFormat="1" x14ac:dyDescent="0.25">
      <c r="A193" s="70">
        <f>A192+1</f>
        <v>3</v>
      </c>
      <c r="B193" s="70"/>
      <c r="C193" s="63" t="s">
        <v>265</v>
      </c>
      <c r="D193" s="66">
        <f>(80.844)*10.764</f>
        <v>870.20481599999994</v>
      </c>
      <c r="E193" s="66">
        <f>(4.814+0.75*(3.05+2.45+3))*10.764</f>
        <v>120.438396</v>
      </c>
      <c r="F193" s="63">
        <f t="shared" si="27"/>
        <v>990.64321199999995</v>
      </c>
      <c r="G193" s="63">
        <v>0</v>
      </c>
      <c r="H193" s="63">
        <f t="shared" si="28"/>
        <v>1485.9648179999999</v>
      </c>
      <c r="I193" s="67"/>
      <c r="N193" s="37"/>
    </row>
    <row r="194" spans="1:14" s="64" customFormat="1" x14ac:dyDescent="0.25">
      <c r="A194" s="70">
        <f>A193+1</f>
        <v>4</v>
      </c>
      <c r="B194" s="70"/>
      <c r="C194" s="63" t="s">
        <v>264</v>
      </c>
      <c r="D194" s="66">
        <f>(138.778)*10.764</f>
        <v>1493.8063919999997</v>
      </c>
      <c r="E194" s="66">
        <f>(37.172+0.75*(5.75+5.43))*10.764</f>
        <v>490.37554799999992</v>
      </c>
      <c r="F194" s="63">
        <f t="shared" si="27"/>
        <v>1984.1819399999997</v>
      </c>
      <c r="G194" s="63">
        <v>0</v>
      </c>
      <c r="H194" s="63">
        <f t="shared" si="28"/>
        <v>2976.2729099999997</v>
      </c>
      <c r="I194" s="37"/>
      <c r="N194" s="37"/>
    </row>
    <row r="195" spans="1:14" s="64" customFormat="1" x14ac:dyDescent="0.25">
      <c r="A195" s="70">
        <f>A194+1</f>
        <v>5</v>
      </c>
      <c r="B195" s="70"/>
      <c r="C195" s="63" t="s">
        <v>265</v>
      </c>
      <c r="D195" s="66">
        <f>(53.3)*10.764</f>
        <v>573.72119999999995</v>
      </c>
      <c r="E195" s="66">
        <f>(10.634+0.75*(3.05+2.6+2.75))*10.764</f>
        <v>182.27757600000001</v>
      </c>
      <c r="F195" s="63">
        <f>D195+E195</f>
        <v>755.99877599999991</v>
      </c>
      <c r="G195" s="63">
        <v>0</v>
      </c>
      <c r="H195" s="63">
        <f>F195*(($H$164)+1)+(IF(G195&lt;101,G195,IF(G195&lt;201,G195/2,IF(G195&lt;=301,G195/3,G195/4))))</f>
        <v>1133.9981639999999</v>
      </c>
      <c r="I195" s="37"/>
      <c r="N195" s="37"/>
    </row>
    <row r="196" spans="1:14" s="64" customFormat="1" x14ac:dyDescent="0.25">
      <c r="A196" s="71" t="s">
        <v>271</v>
      </c>
      <c r="B196" s="71"/>
      <c r="C196" s="71"/>
      <c r="D196" s="71"/>
      <c r="E196" s="71"/>
      <c r="F196" s="71"/>
      <c r="G196" s="71"/>
      <c r="H196" s="71"/>
      <c r="I196" s="37"/>
      <c r="L196" s="72"/>
      <c r="M196" s="72"/>
    </row>
    <row r="197" spans="1:14" s="64" customFormat="1" x14ac:dyDescent="0.25">
      <c r="A197" s="70">
        <v>1</v>
      </c>
      <c r="B197" s="70"/>
      <c r="C197" s="63" t="s">
        <v>264</v>
      </c>
      <c r="D197" s="66">
        <f>(145.053)*10.764</f>
        <v>1561.3504919999998</v>
      </c>
      <c r="E197" s="66">
        <f>(0.75*(2.55+4.9+4.15+2.9+3.7+3.17+4.4))*10.764</f>
        <v>208.04121000000001</v>
      </c>
      <c r="F197" s="63">
        <f>D197+E197</f>
        <v>1769.3917019999999</v>
      </c>
      <c r="G197" s="66">
        <f>(3*2.5+3.6*0.75+1.9*2.5+1.5*7.01+3.2*2.7)*10.764</f>
        <v>367.10622000000001</v>
      </c>
      <c r="H197" s="63">
        <f>F197*(($H$164)+1)+(IF(G197&lt;101,G197,IF(G197&lt;201,G197/2,IF(G197&lt;=301,G197/3,G197/4))))</f>
        <v>2745.8641079999998</v>
      </c>
      <c r="I197" s="37"/>
      <c r="N197" s="37"/>
    </row>
    <row r="198" spans="1:14" s="64" customFormat="1" x14ac:dyDescent="0.25">
      <c r="A198" s="70">
        <f>A197+1</f>
        <v>2</v>
      </c>
      <c r="B198" s="70"/>
      <c r="C198" s="63" t="s">
        <v>264</v>
      </c>
      <c r="D198" s="66">
        <f>(89.389)*10.764</f>
        <v>962.18319599999995</v>
      </c>
      <c r="E198" s="66">
        <f>(0.75*(3.05+2.45+3+3.05))*10.764</f>
        <v>93.243150000000014</v>
      </c>
      <c r="F198" s="63">
        <f t="shared" ref="F198:F199" si="29">D198+E198</f>
        <v>1055.426346</v>
      </c>
      <c r="G198" s="66">
        <f>(3.32*3.35)*10.764</f>
        <v>119.71720799999999</v>
      </c>
      <c r="H198" s="63">
        <f t="shared" ref="H198:H199" si="30">F198*(($H$164)+1)+(IF(G198&lt;101,G198,IF(G198&lt;201,G198/2,IF(G198&lt;=301,G198/3,G198/4))))</f>
        <v>1642.9981229999999</v>
      </c>
      <c r="I198" s="37"/>
      <c r="N198" s="37"/>
    </row>
    <row r="199" spans="1:14" s="64" customFormat="1" x14ac:dyDescent="0.25">
      <c r="A199" s="70">
        <f>A198+1</f>
        <v>3</v>
      </c>
      <c r="B199" s="70"/>
      <c r="C199" s="63" t="s">
        <v>264</v>
      </c>
      <c r="D199" s="66">
        <f>(144.757)*10.764</f>
        <v>1558.164348</v>
      </c>
      <c r="E199" s="66">
        <f>(11.35+0.75*(5.75+5.43))*10.764</f>
        <v>212.42753999999999</v>
      </c>
      <c r="F199" s="63">
        <f t="shared" si="29"/>
        <v>1770.5918879999999</v>
      </c>
      <c r="G199" s="66">
        <f>(0.5*(3.5+5.5)*1.2+1*7.53+1.65*4.15+5.7*7+3.2*5.7+3*3.2+3.7*1.2)*10.764</f>
        <v>989.83052999999973</v>
      </c>
      <c r="H199" s="63">
        <f t="shared" si="30"/>
        <v>2903.3454644999997</v>
      </c>
      <c r="I199" s="67"/>
      <c r="N199" s="37"/>
    </row>
    <row r="200" spans="1:14" s="36" customFormat="1" x14ac:dyDescent="0.25">
      <c r="A200" s="203" t="s">
        <v>67</v>
      </c>
      <c r="B200" s="203"/>
      <c r="C200" s="203"/>
      <c r="D200" s="203"/>
      <c r="E200" s="203"/>
      <c r="F200" s="203"/>
      <c r="G200" s="203"/>
      <c r="H200" s="203"/>
    </row>
    <row r="201" spans="1:14" s="36" customFormat="1" x14ac:dyDescent="0.25">
      <c r="A201" s="47" t="s">
        <v>151</v>
      </c>
      <c r="B201" s="189" t="s">
        <v>282</v>
      </c>
      <c r="C201" s="190"/>
      <c r="D201" s="190"/>
      <c r="E201" s="190"/>
      <c r="F201" s="190"/>
      <c r="G201" s="190"/>
      <c r="H201" s="191"/>
    </row>
    <row r="202" spans="1:14" s="36" customFormat="1" x14ac:dyDescent="0.25">
      <c r="A202" s="47" t="s">
        <v>151</v>
      </c>
      <c r="B202" s="186" t="str">
        <f>(IF(H163="Saleable area Loading :","We have considered Saleable area of Flats as per our Calculation.","We considered Saleable area of Flat as per Builder area Sheet."))</f>
        <v>We have considered Saleable area of Flats as per our Calculation.</v>
      </c>
      <c r="C202" s="187"/>
      <c r="D202" s="187"/>
      <c r="E202" s="187"/>
      <c r="F202" s="187"/>
      <c r="G202" s="187"/>
      <c r="H202" s="188"/>
    </row>
    <row r="203" spans="1:14" s="36" customFormat="1" x14ac:dyDescent="0.25">
      <c r="A203" s="47" t="s">
        <v>151</v>
      </c>
      <c r="B203" s="186" t="str">
        <f>(IF(H136="Saleable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03" s="187"/>
      <c r="D203" s="187"/>
      <c r="E203" s="187"/>
      <c r="F203" s="187"/>
      <c r="G203" s="187"/>
      <c r="H203" s="188"/>
    </row>
    <row r="204" spans="1:14" s="36" customFormat="1" x14ac:dyDescent="0.25">
      <c r="A204" s="47" t="s">
        <v>151</v>
      </c>
      <c r="B204" s="109" t="s">
        <v>121</v>
      </c>
      <c r="C204" s="110"/>
      <c r="D204" s="110"/>
      <c r="E204" s="110"/>
      <c r="F204" s="110"/>
      <c r="G204" s="110"/>
      <c r="H204" s="111"/>
    </row>
    <row r="205" spans="1:14" s="36" customFormat="1" x14ac:dyDescent="0.25">
      <c r="A205" s="47" t="s">
        <v>151</v>
      </c>
      <c r="B205" s="109" t="s">
        <v>275</v>
      </c>
      <c r="C205" s="110"/>
      <c r="D205" s="110"/>
      <c r="E205" s="110"/>
      <c r="F205" s="110"/>
      <c r="G205" s="110"/>
      <c r="H205" s="111"/>
    </row>
    <row r="206" spans="1:14" s="36" customFormat="1" x14ac:dyDescent="0.25">
      <c r="A206" s="47" t="s">
        <v>151</v>
      </c>
      <c r="B206" s="109" t="s">
        <v>150</v>
      </c>
      <c r="C206" s="110"/>
      <c r="D206" s="110"/>
      <c r="E206" s="110"/>
      <c r="F206" s="110"/>
      <c r="G206" s="110"/>
      <c r="H206" s="111"/>
    </row>
    <row r="207" spans="1:14" s="36" customFormat="1" x14ac:dyDescent="0.25">
      <c r="A207" s="47" t="s">
        <v>151</v>
      </c>
      <c r="B207" s="109" t="s">
        <v>122</v>
      </c>
      <c r="C207" s="110"/>
      <c r="D207" s="110"/>
      <c r="E207" s="110"/>
      <c r="F207" s="110"/>
      <c r="G207" s="110"/>
      <c r="H207" s="111"/>
    </row>
    <row r="208" spans="1:14" s="36" customFormat="1" ht="34.5" customHeight="1" x14ac:dyDescent="0.25">
      <c r="A208" s="47" t="s">
        <v>151</v>
      </c>
      <c r="B208" s="109" t="s">
        <v>152</v>
      </c>
      <c r="C208" s="110"/>
      <c r="D208" s="110"/>
      <c r="E208" s="110"/>
      <c r="F208" s="110"/>
      <c r="G208" s="110"/>
      <c r="H208" s="111"/>
    </row>
    <row r="209" spans="1:8" s="36" customFormat="1" x14ac:dyDescent="0.25">
      <c r="A209" s="47" t="s">
        <v>151</v>
      </c>
      <c r="B209" s="109" t="s">
        <v>123</v>
      </c>
      <c r="C209" s="110"/>
      <c r="D209" s="110"/>
      <c r="E209" s="110"/>
      <c r="F209" s="110"/>
      <c r="G209" s="110"/>
      <c r="H209" s="111"/>
    </row>
    <row r="210" spans="1:8" s="36" customFormat="1" ht="32.25" hidden="1" customHeight="1" x14ac:dyDescent="0.25">
      <c r="A210" s="57" t="s">
        <v>151</v>
      </c>
      <c r="B210" s="176" t="s">
        <v>174</v>
      </c>
      <c r="C210" s="177"/>
      <c r="D210" s="177"/>
      <c r="E210" s="177"/>
      <c r="F210" s="177"/>
      <c r="G210" s="177"/>
      <c r="H210" s="178"/>
    </row>
    <row r="211" spans="1:8" s="36" customFormat="1" hidden="1" x14ac:dyDescent="0.25">
      <c r="A211" s="62" t="s">
        <v>151</v>
      </c>
      <c r="B211" s="176" t="s">
        <v>230</v>
      </c>
      <c r="C211" s="177"/>
      <c r="D211" s="177"/>
      <c r="E211" s="177"/>
      <c r="F211" s="177"/>
      <c r="G211" s="177"/>
      <c r="H211" s="178"/>
    </row>
    <row r="212" spans="1:8" x14ac:dyDescent="0.25">
      <c r="A212" s="175" t="s">
        <v>60</v>
      </c>
      <c r="B212" s="175"/>
      <c r="C212" s="175"/>
      <c r="D212" s="175"/>
      <c r="E212" s="175"/>
      <c r="F212" s="175"/>
      <c r="G212" s="175"/>
      <c r="H212" s="175"/>
    </row>
    <row r="213" spans="1:8" x14ac:dyDescent="0.25">
      <c r="A213" s="90" t="s">
        <v>61</v>
      </c>
      <c r="B213" s="90"/>
      <c r="C213" s="90"/>
      <c r="D213" s="90"/>
      <c r="E213" s="90"/>
      <c r="F213" s="90"/>
      <c r="G213" s="90"/>
      <c r="H213" s="90"/>
    </row>
    <row r="214" spans="1:8" ht="15.75" customHeight="1" x14ac:dyDescent="0.25">
      <c r="A214" s="200" t="s">
        <v>62</v>
      </c>
      <c r="B214" s="200"/>
      <c r="C214" s="200"/>
      <c r="D214" s="200"/>
      <c r="E214" s="200"/>
      <c r="F214" s="200"/>
      <c r="G214" s="200"/>
      <c r="H214" s="200"/>
    </row>
    <row r="215" spans="1:8" x14ac:dyDescent="0.25">
      <c r="A215" s="90" t="s">
        <v>63</v>
      </c>
      <c r="B215" s="90"/>
      <c r="C215" s="90"/>
      <c r="D215" s="90"/>
      <c r="E215" s="90"/>
      <c r="F215" s="90"/>
      <c r="G215" s="90"/>
      <c r="H215" s="90"/>
    </row>
    <row r="216" spans="1:8" x14ac:dyDescent="0.25">
      <c r="A216" s="90" t="s">
        <v>64</v>
      </c>
      <c r="B216" s="90"/>
      <c r="C216" s="90"/>
      <c r="D216" s="90"/>
      <c r="E216" s="90"/>
      <c r="F216" s="90"/>
      <c r="G216" s="90"/>
      <c r="H216" s="90"/>
    </row>
    <row r="217" spans="1:8" x14ac:dyDescent="0.25">
      <c r="A217" s="90" t="s">
        <v>124</v>
      </c>
      <c r="B217" s="90"/>
      <c r="C217" s="90"/>
      <c r="D217" s="90"/>
      <c r="E217" s="90"/>
      <c r="F217" s="90"/>
      <c r="G217" s="90"/>
      <c r="H217" s="90"/>
    </row>
    <row r="218" spans="1:8" ht="33.950000000000003" customHeight="1" x14ac:dyDescent="0.25">
      <c r="A218" s="134" t="s">
        <v>125</v>
      </c>
      <c r="B218" s="134"/>
      <c r="C218" s="134"/>
      <c r="D218" s="134"/>
      <c r="E218" s="134"/>
      <c r="F218" s="134"/>
      <c r="G218" s="134"/>
      <c r="H218" s="134"/>
    </row>
    <row r="219" spans="1:8" x14ac:dyDescent="0.25">
      <c r="A219" s="172" t="s">
        <v>76</v>
      </c>
      <c r="B219" s="172"/>
      <c r="C219" s="172" t="s">
        <v>285</v>
      </c>
      <c r="D219" s="172"/>
      <c r="E219" s="172" t="s">
        <v>104</v>
      </c>
      <c r="F219" s="172"/>
      <c r="G219" s="173" t="s">
        <v>284</v>
      </c>
      <c r="H219" s="173"/>
    </row>
    <row r="220" spans="1:8" x14ac:dyDescent="0.25">
      <c r="A220" s="171" t="s">
        <v>78</v>
      </c>
      <c r="B220" s="171"/>
      <c r="C220" s="171"/>
      <c r="D220" s="171"/>
      <c r="E220" s="171"/>
      <c r="F220" s="171"/>
      <c r="G220" s="171"/>
      <c r="H220" s="171"/>
    </row>
    <row r="221" spans="1:8" x14ac:dyDescent="0.25">
      <c r="A221" s="171"/>
      <c r="B221" s="171"/>
      <c r="C221" s="171"/>
      <c r="D221" s="171"/>
      <c r="E221" s="171"/>
      <c r="F221" s="171"/>
      <c r="G221" s="171"/>
      <c r="H221" s="171"/>
    </row>
    <row r="222" spans="1:8" x14ac:dyDescent="0.25">
      <c r="A222" s="171"/>
      <c r="B222" s="171"/>
      <c r="C222" s="171"/>
      <c r="D222" s="171"/>
      <c r="E222" s="171"/>
      <c r="F222" s="171"/>
      <c r="G222" s="171"/>
      <c r="H222" s="171"/>
    </row>
    <row r="223" spans="1:8" x14ac:dyDescent="0.25">
      <c r="A223" s="171"/>
      <c r="B223" s="171"/>
      <c r="C223" s="171"/>
      <c r="D223" s="171"/>
      <c r="E223" s="171"/>
      <c r="F223" s="171"/>
      <c r="G223" s="171"/>
      <c r="H223" s="171"/>
    </row>
    <row r="224" spans="1:8" x14ac:dyDescent="0.25">
      <c r="A224" s="39" t="s">
        <v>65</v>
      </c>
      <c r="B224" s="40"/>
      <c r="C224" s="40"/>
      <c r="D224" s="39" t="str">
        <f>E8</f>
        <v>Equinox</v>
      </c>
      <c r="F224" s="40"/>
      <c r="G224" s="40"/>
      <c r="H224" s="40"/>
    </row>
    <row r="225" spans="1:8" x14ac:dyDescent="0.25">
      <c r="A225" s="40"/>
      <c r="B225" s="40"/>
      <c r="C225" s="40"/>
      <c r="D225" s="40"/>
      <c r="E225" s="40"/>
      <c r="F225" s="40"/>
      <c r="G225" s="40"/>
      <c r="H225" s="40"/>
    </row>
    <row r="226" spans="1:8" x14ac:dyDescent="0.25">
      <c r="A226" s="40"/>
      <c r="B226" s="40"/>
      <c r="C226" s="40"/>
      <c r="D226" s="40"/>
      <c r="E226" s="40"/>
      <c r="F226" s="40"/>
      <c r="G226" s="40"/>
      <c r="H226" s="40"/>
    </row>
    <row r="227" spans="1:8" ht="15" customHeight="1" x14ac:dyDescent="0.25"/>
    <row r="267" spans="1:1" x14ac:dyDescent="0.25">
      <c r="A267" s="42" t="s">
        <v>161</v>
      </c>
    </row>
    <row r="294" spans="1:1" x14ac:dyDescent="0.25">
      <c r="A294" s="42" t="s">
        <v>66</v>
      </c>
    </row>
  </sheetData>
  <mergeCells count="398">
    <mergeCell ref="I10:L10"/>
    <mergeCell ref="I14:P14"/>
    <mergeCell ref="F120:H120"/>
    <mergeCell ref="F118:H118"/>
    <mergeCell ref="A135:H135"/>
    <mergeCell ref="G124:H124"/>
    <mergeCell ref="A119:E119"/>
    <mergeCell ref="A140:B140"/>
    <mergeCell ref="A53:B53"/>
    <mergeCell ref="C53:E53"/>
    <mergeCell ref="D55:H55"/>
    <mergeCell ref="F119:H119"/>
    <mergeCell ref="E124:F124"/>
    <mergeCell ref="A124:B124"/>
    <mergeCell ref="A126:B126"/>
    <mergeCell ref="C129:D129"/>
    <mergeCell ref="D65:H65"/>
    <mergeCell ref="A66:C66"/>
    <mergeCell ref="E42:H42"/>
    <mergeCell ref="A42:D42"/>
    <mergeCell ref="A82:B82"/>
    <mergeCell ref="C82:H82"/>
    <mergeCell ref="A77:B77"/>
    <mergeCell ref="A49:B49"/>
    <mergeCell ref="C49:E49"/>
    <mergeCell ref="G49:H49"/>
    <mergeCell ref="G51:H51"/>
    <mergeCell ref="A50:B50"/>
    <mergeCell ref="A54:H54"/>
    <mergeCell ref="A55:C55"/>
    <mergeCell ref="A56:C56"/>
    <mergeCell ref="D56:H56"/>
    <mergeCell ref="G53:H53"/>
    <mergeCell ref="C52:H52"/>
    <mergeCell ref="A217:H217"/>
    <mergeCell ref="A214:H214"/>
    <mergeCell ref="A173:B173"/>
    <mergeCell ref="A129:B129"/>
    <mergeCell ref="D163:D164"/>
    <mergeCell ref="E163:E164"/>
    <mergeCell ref="A90:B90"/>
    <mergeCell ref="A91:B91"/>
    <mergeCell ref="A92:B92"/>
    <mergeCell ref="A106:B106"/>
    <mergeCell ref="F111:H111"/>
    <mergeCell ref="G125:H125"/>
    <mergeCell ref="A109:B109"/>
    <mergeCell ref="F117:H117"/>
    <mergeCell ref="C124:D124"/>
    <mergeCell ref="C132:D132"/>
    <mergeCell ref="A165:H165"/>
    <mergeCell ref="B204:H204"/>
    <mergeCell ref="B205:H205"/>
    <mergeCell ref="A200:H200"/>
    <mergeCell ref="A118:E118"/>
    <mergeCell ref="A117:E117"/>
    <mergeCell ref="G129:H129"/>
    <mergeCell ref="C136:C137"/>
    <mergeCell ref="D60:H60"/>
    <mergeCell ref="C51:E51"/>
    <mergeCell ref="A58:C60"/>
    <mergeCell ref="D58:H58"/>
    <mergeCell ref="D59:H59"/>
    <mergeCell ref="C50:E50"/>
    <mergeCell ref="E85:F85"/>
    <mergeCell ref="G85:H85"/>
    <mergeCell ref="A116:E116"/>
    <mergeCell ref="F116:H116"/>
    <mergeCell ref="F113:H113"/>
    <mergeCell ref="A103:B103"/>
    <mergeCell ref="A104:B104"/>
    <mergeCell ref="E86:F95"/>
    <mergeCell ref="A93:B93"/>
    <mergeCell ref="A94:B94"/>
    <mergeCell ref="E99:F99"/>
    <mergeCell ref="E100:F109"/>
    <mergeCell ref="A67:C67"/>
    <mergeCell ref="D67:H67"/>
    <mergeCell ref="A65:C65"/>
    <mergeCell ref="D66:H66"/>
    <mergeCell ref="A72:B72"/>
    <mergeCell ref="G71:H71"/>
    <mergeCell ref="A213:H213"/>
    <mergeCell ref="F110:H110"/>
    <mergeCell ref="F115:H115"/>
    <mergeCell ref="A166:B166"/>
    <mergeCell ref="A142:B142"/>
    <mergeCell ref="A141:B141"/>
    <mergeCell ref="A162:H162"/>
    <mergeCell ref="E129:F129"/>
    <mergeCell ref="A134:H134"/>
    <mergeCell ref="A163:A164"/>
    <mergeCell ref="A143:B143"/>
    <mergeCell ref="A139:B139"/>
    <mergeCell ref="B210:H210"/>
    <mergeCell ref="A133:B133"/>
    <mergeCell ref="C133:D133"/>
    <mergeCell ref="E133:F133"/>
    <mergeCell ref="B209:H209"/>
    <mergeCell ref="B207:H207"/>
    <mergeCell ref="B203:H203"/>
    <mergeCell ref="B201:H201"/>
    <mergeCell ref="B202:H202"/>
    <mergeCell ref="A115:E115"/>
    <mergeCell ref="A170:B170"/>
    <mergeCell ref="A171:B171"/>
    <mergeCell ref="A220:H223"/>
    <mergeCell ref="A219:B219"/>
    <mergeCell ref="E219:F219"/>
    <mergeCell ref="C219:D219"/>
    <mergeCell ref="G219:H219"/>
    <mergeCell ref="A123:H123"/>
    <mergeCell ref="A121:E121"/>
    <mergeCell ref="F121:H121"/>
    <mergeCell ref="A122:E122"/>
    <mergeCell ref="F122:H122"/>
    <mergeCell ref="A172:H172"/>
    <mergeCell ref="A130:B130"/>
    <mergeCell ref="A125:B125"/>
    <mergeCell ref="A215:H215"/>
    <mergeCell ref="A128:H128"/>
    <mergeCell ref="A218:H218"/>
    <mergeCell ref="A216:H216"/>
    <mergeCell ref="A212:H212"/>
    <mergeCell ref="B211:H211"/>
    <mergeCell ref="B208:H208"/>
    <mergeCell ref="A176:B176"/>
    <mergeCell ref="A174:B174"/>
    <mergeCell ref="A148:B148"/>
    <mergeCell ref="A153:B153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E13:H13"/>
    <mergeCell ref="A14:D14"/>
    <mergeCell ref="A10:D10"/>
    <mergeCell ref="E10:H10"/>
    <mergeCell ref="A22:D23"/>
    <mergeCell ref="E22:H23"/>
    <mergeCell ref="E14:H14"/>
    <mergeCell ref="A15:B15"/>
    <mergeCell ref="C15:H15"/>
    <mergeCell ref="C16:H16"/>
    <mergeCell ref="A17:B17"/>
    <mergeCell ref="C17:H17"/>
    <mergeCell ref="A12:D12"/>
    <mergeCell ref="E12:H12"/>
    <mergeCell ref="A11:D11"/>
    <mergeCell ref="E11:H11"/>
    <mergeCell ref="A16:B16"/>
    <mergeCell ref="A13:D13"/>
    <mergeCell ref="C34:E34"/>
    <mergeCell ref="A24:D24"/>
    <mergeCell ref="E24:H24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F33:H33"/>
    <mergeCell ref="F34:H34"/>
    <mergeCell ref="F36:H36"/>
    <mergeCell ref="E26:H26"/>
    <mergeCell ref="A28:D28"/>
    <mergeCell ref="E28:H28"/>
    <mergeCell ref="A25:D25"/>
    <mergeCell ref="E25:H25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A37:H37"/>
    <mergeCell ref="A36:B36"/>
    <mergeCell ref="C36:E36"/>
    <mergeCell ref="G100:H109"/>
    <mergeCell ref="A41:D41"/>
    <mergeCell ref="E41:H41"/>
    <mergeCell ref="A40:H40"/>
    <mergeCell ref="A61:C61"/>
    <mergeCell ref="A62:C62"/>
    <mergeCell ref="D61:H61"/>
    <mergeCell ref="E72:F81"/>
    <mergeCell ref="G72:H81"/>
    <mergeCell ref="A80:B80"/>
    <mergeCell ref="A81:B81"/>
    <mergeCell ref="D62:H62"/>
    <mergeCell ref="A43:D43"/>
    <mergeCell ref="E43:H43"/>
    <mergeCell ref="E44:H44"/>
    <mergeCell ref="E45:H45"/>
    <mergeCell ref="A85:B85"/>
    <mergeCell ref="E46:H46"/>
    <mergeCell ref="A84:B84"/>
    <mergeCell ref="C84:H84"/>
    <mergeCell ref="A44:D44"/>
    <mergeCell ref="A38:B38"/>
    <mergeCell ref="C38:H38"/>
    <mergeCell ref="A45:D45"/>
    <mergeCell ref="L142:M142"/>
    <mergeCell ref="L141:M141"/>
    <mergeCell ref="L140:M140"/>
    <mergeCell ref="L139:M139"/>
    <mergeCell ref="A79:B79"/>
    <mergeCell ref="C130:D130"/>
    <mergeCell ref="E130:F130"/>
    <mergeCell ref="G130:H130"/>
    <mergeCell ref="A111:E111"/>
    <mergeCell ref="A96:B96"/>
    <mergeCell ref="C96:H96"/>
    <mergeCell ref="A138:H138"/>
    <mergeCell ref="E136:E137"/>
    <mergeCell ref="A86:B86"/>
    <mergeCell ref="A46:D46"/>
    <mergeCell ref="A47:H47"/>
    <mergeCell ref="D57:H57"/>
    <mergeCell ref="A57:C57"/>
    <mergeCell ref="G50:H50"/>
    <mergeCell ref="A51:B52"/>
    <mergeCell ref="A78:B78"/>
    <mergeCell ref="A39:B39"/>
    <mergeCell ref="C39:H39"/>
    <mergeCell ref="F136:F137"/>
    <mergeCell ref="C125:D125"/>
    <mergeCell ref="E125:F125"/>
    <mergeCell ref="B136:B137"/>
    <mergeCell ref="A136:A137"/>
    <mergeCell ref="C163:C164"/>
    <mergeCell ref="G163:G164"/>
    <mergeCell ref="G133:H133"/>
    <mergeCell ref="A71:B71"/>
    <mergeCell ref="A74:B74"/>
    <mergeCell ref="A70:B70"/>
    <mergeCell ref="A68:B68"/>
    <mergeCell ref="C68:H68"/>
    <mergeCell ref="A76:B76"/>
    <mergeCell ref="A63:C63"/>
    <mergeCell ref="D63:H63"/>
    <mergeCell ref="C70:H70"/>
    <mergeCell ref="A73:B73"/>
    <mergeCell ref="A75:B75"/>
    <mergeCell ref="E71:F71"/>
    <mergeCell ref="A64:C64"/>
    <mergeCell ref="D64:H64"/>
    <mergeCell ref="A48:B48"/>
    <mergeCell ref="C48:H48"/>
    <mergeCell ref="B206:H206"/>
    <mergeCell ref="A101:B101"/>
    <mergeCell ref="A102:B102"/>
    <mergeCell ref="G86:H95"/>
    <mergeCell ref="A87:B87"/>
    <mergeCell ref="A88:B88"/>
    <mergeCell ref="A89:B89"/>
    <mergeCell ref="F112:H112"/>
    <mergeCell ref="A112:E112"/>
    <mergeCell ref="D136:D137"/>
    <mergeCell ref="A114:E114"/>
    <mergeCell ref="A105:B105"/>
    <mergeCell ref="A107:B107"/>
    <mergeCell ref="A108:B108"/>
    <mergeCell ref="A113:E113"/>
    <mergeCell ref="A110:E110"/>
    <mergeCell ref="F114:H114"/>
    <mergeCell ref="G99:H99"/>
    <mergeCell ref="A98:B98"/>
    <mergeCell ref="F163:F164"/>
    <mergeCell ref="G136:G137"/>
    <mergeCell ref="A177:B177"/>
    <mergeCell ref="A95:B95"/>
    <mergeCell ref="A100:B100"/>
    <mergeCell ref="A132:B132"/>
    <mergeCell ref="E132:F132"/>
    <mergeCell ref="C98:H98"/>
    <mergeCell ref="A99:B99"/>
    <mergeCell ref="A120:E120"/>
    <mergeCell ref="G132:H132"/>
    <mergeCell ref="C126:D126"/>
    <mergeCell ref="E126:F126"/>
    <mergeCell ref="G126:H126"/>
    <mergeCell ref="A127:B127"/>
    <mergeCell ref="C127:D127"/>
    <mergeCell ref="E127:F127"/>
    <mergeCell ref="G127:H127"/>
    <mergeCell ref="A131:B131"/>
    <mergeCell ref="C131:D131"/>
    <mergeCell ref="E131:F131"/>
    <mergeCell ref="G131:H131"/>
    <mergeCell ref="L143:M143"/>
    <mergeCell ref="A144:B144"/>
    <mergeCell ref="L144:M144"/>
    <mergeCell ref="A145:B145"/>
    <mergeCell ref="L145:M145"/>
    <mergeCell ref="A146:B146"/>
    <mergeCell ref="L146:M146"/>
    <mergeCell ref="A147:B147"/>
    <mergeCell ref="L147:M147"/>
    <mergeCell ref="L148:M148"/>
    <mergeCell ref="A149:B149"/>
    <mergeCell ref="L149:M149"/>
    <mergeCell ref="A150:B150"/>
    <mergeCell ref="L150:M150"/>
    <mergeCell ref="A151:B151"/>
    <mergeCell ref="L151:M151"/>
    <mergeCell ref="A152:B152"/>
    <mergeCell ref="L152:M152"/>
    <mergeCell ref="L153:M153"/>
    <mergeCell ref="A154:B154"/>
    <mergeCell ref="L154:M154"/>
    <mergeCell ref="A155:B155"/>
    <mergeCell ref="L155:M155"/>
    <mergeCell ref="A156:B156"/>
    <mergeCell ref="L156:M156"/>
    <mergeCell ref="A157:B157"/>
    <mergeCell ref="L157:M157"/>
    <mergeCell ref="L170:M170"/>
    <mergeCell ref="C166:G166"/>
    <mergeCell ref="A158:B158"/>
    <mergeCell ref="L158:M158"/>
    <mergeCell ref="A159:H159"/>
    <mergeCell ref="A160:B160"/>
    <mergeCell ref="L160:M160"/>
    <mergeCell ref="A161:B161"/>
    <mergeCell ref="L161:M161"/>
    <mergeCell ref="L169:M169"/>
    <mergeCell ref="L166:M166"/>
    <mergeCell ref="A167:B167"/>
    <mergeCell ref="L167:M167"/>
    <mergeCell ref="A168:B168"/>
    <mergeCell ref="L168:M168"/>
    <mergeCell ref="A169:B169"/>
    <mergeCell ref="B163:B164"/>
    <mergeCell ref="L171:M171"/>
    <mergeCell ref="C171:G171"/>
    <mergeCell ref="A178:H178"/>
    <mergeCell ref="L178:M178"/>
    <mergeCell ref="A179:B179"/>
    <mergeCell ref="A180:B180"/>
    <mergeCell ref="A181:B181"/>
    <mergeCell ref="A182:B182"/>
    <mergeCell ref="L172:M172"/>
    <mergeCell ref="A175:B175"/>
    <mergeCell ref="A183:B183"/>
    <mergeCell ref="A184:H184"/>
    <mergeCell ref="L184:M184"/>
    <mergeCell ref="A185:B185"/>
    <mergeCell ref="A186:B186"/>
    <mergeCell ref="A187:B187"/>
    <mergeCell ref="A188:B188"/>
    <mergeCell ref="A189:B189"/>
    <mergeCell ref="A190:H190"/>
    <mergeCell ref="L190:M190"/>
    <mergeCell ref="A199:B199"/>
    <mergeCell ref="A191:B191"/>
    <mergeCell ref="A192:B192"/>
    <mergeCell ref="A193:B193"/>
    <mergeCell ref="A194:B194"/>
    <mergeCell ref="A195:B195"/>
    <mergeCell ref="A196:H196"/>
    <mergeCell ref="L196:M196"/>
    <mergeCell ref="A197:B197"/>
    <mergeCell ref="A198:B198"/>
  </mergeCells>
  <dataValidations count="11">
    <dataValidation type="list" allowBlank="1" showInputMessage="1" showErrorMessage="1" sqref="E4:H4" xr:uid="{00000000-0002-0000-0000-000000000000}">
      <formula1>"Axis Goregaon,Axis Thane,Axis Badlapur,Axis Sanpada, PNB Thane,IBHF Vashi,IBHF Thane,IBHF Andheri"</formula1>
    </dataValidation>
    <dataValidation type="list" allowBlank="1" showInputMessage="1" showErrorMessage="1" sqref="A16:B16" xr:uid="{00000000-0002-0000-0000-000001000000}">
      <formula1>"CTS No,Survey No,Plot No,Gut No,FP No,"</formula1>
    </dataValidation>
    <dataValidation type="list" allowBlank="1" showInputMessage="1" showErrorMessage="1" sqref="G19:H19" xr:uid="{00000000-0002-0000-0000-000002000000}">
      <formula1>$S$12:$W$12</formula1>
    </dataValidation>
    <dataValidation type="list" allowBlank="1" showInputMessage="1" showErrorMessage="1" sqref="G219:H219" xr:uid="{00000000-0002-0000-0000-000003000000}">
      <formula1>"Gaurav Panchal,Kunal Kadam,Pranita Mhatre,Shruti Fule,Pooja Kawale,Mansee Mohite,Anjali Kamble, Hitakshi Mhatre, Sachin Sawant"</formula1>
    </dataValidation>
    <dataValidation type="list" allowBlank="1" showInputMessage="1" showErrorMessage="1" sqref="F110:H110" xr:uid="{00000000-0002-0000-0000-000004000000}">
      <formula1>"On Saleable Area,On Builtup Area,On Carpet Area,On Plot Area"</formula1>
    </dataValidation>
    <dataValidation type="list" allowBlank="1" showInputMessage="1" showErrorMessage="1" sqref="F121:H121" xr:uid="{00000000-0002-0000-0000-000005000000}">
      <formula1>"100000,150000,200000,250000,300000,350000,400000,500000,600000,700000,800000,900000,1000000,1200000,1400000,1500000"</formula1>
    </dataValidation>
    <dataValidation type="list" allowBlank="1" showInputMessage="1" showErrorMessage="1" sqref="B136:B137" xr:uid="{00000000-0002-0000-0000-000006000000}">
      <formula1>"Shop No. (Sale Plan),Sale / Rehab,Sale / Mhada"</formula1>
    </dataValidation>
    <dataValidation type="list" allowBlank="1" showInputMessage="1" showErrorMessage="1" sqref="B163:B164" xr:uid="{00000000-0002-0000-0000-000007000000}">
      <formula1>"Flat No. (Sale Plan),Sale / Rehab,Sale / Mhada"</formula1>
    </dataValidation>
    <dataValidation type="list" allowBlank="1" showInputMessage="1" showErrorMessage="1" sqref="C20:D20" xr:uid="{00000000-0002-0000-0000-000008000000}">
      <formula1>OFFSET($S$12,1,MATCH($G19,$S$12:$W$12,0)-1,15,1)</formula1>
    </dataValidation>
    <dataValidation type="list" allowBlank="1" showInputMessage="1" showErrorMessage="1" sqref="Y12" xr:uid="{00000000-0002-0000-0000-000009000000}">
      <formula1>$D$4:$H$4</formula1>
    </dataValidation>
    <dataValidation type="list" allowBlank="1" showInputMessage="1" showErrorMessage="1" sqref="E163:E164" xr:uid="{00000000-0002-0000-0000-00000A000000}">
      <formula1>"Fungible area,Balcony Area,Chajja Area,Cornice Area,AP Area,WS Area"</formula1>
    </dataValidation>
  </dataValidations>
  <hyperlinks>
    <hyperlink ref="C39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109" max="7" man="1"/>
    <brk id="223" max="16383" man="1"/>
    <brk id="266" max="16383" man="1"/>
    <brk id="293" max="16383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K3" sqref="K3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213" t="s">
        <v>105</v>
      </c>
      <c r="C3" s="213"/>
      <c r="D3" s="213"/>
      <c r="E3" s="213"/>
      <c r="F3" s="213"/>
      <c r="G3" s="213"/>
      <c r="H3" s="213"/>
    </row>
    <row r="4" spans="1:9" x14ac:dyDescent="0.25">
      <c r="A4" s="2"/>
      <c r="B4" s="3" t="s">
        <v>106</v>
      </c>
      <c r="C4" s="3" t="s">
        <v>107</v>
      </c>
      <c r="D4" s="3" t="s">
        <v>68</v>
      </c>
      <c r="E4" s="3" t="s">
        <v>108</v>
      </c>
      <c r="F4" s="3" t="s">
        <v>114</v>
      </c>
      <c r="G4" s="3" t="s">
        <v>115</v>
      </c>
      <c r="H4" s="3" t="s">
        <v>109</v>
      </c>
    </row>
    <row r="5" spans="1:9" ht="15" customHeight="1" x14ac:dyDescent="0.25">
      <c r="A5" s="2"/>
      <c r="B5" s="5" t="s">
        <v>110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110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110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110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110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111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111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112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113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3:K30"/>
  <sheetViews>
    <sheetView zoomScale="130" zoomScaleNormal="130" workbookViewId="0">
      <selection activeCell="C3" sqref="C3:K18"/>
    </sheetView>
  </sheetViews>
  <sheetFormatPr defaultRowHeight="15" x14ac:dyDescent="0.25"/>
  <cols>
    <col min="4" max="4" width="11" bestFit="1" customWidth="1"/>
    <col min="5" max="5" width="10.42578125" bestFit="1" customWidth="1"/>
    <col min="8" max="8" width="10.5703125" bestFit="1" customWidth="1"/>
  </cols>
  <sheetData>
    <row r="3" spans="2:11" x14ac:dyDescent="0.25">
      <c r="J3">
        <v>1</v>
      </c>
      <c r="K3">
        <v>2</v>
      </c>
    </row>
    <row r="4" spans="2:11" x14ac:dyDescent="0.25">
      <c r="B4" s="58"/>
      <c r="C4" s="58" t="s">
        <v>12</v>
      </c>
      <c r="D4" s="59" t="s">
        <v>175</v>
      </c>
      <c r="E4" s="59" t="s">
        <v>185</v>
      </c>
      <c r="F4" s="59" t="s">
        <v>169</v>
      </c>
      <c r="G4" s="59" t="s">
        <v>190</v>
      </c>
      <c r="H4" s="59" t="s">
        <v>208</v>
      </c>
      <c r="J4" t="s">
        <v>190</v>
      </c>
      <c r="K4" t="s">
        <v>206</v>
      </c>
    </row>
    <row r="5" spans="2:11" x14ac:dyDescent="0.25">
      <c r="B5" s="58"/>
      <c r="C5" s="58"/>
      <c r="D5" s="59" t="s">
        <v>176</v>
      </c>
      <c r="E5" s="59" t="s">
        <v>183</v>
      </c>
      <c r="F5" s="59" t="s">
        <v>205</v>
      </c>
      <c r="G5" s="59" t="s">
        <v>191</v>
      </c>
      <c r="H5" s="59" t="s">
        <v>209</v>
      </c>
    </row>
    <row r="6" spans="2:11" x14ac:dyDescent="0.25">
      <c r="B6" s="58"/>
      <c r="C6" s="58"/>
      <c r="D6" s="59" t="s">
        <v>177</v>
      </c>
      <c r="E6" s="59" t="s">
        <v>184</v>
      </c>
      <c r="F6" s="59" t="s">
        <v>206</v>
      </c>
      <c r="G6" s="59" t="s">
        <v>192</v>
      </c>
      <c r="H6" s="59" t="s">
        <v>222</v>
      </c>
    </row>
    <row r="7" spans="2:11" x14ac:dyDescent="0.25">
      <c r="B7" s="58"/>
      <c r="C7" s="58"/>
      <c r="D7" s="59" t="s">
        <v>178</v>
      </c>
      <c r="E7" s="59" t="s">
        <v>186</v>
      </c>
      <c r="F7" s="59" t="s">
        <v>207</v>
      </c>
      <c r="G7" s="59" t="s">
        <v>193</v>
      </c>
      <c r="H7" s="59" t="s">
        <v>210</v>
      </c>
    </row>
    <row r="8" spans="2:11" x14ac:dyDescent="0.25">
      <c r="B8" s="58"/>
      <c r="C8" s="58"/>
      <c r="D8" s="59" t="s">
        <v>179</v>
      </c>
      <c r="E8" s="59" t="s">
        <v>187</v>
      </c>
      <c r="F8" s="59"/>
      <c r="G8" s="59" t="s">
        <v>194</v>
      </c>
      <c r="H8" s="59" t="s">
        <v>211</v>
      </c>
    </row>
    <row r="9" spans="2:11" x14ac:dyDescent="0.25">
      <c r="B9" s="58"/>
      <c r="C9" s="58"/>
      <c r="D9" s="59" t="s">
        <v>180</v>
      </c>
      <c r="E9" s="59" t="s">
        <v>185</v>
      </c>
      <c r="F9" s="59"/>
      <c r="G9" s="59" t="s">
        <v>195</v>
      </c>
      <c r="H9" s="59" t="s">
        <v>212</v>
      </c>
    </row>
    <row r="10" spans="2:11" x14ac:dyDescent="0.25">
      <c r="B10" s="58"/>
      <c r="C10" s="58"/>
      <c r="D10" s="59" t="s">
        <v>181</v>
      </c>
      <c r="E10" s="59" t="s">
        <v>188</v>
      </c>
      <c r="F10" s="59"/>
      <c r="G10" s="59" t="s">
        <v>196</v>
      </c>
      <c r="H10" s="59" t="s">
        <v>213</v>
      </c>
    </row>
    <row r="11" spans="2:11" x14ac:dyDescent="0.25">
      <c r="B11" s="58"/>
      <c r="C11" s="58"/>
      <c r="D11" s="59" t="s">
        <v>182</v>
      </c>
      <c r="E11" s="59" t="s">
        <v>189</v>
      </c>
      <c r="F11" s="59"/>
      <c r="G11" s="59" t="s">
        <v>197</v>
      </c>
      <c r="H11" s="59" t="s">
        <v>214</v>
      </c>
    </row>
    <row r="12" spans="2:11" x14ac:dyDescent="0.25">
      <c r="B12" s="58"/>
      <c r="C12" s="58"/>
      <c r="D12" s="59"/>
      <c r="E12" s="59"/>
      <c r="F12" s="59"/>
      <c r="G12" s="59" t="s">
        <v>198</v>
      </c>
      <c r="H12" s="59" t="s">
        <v>215</v>
      </c>
    </row>
    <row r="13" spans="2:11" x14ac:dyDescent="0.25">
      <c r="B13" s="58"/>
      <c r="C13" s="58"/>
      <c r="D13" s="59"/>
      <c r="E13" s="59"/>
      <c r="F13" s="59"/>
      <c r="G13" s="59" t="s">
        <v>199</v>
      </c>
      <c r="H13" s="59" t="s">
        <v>216</v>
      </c>
    </row>
    <row r="14" spans="2:11" x14ac:dyDescent="0.25">
      <c r="B14" s="58"/>
      <c r="C14" s="58"/>
      <c r="D14" s="59"/>
      <c r="E14" s="59"/>
      <c r="F14" s="59"/>
      <c r="G14" s="59" t="s">
        <v>200</v>
      </c>
      <c r="H14" s="59" t="s">
        <v>217</v>
      </c>
    </row>
    <row r="15" spans="2:11" x14ac:dyDescent="0.25">
      <c r="B15" s="58"/>
      <c r="C15" s="58"/>
      <c r="D15" s="59"/>
      <c r="E15" s="59"/>
      <c r="F15" s="59"/>
      <c r="G15" s="59" t="s">
        <v>201</v>
      </c>
      <c r="H15" s="59" t="s">
        <v>218</v>
      </c>
    </row>
    <row r="16" spans="2:11" x14ac:dyDescent="0.25">
      <c r="B16" s="58"/>
      <c r="C16" s="58"/>
      <c r="D16" s="59"/>
      <c r="E16" s="59"/>
      <c r="F16" s="59"/>
      <c r="G16" s="59" t="s">
        <v>202</v>
      </c>
      <c r="H16" s="59" t="s">
        <v>219</v>
      </c>
    </row>
    <row r="17" spans="2:8" x14ac:dyDescent="0.25">
      <c r="B17" s="58"/>
      <c r="C17" s="58"/>
      <c r="D17" s="59"/>
      <c r="E17" s="59"/>
      <c r="F17" s="59"/>
      <c r="G17" s="59" t="s">
        <v>203</v>
      </c>
      <c r="H17" s="59" t="s">
        <v>220</v>
      </c>
    </row>
    <row r="18" spans="2:8" x14ac:dyDescent="0.25">
      <c r="B18" s="58"/>
      <c r="C18" s="58"/>
      <c r="D18" s="59"/>
      <c r="E18" s="59"/>
      <c r="F18" s="59"/>
      <c r="G18" s="59" t="s">
        <v>204</v>
      </c>
      <c r="H18" s="59" t="s">
        <v>221</v>
      </c>
    </row>
    <row r="24" spans="2:8" x14ac:dyDescent="0.25">
      <c r="C24" t="s">
        <v>167</v>
      </c>
    </row>
    <row r="25" spans="2:8" x14ac:dyDescent="0.25">
      <c r="C25" t="s">
        <v>223</v>
      </c>
    </row>
    <row r="26" spans="2:8" x14ac:dyDescent="0.25">
      <c r="C26" t="s">
        <v>224</v>
      </c>
    </row>
    <row r="27" spans="2:8" x14ac:dyDescent="0.25">
      <c r="C27" t="s">
        <v>225</v>
      </c>
    </row>
    <row r="28" spans="2:8" x14ac:dyDescent="0.25">
      <c r="C28" t="s">
        <v>226</v>
      </c>
    </row>
    <row r="29" spans="2:8" x14ac:dyDescent="0.25">
      <c r="C29" t="s">
        <v>227</v>
      </c>
    </row>
    <row r="30" spans="2:8" x14ac:dyDescent="0.25">
      <c r="C30" t="s">
        <v>167</v>
      </c>
    </row>
  </sheetData>
  <dataValidations count="2">
    <dataValidation type="list" allowBlank="1" showInputMessage="1" showErrorMessage="1" sqref="J4" xr:uid="{00000000-0002-0000-0200-000000000000}">
      <formula1>$D$4:$H$4</formula1>
    </dataValidation>
    <dataValidation type="list" allowBlank="1" showInputMessage="1" showErrorMessage="1" sqref="K4" xr:uid="{00000000-0002-0000-0200-000001000000}">
      <formula1>OFFSET($D$4,1,MATCH($J4,$D$4:$H$4,0)-1,15,1)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Research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madhurapanchal77@gmail.com</cp:lastModifiedBy>
  <cp:lastPrinted>2025-07-15T09:33:37Z</cp:lastPrinted>
  <dcterms:created xsi:type="dcterms:W3CDTF">2019-07-16T09:29:46Z</dcterms:created>
  <dcterms:modified xsi:type="dcterms:W3CDTF">2025-07-15T09:34:25Z</dcterms:modified>
</cp:coreProperties>
</file>