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July 25\Dump\"/>
    </mc:Choice>
  </mc:AlternateContent>
  <xr:revisionPtr revIDLastSave="0" documentId="13_ncr:1_{25FBF340-B4A0-4541-98CF-33935391E54C}"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8" i="1" l="1"/>
  <c r="A182" i="1" l="1"/>
  <c r="A183" i="1" s="1"/>
  <c r="A184" i="1" s="1"/>
  <c r="A177" i="1"/>
  <c r="A178" i="1" s="1"/>
  <c r="A179" i="1" s="1"/>
  <c r="A167" i="1"/>
  <c r="A168" i="1" s="1"/>
  <c r="A169" i="1" s="1"/>
  <c r="D163" i="1"/>
  <c r="D161" i="1"/>
  <c r="A148" i="1"/>
  <c r="A149" i="1" s="1"/>
  <c r="E143" i="1"/>
  <c r="I65" i="1"/>
  <c r="I15" i="1"/>
  <c r="I16" i="1"/>
  <c r="C57" i="1" l="1"/>
  <c r="G173" i="1" l="1"/>
  <c r="G171" i="1"/>
  <c r="D173" i="1"/>
  <c r="D171" i="1"/>
  <c r="L165" i="1"/>
  <c r="K165" i="1"/>
  <c r="E173" i="1"/>
  <c r="E171" i="1"/>
  <c r="E158" i="1" l="1"/>
  <c r="E157" i="1"/>
  <c r="D157" i="1"/>
  <c r="E156" i="1"/>
  <c r="D156" i="1"/>
  <c r="E174" i="1"/>
  <c r="D174" i="1"/>
  <c r="E172" i="1"/>
  <c r="D172" i="1"/>
  <c r="E164" i="1"/>
  <c r="D164" i="1"/>
  <c r="E163" i="1"/>
  <c r="E162" i="1"/>
  <c r="D162" i="1"/>
  <c r="E161" i="1"/>
  <c r="E154" i="1"/>
  <c r="D154" i="1"/>
  <c r="E153" i="1"/>
  <c r="D153" i="1"/>
  <c r="E152" i="1"/>
  <c r="D152" i="1"/>
  <c r="E151" i="1"/>
  <c r="D151" i="1"/>
  <c r="E144" i="1"/>
  <c r="D144" i="1"/>
  <c r="D143" i="1"/>
  <c r="E142" i="1"/>
  <c r="D142" i="1"/>
  <c r="J149" i="1"/>
  <c r="F144" i="1" l="1"/>
  <c r="C124" i="1"/>
  <c r="C125" i="1" s="1"/>
  <c r="F158" i="1"/>
  <c r="H158" i="1" s="1"/>
  <c r="F157" i="1"/>
  <c r="H157" i="1" s="1"/>
  <c r="F156" i="1"/>
  <c r="H156" i="1" s="1"/>
  <c r="I150" i="1"/>
  <c r="F174" i="1"/>
  <c r="H174" i="1" s="1"/>
  <c r="F173" i="1"/>
  <c r="H173" i="1" s="1"/>
  <c r="F171" i="1"/>
  <c r="H171" i="1" s="1"/>
  <c r="A172" i="1"/>
  <c r="A173" i="1" s="1"/>
  <c r="A174" i="1" s="1"/>
  <c r="F172" i="1" l="1"/>
  <c r="H172" i="1" s="1"/>
  <c r="I157" i="1" l="1"/>
  <c r="F164" i="1" l="1"/>
  <c r="H164" i="1" s="1"/>
  <c r="F163" i="1"/>
  <c r="H163" i="1" s="1"/>
  <c r="F162" i="1"/>
  <c r="H162" i="1" s="1"/>
  <c r="F161" i="1"/>
  <c r="H161" i="1" s="1"/>
  <c r="A162" i="1"/>
  <c r="A163" i="1" s="1"/>
  <c r="A164" i="1" s="1"/>
  <c r="I147" i="1"/>
  <c r="F152" i="1" l="1"/>
  <c r="H152" i="1" s="1"/>
  <c r="J152" i="1" s="1"/>
  <c r="F154" i="1"/>
  <c r="H154" i="1" s="1"/>
  <c r="A152" i="1"/>
  <c r="A153" i="1" s="1"/>
  <c r="A154" i="1" s="1"/>
  <c r="K152" i="1" l="1"/>
  <c r="F151" i="1"/>
  <c r="H151" i="1" s="1"/>
  <c r="F153" i="1"/>
  <c r="H153" i="1" s="1"/>
  <c r="J153" i="1" s="1"/>
  <c r="I141" i="1"/>
  <c r="C54" i="1" l="1"/>
  <c r="F132" i="1" l="1"/>
  <c r="H132" i="1"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213" i="1"/>
  <c r="B188" i="1"/>
  <c r="B187" i="1"/>
  <c r="H144" i="1"/>
  <c r="F143" i="1"/>
  <c r="H143" i="1" s="1"/>
  <c r="A143" i="1"/>
  <c r="A144" i="1" s="1"/>
  <c r="A145" i="1" s="1"/>
  <c r="F142" i="1"/>
  <c r="F135" i="1"/>
  <c r="H135" i="1" s="1"/>
  <c r="F134" i="1"/>
  <c r="H134" i="1" s="1"/>
  <c r="F133" i="1"/>
  <c r="H133" i="1" s="1"/>
  <c r="A133" i="1"/>
  <c r="A134" i="1" s="1"/>
  <c r="A135" i="1" s="1"/>
  <c r="C126" i="1"/>
  <c r="F116" i="1"/>
  <c r="C90" i="1"/>
  <c r="C76" i="1"/>
  <c r="B77" i="1" s="1"/>
  <c r="D70" i="1"/>
  <c r="K57" i="1"/>
  <c r="G54" i="1"/>
  <c r="E47" i="1"/>
  <c r="E48" i="1" s="1"/>
  <c r="S36" i="1"/>
  <c r="E34" i="1"/>
  <c r="E31" i="1"/>
  <c r="E29" i="1"/>
  <c r="C19" i="1"/>
  <c r="Z13" i="1"/>
  <c r="E3" i="1"/>
  <c r="B199" i="1" s="1"/>
  <c r="H91" i="1"/>
  <c r="H77" i="1"/>
  <c r="H142" i="1" l="1"/>
  <c r="E124" i="1"/>
  <c r="E125" i="1" s="1"/>
  <c r="E126" i="1" s="1"/>
  <c r="J84" i="1"/>
  <c r="J85" i="1"/>
  <c r="I42" i="7"/>
  <c r="H42" i="7" s="1"/>
  <c r="L42" i="7"/>
  <c r="K42" i="7" s="1"/>
  <c r="J90" i="1"/>
  <c r="J92" i="1" s="1"/>
  <c r="D99" i="1"/>
  <c r="D98" i="1"/>
  <c r="D103" i="1"/>
  <c r="D97" i="1"/>
  <c r="J93" i="1"/>
  <c r="D102" i="1"/>
  <c r="J95" i="1"/>
  <c r="C94" i="1" s="1"/>
  <c r="D96" i="1"/>
  <c r="D101" i="1"/>
  <c r="J94" i="1"/>
  <c r="D100" i="1"/>
  <c r="D85" i="1"/>
  <c r="J79" i="1"/>
  <c r="D84" i="1"/>
  <c r="D89" i="1"/>
  <c r="D83" i="1"/>
  <c r="D88" i="1"/>
  <c r="D82" i="1"/>
  <c r="J81" i="1"/>
  <c r="C80" i="1" s="1"/>
  <c r="D87" i="1"/>
  <c r="D86" i="1"/>
  <c r="J80" i="1"/>
  <c r="J76" i="1"/>
  <c r="J78" i="1" s="1"/>
  <c r="D42" i="7"/>
  <c r="L57" i="1"/>
  <c r="B91" i="1"/>
  <c r="J86" i="1"/>
  <c r="J87" i="1"/>
  <c r="I55" i="1"/>
  <c r="J82" i="1"/>
  <c r="J83" i="1" l="1"/>
  <c r="J88" i="1" s="1"/>
  <c r="G124" i="1"/>
  <c r="G125" i="1" s="1"/>
  <c r="G126" i="1" s="1"/>
  <c r="D44" i="7"/>
  <c r="E44" i="7"/>
  <c r="D80" i="1"/>
  <c r="D94" i="1"/>
  <c r="J99" i="1"/>
  <c r="J96" i="1"/>
  <c r="J97" i="1" s="1"/>
  <c r="J102" i="1" s="1"/>
  <c r="J103" i="1" s="1"/>
  <c r="C95" i="1" s="1"/>
  <c r="J101" i="1"/>
  <c r="J98" i="1"/>
  <c r="J100" i="1"/>
  <c r="J89" i="1" l="1"/>
  <c r="C81" i="1"/>
  <c r="D81" i="1" s="1"/>
  <c r="I77" i="1" s="1"/>
  <c r="I78" i="1" s="1"/>
  <c r="J77" i="1"/>
  <c r="E94" i="1"/>
  <c r="D95" i="1"/>
  <c r="I91" i="1" s="1"/>
  <c r="J91" i="1"/>
  <c r="G94" i="1"/>
  <c r="G80" i="1" l="1"/>
  <c r="D74" i="1" s="1"/>
  <c r="E80" i="1"/>
  <c r="I76" i="1"/>
  <c r="C78" i="1" s="1"/>
  <c r="I92" i="1"/>
  <c r="I90" i="1" s="1"/>
  <c r="C92" i="1" s="1"/>
  <c r="D75" i="1" l="1"/>
  <c r="F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8" authorId="1" shapeId="0" xr:uid="{00000000-0006-0000-0000-000003000000}">
      <text>
        <r>
          <rPr>
            <b/>
            <sz val="9"/>
            <color indexed="81"/>
            <rFont val="Tahoma"/>
            <family val="2"/>
          </rPr>
          <t>SACHIN:</t>
        </r>
        <r>
          <rPr>
            <sz val="9"/>
            <color indexed="81"/>
            <rFont val="Tahoma"/>
            <family val="2"/>
          </rPr>
          <t xml:space="preserve">
Floor with height</t>
        </r>
      </text>
    </comment>
    <comment ref="C60" authorId="1" shapeId="0" xr:uid="{00000000-0006-0000-0000-000004000000}">
      <text>
        <r>
          <rPr>
            <b/>
            <sz val="9"/>
            <color indexed="81"/>
            <rFont val="Tahoma"/>
            <family val="2"/>
          </rPr>
          <t>SACHIN:</t>
        </r>
        <r>
          <rPr>
            <sz val="9"/>
            <color indexed="81"/>
            <rFont val="Tahoma"/>
            <family val="2"/>
          </rPr>
          <t xml:space="preserve">
Survey Nos.</t>
        </r>
      </text>
    </comment>
    <comment ref="C62" authorId="1" shapeId="0" xr:uid="{00000000-0006-0000-0000-000005000000}">
      <text>
        <r>
          <rPr>
            <b/>
            <sz val="9"/>
            <color indexed="81"/>
            <rFont val="Tahoma"/>
            <family val="2"/>
          </rPr>
          <t>SACHIN:</t>
        </r>
        <r>
          <rPr>
            <sz val="9"/>
            <color indexed="81"/>
            <rFont val="Tahoma"/>
            <family val="2"/>
          </rPr>
          <t xml:space="preserve">
Height from AMSL</t>
        </r>
      </text>
    </comment>
    <comment ref="D65"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8"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<sst xmlns="http://schemas.openxmlformats.org/spreadsheetml/2006/main" count="693" uniqueCount="436">
  <si>
    <t xml:space="preserve">Valuation Report </t>
  </si>
  <si>
    <t>Date:</t>
  </si>
  <si>
    <t>CPC Name:</t>
  </si>
  <si>
    <t>Date Of Property Visit</t>
  </si>
  <si>
    <t>Name of the builder group</t>
  </si>
  <si>
    <t>Name of the builder company</t>
  </si>
  <si>
    <t>Name of the Project</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</si>
  <si>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</si>
  <si>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</si>
  <si>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</si>
  <si>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</si>
  <si>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</si>
  <si>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</si>
  <si>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</si>
  <si>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</si>
  <si>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</si>
  <si>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</si>
  <si>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</si>
  <si>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</si>
  <si>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</si>
  <si>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</si>
  <si>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</si>
  <si>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</si>
  <si>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</si>
  <si>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</si>
  <si>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</si>
  <si>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</si>
  <si>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</si>
  <si>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</si>
  <si>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</si>
  <si>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</si>
  <si>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</si>
  <si>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</si>
  <si>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</si>
  <si>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</si>
  <si>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</si>
  <si>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</si>
  <si>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</si>
  <si>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</si>
  <si>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</si>
  <si>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</si>
  <si>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</si>
  <si>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</si>
  <si>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</si>
  <si>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</si>
  <si>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</si>
  <si>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</si>
  <si>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</si>
  <si>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</si>
  <si>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</si>
  <si>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</si>
  <si>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</si>
  <si>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</si>
  <si>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</si>
  <si>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</si>
  <si>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</si>
  <si>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</si>
  <si>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</si>
  <si>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</si>
  <si>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</si>
  <si>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</si>
  <si>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</si>
  <si>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</si>
  <si>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</si>
  <si>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</si>
  <si>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</si>
  <si>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</si>
  <si>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</si>
  <si>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</si>
  <si>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</si>
  <si>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</si>
  <si>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</si>
  <si>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</si>
  <si>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</si>
  <si>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</si>
  <si>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</si>
  <si>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</si>
  <si>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</si>
  <si>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</si>
  <si>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</si>
  <si>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</si>
  <si>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</si>
  <si>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</si>
  <si>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</si>
  <si>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</si>
  <si>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</si>
  <si>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</si>
  <si>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</si>
  <si>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</si>
  <si>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</si>
  <si>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</si>
  <si>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</si>
  <si>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</si>
  <si>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</si>
  <si>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</si>
  <si>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</si>
  <si>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</si>
  <si>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</si>
  <si>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</si>
  <si>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</si>
  <si>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</si>
  <si>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</si>
  <si>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</si>
  <si>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</si>
  <si>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</si>
  <si>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</si>
  <si>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</si>
  <si>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</si>
  <si>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</si>
  <si>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</si>
  <si>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</si>
  <si>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</si>
  <si>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</si>
  <si>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</si>
  <si>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</si>
  <si>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</si>
  <si>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</si>
  <si>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</si>
  <si>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</si>
  <si>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</si>
  <si>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</si>
  <si>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</si>
  <si>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</si>
  <si>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</si>
  <si>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</si>
  <si>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</si>
  <si>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</si>
  <si>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</si>
  <si>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</si>
  <si>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</si>
  <si>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</si>
  <si>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</si>
  <si>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</si>
  <si>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</si>
  <si>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</si>
  <si>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</si>
  <si>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</si>
  <si>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</si>
  <si>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</si>
  <si>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</si>
  <si>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</si>
  <si>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</si>
  <si>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</si>
  <si>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</si>
  <si>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</si>
  <si>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</si>
  <si>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</si>
  <si>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</si>
  <si>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</si>
  <si>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</si>
  <si>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</si>
  <si>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</si>
  <si>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</si>
  <si>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</si>
  <si>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</si>
  <si>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</si>
  <si>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</si>
  <si>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</si>
  <si>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</si>
  <si>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</si>
  <si>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</si>
  <si>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</si>
  <si>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</si>
  <si>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</si>
  <si>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</si>
  <si>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</si>
  <si>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</si>
  <si>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</si>
  <si>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</si>
  <si>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</si>
  <si>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</si>
  <si>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</si>
  <si>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</si>
  <si>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</si>
  <si>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</si>
  <si>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</si>
  <si>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</si>
  <si>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</si>
  <si>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</si>
  <si>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</si>
  <si>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</si>
  <si>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</si>
  <si>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</si>
  <si>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</si>
  <si>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</si>
  <si>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</si>
  <si>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</si>
  <si>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</si>
  <si>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</si>
  <si>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</si>
  <si>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</si>
  <si>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</si>
  <si>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</si>
  <si>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</si>
  <si>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</si>
  <si>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</si>
  <si>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</si>
  <si>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</si>
  <si>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</si>
  <si>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</si>
  <si>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</si>
  <si>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</si>
  <si>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</si>
  <si>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</si>
  <si>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</si>
  <si>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</si>
  <si>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</si>
  <si>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</si>
  <si>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</si>
  <si>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</si>
  <si>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</si>
  <si>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</si>
  <si>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</si>
  <si>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</si>
  <si>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</si>
  <si>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</si>
  <si>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</si>
  <si>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</si>
  <si>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</si>
  <si>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</si>
  <si>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</si>
  <si>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</si>
  <si>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</si>
  <si>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</si>
  <si>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</si>
  <si>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</si>
  <si>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</si>
  <si>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</si>
  <si>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</si>
  <si>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</si>
  <si>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</si>
  <si>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</si>
  <si>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</si>
  <si>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</si>
  <si>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</si>
  <si>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</si>
  <si>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</si>
  <si>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</si>
  <si>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</si>
  <si>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</si>
  <si>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</si>
  <si>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</si>
  <si>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</si>
  <si>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</si>
  <si>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</si>
  <si>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</si>
  <si>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</si>
  <si>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</si>
  <si>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</si>
  <si>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</si>
  <si>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</si>
  <si>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</si>
  <si>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</si>
  <si>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</si>
  <si>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</si>
  <si>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</si>
  <si>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</si>
  <si>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</si>
  <si>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</si>
  <si>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</si>
  <si>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</si>
  <si>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</si>
  <si>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</si>
  <si>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</si>
  <si>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</si>
  <si>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</si>
  <si>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</si>
  <si>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</si>
  <si>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</si>
  <si>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</si>
  <si>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</si>
  <si>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</si>
  <si>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</si>
  <si>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</si>
  <si>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</si>
  <si>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</si>
  <si>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</si>
  <si>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</si>
  <si>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</si>
  <si>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</si>
  <si>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</si>
  <si>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</si>
  <si>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</si>
  <si>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</si>
  <si>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</si>
  <si>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</si>
  <si>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</si>
  <si>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</si>
  <si>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</si>
  <si>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</si>
  <si>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</si>
  <si>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</si>
  <si>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</si>
  <si>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</si>
  <si>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</si>
  <si>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</si>
  <si>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</si>
  <si>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</si>
  <si>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</si>
  <si>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</si>
  <si>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</si>
  <si>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</si>
  <si>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</si>
  <si>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</si>
  <si>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</si>
  <si>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</si>
  <si>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</si>
  <si>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</si>
  <si>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</si>
  <si>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</si>
  <si>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</si>
  <si>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</si>
  <si>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</si>
  <si>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</si>
  <si>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</si>
  <si>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</si>
  <si>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</si>
  <si>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</si>
  <si>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</si>
  <si>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</si>
  <si>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</si>
  <si>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</si>
  <si>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</si>
  <si>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</si>
  <si>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</si>
  <si>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</si>
  <si>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</si>
  <si>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</si>
  <si>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</si>
  <si>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</si>
  <si>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</si>
  <si>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</si>
  <si>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</si>
  <si>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</si>
  <si>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</si>
  <si>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</si>
  <si>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</si>
  <si>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</si>
  <si>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</si>
  <si>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</si>
  <si>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</si>
  <si>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</si>
  <si>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</si>
  <si>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</si>
  <si>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Building Details Floor Wise</t>
  </si>
  <si>
    <t>Sammaan Capital Limited</t>
  </si>
  <si>
    <t>Macrotech Developers Limited</t>
  </si>
  <si>
    <t>Hanging Garden Palava</t>
  </si>
  <si>
    <t>Mr. Rajendra Giri 9820248856</t>
  </si>
  <si>
    <t>Internal Road</t>
  </si>
  <si>
    <t>Casa Azzurra</t>
  </si>
  <si>
    <t>18 M W Road</t>
  </si>
  <si>
    <t>Other Plot</t>
  </si>
  <si>
    <t>Open Plot</t>
  </si>
  <si>
    <t>19.1531709,73.1141826</t>
  </si>
  <si>
    <t>https://maps.app.goo.gl/BHp2ka4ibavEUu7s5</t>
  </si>
  <si>
    <t>As per RERA - 31/03/2029</t>
  </si>
  <si>
    <t>4BHK</t>
  </si>
  <si>
    <t>4BHK Duplex With 1st Floor</t>
  </si>
  <si>
    <t>4.5BHK Duplex With 1st Floor</t>
  </si>
  <si>
    <t>Ground Floor For Residential, Entrance Lobby, Indoor Games/Library, MEP &amp; Meter Room</t>
  </si>
  <si>
    <t>Indoor Games/Library</t>
  </si>
  <si>
    <t>3BHK</t>
  </si>
  <si>
    <t>4.5BHK Duplex With 33rd Floor</t>
  </si>
  <si>
    <t>4BHK Duplex With 33rd Floor</t>
  </si>
  <si>
    <t>Refuge Area</t>
  </si>
  <si>
    <t>4BHK Triplex With 35th &amp; 36th Floor</t>
  </si>
  <si>
    <t>Gymnasium, Spa, Swimming Pool, Jogging Track, Clubhouse, Kids Play Area, Yoga Zone, Multipyrpose sport Court, Landscape Garden, Banquet Hall, etc.</t>
  </si>
  <si>
    <t>Wing B</t>
  </si>
  <si>
    <t>Flats - 124</t>
  </si>
  <si>
    <r>
      <t xml:space="preserve">Proposed Amenities :                                                                                                                                                                                                                         </t>
    </r>
    <r>
      <rPr>
        <b/>
        <sz val="12"/>
        <rFont val="Times New Roman"/>
        <family val="1"/>
      </rPr>
      <t xml:space="preserve">                                               </t>
    </r>
  </si>
  <si>
    <t xml:space="preserve">Details of Residential in Building   </t>
  </si>
  <si>
    <t>RERA Name &amp; No.</t>
  </si>
  <si>
    <t>Hanging Garden Palava 
 P51700077356</t>
  </si>
  <si>
    <t>Hanging Garden B
Hanging Gardens T3</t>
  </si>
  <si>
    <t>Building Consists on New RERA site</t>
  </si>
  <si>
    <t xml:space="preserve"> Sector F (Cluster 6.03)
</t>
  </si>
  <si>
    <t>Wing D &amp; E</t>
  </si>
  <si>
    <t>Building Type WF.A</t>
  </si>
  <si>
    <t>Cluster 6.03 (Wing C)</t>
  </si>
  <si>
    <t>R.G-F3</t>
  </si>
  <si>
    <t>01 Wing</t>
  </si>
  <si>
    <t>Ekatmikrut Nagarvasahat/Mouje Antarli, Khoni, Hedutane, Kole, Gharivali, Katai &amp; Mangaon Tal. Kalyan &amp; Mouje Umbroli, Tal. Ambernath SSThane/4770</t>
  </si>
  <si>
    <t>Ekatmikrut Nagarvasahat/M. Antarli, Khoni &amp; Other/Sector" C, D, E, F, I1, I2, O &amp; P "/SSThane/4770</t>
  </si>
  <si>
    <t>Sector F - Cluster No. 6.03 (Wing B) = G + 1st to 36th Floor</t>
  </si>
  <si>
    <t>Approved Builtup Area of Wing B (Sq.Mt)</t>
  </si>
  <si>
    <t>(Sector F)
Cluster 6.03</t>
  </si>
  <si>
    <t xml:space="preserve">Cluster 6.03 (Wing B) = G + 1st to 36th Floor
</t>
  </si>
  <si>
    <t>Sector F - Cluster 6.03</t>
  </si>
  <si>
    <t>Building Type WF.A  (Wing B)</t>
  </si>
  <si>
    <t>4BHK Duplex With Ground Floor</t>
  </si>
  <si>
    <t>4.5BHK Duplex With Ground Floor</t>
  </si>
  <si>
    <t>1st Floor For Residential, Society Office &amp; Activity Room</t>
  </si>
  <si>
    <t>EVBT Area</t>
  </si>
  <si>
    <t>4.5BHK Duplex With 32nd Floor</t>
  </si>
  <si>
    <t>4BHK Duplex With 32nd Floor</t>
  </si>
  <si>
    <t>4BHK Triplex With 34th &amp; 36th Floor</t>
  </si>
  <si>
    <t>4.5BHK Duplex With 35th Floor</t>
  </si>
  <si>
    <t>4.5BHK Duplex With 34th Floor</t>
  </si>
  <si>
    <t>4BHK Triplex With 34th &amp; 35th Floor</t>
  </si>
  <si>
    <t>Terrace Area</t>
  </si>
  <si>
    <t>We considered Gross carpet area = Net carpet + EVBT Area</t>
  </si>
  <si>
    <t xml:space="preserve"> Cluster 6.03 (Wing B)</t>
  </si>
  <si>
    <t>Khoni</t>
  </si>
  <si>
    <t>35/6 (Pt), 35/7(Pt), 35/4A(Pt), 172/1(Pt), 172/2(Pt), 35/9(Pt), 173/(Pt), 172/3(Pt)</t>
  </si>
  <si>
    <t>8.6 KM from Nilaje Railway Station</t>
  </si>
  <si>
    <t>Nilaje East</t>
  </si>
  <si>
    <t>Survey No</t>
  </si>
  <si>
    <t>Lodha Group</t>
  </si>
  <si>
    <t>Building Consists on
 Old RERA site</t>
  </si>
  <si>
    <t>Approved Plans, CC, Builder Carpet Area Sheet, EC</t>
  </si>
  <si>
    <t>The approved large land parcel layout plan does not consist of survey number, therefore we have referred Survey No. from Title Certificate.</t>
  </si>
  <si>
    <t xml:space="preserve">Please check for Fire NOC.
</t>
  </si>
  <si>
    <t>SIA/MH/MIS/63043/2021</t>
  </si>
  <si>
    <t>Village - Khoni</t>
  </si>
  <si>
    <t>We have updated Environment Clearance Certificate on 29/01/2025</t>
  </si>
  <si>
    <t>As per the discussion with the bank official, Builder provided approved EC on whatsapp for a large land parcel.</t>
  </si>
  <si>
    <t>Rate and charges changed by smith 29/03/2025</t>
  </si>
  <si>
    <t>Provisional Building Common Area Maintenance (CAM) Charges for 18 months*</t>
  </si>
  <si>
    <t>Provisional Federation Common Area Maintenance (CAM) Charges for 60 months*</t>
  </si>
  <si>
    <t>Building protection deposit</t>
  </si>
  <si>
    <t>Utility/Infrastructure/Other charges</t>
  </si>
  <si>
    <t>Club Member ship</t>
  </si>
  <si>
    <t>Cost Sheet</t>
  </si>
  <si>
    <t>We have refered other charges from cost sheet provided on Mail by Bank Officials, they have received it from Builder Mail on 29/03/2025. 
Cost sheet attached below.</t>
  </si>
  <si>
    <t>5BHK</t>
  </si>
  <si>
    <t xml:space="preserve">2nd to 6th, 8th to 10th, 12th, 
13th ( 14th Floor As Per Builder)
14th ( 15th Floor As Per Builder)
16th to 18th (17th to 19th Floor As Per Builder)
20th to 22nd (21st to 23rd Floor As Per Builder)
24th to 26th (25th to 27th Floor As Per Builder)
 28th to 30th Floor (29th to 31st Floor As Per Builder)
</t>
  </si>
  <si>
    <t>7th, 11th, 
15th, 19th, 23rd, 27th &amp; 31st Floor (16th, 20th, 24th, 28th &amp; 32nd Floor As Per Builder)
For Part Refuge Area</t>
  </si>
  <si>
    <t>32nd Floor (33rd Floor As Per Builder)</t>
  </si>
  <si>
    <t>33rd Floor (34th Floor As Per Builder)</t>
  </si>
  <si>
    <t>34th Floor (35th Floor As Per Builder)</t>
  </si>
  <si>
    <t>35th Floor (36th Floor As Per Builder)</t>
  </si>
  <si>
    <t>36th Floor For Part Terrace Area (37th Floor As Per Builder)</t>
  </si>
  <si>
    <t>Construction work is in process at the time of Visit. (labour found)</t>
  </si>
  <si>
    <t>Gaurav Panchal</t>
  </si>
  <si>
    <t>Krishna Kambli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</si>
</sst>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30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7" fillId="0" borderId="0" xfId="1" applyFont="1" applyFill="1" applyProtection="1">
      <protection locked="0"/>
    </xf>
    <xf numFmtId="0" fontId="12"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Border="1" applyAlignment="1">
      <alignment horizontal="center"/>
    </xf>
    <xf numFmtId="0" fontId="12" fillId="0" borderId="1" xfId="1" applyFont="1" applyBorder="1" applyAlignment="1" applyProtection="1">
      <alignment horizontal="center" vertical="center" wrapText="1"/>
      <protection locked="0"/>
    </xf>
    <xf numFmtId="9" fontId="13" fillId="0" borderId="16" xfId="8" applyFont="1" applyFill="1" applyBorder="1" applyAlignment="1" applyProtection="1">
      <alignment horizontal="center" vertical="top" wrapText="1"/>
      <protection locked="0"/>
    </xf>
    <xf numFmtId="1" fontId="7" fillId="0" borderId="1" xfId="1" applyNumberFormat="1" applyFont="1" applyFill="1" applyBorder="1" applyAlignment="1">
      <alignment horizontal="center" vertical="center"/>
    </xf>
    <xf numFmtId="1" fontId="12" fillId="0" borderId="1" xfId="1" applyNumberFormat="1" applyFont="1" applyBorder="1" applyAlignment="1">
      <alignment horizontal="center" vertical="center"/>
    </xf>
    <xf numFmtId="1" fontId="12"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1" fontId="7" fillId="0" borderId="1" xfId="1" applyNumberFormat="1" applyFont="1" applyBorder="1" applyAlignment="1" applyProtection="1">
      <alignment horizontal="center" vertical="top" wrapText="1"/>
      <protection locked="0"/>
    </xf>
    <xf numFmtId="0" fontId="10" fillId="0" borderId="0" xfId="1" applyFont="1" applyAlignment="1" applyProtection="1">
      <alignment horizontal="left"/>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6" xfId="1" applyFont="1" applyBorder="1" applyAlignment="1" applyProtection="1">
      <alignment horizontal="center" vertical="top"/>
      <protection locked="0"/>
    </xf>
    <xf numFmtId="0" fontId="7" fillId="0" borderId="25" xfId="1" applyFont="1" applyBorder="1" applyAlignment="1">
      <alignment horizontal="center"/>
    </xf>
    <xf numFmtId="0" fontId="7" fillId="0" borderId="0" xfId="1" applyFont="1" applyBorder="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1" fontId="8"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0" fillId="0" borderId="3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25" xfId="1" applyFont="1" applyBorder="1" applyAlignment="1" applyProtection="1">
      <alignment horizontal="left" vertical="top"/>
      <protection locked="0"/>
    </xf>
    <xf numFmtId="0" fontId="6" fillId="0" borderId="0" xfId="1" applyFont="1" applyBorder="1" applyAlignment="1" applyProtection="1">
      <alignment horizontal="left" vertical="top"/>
      <protection locked="0"/>
    </xf>
    <xf numFmtId="0" fontId="6" fillId="0" borderId="26" xfId="1" applyFont="1" applyBorder="1" applyAlignment="1" applyProtection="1">
      <alignment horizontal="left" vertical="top"/>
      <protection locked="0"/>
    </xf>
    <xf numFmtId="0" fontId="6" fillId="0" borderId="19"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12" fillId="0" borderId="17" xfId="1" applyFont="1" applyBorder="1" applyAlignment="1" applyProtection="1">
      <alignment horizontal="center" vertical="center" wrapText="1"/>
      <protection locked="0"/>
    </xf>
    <xf numFmtId="0" fontId="12" fillId="0" borderId="24" xfId="1" applyFont="1" applyBorder="1" applyAlignment="1" applyProtection="1">
      <alignment horizontal="center" vertical="center" wrapText="1"/>
      <protection locked="0"/>
    </xf>
    <xf numFmtId="0" fontId="12" fillId="0" borderId="19" xfId="1" applyFont="1" applyBorder="1" applyAlignment="1" applyProtection="1">
      <alignment horizontal="center" vertical="center" wrapText="1"/>
      <protection locked="0"/>
    </xf>
    <xf numFmtId="0" fontId="12" fillId="0" borderId="2" xfId="1" applyFont="1" applyBorder="1" applyAlignment="1" applyProtection="1">
      <alignment horizontal="center" vertical="center" wrapText="1"/>
      <protection locked="0"/>
    </xf>
    <xf numFmtId="0" fontId="12" fillId="0" borderId="19" xfId="1" applyFont="1" applyBorder="1" applyAlignment="1" applyProtection="1">
      <alignment horizontal="center" vertical="top" wrapText="1"/>
      <protection locked="0"/>
    </xf>
    <xf numFmtId="0" fontId="12" fillId="0" borderId="20" xfId="1" applyFont="1" applyBorder="1" applyAlignment="1" applyProtection="1">
      <alignment horizontal="center" vertical="top" wrapText="1"/>
      <protection locked="0"/>
    </xf>
    <xf numFmtId="0" fontId="6" fillId="0" borderId="1" xfId="1" applyFont="1" applyFill="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2" fontId="6" fillId="0" borderId="1" xfId="1" applyNumberFormat="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13" fillId="0" borderId="16"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protection locked="0"/>
    </xf>
    <xf numFmtId="1" fontId="6" fillId="0" borderId="21" xfId="1" applyNumberFormat="1" applyFont="1" applyBorder="1" applyAlignment="1" applyProtection="1">
      <alignment horizontal="center" vertical="center"/>
      <protection locked="0"/>
    </xf>
    <xf numFmtId="1" fontId="6" fillId="0" borderId="9" xfId="1" applyNumberFormat="1" applyFont="1" applyBorder="1" applyAlignment="1" applyProtection="1">
      <alignment horizontal="center" vertical="center"/>
      <protection locked="0"/>
    </xf>
    <xf numFmtId="0" fontId="12" fillId="0" borderId="17" xfId="1" applyFont="1" applyBorder="1" applyAlignment="1" applyProtection="1">
      <alignment horizontal="center" vertical="top" wrapText="1"/>
      <protection locked="0"/>
    </xf>
    <xf numFmtId="0" fontId="12" fillId="0" borderId="18" xfId="1"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0" fontId="15" fillId="0" borderId="0" xfId="1" applyFont="1" applyBorder="1" applyAlignment="1" applyProtection="1">
      <alignment horizontal="center" vertical="top" wrapText="1"/>
      <protection locked="0"/>
    </xf>
    <xf numFmtId="0" fontId="7" fillId="0" borderId="17" xfId="1" applyFont="1" applyBorder="1" applyAlignment="1" applyProtection="1">
      <alignment horizontal="center" vertical="center" wrapText="1"/>
      <protection locked="0"/>
    </xf>
    <xf numFmtId="0" fontId="7" fillId="0" borderId="24" xfId="1" applyFont="1" applyBorder="1" applyAlignment="1" applyProtection="1">
      <alignment horizontal="center" vertical="center" wrapText="1"/>
      <protection locked="0"/>
    </xf>
    <xf numFmtId="0" fontId="7" fillId="0" borderId="18" xfId="1" applyFont="1" applyBorder="1" applyAlignment="1" applyProtection="1">
      <alignment horizontal="center" vertical="center" wrapText="1"/>
      <protection locked="0"/>
    </xf>
    <xf numFmtId="0" fontId="7" fillId="0" borderId="0" xfId="1" applyFont="1" applyAlignment="1">
      <alignment horizontal="center" vertical="center"/>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9"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center"/>
      <protection locked="0"/>
    </xf>
    <xf numFmtId="1" fontId="13" fillId="0" borderId="1"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9</xdr:col>
      <xdr:colOff>602669</xdr:colOff>
      <xdr:row>431</xdr:row>
      <xdr:rowOff>91870</xdr:rowOff>
    </xdr:from>
    <xdr:to>
      <xdr:col>10</xdr:col>
      <xdr:colOff>25400</xdr:colOff>
      <xdr:row>442</xdr:row>
      <xdr:rowOff>51595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079794" y="88712470"/>
          <a:ext cx="184731" cy="2160000"/>
        </a:xfrm>
        <a:prstGeom prst="rect">
          <a:avLst/>
        </a:prstGeom>
        <a:ln>
          <a:solidFill>
            <a:schemeClr val="tx1"/>
          </a:solidFill>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editAs="oneCell">
    <xdr:from>
      <xdr:col>8</xdr:col>
      <xdr:colOff>37741</xdr:colOff>
      <xdr:row>340</xdr:row>
      <xdr:rowOff>66675</xdr:rowOff>
    </xdr:from>
    <xdr:to>
      <xdr:col>13</xdr:col>
      <xdr:colOff>236883</xdr:colOff>
      <xdr:row>358</xdr:row>
      <xdr:rowOff>94672</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6352816" y="64817625"/>
          <a:ext cx="4591409" cy="3650808"/>
        </a:xfrm>
        <a:prstGeom prst="rect">
          <a:avLst/>
        </a:prstGeom>
        <a:ln>
          <a:solidFill>
            <a:schemeClr val="tx1"/>
          </a:solidFill>
        </a:ln>
      </xdr:spPr>
    </xdr:pic>
    <xdr:clientData/>
  </xdr:twoCellAnchor>
  <xdr:twoCellAnchor>
    <xdr:from>
      <xdr:col>0</xdr:col>
      <xdr:colOff>409575</xdr:colOff>
      <xdr:row>359</xdr:row>
      <xdr:rowOff>59523</xdr:rowOff>
    </xdr:from>
    <xdr:to>
      <xdr:col>7</xdr:col>
      <xdr:colOff>438150</xdr:colOff>
      <xdr:row>377</xdr:row>
      <xdr:rowOff>179626</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409575" y="77878773"/>
          <a:ext cx="5610225" cy="3720553"/>
          <a:chOff x="409575" y="63638898"/>
          <a:chExt cx="5610225" cy="3720553"/>
        </a:xfrm>
      </xdr:grpSpPr>
      <xdr:grpSp>
        <xdr:nvGrpSpPr>
          <xdr:cNvPr id="16" name="Group 15">
            <a:extLst>
              <a:ext uri="{FF2B5EF4-FFF2-40B4-BE49-F238E27FC236}">
                <a16:creationId xmlns:a16="http://schemas.microsoft.com/office/drawing/2014/main" id="{00000000-0008-0000-0000-000010000000}"/>
              </a:ext>
            </a:extLst>
          </xdr:cNvPr>
          <xdr:cNvGrpSpPr/>
        </xdr:nvGrpSpPr>
        <xdr:grpSpPr>
          <a:xfrm>
            <a:off x="409575" y="63638898"/>
            <a:ext cx="5610225" cy="3720553"/>
            <a:chOff x="409575" y="67877523"/>
            <a:chExt cx="5610225" cy="3720553"/>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09575" y="67877523"/>
              <a:ext cx="5610225" cy="3720553"/>
            </a:xfrm>
            <a:prstGeom prst="rect">
              <a:avLst/>
            </a:prstGeom>
            <a:ln>
              <a:solidFill>
                <a:schemeClr val="tx1"/>
              </a:solidFill>
            </a:ln>
          </xdr:spPr>
        </xdr:pic>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667001" y="70046850"/>
              <a:ext cx="109537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Wing</a:t>
              </a:r>
              <a:r>
                <a:rPr lang="en-IN" sz="1200" b="1" baseline="0">
                  <a:solidFill>
                    <a:srgbClr val="FFFF00"/>
                  </a:solidFill>
                </a:rPr>
                <a:t> B</a:t>
              </a:r>
              <a:endParaRPr lang="en-IN" sz="1200" b="1">
                <a:solidFill>
                  <a:srgbClr val="FFFF00"/>
                </a:solidFill>
              </a:endParaRPr>
            </a:p>
          </xdr:txBody>
        </xdr:sp>
      </xdr:grpSp>
      <xdr:sp macro="" textlink="">
        <xdr:nvSpPr>
          <xdr:cNvPr id="14" name="Rectangle 13">
            <a:extLst>
              <a:ext uri="{FF2B5EF4-FFF2-40B4-BE49-F238E27FC236}">
                <a16:creationId xmlns:a16="http://schemas.microsoft.com/office/drawing/2014/main" id="{00000000-0008-0000-0000-00000E000000}"/>
              </a:ext>
            </a:extLst>
          </xdr:cNvPr>
          <xdr:cNvSpPr/>
        </xdr:nvSpPr>
        <xdr:spPr>
          <a:xfrm>
            <a:off x="2705100" y="65512950"/>
            <a:ext cx="476250" cy="32385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1094206</xdr:colOff>
      <xdr:row>15</xdr:row>
      <xdr:rowOff>50011</xdr:rowOff>
    </xdr:from>
    <xdr:to>
      <xdr:col>14</xdr:col>
      <xdr:colOff>773211</xdr:colOff>
      <xdr:row>24</xdr:row>
      <xdr:rowOff>169238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7403118" y="4039305"/>
          <a:ext cx="4912152" cy="2662962"/>
        </a:xfrm>
        <a:prstGeom prst="rect">
          <a:avLst/>
        </a:prstGeom>
      </xdr:spPr>
    </xdr:pic>
    <xdr:clientData/>
  </xdr:twoCellAnchor>
  <xdr:twoCellAnchor editAs="oneCell">
    <xdr:from>
      <xdr:col>8</xdr:col>
      <xdr:colOff>930112</xdr:colOff>
      <xdr:row>28</xdr:row>
      <xdr:rowOff>96666</xdr:rowOff>
    </xdr:from>
    <xdr:to>
      <xdr:col>15</xdr:col>
      <xdr:colOff>712126</xdr:colOff>
      <xdr:row>37</xdr:row>
      <xdr:rowOff>110139</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a:stretch>
          <a:fillRect/>
        </a:stretch>
      </xdr:blipFill>
      <xdr:spPr>
        <a:xfrm>
          <a:off x="7245187" y="7754766"/>
          <a:ext cx="5821692" cy="1803346"/>
        </a:xfrm>
        <a:prstGeom prst="rect">
          <a:avLst/>
        </a:prstGeom>
      </xdr:spPr>
    </xdr:pic>
    <xdr:clientData/>
  </xdr:twoCellAnchor>
  <xdr:twoCellAnchor editAs="oneCell">
    <xdr:from>
      <xdr:col>8</xdr:col>
      <xdr:colOff>355023</xdr:colOff>
      <xdr:row>7</xdr:row>
      <xdr:rowOff>99580</xdr:rowOff>
    </xdr:from>
    <xdr:to>
      <xdr:col>15</xdr:col>
      <xdr:colOff>307406</xdr:colOff>
      <xdr:row>13</xdr:row>
      <xdr:rowOff>197137</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a:stretch>
          <a:fillRect/>
        </a:stretch>
      </xdr:blipFill>
      <xdr:spPr>
        <a:xfrm>
          <a:off x="6658841" y="1900671"/>
          <a:ext cx="5979110" cy="1717673"/>
        </a:xfrm>
        <a:prstGeom prst="rect">
          <a:avLst/>
        </a:prstGeom>
      </xdr:spPr>
    </xdr:pic>
    <xdr:clientData/>
  </xdr:twoCellAnchor>
  <xdr:twoCellAnchor>
    <xdr:from>
      <xdr:col>0</xdr:col>
      <xdr:colOff>289787</xdr:colOff>
      <xdr:row>260</xdr:row>
      <xdr:rowOff>184684</xdr:rowOff>
    </xdr:from>
    <xdr:to>
      <xdr:col>7</xdr:col>
      <xdr:colOff>512124</xdr:colOff>
      <xdr:row>294</xdr:row>
      <xdr:rowOff>190501</xdr:rowOff>
    </xdr:to>
    <xdr:grpSp>
      <xdr:nvGrpSpPr>
        <xdr:cNvPr id="26" name="Group 25">
          <a:extLst>
            <a:ext uri="{FF2B5EF4-FFF2-40B4-BE49-F238E27FC236}">
              <a16:creationId xmlns:a16="http://schemas.microsoft.com/office/drawing/2014/main" id="{00000000-0008-0000-0000-00001A000000}"/>
            </a:ext>
          </a:extLst>
        </xdr:cNvPr>
        <xdr:cNvGrpSpPr/>
      </xdr:nvGrpSpPr>
      <xdr:grpSpPr>
        <a:xfrm rot="5400000">
          <a:off x="-211553" y="58702799"/>
          <a:ext cx="6806667" cy="5803987"/>
          <a:chOff x="279026" y="55970020"/>
          <a:chExt cx="5875804" cy="3918138"/>
        </a:xfrm>
      </xdr:grpSpPr>
      <xdr:grpSp>
        <xdr:nvGrpSpPr>
          <xdr:cNvPr id="21" name="Group 20">
            <a:extLst>
              <a:ext uri="{FF2B5EF4-FFF2-40B4-BE49-F238E27FC236}">
                <a16:creationId xmlns:a16="http://schemas.microsoft.com/office/drawing/2014/main" id="{00000000-0008-0000-0000-000015000000}"/>
              </a:ext>
            </a:extLst>
          </xdr:cNvPr>
          <xdr:cNvGrpSpPr/>
        </xdr:nvGrpSpPr>
        <xdr:grpSpPr>
          <a:xfrm>
            <a:off x="279026" y="55970020"/>
            <a:ext cx="5875804" cy="3918138"/>
            <a:chOff x="133350" y="51901724"/>
            <a:chExt cx="6110896" cy="4029075"/>
          </a:xfrm>
        </xdr:grpSpPr>
        <xdr:grpSp>
          <xdr:nvGrpSpPr>
            <xdr:cNvPr id="13" name="Group 12">
              <a:extLst>
                <a:ext uri="{FF2B5EF4-FFF2-40B4-BE49-F238E27FC236}">
                  <a16:creationId xmlns:a16="http://schemas.microsoft.com/office/drawing/2014/main" id="{00000000-0008-0000-0000-00000D000000}"/>
                </a:ext>
              </a:extLst>
            </xdr:cNvPr>
            <xdr:cNvGrpSpPr/>
          </xdr:nvGrpSpPr>
          <xdr:grpSpPr>
            <a:xfrm>
              <a:off x="133350" y="51901724"/>
              <a:ext cx="6110896" cy="4029075"/>
              <a:chOff x="104775" y="54063899"/>
              <a:chExt cx="6110896" cy="4029075"/>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a:stretch>
                <a:fillRect/>
              </a:stretch>
            </xdr:blipFill>
            <xdr:spPr>
              <a:xfrm>
                <a:off x="104775" y="54063899"/>
                <a:ext cx="6110896" cy="4029075"/>
              </a:xfrm>
              <a:prstGeom prst="rect">
                <a:avLst/>
              </a:prstGeom>
              <a:ln>
                <a:solidFill>
                  <a:schemeClr val="tx1"/>
                </a:solidFill>
              </a:ln>
            </xdr:spPr>
          </xdr:pic>
          <xdr:sp macro="" textlink="">
            <xdr:nvSpPr>
              <xdr:cNvPr id="12" name="Rectangle 11">
                <a:extLst>
                  <a:ext uri="{FF2B5EF4-FFF2-40B4-BE49-F238E27FC236}">
                    <a16:creationId xmlns:a16="http://schemas.microsoft.com/office/drawing/2014/main" id="{00000000-0008-0000-0000-00000C000000}"/>
                  </a:ext>
                </a:extLst>
              </xdr:cNvPr>
              <xdr:cNvSpPr/>
            </xdr:nvSpPr>
            <xdr:spPr>
              <a:xfrm>
                <a:off x="2838450" y="56407050"/>
                <a:ext cx="361950" cy="25717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20" name="TextBox 19">
              <a:extLst>
                <a:ext uri="{FF2B5EF4-FFF2-40B4-BE49-F238E27FC236}">
                  <a16:creationId xmlns:a16="http://schemas.microsoft.com/office/drawing/2014/main" id="{00000000-0008-0000-0000-000014000000}"/>
                </a:ext>
              </a:extLst>
            </xdr:cNvPr>
            <xdr:cNvSpPr txBox="1"/>
          </xdr:nvSpPr>
          <xdr:spPr>
            <a:xfrm rot="16200000">
              <a:off x="2456363" y="54061218"/>
              <a:ext cx="715976" cy="625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50" b="1">
                  <a:latin typeface="Times New Roman" panose="02020603050405020304" pitchFamily="18" charset="0"/>
                  <a:cs typeface="Times New Roman" panose="02020603050405020304" pitchFamily="18" charset="0"/>
                </a:rPr>
                <a:t>Cluster</a:t>
              </a:r>
              <a:r>
                <a:rPr lang="en-IN" sz="1050" b="1" baseline="0">
                  <a:latin typeface="Times New Roman" panose="02020603050405020304" pitchFamily="18" charset="0"/>
                  <a:cs typeface="Times New Roman" panose="02020603050405020304" pitchFamily="18" charset="0"/>
                </a:rPr>
                <a:t> 6.03   (Wing B)</a:t>
              </a:r>
              <a:endParaRPr lang="en-IN" sz="1050" b="1">
                <a:latin typeface="Times New Roman" panose="02020603050405020304" pitchFamily="18" charset="0"/>
                <a:cs typeface="Times New Roman" panose="02020603050405020304" pitchFamily="18" charset="0"/>
              </a:endParaRPr>
            </a:p>
          </xdr:txBody>
        </xdr:sp>
      </xdr:grpSp>
      <xdr:grpSp>
        <xdr:nvGrpSpPr>
          <xdr:cNvPr id="23" name="Group 22">
            <a:extLst>
              <a:ext uri="{FF2B5EF4-FFF2-40B4-BE49-F238E27FC236}">
                <a16:creationId xmlns:a16="http://schemas.microsoft.com/office/drawing/2014/main" id="{00000000-0008-0000-0000-000017000000}"/>
              </a:ext>
            </a:extLst>
          </xdr:cNvPr>
          <xdr:cNvGrpSpPr/>
        </xdr:nvGrpSpPr>
        <xdr:grpSpPr>
          <a:xfrm>
            <a:off x="5669055" y="58558579"/>
            <a:ext cx="474784" cy="811639"/>
            <a:chOff x="808896" y="1402289"/>
            <a:chExt cx="474784" cy="799610"/>
          </a:xfrm>
        </xdr:grpSpPr>
        <xdr:sp macro="" textlink="">
          <xdr:nvSpPr>
            <xdr:cNvPr id="24" name="Right Arrow 23">
              <a:extLst>
                <a:ext uri="{FF2B5EF4-FFF2-40B4-BE49-F238E27FC236}">
                  <a16:creationId xmlns:a16="http://schemas.microsoft.com/office/drawing/2014/main" id="{00000000-0008-0000-0000-000018000000}"/>
                </a:ext>
              </a:extLst>
            </xdr:cNvPr>
            <xdr:cNvSpPr/>
          </xdr:nvSpPr>
          <xdr:spPr>
            <a:xfrm rot="16200000">
              <a:off x="852858" y="1858998"/>
              <a:ext cx="386861" cy="29894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25" name="TextBox 7">
              <a:extLst>
                <a:ext uri="{FF2B5EF4-FFF2-40B4-BE49-F238E27FC236}">
                  <a16:creationId xmlns:a16="http://schemas.microsoft.com/office/drawing/2014/main" id="{00000000-0008-0000-0000-000019000000}"/>
                </a:ext>
              </a:extLst>
            </xdr:cNvPr>
            <xdr:cNvSpPr txBox="1"/>
          </xdr:nvSpPr>
          <xdr:spPr>
            <a:xfrm>
              <a:off x="808896" y="1402289"/>
              <a:ext cx="47478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clientData/>
  </xdr:twoCellAnchor>
  <xdr:twoCellAnchor editAs="oneCell">
    <xdr:from>
      <xdr:col>9</xdr:col>
      <xdr:colOff>649720</xdr:colOff>
      <xdr:row>146</xdr:row>
      <xdr:rowOff>92923</xdr:rowOff>
    </xdr:from>
    <xdr:to>
      <xdr:col>17</xdr:col>
      <xdr:colOff>479538</xdr:colOff>
      <xdr:row>154</xdr:row>
      <xdr:rowOff>11347</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7"/>
        <a:stretch>
          <a:fillRect/>
        </a:stretch>
      </xdr:blipFill>
      <xdr:spPr>
        <a:xfrm>
          <a:off x="8124044" y="29172188"/>
          <a:ext cx="6093906" cy="2798335"/>
        </a:xfrm>
        <a:prstGeom prst="rect">
          <a:avLst/>
        </a:prstGeom>
      </xdr:spPr>
    </xdr:pic>
    <xdr:clientData/>
  </xdr:twoCellAnchor>
  <xdr:twoCellAnchor editAs="oneCell">
    <xdr:from>
      <xdr:col>10</xdr:col>
      <xdr:colOff>480252</xdr:colOff>
      <xdr:row>141</xdr:row>
      <xdr:rowOff>307400</xdr:rowOff>
    </xdr:from>
    <xdr:to>
      <xdr:col>15</xdr:col>
      <xdr:colOff>148263</xdr:colOff>
      <xdr:row>149</xdr:row>
      <xdr:rowOff>121320</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8"/>
        <a:stretch>
          <a:fillRect/>
        </a:stretch>
      </xdr:blipFill>
      <xdr:spPr>
        <a:xfrm>
          <a:off x="8743190" y="24381838"/>
          <a:ext cx="3785917" cy="2615305"/>
        </a:xfrm>
        <a:prstGeom prst="rect">
          <a:avLst/>
        </a:prstGeom>
      </xdr:spPr>
    </xdr:pic>
    <xdr:clientData/>
  </xdr:twoCellAnchor>
  <xdr:twoCellAnchor editAs="oneCell">
    <xdr:from>
      <xdr:col>11</xdr:col>
      <xdr:colOff>223008</xdr:colOff>
      <xdr:row>154</xdr:row>
      <xdr:rowOff>451307</xdr:rowOff>
    </xdr:from>
    <xdr:to>
      <xdr:col>24</xdr:col>
      <xdr:colOff>344586</xdr:colOff>
      <xdr:row>162</xdr:row>
      <xdr:rowOff>372306</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
        <a:stretch>
          <a:fillRect/>
        </a:stretch>
      </xdr:blipFill>
      <xdr:spPr>
        <a:xfrm>
          <a:off x="9193826" y="30082716"/>
          <a:ext cx="9322427" cy="2934264"/>
        </a:xfrm>
        <a:prstGeom prst="rect">
          <a:avLst/>
        </a:prstGeom>
      </xdr:spPr>
    </xdr:pic>
    <xdr:clientData/>
  </xdr:twoCellAnchor>
  <xdr:twoCellAnchor editAs="oneCell">
    <xdr:from>
      <xdr:col>1</xdr:col>
      <xdr:colOff>200025</xdr:colOff>
      <xdr:row>340</xdr:row>
      <xdr:rowOff>38100</xdr:rowOff>
    </xdr:from>
    <xdr:to>
      <xdr:col>6</xdr:col>
      <xdr:colOff>502539</xdr:colOff>
      <xdr:row>358</xdr:row>
      <xdr:rowOff>63871</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0"/>
        <a:stretch>
          <a:fillRect/>
        </a:stretch>
      </xdr:blipFill>
      <xdr:spPr>
        <a:xfrm>
          <a:off x="962025" y="64589025"/>
          <a:ext cx="4391638" cy="3648584"/>
        </a:xfrm>
        <a:prstGeom prst="rect">
          <a:avLst/>
        </a:prstGeom>
        <a:ln>
          <a:solidFill>
            <a:sysClr val="windowText" lastClr="000000"/>
          </a:solidFill>
        </a:ln>
      </xdr:spPr>
    </xdr:pic>
    <xdr:clientData/>
  </xdr:twoCellAnchor>
  <xdr:twoCellAnchor>
    <xdr:from>
      <xdr:col>13</xdr:col>
      <xdr:colOff>107985</xdr:colOff>
      <xdr:row>12</xdr:row>
      <xdr:rowOff>77422</xdr:rowOff>
    </xdr:from>
    <xdr:to>
      <xdr:col>23</xdr:col>
      <xdr:colOff>178092</xdr:colOff>
      <xdr:row>29</xdr:row>
      <xdr:rowOff>18274</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10814085" y="3239722"/>
          <a:ext cx="6985257" cy="4693827"/>
          <a:chOff x="7395883" y="3832413"/>
          <a:chExt cx="6971912" cy="4647322"/>
        </a:xfrm>
      </xdr:grpSpPr>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1"/>
          <a:stretch>
            <a:fillRect/>
          </a:stretch>
        </xdr:blipFill>
        <xdr:spPr>
          <a:xfrm>
            <a:off x="7395883" y="3832413"/>
            <a:ext cx="6971912" cy="4647322"/>
          </a:xfrm>
          <a:prstGeom prst="rect">
            <a:avLst/>
          </a:prstGeom>
        </xdr:spPr>
      </xdr:pic>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11855573" y="5642982"/>
            <a:ext cx="1299882" cy="1759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a:solidFill>
                  <a:srgbClr val="FF0000"/>
                </a:solidFill>
              </a:rPr>
              <a:t>Builder Carpet Area Sheet</a:t>
            </a:r>
            <a:r>
              <a:rPr lang="en-IN" sz="1600" baseline="0">
                <a:solidFill>
                  <a:srgbClr val="FF0000"/>
                </a:solidFill>
              </a:rPr>
              <a:t> provided on mail</a:t>
            </a:r>
            <a:endParaRPr lang="en-IN" sz="1600">
              <a:solidFill>
                <a:srgbClr val="FF0000"/>
              </a:solidFill>
            </a:endParaRPr>
          </a:p>
        </xdr:txBody>
      </xdr:sp>
    </xdr:grpSp>
    <xdr:clientData/>
  </xdr:twoCellAnchor>
  <xdr:twoCellAnchor>
    <xdr:from>
      <xdr:col>13</xdr:col>
      <xdr:colOff>308015</xdr:colOff>
      <xdr:row>11</xdr:row>
      <xdr:rowOff>51956</xdr:rowOff>
    </xdr:from>
    <xdr:to>
      <xdr:col>29</xdr:col>
      <xdr:colOff>88823</xdr:colOff>
      <xdr:row>42</xdr:row>
      <xdr:rowOff>185470</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11014115" y="2633231"/>
          <a:ext cx="10353558" cy="8058314"/>
          <a:chOff x="12950288" y="2684319"/>
          <a:chExt cx="10310263" cy="8238424"/>
        </a:xfrm>
      </xdr:grpSpPr>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2"/>
          <a:stretch>
            <a:fillRect/>
          </a:stretch>
        </xdr:blipFill>
        <xdr:spPr>
          <a:xfrm>
            <a:off x="12950288" y="2684319"/>
            <a:ext cx="10310263" cy="8238424"/>
          </a:xfrm>
          <a:prstGeom prst="rect">
            <a:avLst/>
          </a:prstGeom>
        </xdr:spPr>
      </xdr:pic>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13417879" y="4087092"/>
            <a:ext cx="1752849" cy="3221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Builder Carpet Area Sheet</a:t>
            </a:r>
            <a:r>
              <a:rPr lang="en-IN" sz="1600" b="1" baseline="0">
                <a:solidFill>
                  <a:srgbClr val="FF0000"/>
                </a:solidFill>
              </a:rPr>
              <a:t> provided on mail</a:t>
            </a:r>
          </a:p>
          <a:p>
            <a:r>
              <a:rPr lang="en-IN" sz="1600" b="1" baseline="0">
                <a:solidFill>
                  <a:srgbClr val="FF0000"/>
                </a:solidFill>
              </a:rPr>
              <a:t>Area statemet matched therefore we have dtraft wing B</a:t>
            </a:r>
            <a:endParaRPr lang="en-IN" sz="1600" b="1">
              <a:solidFill>
                <a:srgbClr val="FF0000"/>
              </a:solidFill>
            </a:endParaRPr>
          </a:p>
        </xdr:txBody>
      </xdr:sp>
    </xdr:grpSp>
    <xdr:clientData/>
  </xdr:twoCellAnchor>
  <xdr:twoCellAnchor editAs="oneCell">
    <xdr:from>
      <xdr:col>0</xdr:col>
      <xdr:colOff>728382</xdr:colOff>
      <xdr:row>300</xdr:row>
      <xdr:rowOff>168088</xdr:rowOff>
    </xdr:from>
    <xdr:to>
      <xdr:col>7</xdr:col>
      <xdr:colOff>235033</xdr:colOff>
      <xdr:row>336</xdr:row>
      <xdr:rowOff>106677</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728382" y="67593882"/>
          <a:ext cx="5087180" cy="7200000"/>
        </a:xfrm>
        <a:prstGeom prst="rect">
          <a:avLst/>
        </a:prstGeom>
        <a:ln>
          <a:solidFill>
            <a:schemeClr val="tx1"/>
          </a:solidFill>
        </a:ln>
      </xdr:spPr>
    </xdr:pic>
    <xdr:clientData/>
  </xdr:twoCellAnchor>
  <xdr:twoCellAnchor>
    <xdr:from>
      <xdr:col>8</xdr:col>
      <xdr:colOff>303917</xdr:colOff>
      <xdr:row>212</xdr:row>
      <xdr:rowOff>172101</xdr:rowOff>
    </xdr:from>
    <xdr:to>
      <xdr:col>14</xdr:col>
      <xdr:colOff>590077</xdr:colOff>
      <xdr:row>253</xdr:row>
      <xdr:rowOff>105840</xdr:rowOff>
    </xdr:to>
    <xdr:grpSp>
      <xdr:nvGrpSpPr>
        <xdr:cNvPr id="41" name="Group 40">
          <a:extLst>
            <a:ext uri="{FF2B5EF4-FFF2-40B4-BE49-F238E27FC236}">
              <a16:creationId xmlns:a16="http://schemas.microsoft.com/office/drawing/2014/main" id="{00000000-0008-0000-0000-000029000000}"/>
            </a:ext>
          </a:extLst>
        </xdr:cNvPr>
        <xdr:cNvGrpSpPr/>
      </xdr:nvGrpSpPr>
      <xdr:grpSpPr>
        <a:xfrm>
          <a:off x="6618992" y="48587676"/>
          <a:ext cx="5515385" cy="8134764"/>
          <a:chOff x="640318" y="-277720"/>
          <a:chExt cx="5843625" cy="8616301"/>
        </a:xfrm>
      </xdr:grpSpPr>
      <xdr:pic>
        <xdr:nvPicPr>
          <xdr:cNvPr id="42" name="Picture 41" descr="https://vsjcllp.vsjadon.com/upload/insp-225896-1525.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606230" y="617858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25896-843.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3606229" y="3931459"/>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25896-845.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892969" y="6178581"/>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25896-847.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860373" y="-277720"/>
            <a:ext cx="5491713" cy="41220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25896-861.jpg">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640318" y="3931459"/>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152400</xdr:colOff>
      <xdr:row>214</xdr:row>
      <xdr:rowOff>9524</xdr:rowOff>
    </xdr:from>
    <xdr:to>
      <xdr:col>7</xdr:col>
      <xdr:colOff>457200</xdr:colOff>
      <xdr:row>240</xdr:row>
      <xdr:rowOff>2871</xdr:rowOff>
    </xdr:to>
    <xdr:grpSp>
      <xdr:nvGrpSpPr>
        <xdr:cNvPr id="47" name="Group 46">
          <a:extLst>
            <a:ext uri="{FF2B5EF4-FFF2-40B4-BE49-F238E27FC236}">
              <a16:creationId xmlns:a16="http://schemas.microsoft.com/office/drawing/2014/main" id="{DFE01852-3C7E-4B75-B7C8-83C8A3262A1C}"/>
            </a:ext>
          </a:extLst>
        </xdr:cNvPr>
        <xdr:cNvGrpSpPr/>
      </xdr:nvGrpSpPr>
      <xdr:grpSpPr>
        <a:xfrm>
          <a:off x="152400" y="48825149"/>
          <a:ext cx="5886450" cy="5193997"/>
          <a:chOff x="383478" y="518247"/>
          <a:chExt cx="6091044" cy="5260672"/>
        </a:xfrm>
      </xdr:grpSpPr>
      <xdr:pic>
        <xdr:nvPicPr>
          <xdr:cNvPr id="48" name="Picture 47">
            <a:extLst>
              <a:ext uri="{FF2B5EF4-FFF2-40B4-BE49-F238E27FC236}">
                <a16:creationId xmlns:a16="http://schemas.microsoft.com/office/drawing/2014/main" id="{505B534A-EDA4-4CEA-8E6E-5AB0BDE90CFD}"/>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83478" y="518247"/>
            <a:ext cx="6091044" cy="3648379"/>
          </a:xfrm>
          <a:prstGeom prst="rect">
            <a:avLst/>
          </a:prstGeom>
          <a:ln>
            <a:solidFill>
              <a:schemeClr val="tx1"/>
            </a:solidFill>
          </a:ln>
        </xdr:spPr>
      </xdr:pic>
      <xdr:pic>
        <xdr:nvPicPr>
          <xdr:cNvPr id="49" name="Picture 48">
            <a:extLst>
              <a:ext uri="{FF2B5EF4-FFF2-40B4-BE49-F238E27FC236}">
                <a16:creationId xmlns:a16="http://schemas.microsoft.com/office/drawing/2014/main" id="{DD6E72B1-0167-4A4D-9294-CE818B3F43E6}"/>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83478" y="4338919"/>
            <a:ext cx="1918222" cy="1440000"/>
          </a:xfrm>
          <a:prstGeom prst="rect">
            <a:avLst/>
          </a:prstGeom>
          <a:ln>
            <a:solidFill>
              <a:schemeClr val="tx1"/>
            </a:solidFill>
          </a:ln>
        </xdr:spPr>
      </xdr:pic>
      <xdr:pic>
        <xdr:nvPicPr>
          <xdr:cNvPr id="50" name="Picture 49">
            <a:extLst>
              <a:ext uri="{FF2B5EF4-FFF2-40B4-BE49-F238E27FC236}">
                <a16:creationId xmlns:a16="http://schemas.microsoft.com/office/drawing/2014/main" id="{60A4EA92-AE9A-44ED-9A7C-2BB7E81C920F}"/>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451960" y="4338919"/>
            <a:ext cx="1918222" cy="1440000"/>
          </a:xfrm>
          <a:prstGeom prst="rect">
            <a:avLst/>
          </a:prstGeom>
          <a:ln>
            <a:solidFill>
              <a:schemeClr val="tx1"/>
            </a:solidFill>
          </a:ln>
        </xdr:spPr>
      </xdr:pic>
      <xdr:pic>
        <xdr:nvPicPr>
          <xdr:cNvPr id="51" name="Picture 50">
            <a:extLst>
              <a:ext uri="{FF2B5EF4-FFF2-40B4-BE49-F238E27FC236}">
                <a16:creationId xmlns:a16="http://schemas.microsoft.com/office/drawing/2014/main" id="{60900C5F-4B3B-497D-B873-C3CCFBB7C1A3}"/>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556300" y="4338919"/>
            <a:ext cx="1918222" cy="14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Hp2ka4ibavEUu7s5"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40"/>
  <sheetViews>
    <sheetView tabSelected="1" view="pageBreakPreview" topLeftCell="A177" zoomScaleNormal="100" zoomScaleSheetLayoutView="100" zoomScalePageLayoutView="85" workbookViewId="0">
      <selection activeCell="I192" sqref="I19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01" t="s">
        <v>155</v>
      </c>
      <c r="B1" s="201"/>
      <c r="C1" s="201"/>
      <c r="D1" s="201"/>
      <c r="E1" s="201"/>
      <c r="F1" s="201"/>
      <c r="G1" s="201"/>
      <c r="H1" s="201"/>
    </row>
    <row r="2" spans="1:26" ht="16.5" customHeight="1" x14ac:dyDescent="0.25">
      <c r="A2" s="194" t="s">
        <v>0</v>
      </c>
      <c r="B2" s="194"/>
      <c r="C2" s="194"/>
      <c r="D2" s="194"/>
      <c r="E2" s="194"/>
      <c r="F2" s="194"/>
      <c r="G2" s="194"/>
      <c r="H2" s="194"/>
    </row>
    <row r="3" spans="1:26" x14ac:dyDescent="0.25">
      <c r="A3" s="126" t="s">
        <v>1</v>
      </c>
      <c r="B3" s="126"/>
      <c r="C3" s="126"/>
      <c r="D3" s="126"/>
      <c r="E3" s="126" t="str">
        <f ca="1">TEXT(TODAY(),"DD/MM/YYYY")</f>
        <v>10/07/2025</v>
      </c>
      <c r="F3" s="126"/>
      <c r="G3" s="126"/>
      <c r="H3" s="126"/>
      <c r="K3" s="60" t="s">
        <v>225</v>
      </c>
      <c r="L3" s="56" t="s">
        <v>223</v>
      </c>
      <c r="M3" s="56" t="s">
        <v>228</v>
      </c>
      <c r="N3" s="56" t="s">
        <v>226</v>
      </c>
      <c r="O3" s="56" t="s">
        <v>345</v>
      </c>
      <c r="P3" s="56" t="s">
        <v>229</v>
      </c>
    </row>
    <row r="4" spans="1:26" ht="15" customHeight="1" x14ac:dyDescent="0.25">
      <c r="A4" s="126" t="s">
        <v>222</v>
      </c>
      <c r="B4" s="126"/>
      <c r="C4" s="126"/>
      <c r="D4" s="126"/>
      <c r="E4" s="126" t="s">
        <v>223</v>
      </c>
      <c r="F4" s="126"/>
      <c r="G4" s="126"/>
      <c r="H4" s="126"/>
      <c r="K4" s="55" t="s">
        <v>224</v>
      </c>
      <c r="L4" s="56" t="s">
        <v>161</v>
      </c>
      <c r="M4" s="56" t="s">
        <v>233</v>
      </c>
      <c r="N4" s="56" t="s">
        <v>235</v>
      </c>
      <c r="O4" s="56" t="s">
        <v>330</v>
      </c>
      <c r="P4" s="56"/>
    </row>
    <row r="5" spans="1:26" ht="15" customHeight="1" x14ac:dyDescent="0.25">
      <c r="A5" s="126" t="s">
        <v>2</v>
      </c>
      <c r="B5" s="126"/>
      <c r="C5" s="126"/>
      <c r="D5" s="126"/>
      <c r="E5" s="126" t="s">
        <v>230</v>
      </c>
      <c r="F5" s="126"/>
      <c r="G5" s="126"/>
      <c r="H5" s="126"/>
      <c r="K5" s="55"/>
      <c r="L5" s="56" t="s">
        <v>230</v>
      </c>
      <c r="M5" s="56" t="s">
        <v>234</v>
      </c>
      <c r="N5" s="56" t="s">
        <v>236</v>
      </c>
      <c r="O5" s="56" t="s">
        <v>331</v>
      </c>
      <c r="P5" s="56"/>
    </row>
    <row r="6" spans="1:26" x14ac:dyDescent="0.25">
      <c r="A6" s="126" t="s">
        <v>3</v>
      </c>
      <c r="B6" s="126"/>
      <c r="C6" s="126"/>
      <c r="D6" s="126"/>
      <c r="E6" s="202">
        <v>45847</v>
      </c>
      <c r="F6" s="126"/>
      <c r="G6" s="126"/>
      <c r="H6" s="126"/>
      <c r="K6" s="55"/>
      <c r="L6" s="56" t="s">
        <v>231</v>
      </c>
      <c r="M6" s="56" t="s">
        <v>343</v>
      </c>
      <c r="N6" s="56"/>
      <c r="O6" s="56" t="s">
        <v>332</v>
      </c>
      <c r="P6" s="56"/>
    </row>
    <row r="7" spans="1:26" ht="16.5" customHeight="1" x14ac:dyDescent="0.25">
      <c r="A7" s="126" t="s">
        <v>4</v>
      </c>
      <c r="B7" s="126"/>
      <c r="C7" s="126"/>
      <c r="D7" s="126"/>
      <c r="E7" s="126" t="s">
        <v>408</v>
      </c>
      <c r="F7" s="126"/>
      <c r="G7" s="126"/>
      <c r="H7" s="126"/>
      <c r="K7" s="55"/>
      <c r="L7" s="56" t="s">
        <v>232</v>
      </c>
      <c r="M7" s="56"/>
      <c r="N7" s="56"/>
      <c r="O7" s="56" t="s">
        <v>332</v>
      </c>
      <c r="P7" s="56"/>
    </row>
    <row r="8" spans="1:26" ht="15" customHeight="1" x14ac:dyDescent="0.25">
      <c r="A8" s="126" t="s">
        <v>5</v>
      </c>
      <c r="B8" s="126"/>
      <c r="C8" s="126"/>
      <c r="D8" s="126"/>
      <c r="E8" s="126" t="s">
        <v>346</v>
      </c>
      <c r="F8" s="126"/>
      <c r="G8" s="126"/>
      <c r="H8" s="126"/>
      <c r="K8" s="55"/>
      <c r="L8" s="56"/>
      <c r="M8" s="56"/>
      <c r="N8" s="56"/>
      <c r="O8" s="56" t="s">
        <v>333</v>
      </c>
      <c r="P8" s="56"/>
    </row>
    <row r="9" spans="1:26" x14ac:dyDescent="0.25">
      <c r="A9" s="126" t="s">
        <v>6</v>
      </c>
      <c r="B9" s="126"/>
      <c r="C9" s="126"/>
      <c r="D9" s="126"/>
      <c r="E9" s="135" t="s">
        <v>347</v>
      </c>
      <c r="F9" s="135"/>
      <c r="G9" s="135"/>
      <c r="H9" s="135"/>
      <c r="K9" s="55"/>
      <c r="L9" s="56"/>
      <c r="M9" s="56"/>
      <c r="N9" s="56"/>
      <c r="O9" s="56" t="s">
        <v>334</v>
      </c>
      <c r="P9" s="56"/>
    </row>
    <row r="10" spans="1:26" x14ac:dyDescent="0.25">
      <c r="A10" s="126" t="s">
        <v>158</v>
      </c>
      <c r="B10" s="126"/>
      <c r="C10" s="126"/>
      <c r="D10" s="126"/>
      <c r="E10" s="126" t="s">
        <v>348</v>
      </c>
      <c r="F10" s="126"/>
      <c r="G10" s="126"/>
      <c r="H10" s="126"/>
      <c r="K10" s="55"/>
      <c r="L10" s="56"/>
      <c r="M10" s="56"/>
      <c r="N10" s="56"/>
      <c r="O10" s="56" t="s">
        <v>335</v>
      </c>
      <c r="P10" s="56"/>
    </row>
    <row r="11" spans="1:26" x14ac:dyDescent="0.25">
      <c r="A11" s="126" t="s">
        <v>159</v>
      </c>
      <c r="B11" s="126"/>
      <c r="C11" s="126"/>
      <c r="D11" s="126"/>
      <c r="E11" s="126" t="s">
        <v>348</v>
      </c>
      <c r="F11" s="126"/>
      <c r="G11" s="126"/>
      <c r="H11" s="126"/>
      <c r="O11" s="56" t="s">
        <v>336</v>
      </c>
    </row>
    <row r="12" spans="1:26" ht="45.75" customHeight="1" x14ac:dyDescent="0.25">
      <c r="A12" s="126" t="s">
        <v>7</v>
      </c>
      <c r="B12" s="126"/>
      <c r="C12" s="126"/>
      <c r="D12" s="126"/>
      <c r="E12" s="111" t="s">
        <v>386</v>
      </c>
      <c r="F12" s="111" t="s">
        <v>378</v>
      </c>
      <c r="G12" s="300" t="s">
        <v>368</v>
      </c>
      <c r="H12" s="300"/>
    </row>
    <row r="13" spans="1:26" x14ac:dyDescent="0.25">
      <c r="A13" s="126" t="s">
        <v>162</v>
      </c>
      <c r="B13" s="126"/>
      <c r="C13" s="126"/>
      <c r="D13" s="126"/>
      <c r="E13" s="126" t="s">
        <v>27</v>
      </c>
      <c r="F13" s="126"/>
      <c r="G13" s="126"/>
      <c r="H13" s="126"/>
      <c r="S13" s="56" t="s">
        <v>169</v>
      </c>
      <c r="T13" s="56" t="s">
        <v>178</v>
      </c>
      <c r="U13" s="56" t="s">
        <v>163</v>
      </c>
      <c r="V13" s="56" t="s">
        <v>183</v>
      </c>
      <c r="W13" s="56" t="s">
        <v>201</v>
      </c>
      <c r="X13"/>
      <c r="Y13" t="s">
        <v>183</v>
      </c>
      <c r="Z13" t="e">
        <f ca="1">OFFSET($S$13,1,MATCH($G23,$S$13:$W$13,0)-1,15,1)</f>
        <v>#VALUE!</v>
      </c>
    </row>
    <row r="14" spans="1:26" ht="30.75" customHeight="1" x14ac:dyDescent="0.25">
      <c r="A14" s="220" t="s">
        <v>268</v>
      </c>
      <c r="B14" s="220"/>
      <c r="C14" s="220"/>
      <c r="D14" s="220"/>
      <c r="E14" s="203" t="s">
        <v>410</v>
      </c>
      <c r="F14" s="203"/>
      <c r="G14" s="203"/>
      <c r="H14" s="203"/>
      <c r="S14" s="56" t="s">
        <v>169</v>
      </c>
      <c r="T14" s="56" t="s">
        <v>176</v>
      </c>
      <c r="U14" s="56" t="s">
        <v>198</v>
      </c>
      <c r="V14" s="56" t="s">
        <v>184</v>
      </c>
      <c r="W14" s="56" t="s">
        <v>202</v>
      </c>
      <c r="X14"/>
      <c r="Y14"/>
      <c r="Z14"/>
    </row>
    <row r="15" spans="1:26" ht="31.5" customHeight="1" x14ac:dyDescent="0.25">
      <c r="A15" s="205" t="s">
        <v>372</v>
      </c>
      <c r="B15" s="206"/>
      <c r="C15" s="206"/>
      <c r="D15" s="207"/>
      <c r="E15" s="291" t="s">
        <v>373</v>
      </c>
      <c r="F15" s="292"/>
      <c r="G15" s="292"/>
      <c r="H15" s="293"/>
      <c r="I15" s="137" t="e">
        <f ca="1">OFFSET($D$5,1,MATCH($J12,$D$5:$H$5,0)-1,15,1)</f>
        <v>#N/A</v>
      </c>
      <c r="J15" s="138"/>
      <c r="K15" s="138"/>
      <c r="L15" s="138"/>
      <c r="M15" s="138"/>
      <c r="N15" s="138"/>
      <c r="O15" s="138"/>
      <c r="P15" s="138"/>
      <c r="S15" s="56" t="s">
        <v>170</v>
      </c>
      <c r="T15" s="56" t="s">
        <v>177</v>
      </c>
      <c r="U15" s="56" t="s">
        <v>199</v>
      </c>
      <c r="V15" s="56" t="s">
        <v>185</v>
      </c>
      <c r="W15" s="56" t="s">
        <v>215</v>
      </c>
      <c r="X15"/>
      <c r="Y15"/>
      <c r="Z15"/>
    </row>
    <row r="16" spans="1:26" ht="34.5" customHeight="1" x14ac:dyDescent="0.25">
      <c r="A16" s="208"/>
      <c r="B16" s="209"/>
      <c r="C16" s="209"/>
      <c r="D16" s="210"/>
      <c r="E16" s="222" t="s">
        <v>409</v>
      </c>
      <c r="F16" s="222"/>
      <c r="G16" s="282" t="s">
        <v>375</v>
      </c>
      <c r="H16" s="283"/>
      <c r="I16" s="137" t="e">
        <f ca="1">OFFSET($D$5,1,MATCH($J13,$D$5:$H$5,0)-1,15,1)</f>
        <v>#N/A</v>
      </c>
      <c r="J16" s="138"/>
      <c r="K16" s="138"/>
      <c r="L16" s="138"/>
      <c r="M16" s="138"/>
      <c r="N16" s="138"/>
      <c r="O16" s="138"/>
      <c r="P16" s="138"/>
      <c r="S16" s="56" t="s">
        <v>170</v>
      </c>
      <c r="T16" s="56" t="s">
        <v>177</v>
      </c>
      <c r="U16" s="56" t="s">
        <v>199</v>
      </c>
      <c r="V16" s="56" t="s">
        <v>185</v>
      </c>
      <c r="W16" s="56" t="s">
        <v>215</v>
      </c>
      <c r="X16"/>
      <c r="Y16"/>
      <c r="Z16"/>
    </row>
    <row r="17" spans="1:26" x14ac:dyDescent="0.25">
      <c r="A17" s="208"/>
      <c r="B17" s="209"/>
      <c r="C17" s="209"/>
      <c r="D17" s="210"/>
      <c r="E17" s="214" t="s">
        <v>374</v>
      </c>
      <c r="F17" s="215"/>
      <c r="G17" s="223" t="s">
        <v>376</v>
      </c>
      <c r="H17" s="224"/>
      <c r="I17" s="110"/>
      <c r="J17" s="110"/>
      <c r="K17" s="110"/>
      <c r="L17" s="110"/>
      <c r="M17" s="110"/>
      <c r="N17" s="110"/>
      <c r="O17" s="110"/>
      <c r="P17" s="110"/>
      <c r="S17" s="56"/>
      <c r="T17" s="56"/>
      <c r="U17" s="56"/>
      <c r="V17" s="56"/>
      <c r="W17" s="56"/>
      <c r="X17"/>
      <c r="Y17"/>
      <c r="Z17"/>
    </row>
    <row r="18" spans="1:26" x14ac:dyDescent="0.25">
      <c r="A18" s="211"/>
      <c r="B18" s="212"/>
      <c r="C18" s="212"/>
      <c r="D18" s="213"/>
      <c r="E18" s="216"/>
      <c r="F18" s="217"/>
      <c r="G18" s="218" t="s">
        <v>377</v>
      </c>
      <c r="H18" s="219"/>
      <c r="I18" s="110"/>
      <c r="J18" s="110"/>
      <c r="K18" s="110"/>
      <c r="L18" s="110"/>
      <c r="M18" s="110"/>
      <c r="N18" s="110"/>
      <c r="O18" s="110"/>
      <c r="P18" s="110"/>
      <c r="S18" s="56"/>
      <c r="T18" s="56"/>
      <c r="U18" s="56"/>
      <c r="V18" s="56"/>
      <c r="W18" s="56"/>
      <c r="X18"/>
      <c r="Y18"/>
      <c r="Z18"/>
    </row>
    <row r="19" spans="1:26" ht="53.25" customHeight="1" x14ac:dyDescent="0.25">
      <c r="A19" s="150" t="s">
        <v>8</v>
      </c>
      <c r="B19" s="150"/>
      <c r="C19" s="150" t="str">
        <f>CONCATENATE((IF(OR(E9="",E9="NA"),"",E9)),", ",(IF(OR(A20="",A20="NA"),"",A20)),".",(IF(OR(C20="",C20="NA"),"",C20)),", near ",(IF(OR(C25="",C25="NA"),"",C25)),", ",(IF(OR(C22="",C22="NA"),"",C22)),", ",(IF(OR(C21="",C21="NA"),"",C21)),", ",(IF(OR(G22="",G22="NA"),"",G22)),", ",(IF(OR(C23="",C23="NA"),"",C23)),", ",(IF(OR(C24="",C24="NA"),"",C24)),", ",(IF(OR(G23="",G23="NA"),"",G23))," - ",(IF(OR(G24="",G24="NA"),"",G24)),".")</f>
        <v>Hanging Garden Palava, Survey No.35/6 (Pt), 35/7(Pt), 35/4A(Pt), 172/1(Pt), 172/2(Pt), 35/9(Pt), 173/(Pt), 172/3(Pt), near Casa Azzurra, Internal Road, Khoni, Khoni, Nilaje East, Kalyan, Thane - 421204.</v>
      </c>
      <c r="D19" s="150"/>
      <c r="E19" s="150"/>
      <c r="F19" s="150"/>
      <c r="G19" s="150"/>
      <c r="H19" s="150"/>
      <c r="S19" s="56" t="s">
        <v>171</v>
      </c>
      <c r="T19" s="56" t="s">
        <v>179</v>
      </c>
      <c r="U19" s="56" t="s">
        <v>200</v>
      </c>
      <c r="V19" s="56" t="s">
        <v>186</v>
      </c>
      <c r="W19" s="56" t="s">
        <v>203</v>
      </c>
      <c r="X19"/>
      <c r="Y19"/>
      <c r="Z19"/>
    </row>
    <row r="20" spans="1:26" ht="18" customHeight="1" x14ac:dyDescent="0.25">
      <c r="A20" s="203" t="s">
        <v>407</v>
      </c>
      <c r="B20" s="203"/>
      <c r="C20" s="203" t="s">
        <v>404</v>
      </c>
      <c r="D20" s="203"/>
      <c r="E20" s="203"/>
      <c r="F20" s="203"/>
      <c r="G20" s="203"/>
      <c r="H20" s="203"/>
      <c r="I20" s="290"/>
      <c r="J20" s="290"/>
      <c r="S20" s="56" t="s">
        <v>172</v>
      </c>
      <c r="T20" s="56" t="s">
        <v>180</v>
      </c>
      <c r="U20" s="56" t="s">
        <v>163</v>
      </c>
      <c r="V20" s="56" t="s">
        <v>187</v>
      </c>
      <c r="W20" s="56" t="s">
        <v>204</v>
      </c>
      <c r="X20"/>
      <c r="Y20"/>
      <c r="Z20"/>
    </row>
    <row r="21" spans="1:26" ht="15.75" customHeight="1" x14ac:dyDescent="0.25">
      <c r="A21" s="203" t="s">
        <v>153</v>
      </c>
      <c r="B21" s="203"/>
      <c r="C21" s="203" t="s">
        <v>403</v>
      </c>
      <c r="D21" s="203"/>
      <c r="E21" s="203"/>
      <c r="F21" s="203"/>
      <c r="G21" s="203"/>
      <c r="H21" s="203"/>
      <c r="I21" s="290"/>
      <c r="J21" s="290"/>
      <c r="S21" s="56" t="s">
        <v>173</v>
      </c>
      <c r="T21" s="56" t="s">
        <v>178</v>
      </c>
      <c r="U21" s="56"/>
      <c r="V21" s="56" t="s">
        <v>188</v>
      </c>
      <c r="W21" s="56" t="s">
        <v>205</v>
      </c>
      <c r="X21"/>
      <c r="Y21"/>
      <c r="Z21"/>
    </row>
    <row r="22" spans="1:26" ht="15.75" customHeight="1" x14ac:dyDescent="0.25">
      <c r="A22" s="150" t="s">
        <v>9</v>
      </c>
      <c r="B22" s="150"/>
      <c r="C22" s="126" t="s">
        <v>349</v>
      </c>
      <c r="D22" s="126"/>
      <c r="E22" s="150" t="s">
        <v>68</v>
      </c>
      <c r="F22" s="150"/>
      <c r="G22" s="203" t="s">
        <v>403</v>
      </c>
      <c r="H22" s="203"/>
      <c r="S22" s="56" t="s">
        <v>174</v>
      </c>
      <c r="T22" s="56" t="s">
        <v>181</v>
      </c>
      <c r="U22" s="56"/>
      <c r="V22" s="56" t="s">
        <v>189</v>
      </c>
      <c r="W22" s="56" t="s">
        <v>206</v>
      </c>
      <c r="X22"/>
      <c r="Y22"/>
      <c r="Z22"/>
    </row>
    <row r="23" spans="1:26" x14ac:dyDescent="0.25">
      <c r="A23" s="146" t="s">
        <v>11</v>
      </c>
      <c r="B23" s="146"/>
      <c r="C23" s="203" t="s">
        <v>406</v>
      </c>
      <c r="D23" s="203"/>
      <c r="E23" s="150" t="s">
        <v>10</v>
      </c>
      <c r="F23" s="150"/>
      <c r="G23" s="204" t="s">
        <v>169</v>
      </c>
      <c r="H23" s="204"/>
      <c r="S23" s="56" t="s">
        <v>175</v>
      </c>
      <c r="T23" s="56" t="s">
        <v>182</v>
      </c>
      <c r="U23" s="56"/>
      <c r="V23" s="56" t="s">
        <v>190</v>
      </c>
      <c r="W23" s="56" t="s">
        <v>207</v>
      </c>
      <c r="X23"/>
      <c r="Y23"/>
      <c r="Z23"/>
    </row>
    <row r="24" spans="1:26" x14ac:dyDescent="0.25">
      <c r="A24" s="146" t="s">
        <v>69</v>
      </c>
      <c r="B24" s="146"/>
      <c r="C24" s="221" t="s">
        <v>171</v>
      </c>
      <c r="D24" s="221"/>
      <c r="E24" s="150" t="s">
        <v>12</v>
      </c>
      <c r="F24" s="150"/>
      <c r="G24" s="221">
        <v>421204</v>
      </c>
      <c r="H24" s="221"/>
      <c r="S24" s="56"/>
      <c r="T24" s="56"/>
      <c r="U24" s="56"/>
      <c r="V24" s="56" t="s">
        <v>191</v>
      </c>
      <c r="W24" s="56" t="s">
        <v>208</v>
      </c>
      <c r="X24"/>
      <c r="Y24"/>
      <c r="Z24"/>
    </row>
    <row r="25" spans="1:26" ht="32.25" customHeight="1" x14ac:dyDescent="0.25">
      <c r="A25" s="146" t="s">
        <v>112</v>
      </c>
      <c r="B25" s="146"/>
      <c r="C25" s="203" t="s">
        <v>350</v>
      </c>
      <c r="D25" s="203"/>
      <c r="E25" s="150" t="s">
        <v>13</v>
      </c>
      <c r="F25" s="150"/>
      <c r="G25" s="221" t="s">
        <v>405</v>
      </c>
      <c r="H25" s="221"/>
      <c r="S25" s="56"/>
      <c r="T25" s="56"/>
      <c r="U25" s="56"/>
      <c r="V25" s="56" t="s">
        <v>192</v>
      </c>
      <c r="W25" s="56" t="s">
        <v>209</v>
      </c>
      <c r="X25"/>
      <c r="Y25"/>
      <c r="Z25"/>
    </row>
    <row r="26" spans="1:26" ht="15" customHeight="1" x14ac:dyDescent="0.25">
      <c r="A26" s="150" t="s">
        <v>71</v>
      </c>
      <c r="B26" s="150"/>
      <c r="C26" s="150"/>
      <c r="D26" s="150"/>
      <c r="E26" s="126" t="s">
        <v>14</v>
      </c>
      <c r="F26" s="126"/>
      <c r="G26" s="126"/>
      <c r="H26" s="126"/>
      <c r="S26" s="56"/>
      <c r="T26" s="56"/>
      <c r="U26" s="56"/>
      <c r="V26" s="56" t="s">
        <v>193</v>
      </c>
      <c r="W26" s="56" t="s">
        <v>210</v>
      </c>
      <c r="X26"/>
      <c r="Y26"/>
      <c r="Z26"/>
    </row>
    <row r="27" spans="1:26" ht="18.75" customHeight="1" x14ac:dyDescent="0.25">
      <c r="A27" s="150"/>
      <c r="B27" s="150"/>
      <c r="C27" s="150"/>
      <c r="D27" s="150"/>
      <c r="E27" s="126"/>
      <c r="F27" s="126"/>
      <c r="G27" s="126"/>
      <c r="H27" s="126"/>
      <c r="S27" s="56"/>
      <c r="T27" s="56"/>
      <c r="U27" s="56"/>
      <c r="V27" s="56" t="s">
        <v>194</v>
      </c>
      <c r="W27" s="56" t="s">
        <v>211</v>
      </c>
      <c r="X27"/>
      <c r="Y27"/>
      <c r="Z27"/>
    </row>
    <row r="28" spans="1:26" ht="15" customHeight="1" x14ac:dyDescent="0.25">
      <c r="A28" s="150" t="s">
        <v>15</v>
      </c>
      <c r="B28" s="150"/>
      <c r="C28" s="150"/>
      <c r="D28" s="150"/>
      <c r="E28" s="203" t="s">
        <v>16</v>
      </c>
      <c r="F28" s="203"/>
      <c r="G28" s="203"/>
      <c r="H28" s="203"/>
      <c r="S28" s="56"/>
      <c r="T28" s="56"/>
      <c r="U28" s="56"/>
      <c r="V28" s="56" t="s">
        <v>195</v>
      </c>
      <c r="W28" s="56" t="s">
        <v>212</v>
      </c>
      <c r="X28"/>
      <c r="Y28"/>
      <c r="Z28"/>
    </row>
    <row r="29" spans="1:26" ht="15" customHeight="1" x14ac:dyDescent="0.25">
      <c r="A29" s="146" t="s">
        <v>17</v>
      </c>
      <c r="B29" s="146"/>
      <c r="C29" s="146"/>
      <c r="D29" s="146"/>
      <c r="E29" s="203" t="str">
        <f>IF(AND(G23="Mumbai"),"Upper Class","Middle Class")</f>
        <v>Middle Class</v>
      </c>
      <c r="F29" s="203"/>
      <c r="G29" s="203"/>
      <c r="H29" s="203"/>
      <c r="S29" s="56"/>
      <c r="T29" s="56"/>
      <c r="U29" s="56"/>
      <c r="V29" s="56" t="s">
        <v>196</v>
      </c>
      <c r="W29" s="56" t="s">
        <v>213</v>
      </c>
      <c r="X29"/>
      <c r="Y29"/>
      <c r="Z29"/>
    </row>
    <row r="30" spans="1:26" x14ac:dyDescent="0.25">
      <c r="A30" s="146" t="s">
        <v>18</v>
      </c>
      <c r="B30" s="146"/>
      <c r="C30" s="146"/>
      <c r="D30" s="146"/>
      <c r="E30" s="203" t="s">
        <v>19</v>
      </c>
      <c r="F30" s="203"/>
      <c r="G30" s="203"/>
      <c r="H30" s="203"/>
      <c r="S30" s="56"/>
      <c r="T30" s="56"/>
      <c r="U30" s="56"/>
      <c r="V30" s="56" t="s">
        <v>197</v>
      </c>
      <c r="W30" s="56" t="s">
        <v>214</v>
      </c>
      <c r="X30"/>
      <c r="Y30"/>
      <c r="Z30"/>
    </row>
    <row r="31" spans="1:26" ht="15.75" customHeight="1" x14ac:dyDescent="0.25">
      <c r="A31" s="146" t="s">
        <v>20</v>
      </c>
      <c r="B31" s="146"/>
      <c r="C31" s="146"/>
      <c r="D31" s="146"/>
      <c r="E31" s="203" t="str">
        <f>IF(AND(G23="Mumbai"),"Developed","Developing")</f>
        <v>Developing</v>
      </c>
      <c r="F31" s="203"/>
      <c r="G31" s="203"/>
      <c r="H31" s="203"/>
    </row>
    <row r="32" spans="1:26" x14ac:dyDescent="0.25">
      <c r="A32" s="146" t="s">
        <v>21</v>
      </c>
      <c r="B32" s="146"/>
      <c r="C32" s="146"/>
      <c r="D32" s="146"/>
      <c r="E32" s="203" t="s">
        <v>22</v>
      </c>
      <c r="F32" s="203"/>
      <c r="G32" s="203"/>
      <c r="H32" s="203"/>
    </row>
    <row r="33" spans="1:19" ht="15.75" customHeight="1" x14ac:dyDescent="0.25">
      <c r="A33" s="146" t="s">
        <v>76</v>
      </c>
      <c r="B33" s="146"/>
      <c r="C33" s="146"/>
      <c r="D33" s="146"/>
      <c r="E33" s="203" t="s">
        <v>77</v>
      </c>
      <c r="F33" s="203"/>
      <c r="G33" s="203"/>
      <c r="H33" s="203"/>
    </row>
    <row r="34" spans="1:19" ht="15" customHeight="1" x14ac:dyDescent="0.25">
      <c r="A34" s="146" t="s">
        <v>29</v>
      </c>
      <c r="B34" s="146"/>
      <c r="C34" s="146"/>
      <c r="D34" s="146"/>
      <c r="E34" s="203"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4" s="203"/>
      <c r="G34" s="203"/>
      <c r="H34" s="203"/>
    </row>
    <row r="35" spans="1:19" ht="15.75" customHeight="1" x14ac:dyDescent="0.25">
      <c r="A35" s="146" t="s">
        <v>87</v>
      </c>
      <c r="B35" s="146"/>
      <c r="C35" s="146"/>
      <c r="D35" s="146"/>
      <c r="E35" s="203" t="s">
        <v>30</v>
      </c>
      <c r="F35" s="203"/>
      <c r="G35" s="203"/>
      <c r="H35" s="203"/>
    </row>
    <row r="36" spans="1:19" s="22" customFormat="1" x14ac:dyDescent="0.25">
      <c r="A36" s="236" t="s">
        <v>88</v>
      </c>
      <c r="B36" s="236"/>
      <c r="C36" s="233" t="s">
        <v>164</v>
      </c>
      <c r="D36" s="234"/>
      <c r="E36" s="235"/>
      <c r="F36" s="233" t="s">
        <v>28</v>
      </c>
      <c r="G36" s="234"/>
      <c r="H36" s="235"/>
      <c r="S36" s="22" t="e">
        <f ca="1">OFFSET($S$13,1,MATCH($G23,$S$13:$W$13,0)-1,15,1)</f>
        <v>#VALUE!</v>
      </c>
    </row>
    <row r="37" spans="1:19" s="22" customFormat="1" x14ac:dyDescent="0.25">
      <c r="A37" s="225" t="s">
        <v>23</v>
      </c>
      <c r="B37" s="225" t="s">
        <v>27</v>
      </c>
      <c r="C37" s="226" t="s">
        <v>379</v>
      </c>
      <c r="D37" s="227"/>
      <c r="E37" s="228"/>
      <c r="F37" s="226" t="s">
        <v>353</v>
      </c>
      <c r="G37" s="227"/>
      <c r="H37" s="228"/>
    </row>
    <row r="38" spans="1:19" x14ac:dyDescent="0.25">
      <c r="A38" s="225" t="s">
        <v>24</v>
      </c>
      <c r="B38" s="225" t="s">
        <v>27</v>
      </c>
      <c r="C38" s="226" t="s">
        <v>380</v>
      </c>
      <c r="D38" s="227"/>
      <c r="E38" s="228"/>
      <c r="F38" s="226" t="s">
        <v>353</v>
      </c>
      <c r="G38" s="227"/>
      <c r="H38" s="228"/>
    </row>
    <row r="39" spans="1:19" s="22" customFormat="1" x14ac:dyDescent="0.25">
      <c r="A39" s="225" t="s">
        <v>26</v>
      </c>
      <c r="B39" s="225" t="s">
        <v>27</v>
      </c>
      <c r="C39" s="226" t="s">
        <v>352</v>
      </c>
      <c r="D39" s="227"/>
      <c r="E39" s="228"/>
      <c r="F39" s="226" t="s">
        <v>353</v>
      </c>
      <c r="G39" s="227"/>
      <c r="H39" s="228"/>
    </row>
    <row r="40" spans="1:19" x14ac:dyDescent="0.25">
      <c r="A40" s="225" t="s">
        <v>25</v>
      </c>
      <c r="B40" s="225" t="s">
        <v>27</v>
      </c>
      <c r="C40" s="226" t="s">
        <v>351</v>
      </c>
      <c r="D40" s="227"/>
      <c r="E40" s="228"/>
      <c r="F40" s="226" t="s">
        <v>349</v>
      </c>
      <c r="G40" s="227"/>
      <c r="H40" s="228"/>
    </row>
    <row r="41" spans="1:19" x14ac:dyDescent="0.25">
      <c r="A41" s="146" t="s">
        <v>269</v>
      </c>
      <c r="B41" s="146"/>
      <c r="C41" s="146"/>
      <c r="D41" s="146"/>
      <c r="E41" s="146"/>
      <c r="F41" s="146"/>
      <c r="G41" s="146"/>
      <c r="H41" s="146"/>
    </row>
    <row r="42" spans="1:19" ht="15.75" customHeight="1" x14ac:dyDescent="0.25">
      <c r="A42" s="146" t="s">
        <v>156</v>
      </c>
      <c r="B42" s="146"/>
      <c r="C42" s="198" t="s">
        <v>354</v>
      </c>
      <c r="D42" s="198"/>
      <c r="E42" s="198"/>
      <c r="F42" s="198"/>
      <c r="G42" s="198"/>
      <c r="H42" s="198"/>
    </row>
    <row r="43" spans="1:19" x14ac:dyDescent="0.25">
      <c r="A43" s="146" t="s">
        <v>152</v>
      </c>
      <c r="B43" s="146"/>
      <c r="C43" s="262" t="s">
        <v>355</v>
      </c>
      <c r="D43" s="203"/>
      <c r="E43" s="203"/>
      <c r="F43" s="203"/>
      <c r="G43" s="203"/>
      <c r="H43" s="203"/>
    </row>
    <row r="44" spans="1:19" x14ac:dyDescent="0.25">
      <c r="A44" s="198" t="s">
        <v>31</v>
      </c>
      <c r="B44" s="198"/>
      <c r="C44" s="198"/>
      <c r="D44" s="198"/>
      <c r="E44" s="198"/>
      <c r="F44" s="198"/>
      <c r="G44" s="198"/>
      <c r="H44" s="198"/>
    </row>
    <row r="45" spans="1:19" x14ac:dyDescent="0.25">
      <c r="A45" s="146" t="s">
        <v>32</v>
      </c>
      <c r="B45" s="146"/>
      <c r="C45" s="146"/>
      <c r="D45" s="146"/>
      <c r="E45" s="232">
        <v>191621.27</v>
      </c>
      <c r="F45" s="232"/>
      <c r="G45" s="232"/>
      <c r="H45" s="232"/>
    </row>
    <row r="46" spans="1:19" x14ac:dyDescent="0.25">
      <c r="A46" s="146" t="s">
        <v>33</v>
      </c>
      <c r="B46" s="146"/>
      <c r="C46" s="146"/>
      <c r="D46" s="146"/>
      <c r="E46" s="157">
        <v>1.8</v>
      </c>
      <c r="F46" s="157"/>
      <c r="G46" s="157"/>
      <c r="H46" s="157"/>
    </row>
    <row r="47" spans="1:19" x14ac:dyDescent="0.25">
      <c r="A47" s="146" t="s">
        <v>34</v>
      </c>
      <c r="B47" s="146"/>
      <c r="C47" s="146"/>
      <c r="D47" s="146"/>
      <c r="E47" s="157">
        <f>E49/E45-E46</f>
        <v>0.62731321006274521</v>
      </c>
      <c r="F47" s="157"/>
      <c r="G47" s="157"/>
      <c r="H47" s="157"/>
    </row>
    <row r="48" spans="1:19" x14ac:dyDescent="0.25">
      <c r="A48" s="146" t="s">
        <v>35</v>
      </c>
      <c r="B48" s="146"/>
      <c r="C48" s="146"/>
      <c r="D48" s="146"/>
      <c r="E48" s="157">
        <f>E46+E47</f>
        <v>2.4273132100627453</v>
      </c>
      <c r="F48" s="157"/>
      <c r="G48" s="157"/>
      <c r="H48" s="157"/>
    </row>
    <row r="49" spans="1:24" x14ac:dyDescent="0.25">
      <c r="A49" s="146" t="s">
        <v>86</v>
      </c>
      <c r="B49" s="146"/>
      <c r="C49" s="146"/>
      <c r="D49" s="146"/>
      <c r="E49" s="266">
        <v>465124.84</v>
      </c>
      <c r="F49" s="266"/>
      <c r="G49" s="266"/>
      <c r="H49" s="266"/>
    </row>
    <row r="50" spans="1:24" x14ac:dyDescent="0.25">
      <c r="A50" s="126" t="s">
        <v>36</v>
      </c>
      <c r="B50" s="126"/>
      <c r="C50" s="126"/>
      <c r="D50" s="126"/>
      <c r="E50" s="126" t="s">
        <v>381</v>
      </c>
      <c r="F50" s="126"/>
      <c r="G50" s="126"/>
      <c r="H50" s="126"/>
    </row>
    <row r="51" spans="1:24" x14ac:dyDescent="0.25">
      <c r="A51" s="198" t="s">
        <v>37</v>
      </c>
      <c r="B51" s="198"/>
      <c r="C51" s="198"/>
      <c r="D51" s="198"/>
      <c r="E51" s="198"/>
      <c r="F51" s="198"/>
      <c r="G51" s="198"/>
      <c r="H51" s="198"/>
    </row>
    <row r="52" spans="1:24" ht="33.75" customHeight="1" x14ac:dyDescent="0.25">
      <c r="A52" s="229" t="s">
        <v>141</v>
      </c>
      <c r="B52" s="231"/>
      <c r="C52" s="243" t="s">
        <v>255</v>
      </c>
      <c r="D52" s="244"/>
      <c r="E52" s="244"/>
      <c r="F52" s="244"/>
      <c r="G52" s="244"/>
      <c r="H52" s="245"/>
      <c r="R52" t="s">
        <v>242</v>
      </c>
      <c r="S52" s="61" t="s">
        <v>163</v>
      </c>
      <c r="T52" s="61" t="s">
        <v>169</v>
      </c>
      <c r="U52" s="61" t="s">
        <v>183</v>
      </c>
      <c r="V52" s="61" t="s">
        <v>178</v>
      </c>
    </row>
    <row r="53" spans="1:24" ht="66" customHeight="1" x14ac:dyDescent="0.25">
      <c r="A53" s="229" t="s">
        <v>38</v>
      </c>
      <c r="B53" s="231"/>
      <c r="C53" s="229" t="s">
        <v>382</v>
      </c>
      <c r="D53" s="230"/>
      <c r="E53" s="231"/>
      <c r="F53" s="18" t="s">
        <v>39</v>
      </c>
      <c r="G53" s="246">
        <v>45656</v>
      </c>
      <c r="H53" s="247"/>
      <c r="R53"/>
      <c r="S53" s="61" t="s">
        <v>243</v>
      </c>
      <c r="T53" s="61" t="s">
        <v>248</v>
      </c>
      <c r="U53" s="61" t="s">
        <v>259</v>
      </c>
      <c r="V53" s="61" t="s">
        <v>264</v>
      </c>
    </row>
    <row r="54" spans="1:24" ht="61.5" customHeight="1" x14ac:dyDescent="0.25">
      <c r="A54" s="229" t="s">
        <v>40</v>
      </c>
      <c r="B54" s="231"/>
      <c r="C54" s="229" t="str">
        <f>C53</f>
        <v>Ekatmikrut Nagarvasahat/Mouje Antarli, Khoni, Hedutane, Kole, Gharivali, Katai &amp; Mangaon Tal. Kalyan &amp; Mouje Umbroli, Tal. Ambernath SSThane/4770</v>
      </c>
      <c r="D54" s="230"/>
      <c r="E54" s="231"/>
      <c r="F54" s="18" t="s">
        <v>39</v>
      </c>
      <c r="G54" s="246">
        <f>G53</f>
        <v>45656</v>
      </c>
      <c r="H54" s="247"/>
      <c r="R54"/>
      <c r="S54" s="61" t="s">
        <v>244</v>
      </c>
      <c r="T54" s="61" t="s">
        <v>249</v>
      </c>
      <c r="U54" s="61" t="s">
        <v>257</v>
      </c>
      <c r="V54" s="61" t="s">
        <v>265</v>
      </c>
    </row>
    <row r="55" spans="1:24" s="23" customFormat="1" ht="48" customHeight="1" x14ac:dyDescent="0.25">
      <c r="A55" s="253" t="s">
        <v>145</v>
      </c>
      <c r="B55" s="254"/>
      <c r="C55" s="229" t="s">
        <v>383</v>
      </c>
      <c r="D55" s="230"/>
      <c r="E55" s="231"/>
      <c r="F55" s="18" t="s">
        <v>39</v>
      </c>
      <c r="G55" s="246">
        <v>45656</v>
      </c>
      <c r="H55" s="247"/>
      <c r="I55" s="22" t="str">
        <f ca="1">IF(G55&gt;EDATE(E3,-48),"NO REMARK","CC REMARK FOR CC")</f>
        <v>NO REMARK</v>
      </c>
      <c r="J55" s="94"/>
      <c r="R55"/>
      <c r="S55" s="61" t="s">
        <v>245</v>
      </c>
      <c r="T55" s="61" t="s">
        <v>250</v>
      </c>
      <c r="U55" s="61" t="s">
        <v>247</v>
      </c>
      <c r="V55" s="61" t="s">
        <v>266</v>
      </c>
    </row>
    <row r="56" spans="1:24" s="23" customFormat="1" x14ac:dyDescent="0.25">
      <c r="A56" s="255"/>
      <c r="B56" s="256"/>
      <c r="C56" s="229" t="s">
        <v>384</v>
      </c>
      <c r="D56" s="230"/>
      <c r="E56" s="230"/>
      <c r="F56" s="230"/>
      <c r="G56" s="230"/>
      <c r="H56" s="231"/>
      <c r="R56"/>
      <c r="S56" s="61" t="s">
        <v>246</v>
      </c>
      <c r="T56" s="61" t="s">
        <v>253</v>
      </c>
      <c r="U56" s="61" t="s">
        <v>260</v>
      </c>
      <c r="V56" s="85" t="s">
        <v>338</v>
      </c>
    </row>
    <row r="57" spans="1:24" s="23" customFormat="1" hidden="1" x14ac:dyDescent="0.25">
      <c r="A57" s="153" t="s">
        <v>270</v>
      </c>
      <c r="B57" s="154"/>
      <c r="C57" s="229" t="str">
        <f>C56</f>
        <v>Sector F - Cluster No. 6.03 (Wing B) = G + 1st to 36th Floor</v>
      </c>
      <c r="D57" s="230"/>
      <c r="E57" s="231"/>
      <c r="F57" s="18" t="s">
        <v>39</v>
      </c>
      <c r="G57" s="246"/>
      <c r="H57" s="247"/>
      <c r="K57" s="95">
        <f>EDATE(G55,-48)</f>
        <v>44195</v>
      </c>
      <c r="L57" s="23" t="str">
        <f ca="1">IF(G55&gt;EDATE(E3,-48),"NO REMARK","CC REMARK FOR CC")</f>
        <v>NO REMARK</v>
      </c>
      <c r="R57"/>
      <c r="S57" s="61" t="s">
        <v>245</v>
      </c>
      <c r="T57" s="61" t="s">
        <v>250</v>
      </c>
      <c r="U57" s="61" t="s">
        <v>247</v>
      </c>
      <c r="V57" s="61" t="s">
        <v>266</v>
      </c>
    </row>
    <row r="58" spans="1:24" s="23" customFormat="1" ht="32.25" hidden="1" customHeight="1" x14ac:dyDescent="0.25">
      <c r="A58" s="155"/>
      <c r="B58" s="156"/>
      <c r="C58" s="263"/>
      <c r="D58" s="264"/>
      <c r="E58" s="264"/>
      <c r="F58" s="264"/>
      <c r="G58" s="264"/>
      <c r="H58" s="265"/>
      <c r="R58"/>
      <c r="S58" s="61" t="s">
        <v>247</v>
      </c>
      <c r="T58" s="61" t="s">
        <v>251</v>
      </c>
      <c r="U58" s="61" t="s">
        <v>261</v>
      </c>
      <c r="V58" s="86"/>
      <c r="W58" s="21"/>
      <c r="X58" s="21"/>
    </row>
    <row r="59" spans="1:24" s="23" customFormat="1" x14ac:dyDescent="0.25">
      <c r="A59" s="223" t="s">
        <v>271</v>
      </c>
      <c r="B59" s="224"/>
      <c r="C59" s="250" t="s">
        <v>413</v>
      </c>
      <c r="D59" s="251"/>
      <c r="E59" s="252"/>
      <c r="F59" s="117" t="s">
        <v>39</v>
      </c>
      <c r="G59" s="260">
        <v>44618</v>
      </c>
      <c r="H59" s="261"/>
      <c r="R59"/>
      <c r="S59" s="86"/>
      <c r="T59" s="61" t="s">
        <v>252</v>
      </c>
      <c r="U59" s="61" t="s">
        <v>262</v>
      </c>
      <c r="V59" s="86"/>
      <c r="W59" s="21"/>
      <c r="X59" s="21"/>
    </row>
    <row r="60" spans="1:24" s="23" customFormat="1" x14ac:dyDescent="0.25">
      <c r="A60" s="248"/>
      <c r="B60" s="249"/>
      <c r="C60" s="250" t="s">
        <v>414</v>
      </c>
      <c r="D60" s="251"/>
      <c r="E60" s="251"/>
      <c r="F60" s="251"/>
      <c r="G60" s="251"/>
      <c r="H60" s="252"/>
      <c r="R60"/>
      <c r="S60" s="86"/>
      <c r="T60" s="61" t="s">
        <v>254</v>
      </c>
      <c r="U60" s="61" t="s">
        <v>263</v>
      </c>
      <c r="V60" s="86"/>
      <c r="W60" s="21"/>
      <c r="X60" s="21"/>
    </row>
    <row r="61" spans="1:24" s="23" customFormat="1" ht="15.75" hidden="1" customHeight="1" x14ac:dyDescent="0.25">
      <c r="A61" s="153" t="s">
        <v>340</v>
      </c>
      <c r="B61" s="154"/>
      <c r="C61" s="229"/>
      <c r="D61" s="230"/>
      <c r="E61" s="231"/>
      <c r="F61" s="18" t="s">
        <v>39</v>
      </c>
      <c r="G61" s="246"/>
      <c r="H61" s="247"/>
      <c r="R61"/>
      <c r="S61" s="86"/>
      <c r="T61" s="61" t="s">
        <v>255</v>
      </c>
      <c r="U61" s="86" t="s">
        <v>285</v>
      </c>
      <c r="V61" s="86"/>
      <c r="W61" s="21"/>
      <c r="X61" s="21"/>
    </row>
    <row r="62" spans="1:24" s="23" customFormat="1" ht="33.75" hidden="1" customHeight="1" x14ac:dyDescent="0.25">
      <c r="A62" s="155"/>
      <c r="B62" s="156"/>
      <c r="C62" s="150" t="s">
        <v>342</v>
      </c>
      <c r="D62" s="150"/>
      <c r="E62" s="150"/>
      <c r="F62" s="18" t="s">
        <v>341</v>
      </c>
      <c r="G62" s="246"/>
      <c r="H62" s="247"/>
      <c r="R62"/>
      <c r="S62" s="86"/>
      <c r="T62" s="61" t="s">
        <v>256</v>
      </c>
      <c r="U62" s="86"/>
      <c r="V62" s="86"/>
      <c r="W62" s="21"/>
      <c r="X62" s="21"/>
    </row>
    <row r="63" spans="1:24" x14ac:dyDescent="0.25">
      <c r="A63" s="143" t="s">
        <v>41</v>
      </c>
      <c r="B63" s="144"/>
      <c r="C63" s="143" t="s">
        <v>95</v>
      </c>
      <c r="D63" s="145"/>
      <c r="E63" s="144"/>
      <c r="F63" s="45" t="s">
        <v>39</v>
      </c>
      <c r="G63" s="151" t="s">
        <v>27</v>
      </c>
      <c r="H63" s="152"/>
      <c r="R63"/>
      <c r="S63" s="86"/>
      <c r="T63" s="61" t="s">
        <v>258</v>
      </c>
      <c r="U63" s="86"/>
      <c r="V63" s="86"/>
    </row>
    <row r="64" spans="1:24" x14ac:dyDescent="0.25">
      <c r="A64" s="199" t="s">
        <v>43</v>
      </c>
      <c r="B64" s="199"/>
      <c r="C64" s="199"/>
      <c r="D64" s="199"/>
      <c r="E64" s="199"/>
      <c r="F64" s="199"/>
      <c r="G64" s="199"/>
      <c r="H64" s="199"/>
      <c r="S64" s="86"/>
      <c r="T64" s="61" t="s">
        <v>267</v>
      </c>
      <c r="U64" s="86"/>
      <c r="V64" s="86"/>
    </row>
    <row r="65" spans="1:19" ht="30" customHeight="1" x14ac:dyDescent="0.25">
      <c r="A65" s="150" t="s">
        <v>385</v>
      </c>
      <c r="B65" s="150"/>
      <c r="C65" s="150"/>
      <c r="D65" s="146">
        <v>28299.46</v>
      </c>
      <c r="E65" s="146"/>
      <c r="F65" s="146"/>
      <c r="G65" s="146"/>
      <c r="H65" s="146"/>
      <c r="I65" s="21">
        <f>28299.46*3</f>
        <v>84898.38</v>
      </c>
      <c r="R65"/>
    </row>
    <row r="66" spans="1:19" x14ac:dyDescent="0.25">
      <c r="A66" s="257" t="s">
        <v>44</v>
      </c>
      <c r="B66" s="258"/>
      <c r="C66" s="258"/>
      <c r="D66" s="126" t="s">
        <v>369</v>
      </c>
      <c r="E66" s="126"/>
      <c r="F66" s="126"/>
      <c r="G66" s="126"/>
      <c r="H66" s="126"/>
      <c r="I66" s="24"/>
      <c r="R66"/>
    </row>
    <row r="67" spans="1:19" x14ac:dyDescent="0.25">
      <c r="A67" s="223" t="s">
        <v>45</v>
      </c>
      <c r="B67" s="242"/>
      <c r="C67" s="224"/>
      <c r="D67" s="238" t="s">
        <v>387</v>
      </c>
      <c r="E67" s="259"/>
      <c r="F67" s="259"/>
      <c r="G67" s="259"/>
      <c r="H67" s="259"/>
      <c r="R67"/>
    </row>
    <row r="68" spans="1:19" ht="15.75" customHeight="1" x14ac:dyDescent="0.25">
      <c r="A68" s="223" t="s">
        <v>84</v>
      </c>
      <c r="B68" s="242"/>
      <c r="C68" s="242"/>
      <c r="D68" s="203" t="s">
        <v>387</v>
      </c>
      <c r="E68" s="126"/>
      <c r="F68" s="126"/>
      <c r="G68" s="126"/>
      <c r="H68" s="126"/>
      <c r="R68"/>
    </row>
    <row r="69" spans="1:19" ht="15.75" customHeight="1" x14ac:dyDescent="0.25">
      <c r="A69" s="146" t="s">
        <v>42</v>
      </c>
      <c r="B69" s="146"/>
      <c r="C69" s="146"/>
      <c r="D69" s="240" t="s">
        <v>356</v>
      </c>
      <c r="E69" s="240"/>
      <c r="F69" s="240"/>
      <c r="G69" s="240"/>
      <c r="H69" s="240"/>
      <c r="J69" s="25"/>
      <c r="K69" s="24"/>
      <c r="N69" s="24"/>
      <c r="S69"/>
    </row>
    <row r="70" spans="1:19" ht="15.75" customHeight="1" x14ac:dyDescent="0.25">
      <c r="A70" s="146" t="s">
        <v>82</v>
      </c>
      <c r="B70" s="146"/>
      <c r="C70" s="146"/>
      <c r="D70" s="241" t="str">
        <f>(IF(G63="NA","60 Years After Completion",IF(G63&lt;&gt;"NA",""&amp;60-ROUNDDOWN((E3-G63)/360,0)&amp;" Years"," ")))</f>
        <v>60 Years After Completion</v>
      </c>
      <c r="E70" s="241"/>
      <c r="F70" s="241"/>
      <c r="G70" s="241"/>
      <c r="H70" s="241"/>
      <c r="N70" s="24"/>
      <c r="S70"/>
    </row>
    <row r="71" spans="1:19" ht="15.75" customHeight="1" x14ac:dyDescent="0.25">
      <c r="A71" s="146" t="s">
        <v>83</v>
      </c>
      <c r="B71" s="146"/>
      <c r="C71" s="146"/>
      <c r="D71" s="150" t="s">
        <v>22</v>
      </c>
      <c r="E71" s="150"/>
      <c r="F71" s="150"/>
      <c r="G71" s="150"/>
      <c r="H71" s="150"/>
      <c r="J71" s="26"/>
      <c r="K71" s="26"/>
      <c r="S71"/>
    </row>
    <row r="72" spans="1:19" ht="49.5" customHeight="1" x14ac:dyDescent="0.25">
      <c r="A72" s="126" t="s">
        <v>370</v>
      </c>
      <c r="B72" s="126"/>
      <c r="C72" s="126"/>
      <c r="D72" s="203" t="s">
        <v>367</v>
      </c>
      <c r="E72" s="150"/>
      <c r="F72" s="150"/>
      <c r="G72" s="150"/>
      <c r="H72" s="150"/>
      <c r="S72"/>
    </row>
    <row r="73" spans="1:19" x14ac:dyDescent="0.25">
      <c r="A73" s="150" t="s">
        <v>138</v>
      </c>
      <c r="B73" s="150"/>
      <c r="C73" s="150"/>
      <c r="D73" s="150" t="s">
        <v>27</v>
      </c>
      <c r="E73" s="150"/>
      <c r="F73" s="150"/>
      <c r="G73" s="150"/>
      <c r="H73" s="150"/>
      <c r="I73" s="27"/>
      <c r="J73" s="27"/>
      <c r="K73" s="27"/>
      <c r="L73" s="27"/>
      <c r="M73" s="27"/>
      <c r="N73" s="27"/>
    </row>
    <row r="74" spans="1:19" ht="15.75" customHeight="1" x14ac:dyDescent="0.25">
      <c r="A74" s="239" t="s">
        <v>81</v>
      </c>
      <c r="B74" s="239"/>
      <c r="C74" s="239"/>
      <c r="D74" s="238" t="str">
        <f ca="1">(IF(G80&gt;95%,"Nothing",IF(G80&gt;0%,"Cement, Aggregate, Steel, etc",IF(G80=0%,"Work not yet Started"))))</f>
        <v>Cement, Aggregate, Steel, etc</v>
      </c>
      <c r="E74" s="238"/>
      <c r="F74" s="238"/>
      <c r="G74" s="238"/>
      <c r="H74" s="238"/>
      <c r="J74" s="26"/>
      <c r="S74"/>
    </row>
    <row r="75" spans="1:19" ht="33.75" customHeight="1" thickBot="1" x14ac:dyDescent="0.3">
      <c r="A75" s="237" t="s">
        <v>108</v>
      </c>
      <c r="B75" s="237"/>
      <c r="C75" s="237"/>
      <c r="D75" s="238" t="str">
        <f ca="1">(IF(D74="Nothing","Yes",IF(D74="Cement, Aggregate, Steel, etc","Under Construction",IF(D74="Work not yet Started","Work not yet Started"))))</f>
        <v>Under Construction</v>
      </c>
      <c r="E75" s="238"/>
      <c r="F75" s="238" t="str">
        <f ca="1">(IF(D74="Nothing","Yes",IF(D74="Cement, Aggregate, Steel, etc","Under Construction",IF(D74="Work not yet Started","Work not yet Started"))))</f>
        <v>Under Construction</v>
      </c>
      <c r="G75" s="238"/>
      <c r="H75" s="238"/>
      <c r="S75"/>
    </row>
    <row r="76" spans="1:19" ht="15.75" customHeight="1" x14ac:dyDescent="0.25">
      <c r="A76" s="127" t="s">
        <v>130</v>
      </c>
      <c r="B76" s="128"/>
      <c r="C76" s="129" t="str">
        <f>D68</f>
        <v xml:space="preserve">Cluster 6.03 (Wing B) = G + 1st to 36th Floor
</v>
      </c>
      <c r="D76" s="130"/>
      <c r="E76" s="130"/>
      <c r="F76" s="130"/>
      <c r="G76" s="130"/>
      <c r="H76" s="131"/>
      <c r="I76" s="49" t="str">
        <f ca="1">IF(D89=100%,"All work Completed. Possession granted to the Building.",IF(D88=100%,"All work Completed, Waiting for OC",I77&amp;""&amp;I78&amp;""&amp;J77&amp;""&amp;J76&amp;" "&amp;J78))</f>
        <v xml:space="preserve">Excavation Completed, Plinth work is process </v>
      </c>
      <c r="J76" s="50"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25">
      <c r="A77" s="16" t="s">
        <v>132</v>
      </c>
      <c r="B77" s="53">
        <f>IF(AND(ISNUMBER(SEARCH("1B",C76))),1,IF(AND(ISNUMBER(SEARCH("2B",C76))),2,IF(AND(ISNUMBER(SEARCH("3B",C76))),3,IF(AND(ISNUMBER(SEARCH("4B",C76))),4,IF(ISNUMBER(SEARCH("5B",C76)),5,0)))))</f>
        <v>0</v>
      </c>
      <c r="C77" s="47" t="s">
        <v>67</v>
      </c>
      <c r="D77" s="47">
        <v>1</v>
      </c>
      <c r="E77" s="47" t="s">
        <v>66</v>
      </c>
      <c r="F77" s="54">
        <v>0</v>
      </c>
      <c r="G77" s="48" t="s">
        <v>75</v>
      </c>
      <c r="H77" s="17">
        <f ca="1">--TRIM(RIGHT(SUBSTITUTE(LEFT(C76,_xlfn.AGGREGATE(16,6,FIND({0,1,2,3,4,5,6,7,8,9},C76,ROW(INDIRECT("1:"&amp;LEN(C76)))),1))," ",REPT(" ",LEN(C76))),LEN(C76)))</f>
        <v>36</v>
      </c>
      <c r="I77" s="51" t="str">
        <f ca="1">IF(D80=100%,"Excavation","")&amp;IF(D81=100%,", Plinth","")&amp;IF(D82=100%,", RCC Slab","")&amp;IF(D83=100%,", Brickwork","")&amp;IF(D84=100%,", Internal Plaster","")&amp;IF(D85=100%,", External Plaster","")&amp;IF(D86=100%,", Flooring","")&amp;IF(D87=100%,", Painting","")&amp;IF(D88=100%,", Building common Amenities","")</f>
        <v>Excavation</v>
      </c>
      <c r="J77" s="52"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Plinth work is process</v>
      </c>
      <c r="S77"/>
    </row>
    <row r="78" spans="1:19" x14ac:dyDescent="0.25">
      <c r="A78" s="134" t="s">
        <v>85</v>
      </c>
      <c r="B78" s="135"/>
      <c r="C78" s="132" t="str">
        <f ca="1">I76</f>
        <v xml:space="preserve">Excavation Completed, Plinth work is process </v>
      </c>
      <c r="D78" s="132"/>
      <c r="E78" s="132"/>
      <c r="F78" s="132"/>
      <c r="G78" s="132"/>
      <c r="H78" s="133"/>
      <c r="I78" s="51" t="str">
        <f ca="1">IF(I77&lt;&gt;""," Completed","")</f>
        <v xml:space="preserve"> Completed</v>
      </c>
      <c r="J78" s="52" t="str">
        <f ca="1">IF(J76&lt;&gt;"","Completed","")</f>
        <v/>
      </c>
      <c r="S78"/>
    </row>
    <row r="79" spans="1:19" ht="15.75" customHeight="1" x14ac:dyDescent="0.25">
      <c r="A79" s="120" t="s">
        <v>46</v>
      </c>
      <c r="B79" s="121"/>
      <c r="C79" s="43" t="s">
        <v>129</v>
      </c>
      <c r="D79" s="43" t="s">
        <v>78</v>
      </c>
      <c r="E79" s="121" t="s">
        <v>80</v>
      </c>
      <c r="F79" s="121"/>
      <c r="G79" s="121" t="s">
        <v>79</v>
      </c>
      <c r="H79" s="122"/>
      <c r="I79" s="13" t="s">
        <v>131</v>
      </c>
      <c r="J79" s="28">
        <f ca="1">H77*25%</f>
        <v>9</v>
      </c>
      <c r="S79"/>
    </row>
    <row r="80" spans="1:19" x14ac:dyDescent="0.25">
      <c r="A80" s="120" t="s">
        <v>118</v>
      </c>
      <c r="B80" s="121"/>
      <c r="C80" s="106">
        <f ca="1">J81</f>
        <v>36</v>
      </c>
      <c r="D80" s="19">
        <f ca="1">((100/H77)*C80)/100</f>
        <v>1</v>
      </c>
      <c r="E80" s="270">
        <f ca="1">(((C81/H77*10)+(40/(D77+F77+H77)*C82)+(7.5/(H77)*C83)+(7.5/(H77)*C84)+(10/H77*C85)+(10/H77*C86)+(5/H77*C87)+(5/H77*C88)+(5/H77*C89))/100)</f>
        <v>7.4999999999999997E-2</v>
      </c>
      <c r="F80" s="271"/>
      <c r="G80" s="270">
        <f ca="1">((((C80/H77)*20)+((C81/H77)*25)+(30/(H77+F77+D77)*C82)+(5/H77*C83)+(5/H77*C84)+(5/H77*C85)+(5/H77*C86)+(0/H77*C87)+(0/H77*C88)+(5/H77*C89))/100)</f>
        <v>0.38750000000000001</v>
      </c>
      <c r="H80" s="284"/>
      <c r="I80" s="13" t="s">
        <v>90</v>
      </c>
      <c r="J80" s="29">
        <f ca="1">H77*50%</f>
        <v>18</v>
      </c>
    </row>
    <row r="81" spans="1:19" x14ac:dyDescent="0.25">
      <c r="A81" s="120" t="s">
        <v>47</v>
      </c>
      <c r="B81" s="121"/>
      <c r="C81" s="118">
        <f ca="1">J88</f>
        <v>27</v>
      </c>
      <c r="D81" s="19">
        <f ca="1">((100/H77)*C81)/100</f>
        <v>0.75</v>
      </c>
      <c r="E81" s="272"/>
      <c r="F81" s="273"/>
      <c r="G81" s="272"/>
      <c r="H81" s="285"/>
      <c r="I81" s="13" t="s">
        <v>91</v>
      </c>
      <c r="J81" s="29">
        <f ca="1">H77</f>
        <v>36</v>
      </c>
      <c r="S81"/>
    </row>
    <row r="82" spans="1:19" ht="15.75" customHeight="1" x14ac:dyDescent="0.25">
      <c r="A82" s="120" t="s">
        <v>119</v>
      </c>
      <c r="B82" s="121"/>
      <c r="C82" s="43">
        <v>0</v>
      </c>
      <c r="D82" s="19">
        <f ca="1">((100/(D77+F77+H77))*C82)/100</f>
        <v>0</v>
      </c>
      <c r="E82" s="272"/>
      <c r="F82" s="273"/>
      <c r="G82" s="272"/>
      <c r="H82" s="285"/>
      <c r="I82" s="13" t="s">
        <v>92</v>
      </c>
      <c r="J82" s="30">
        <f ca="1">(IF(B77&gt;1,(H77/(B77+2)),H77/4))</f>
        <v>9</v>
      </c>
      <c r="S82"/>
    </row>
    <row r="83" spans="1:19" ht="15.75" customHeight="1" x14ac:dyDescent="0.25">
      <c r="A83" s="120" t="s">
        <v>126</v>
      </c>
      <c r="B83" s="121" t="s">
        <v>120</v>
      </c>
      <c r="C83" s="43">
        <v>0</v>
      </c>
      <c r="D83" s="19">
        <f ca="1">((100/H77)*C83)/100</f>
        <v>0</v>
      </c>
      <c r="E83" s="272"/>
      <c r="F83" s="273"/>
      <c r="G83" s="272"/>
      <c r="H83" s="285"/>
      <c r="I83" s="13" t="s">
        <v>93</v>
      </c>
      <c r="J83" s="30">
        <f ca="1">(IF(B77&gt;1,(H77/(B77+2)+J82),H77/4+J82))</f>
        <v>18</v>
      </c>
    </row>
    <row r="84" spans="1:19" ht="15.75" customHeight="1" x14ac:dyDescent="0.25">
      <c r="A84" s="120" t="s">
        <v>127</v>
      </c>
      <c r="B84" s="121" t="s">
        <v>120</v>
      </c>
      <c r="C84" s="43">
        <v>0</v>
      </c>
      <c r="D84" s="19">
        <f ca="1">((100/H77)*C84)/100</f>
        <v>0</v>
      </c>
      <c r="E84" s="272"/>
      <c r="F84" s="273"/>
      <c r="G84" s="272"/>
      <c r="H84" s="285"/>
      <c r="I84" s="13" t="s">
        <v>136</v>
      </c>
      <c r="J84" s="30">
        <f>(IF(B77&gt;1,(H77/(B77+2)+J83),0))</f>
        <v>0</v>
      </c>
    </row>
    <row r="85" spans="1:19" ht="15" customHeight="1" x14ac:dyDescent="0.25">
      <c r="A85" s="120" t="s">
        <v>125</v>
      </c>
      <c r="B85" s="121" t="s">
        <v>122</v>
      </c>
      <c r="C85" s="65">
        <v>0</v>
      </c>
      <c r="D85" s="19">
        <f ca="1">((100/(H77))*C85)/100</f>
        <v>0</v>
      </c>
      <c r="E85" s="272"/>
      <c r="F85" s="273"/>
      <c r="G85" s="272"/>
      <c r="H85" s="285"/>
      <c r="I85" s="13" t="s">
        <v>133</v>
      </c>
      <c r="J85" s="30">
        <f>(IF(B77&gt;2,(H77/(B77+2)+J84),0))</f>
        <v>0</v>
      </c>
    </row>
    <row r="86" spans="1:19" ht="15.75" customHeight="1" x14ac:dyDescent="0.25">
      <c r="A86" s="120" t="s">
        <v>121</v>
      </c>
      <c r="B86" s="121" t="s">
        <v>121</v>
      </c>
      <c r="C86" s="43">
        <v>0</v>
      </c>
      <c r="D86" s="19">
        <f ca="1">((100/H77)*C86)/100</f>
        <v>0</v>
      </c>
      <c r="E86" s="272"/>
      <c r="F86" s="273"/>
      <c r="G86" s="272"/>
      <c r="H86" s="285"/>
      <c r="I86" s="13" t="s">
        <v>134</v>
      </c>
      <c r="J86" s="31">
        <f>(IF(B77&gt;3,(H77/(B77+2)+J85),0))</f>
        <v>0</v>
      </c>
    </row>
    <row r="87" spans="1:19" ht="15.75" customHeight="1" x14ac:dyDescent="0.25">
      <c r="A87" s="120" t="s">
        <v>128</v>
      </c>
      <c r="B87" s="121"/>
      <c r="C87" s="43">
        <v>0</v>
      </c>
      <c r="D87" s="19">
        <f ca="1">((100/H77)*C87)/100</f>
        <v>0</v>
      </c>
      <c r="E87" s="272"/>
      <c r="F87" s="273"/>
      <c r="G87" s="272"/>
      <c r="H87" s="285"/>
      <c r="I87" s="13" t="s">
        <v>135</v>
      </c>
      <c r="J87" s="30">
        <f>(IF(B77&gt;4,(H77/(B77+2)+J86),0))</f>
        <v>0</v>
      </c>
    </row>
    <row r="88" spans="1:19" ht="15.75" customHeight="1" x14ac:dyDescent="0.25">
      <c r="A88" s="120" t="s">
        <v>123</v>
      </c>
      <c r="B88" s="121" t="s">
        <v>123</v>
      </c>
      <c r="C88" s="43">
        <v>0</v>
      </c>
      <c r="D88" s="19">
        <f ca="1">((100/(H77))*C88)/100</f>
        <v>0</v>
      </c>
      <c r="E88" s="272"/>
      <c r="F88" s="273"/>
      <c r="G88" s="272"/>
      <c r="H88" s="285"/>
      <c r="I88" s="13" t="s">
        <v>137</v>
      </c>
      <c r="J88" s="30">
        <f ca="1">(IF(B77=1,(H77/(B77+3)+J83),IF(B77=0,(H77/4+J83),IF(B77&gt;1,0))))</f>
        <v>27</v>
      </c>
    </row>
    <row r="89" spans="1:19" ht="16.5" thickBot="1" x14ac:dyDescent="0.3">
      <c r="A89" s="123" t="s">
        <v>124</v>
      </c>
      <c r="B89" s="124"/>
      <c r="C89" s="44">
        <v>0</v>
      </c>
      <c r="D89" s="20">
        <f ca="1">((100/(H77))*C89)/100</f>
        <v>0</v>
      </c>
      <c r="E89" s="274"/>
      <c r="F89" s="275"/>
      <c r="G89" s="274"/>
      <c r="H89" s="286"/>
      <c r="I89" s="15" t="s">
        <v>94</v>
      </c>
      <c r="J89" s="32">
        <f ca="1">(IF(B77&gt;1.5,(H77/(B77+2)+J83+MAX(0,J84-J83)+MAX(0,J85-J84)+MAX(0,J86-J85)+MAX(0,J87-J86)+MAX(0,J88-J87)),IF(B77=1,(H77/(B77+3)+J88),IF(B77=0,H77/4+J88))))</f>
        <v>36</v>
      </c>
    </row>
    <row r="90" spans="1:19" ht="15.75" hidden="1" customHeight="1" x14ac:dyDescent="0.25">
      <c r="A90" s="127" t="s">
        <v>130</v>
      </c>
      <c r="B90" s="128"/>
      <c r="C90" s="129" t="e">
        <f>#REF!</f>
        <v>#REF!</v>
      </c>
      <c r="D90" s="130"/>
      <c r="E90" s="130"/>
      <c r="F90" s="130"/>
      <c r="G90" s="130"/>
      <c r="H90" s="131"/>
      <c r="I90" s="49" t="e">
        <f ca="1">IF(D103=100%,"All work Completed. Possession granted to the Building.",IF(D102=100%,"All work Completed, Waiting for OC",I91&amp;""&amp;I92&amp;""&amp;J91&amp;""&amp;J90&amp;" "&amp;J92))</f>
        <v>#REF!</v>
      </c>
      <c r="J90" s="50" t="e">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#REF!</v>
      </c>
      <c r="S90"/>
    </row>
    <row r="91" spans="1:19" hidden="1" x14ac:dyDescent="0.25">
      <c r="A91" s="16" t="s">
        <v>132</v>
      </c>
      <c r="B91" s="54">
        <f>IF(AND(ISNUMBER(SEARCH("1B",C90))),1,IF(AND(ISNUMBER(SEARCH("2B",C90))),2,IF(AND(ISNUMBER(SEARCH("3B",C90))),3,IF(AND(ISNUMBER(SEARCH("4B",C90))),4,IF(ISNUMBER(SEARCH("5B",C90)),5,0)))))</f>
        <v>0</v>
      </c>
      <c r="C91" s="54" t="s">
        <v>67</v>
      </c>
      <c r="D91" s="54">
        <v>1</v>
      </c>
      <c r="E91" s="54" t="s">
        <v>66</v>
      </c>
      <c r="F91" s="14">
        <v>0</v>
      </c>
      <c r="G91" s="48" t="s">
        <v>75</v>
      </c>
      <c r="H91" s="17" t="e">
        <f ca="1">--TRIM(RIGHT(SUBSTITUTE(LEFT(C90,_xlfn.AGGREGATE(16,6,FIND({0,1,2,3,4,5,6,7,8,9},C90,ROW(INDIRECT("1:"&amp;LEN(C90)))),1))," ",REPT(" ",LEN(C90))),LEN(C90)))</f>
        <v>#REF!</v>
      </c>
      <c r="I91" s="51" t="e">
        <f ca="1">IF(D94=100%,"Excavation","")&amp;IF(D95=100%,", Plinth","")&amp;IF(D96=100%,", RCC Slab","")&amp;IF(D97=100%,", Brickwork","")&amp;IF(D98=100%,", Internal Plaster","")&amp;IF(D99=100%,", External Plaster","")&amp;IF(D100=100%,", Flooring","")&amp;IF(D101=100%,", Painting","")&amp;IF(D102=100%,", Building common Amenities","")</f>
        <v>#REF!</v>
      </c>
      <c r="J91" s="52" t="e">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#REF!</v>
      </c>
      <c r="S91"/>
    </row>
    <row r="92" spans="1:19" ht="36.75" hidden="1" customHeight="1" x14ac:dyDescent="0.25">
      <c r="A92" s="134" t="s">
        <v>85</v>
      </c>
      <c r="B92" s="135"/>
      <c r="C92" s="132" t="e">
        <f ca="1">I90</f>
        <v>#REF!</v>
      </c>
      <c r="D92" s="132"/>
      <c r="E92" s="132"/>
      <c r="F92" s="132"/>
      <c r="G92" s="132"/>
      <c r="H92" s="133"/>
      <c r="I92" s="51" t="e">
        <f ca="1">IF(I91&lt;&gt;""," Completed","")</f>
        <v>#REF!</v>
      </c>
      <c r="J92" s="52" t="e">
        <f ca="1">IF(J90&lt;&gt;"","Completed","")</f>
        <v>#REF!</v>
      </c>
      <c r="S92"/>
    </row>
    <row r="93" spans="1:19" ht="15.75" hidden="1" customHeight="1" x14ac:dyDescent="0.25">
      <c r="A93" s="120" t="s">
        <v>46</v>
      </c>
      <c r="B93" s="121"/>
      <c r="C93" s="88" t="s">
        <v>129</v>
      </c>
      <c r="D93" s="88" t="s">
        <v>78</v>
      </c>
      <c r="E93" s="121" t="s">
        <v>80</v>
      </c>
      <c r="F93" s="121"/>
      <c r="G93" s="121" t="s">
        <v>79</v>
      </c>
      <c r="H93" s="122"/>
      <c r="I93" s="13" t="s">
        <v>131</v>
      </c>
      <c r="J93" s="28" t="e">
        <f ca="1">H91*25%</f>
        <v>#REF!</v>
      </c>
      <c r="S93"/>
    </row>
    <row r="94" spans="1:19" hidden="1" x14ac:dyDescent="0.25">
      <c r="A94" s="120" t="s">
        <v>118</v>
      </c>
      <c r="B94" s="121"/>
      <c r="C94" s="66" t="e">
        <f ca="1">J95</f>
        <v>#REF!</v>
      </c>
      <c r="D94" s="19" t="e">
        <f ca="1">((100/H91)*C94)/100</f>
        <v>#REF!</v>
      </c>
      <c r="E94" s="270" t="e">
        <f ca="1">(((C95/H91*10)+(40/(D91+F91+H91)*C96)+(7.5/(H91)*C97)+(7.5/(H91)*C98)+(10/H91*C99)+(10/H91*C100)+(5/H91*C101)+(5/H91*C102)+(5/H91*C103))/100)</f>
        <v>#REF!</v>
      </c>
      <c r="F94" s="271"/>
      <c r="G94" s="270" t="e">
        <f ca="1">((((C94/H91)*20)+((C95/H91)*25)+(30/(H91+F91+D91)*C96)+(5/H91*C97)+(5/H91*C98)+(5/H91*C99)+(5/H91*C100)+(0/H91*C101)+(0/H91*C102)+(5/H91*C103))/100)</f>
        <v>#REF!</v>
      </c>
      <c r="H94" s="284"/>
      <c r="I94" s="13" t="s">
        <v>90</v>
      </c>
      <c r="J94" s="29" t="e">
        <f ca="1">H91*50%</f>
        <v>#REF!</v>
      </c>
    </row>
    <row r="95" spans="1:19" hidden="1" x14ac:dyDescent="0.25">
      <c r="A95" s="120" t="s">
        <v>47</v>
      </c>
      <c r="B95" s="121"/>
      <c r="C95" s="88" t="e">
        <f ca="1">J103</f>
        <v>#REF!</v>
      </c>
      <c r="D95" s="19" t="e">
        <f ca="1">((100/H91)*C95)/100</f>
        <v>#REF!</v>
      </c>
      <c r="E95" s="272"/>
      <c r="F95" s="273"/>
      <c r="G95" s="272"/>
      <c r="H95" s="285"/>
      <c r="I95" s="13" t="s">
        <v>91</v>
      </c>
      <c r="J95" s="29" t="e">
        <f ca="1">H91</f>
        <v>#REF!</v>
      </c>
      <c r="S95"/>
    </row>
    <row r="96" spans="1:19" ht="15.75" hidden="1" customHeight="1" x14ac:dyDescent="0.25">
      <c r="A96" s="120" t="s">
        <v>119</v>
      </c>
      <c r="B96" s="121"/>
      <c r="C96" s="88">
        <v>0</v>
      </c>
      <c r="D96" s="19" t="e">
        <f ca="1">((100/(D91+F91+H91))*C96)/100</f>
        <v>#REF!</v>
      </c>
      <c r="E96" s="272"/>
      <c r="F96" s="273"/>
      <c r="G96" s="272"/>
      <c r="H96" s="285"/>
      <c r="I96" s="13" t="s">
        <v>92</v>
      </c>
      <c r="J96" s="30" t="e">
        <f ca="1">(IF(B91&gt;1,(H91/(B91+2)),H91/4))</f>
        <v>#REF!</v>
      </c>
      <c r="S96"/>
    </row>
    <row r="97" spans="1:22" ht="15.75" hidden="1" customHeight="1" x14ac:dyDescent="0.25">
      <c r="A97" s="120" t="s">
        <v>126</v>
      </c>
      <c r="B97" s="121" t="s">
        <v>120</v>
      </c>
      <c r="C97" s="88">
        <v>0</v>
      </c>
      <c r="D97" s="19" t="e">
        <f ca="1">((100/H91)*C97)/100</f>
        <v>#REF!</v>
      </c>
      <c r="E97" s="272"/>
      <c r="F97" s="273"/>
      <c r="G97" s="272"/>
      <c r="H97" s="285"/>
      <c r="I97" s="13" t="s">
        <v>93</v>
      </c>
      <c r="J97" s="30" t="e">
        <f ca="1">(IF(B91&gt;1,(H91/(B91+2)+J96),H91/4+J96))</f>
        <v>#REF!</v>
      </c>
    </row>
    <row r="98" spans="1:22" ht="15.75" hidden="1" customHeight="1" x14ac:dyDescent="0.25">
      <c r="A98" s="120" t="s">
        <v>127</v>
      </c>
      <c r="B98" s="121" t="s">
        <v>120</v>
      </c>
      <c r="C98" s="88">
        <v>0</v>
      </c>
      <c r="D98" s="19" t="e">
        <f ca="1">((100/H91)*C98)/100</f>
        <v>#REF!</v>
      </c>
      <c r="E98" s="272"/>
      <c r="F98" s="273"/>
      <c r="G98" s="272"/>
      <c r="H98" s="285"/>
      <c r="I98" s="13" t="s">
        <v>136</v>
      </c>
      <c r="J98" s="30">
        <f>(IF(B91&gt;1,(H91/(B91+2)+J97),0))</f>
        <v>0</v>
      </c>
    </row>
    <row r="99" spans="1:22" ht="15" hidden="1" customHeight="1" x14ac:dyDescent="0.25">
      <c r="A99" s="120" t="s">
        <v>125</v>
      </c>
      <c r="B99" s="121" t="s">
        <v>122</v>
      </c>
      <c r="C99" s="88">
        <v>0</v>
      </c>
      <c r="D99" s="19" t="e">
        <f ca="1">((100/(H91))*C99)/100</f>
        <v>#REF!</v>
      </c>
      <c r="E99" s="272"/>
      <c r="F99" s="273"/>
      <c r="G99" s="272"/>
      <c r="H99" s="285"/>
      <c r="I99" s="13" t="s">
        <v>133</v>
      </c>
      <c r="J99" s="30">
        <f>(IF(B91&gt;2,(H91/(B91+2)+J98),0))</f>
        <v>0</v>
      </c>
    </row>
    <row r="100" spans="1:22" ht="15.75" hidden="1" customHeight="1" x14ac:dyDescent="0.25">
      <c r="A100" s="120" t="s">
        <v>121</v>
      </c>
      <c r="B100" s="121" t="s">
        <v>121</v>
      </c>
      <c r="C100" s="88">
        <v>0</v>
      </c>
      <c r="D100" s="19" t="e">
        <f ca="1">((100/H91)*C100)/100</f>
        <v>#REF!</v>
      </c>
      <c r="E100" s="272"/>
      <c r="F100" s="273"/>
      <c r="G100" s="272"/>
      <c r="H100" s="285"/>
      <c r="I100" s="13" t="s">
        <v>134</v>
      </c>
      <c r="J100" s="31">
        <f>(IF(B91&gt;3,(H91/(B91+2)+J99),0))</f>
        <v>0</v>
      </c>
    </row>
    <row r="101" spans="1:22" ht="15.75" hidden="1" customHeight="1" x14ac:dyDescent="0.25">
      <c r="A101" s="120" t="s">
        <v>128</v>
      </c>
      <c r="B101" s="121"/>
      <c r="C101" s="88">
        <v>0</v>
      </c>
      <c r="D101" s="19" t="e">
        <f ca="1">((100/H91)*C101)/100</f>
        <v>#REF!</v>
      </c>
      <c r="E101" s="272"/>
      <c r="F101" s="273"/>
      <c r="G101" s="272"/>
      <c r="H101" s="285"/>
      <c r="I101" s="13" t="s">
        <v>135</v>
      </c>
      <c r="J101" s="30">
        <f>(IF(B91&gt;4,(H91/(B91+2)+J100),0))</f>
        <v>0</v>
      </c>
    </row>
    <row r="102" spans="1:22" ht="15.75" hidden="1" customHeight="1" x14ac:dyDescent="0.25">
      <c r="A102" s="120" t="s">
        <v>123</v>
      </c>
      <c r="B102" s="121" t="s">
        <v>123</v>
      </c>
      <c r="C102" s="88">
        <v>0</v>
      </c>
      <c r="D102" s="19" t="e">
        <f ca="1">((100/(H91))*C102)/100</f>
        <v>#REF!</v>
      </c>
      <c r="E102" s="272"/>
      <c r="F102" s="273"/>
      <c r="G102" s="272"/>
      <c r="H102" s="285"/>
      <c r="I102" s="13" t="s">
        <v>137</v>
      </c>
      <c r="J102" s="30" t="e">
        <f ca="1">(IF(B91=1,(H91/(B91+3)+J97),IF(B91=0,(H91/4+J97),IF(B91&gt;1,0))))</f>
        <v>#REF!</v>
      </c>
    </row>
    <row r="103" spans="1:22" ht="16.5" hidden="1" thickBot="1" x14ac:dyDescent="0.3">
      <c r="A103" s="123" t="s">
        <v>124</v>
      </c>
      <c r="B103" s="124"/>
      <c r="C103" s="87">
        <v>0</v>
      </c>
      <c r="D103" s="20" t="e">
        <f ca="1">((100/(H91))*C103)/100</f>
        <v>#REF!</v>
      </c>
      <c r="E103" s="274"/>
      <c r="F103" s="275"/>
      <c r="G103" s="274"/>
      <c r="H103" s="286"/>
      <c r="I103" s="15" t="s">
        <v>94</v>
      </c>
      <c r="J103" s="32" t="e">
        <f ca="1">(IF(B91&gt;1.5,(H91/(B91+2)+J97+MAX(0,J98-J97)+MAX(0,J99-J98)+MAX(0,J100-J99)+MAX(0,J101-J100)+MAX(0,J102-J101)),IF(B91=1,(H91/(B91+3)+J102),IF(B91=0,H91/4+J102))))</f>
        <v>#REF!</v>
      </c>
    </row>
    <row r="104" spans="1:22" x14ac:dyDescent="0.25">
      <c r="A104" s="278" t="s">
        <v>147</v>
      </c>
      <c r="B104" s="278"/>
      <c r="C104" s="278"/>
      <c r="D104" s="278"/>
      <c r="E104" s="278"/>
      <c r="F104" s="136" t="s">
        <v>151</v>
      </c>
      <c r="G104" s="136"/>
      <c r="H104" s="136"/>
      <c r="R104" t="s">
        <v>242</v>
      </c>
      <c r="S104" t="s">
        <v>163</v>
      </c>
      <c r="T104" t="s">
        <v>169</v>
      </c>
      <c r="U104" t="s">
        <v>183</v>
      </c>
      <c r="V104" t="s">
        <v>178</v>
      </c>
    </row>
    <row r="105" spans="1:22" x14ac:dyDescent="0.25">
      <c r="A105" s="126" t="s">
        <v>149</v>
      </c>
      <c r="B105" s="126"/>
      <c r="C105" s="126"/>
      <c r="D105" s="126"/>
      <c r="E105" s="126"/>
      <c r="F105" s="125">
        <v>10000</v>
      </c>
      <c r="G105" s="125"/>
      <c r="H105" s="125"/>
      <c r="I105" s="21" t="s">
        <v>417</v>
      </c>
      <c r="R105"/>
      <c r="S105">
        <v>800000</v>
      </c>
      <c r="T105">
        <v>150000</v>
      </c>
      <c r="U105">
        <v>100000</v>
      </c>
      <c r="V105">
        <v>100000</v>
      </c>
    </row>
    <row r="106" spans="1:22" hidden="1" x14ac:dyDescent="0.25">
      <c r="A106" s="126" t="s">
        <v>148</v>
      </c>
      <c r="B106" s="126"/>
      <c r="C106" s="126"/>
      <c r="D106" s="126"/>
      <c r="E106" s="126"/>
      <c r="F106" s="125"/>
      <c r="G106" s="125"/>
      <c r="H106" s="125"/>
      <c r="R106"/>
      <c r="S106">
        <v>900000</v>
      </c>
      <c r="T106">
        <v>200000</v>
      </c>
      <c r="U106">
        <v>150000</v>
      </c>
      <c r="V106">
        <v>150000</v>
      </c>
    </row>
    <row r="107" spans="1:22" hidden="1" x14ac:dyDescent="0.25">
      <c r="A107" s="126" t="s">
        <v>150</v>
      </c>
      <c r="B107" s="126"/>
      <c r="C107" s="126"/>
      <c r="D107" s="126"/>
      <c r="E107" s="126"/>
      <c r="F107" s="125"/>
      <c r="G107" s="125"/>
      <c r="H107" s="125"/>
      <c r="R107"/>
      <c r="S107">
        <v>1000000</v>
      </c>
      <c r="T107">
        <v>250000</v>
      </c>
      <c r="U107">
        <v>200000</v>
      </c>
      <c r="V107">
        <v>200000</v>
      </c>
    </row>
    <row r="108" spans="1:22" s="33" customFormat="1" hidden="1" x14ac:dyDescent="0.25">
      <c r="A108" s="126" t="s">
        <v>165</v>
      </c>
      <c r="B108" s="126"/>
      <c r="C108" s="126"/>
      <c r="D108" s="126"/>
      <c r="E108" s="126"/>
      <c r="F108" s="125"/>
      <c r="G108" s="125"/>
      <c r="H108" s="125"/>
      <c r="R108"/>
      <c r="S108">
        <v>1100000</v>
      </c>
      <c r="T108">
        <v>300000</v>
      </c>
      <c r="U108">
        <v>250000</v>
      </c>
      <c r="V108" s="23">
        <v>250000</v>
      </c>
    </row>
    <row r="109" spans="1:22" s="33" customFormat="1" ht="34.5" customHeight="1" x14ac:dyDescent="0.25">
      <c r="A109" s="203" t="s">
        <v>418</v>
      </c>
      <c r="B109" s="203"/>
      <c r="C109" s="203"/>
      <c r="D109" s="203"/>
      <c r="E109" s="203"/>
      <c r="F109" s="125">
        <v>231462</v>
      </c>
      <c r="G109" s="125"/>
      <c r="H109" s="125"/>
      <c r="R109"/>
      <c r="S109">
        <v>1200000</v>
      </c>
      <c r="T109">
        <v>350000</v>
      </c>
      <c r="U109">
        <v>300000</v>
      </c>
      <c r="V109">
        <v>300000</v>
      </c>
    </row>
    <row r="110" spans="1:22" s="33" customFormat="1" ht="34.5" customHeight="1" x14ac:dyDescent="0.25">
      <c r="A110" s="203" t="s">
        <v>419</v>
      </c>
      <c r="B110" s="203"/>
      <c r="C110" s="203"/>
      <c r="D110" s="203"/>
      <c r="E110" s="203"/>
      <c r="F110" s="125">
        <v>881760</v>
      </c>
      <c r="G110" s="125"/>
      <c r="H110" s="125"/>
      <c r="R110"/>
      <c r="S110">
        <v>1300000</v>
      </c>
      <c r="T110">
        <v>400000</v>
      </c>
      <c r="U110">
        <v>350000</v>
      </c>
      <c r="V110" s="23">
        <v>400000</v>
      </c>
    </row>
    <row r="111" spans="1:22" s="33" customFormat="1" x14ac:dyDescent="0.25">
      <c r="A111" s="126" t="s">
        <v>420</v>
      </c>
      <c r="B111" s="126"/>
      <c r="C111" s="126"/>
      <c r="D111" s="126"/>
      <c r="E111" s="126"/>
      <c r="F111" s="125">
        <v>183700</v>
      </c>
      <c r="G111" s="125"/>
      <c r="H111" s="125"/>
      <c r="R111"/>
      <c r="S111">
        <v>1400000</v>
      </c>
      <c r="T111">
        <v>500000</v>
      </c>
      <c r="U111">
        <v>400000</v>
      </c>
      <c r="V111"/>
    </row>
    <row r="112" spans="1:22" s="33" customFormat="1" x14ac:dyDescent="0.25">
      <c r="A112" s="126" t="s">
        <v>421</v>
      </c>
      <c r="B112" s="126"/>
      <c r="C112" s="126"/>
      <c r="D112" s="126"/>
      <c r="E112" s="126"/>
      <c r="F112" s="125">
        <v>334997</v>
      </c>
      <c r="G112" s="125"/>
      <c r="H112" s="125"/>
      <c r="R112"/>
      <c r="S112">
        <v>1500000</v>
      </c>
      <c r="T112">
        <v>600000</v>
      </c>
      <c r="U112">
        <v>500000</v>
      </c>
      <c r="V112" s="23"/>
    </row>
    <row r="113" spans="1:22" s="33" customFormat="1" x14ac:dyDescent="0.25">
      <c r="A113" s="126" t="s">
        <v>422</v>
      </c>
      <c r="B113" s="126"/>
      <c r="C113" s="126"/>
      <c r="D113" s="126"/>
      <c r="E113" s="126"/>
      <c r="F113" s="125">
        <v>180814</v>
      </c>
      <c r="G113" s="125"/>
      <c r="H113" s="125"/>
      <c r="R113"/>
      <c r="S113">
        <v>1600000</v>
      </c>
      <c r="T113">
        <v>700000</v>
      </c>
      <c r="U113">
        <v>600000</v>
      </c>
      <c r="V113"/>
    </row>
    <row r="114" spans="1:22" s="33" customFormat="1" hidden="1" x14ac:dyDescent="0.25">
      <c r="A114" s="126" t="s">
        <v>89</v>
      </c>
      <c r="B114" s="126"/>
      <c r="C114" s="126"/>
      <c r="D114" s="126"/>
      <c r="E114" s="126"/>
      <c r="F114" s="125"/>
      <c r="G114" s="125"/>
      <c r="H114" s="125"/>
      <c r="R114"/>
      <c r="S114">
        <v>1700000</v>
      </c>
      <c r="T114">
        <v>800000</v>
      </c>
      <c r="U114"/>
      <c r="V114" s="23"/>
    </row>
    <row r="115" spans="1:22" x14ac:dyDescent="0.25">
      <c r="A115" s="126" t="s">
        <v>48</v>
      </c>
      <c r="B115" s="126"/>
      <c r="C115" s="126"/>
      <c r="D115" s="126"/>
      <c r="E115" s="126"/>
      <c r="F115" s="125">
        <v>500000</v>
      </c>
      <c r="G115" s="125"/>
      <c r="H115" s="125"/>
      <c r="R115"/>
      <c r="S115">
        <v>1800000</v>
      </c>
      <c r="T115">
        <v>900000</v>
      </c>
      <c r="U115"/>
    </row>
    <row r="116" spans="1:22" s="34" customFormat="1" x14ac:dyDescent="0.25">
      <c r="A116" s="198" t="s">
        <v>49</v>
      </c>
      <c r="B116" s="198"/>
      <c r="C116" s="198"/>
      <c r="D116" s="198"/>
      <c r="E116" s="198"/>
      <c r="F116" s="125">
        <f>F105*0.8</f>
        <v>8000</v>
      </c>
      <c r="G116" s="125"/>
      <c r="H116" s="125"/>
      <c r="R116" s="21"/>
      <c r="S116" s="21"/>
      <c r="T116">
        <v>1000000</v>
      </c>
      <c r="U116"/>
      <c r="V116" s="21"/>
    </row>
    <row r="117" spans="1:22" s="35" customFormat="1" ht="15.75" hidden="1" customHeight="1" x14ac:dyDescent="0.25">
      <c r="A117" s="197" t="s">
        <v>70</v>
      </c>
      <c r="B117" s="197"/>
      <c r="C117" s="197"/>
      <c r="D117" s="197"/>
      <c r="E117" s="197"/>
      <c r="F117" s="197"/>
      <c r="G117" s="197"/>
      <c r="H117" s="197"/>
      <c r="R117"/>
      <c r="S117" s="21"/>
      <c r="T117"/>
      <c r="U117"/>
      <c r="V117" s="21"/>
    </row>
    <row r="118" spans="1:22" s="35" customFormat="1" ht="15.75" hidden="1" customHeight="1" x14ac:dyDescent="0.25">
      <c r="A118" s="140" t="s">
        <v>50</v>
      </c>
      <c r="B118" s="140"/>
      <c r="C118" s="149" t="s">
        <v>73</v>
      </c>
      <c r="D118" s="149"/>
      <c r="E118" s="147" t="s">
        <v>51</v>
      </c>
      <c r="F118" s="147"/>
      <c r="G118" s="140" t="s">
        <v>52</v>
      </c>
      <c r="H118" s="140"/>
      <c r="R118"/>
      <c r="S118" s="21"/>
      <c r="T118"/>
      <c r="U118" s="21"/>
      <c r="V118" s="21"/>
    </row>
    <row r="119" spans="1:22" s="35" customFormat="1" hidden="1" x14ac:dyDescent="0.25">
      <c r="A119" s="148"/>
      <c r="B119" s="148"/>
      <c r="C119" s="158"/>
      <c r="D119" s="158"/>
      <c r="E119" s="180"/>
      <c r="F119" s="180"/>
      <c r="G119" s="277"/>
      <c r="H119" s="277"/>
      <c r="R119"/>
      <c r="S119" s="21"/>
      <c r="T119"/>
      <c r="U119" s="21"/>
      <c r="V119" s="21"/>
    </row>
    <row r="120" spans="1:22" s="35" customFormat="1" hidden="1" x14ac:dyDescent="0.25">
      <c r="A120" s="148"/>
      <c r="B120" s="148"/>
      <c r="C120" s="158"/>
      <c r="D120" s="158"/>
      <c r="E120" s="180"/>
      <c r="F120" s="180"/>
      <c r="G120" s="277"/>
      <c r="H120" s="277"/>
      <c r="R120"/>
      <c r="S120" s="21"/>
      <c r="T120"/>
      <c r="U120" s="21"/>
      <c r="V120" s="21"/>
    </row>
    <row r="121" spans="1:22" s="35" customFormat="1" hidden="1" x14ac:dyDescent="0.25">
      <c r="A121" s="197" t="s">
        <v>140</v>
      </c>
      <c r="B121" s="197"/>
      <c r="C121" s="149"/>
      <c r="D121" s="149"/>
      <c r="E121" s="147"/>
      <c r="F121" s="147"/>
      <c r="G121" s="140"/>
      <c r="H121" s="140"/>
      <c r="R121"/>
      <c r="S121" s="21"/>
      <c r="T121"/>
      <c r="U121" s="21"/>
      <c r="V121" s="21"/>
    </row>
    <row r="122" spans="1:22" s="35" customFormat="1" x14ac:dyDescent="0.25">
      <c r="A122" s="197" t="s">
        <v>65</v>
      </c>
      <c r="B122" s="197"/>
      <c r="C122" s="197"/>
      <c r="D122" s="197"/>
      <c r="E122" s="197"/>
      <c r="F122" s="197"/>
      <c r="G122" s="197"/>
      <c r="H122" s="197"/>
      <c r="T122"/>
    </row>
    <row r="123" spans="1:22" s="35" customFormat="1" ht="15.75" customHeight="1" x14ac:dyDescent="0.25">
      <c r="A123" s="140" t="s">
        <v>50</v>
      </c>
      <c r="B123" s="140"/>
      <c r="C123" s="149" t="s">
        <v>73</v>
      </c>
      <c r="D123" s="149"/>
      <c r="E123" s="147" t="s">
        <v>51</v>
      </c>
      <c r="F123" s="147"/>
      <c r="G123" s="140" t="s">
        <v>52</v>
      </c>
      <c r="H123" s="140"/>
      <c r="T123"/>
    </row>
    <row r="124" spans="1:22" s="35" customFormat="1" x14ac:dyDescent="0.25">
      <c r="A124" s="148" t="s">
        <v>402</v>
      </c>
      <c r="B124" s="148"/>
      <c r="C124" s="190">
        <f>COUNT(D142:D144)+COUNT(D151:D154)*23+COUNT(D156:D158)*7+COUNT(D161:D164)+COUNT(D171:D174)</f>
        <v>124</v>
      </c>
      <c r="D124" s="190"/>
      <c r="E124" s="190">
        <f>SUM(F142:F144)+SUM(F151:F154)*23+SUM(F156:F158)*7+SUM(F161:F164)+SUM(F171:F174)</f>
        <v>224443.41688079998</v>
      </c>
      <c r="F124" s="190"/>
      <c r="G124" s="190">
        <f>SUM(H142:H144)+SUM(H151:H154)*23+SUM(H156:H158)*7+SUM(H161:H164)+SUM(H171:H174)</f>
        <v>337145.84556119994</v>
      </c>
      <c r="H124" s="190"/>
      <c r="T124"/>
    </row>
    <row r="125" spans="1:22" s="35" customFormat="1" x14ac:dyDescent="0.25">
      <c r="A125" s="276" t="s">
        <v>140</v>
      </c>
      <c r="B125" s="276"/>
      <c r="C125" s="295">
        <f t="shared" ref="C125:G125" si="0">SUM(C124)</f>
        <v>124</v>
      </c>
      <c r="D125" s="296"/>
      <c r="E125" s="288">
        <f t="shared" si="0"/>
        <v>224443.41688079998</v>
      </c>
      <c r="F125" s="289"/>
      <c r="G125" s="287">
        <f t="shared" si="0"/>
        <v>337145.84556119994</v>
      </c>
      <c r="H125" s="287"/>
      <c r="T125"/>
    </row>
    <row r="126" spans="1:22" s="35" customFormat="1" hidden="1" x14ac:dyDescent="0.25">
      <c r="A126" s="185" t="s">
        <v>157</v>
      </c>
      <c r="B126" s="186"/>
      <c r="C126" s="200">
        <f>C121+C125</f>
        <v>124</v>
      </c>
      <c r="D126" s="200"/>
      <c r="E126" s="193">
        <f>E121+E125</f>
        <v>224443.41688079998</v>
      </c>
      <c r="F126" s="193"/>
      <c r="G126" s="178">
        <f>G121+G125</f>
        <v>337145.84556119994</v>
      </c>
      <c r="H126" s="179"/>
      <c r="T126"/>
    </row>
    <row r="127" spans="1:22" s="34" customFormat="1" x14ac:dyDescent="0.25">
      <c r="A127" s="194" t="s">
        <v>344</v>
      </c>
      <c r="B127" s="194"/>
      <c r="C127" s="194"/>
      <c r="D127" s="194"/>
      <c r="E127" s="194"/>
      <c r="F127" s="194"/>
      <c r="G127" s="194"/>
      <c r="H127" s="194"/>
      <c r="T127" s="35"/>
    </row>
    <row r="128" spans="1:22" x14ac:dyDescent="0.25">
      <c r="A128" s="139" t="s">
        <v>371</v>
      </c>
      <c r="B128" s="139"/>
      <c r="C128" s="139"/>
      <c r="D128" s="139"/>
      <c r="E128" s="139"/>
      <c r="F128" s="139"/>
      <c r="G128" s="139"/>
      <c r="H128" s="139"/>
      <c r="T128" s="35"/>
    </row>
    <row r="129" spans="1:20" ht="47.25" hidden="1" customHeight="1" x14ac:dyDescent="0.25">
      <c r="A129" s="183" t="s">
        <v>110</v>
      </c>
      <c r="B129" s="181" t="s">
        <v>166</v>
      </c>
      <c r="C129" s="183" t="s">
        <v>53</v>
      </c>
      <c r="D129" s="181" t="s">
        <v>221</v>
      </c>
      <c r="E129" s="191" t="s">
        <v>146</v>
      </c>
      <c r="F129" s="183" t="s">
        <v>54</v>
      </c>
      <c r="G129" s="168" t="s">
        <v>55</v>
      </c>
      <c r="H129" s="74" t="s">
        <v>139</v>
      </c>
      <c r="T129" s="35"/>
    </row>
    <row r="130" spans="1:20" s="37" customFormat="1" hidden="1" x14ac:dyDescent="0.25">
      <c r="A130" s="184"/>
      <c r="B130" s="182"/>
      <c r="C130" s="184"/>
      <c r="D130" s="182"/>
      <c r="E130" s="192"/>
      <c r="F130" s="184"/>
      <c r="G130" s="169"/>
      <c r="H130" s="59">
        <v>0.45</v>
      </c>
      <c r="T130" s="35"/>
    </row>
    <row r="131" spans="1:20" s="37" customFormat="1" hidden="1" x14ac:dyDescent="0.25">
      <c r="A131" s="173" t="s">
        <v>109</v>
      </c>
      <c r="B131" s="174"/>
      <c r="C131" s="174"/>
      <c r="D131" s="174"/>
      <c r="E131" s="174"/>
      <c r="F131" s="174"/>
      <c r="G131" s="174"/>
      <c r="H131" s="175"/>
      <c r="J131" s="36"/>
      <c r="T131" s="35"/>
    </row>
    <row r="132" spans="1:20" s="37" customFormat="1" ht="15.75" hidden="1" customHeight="1" x14ac:dyDescent="0.25">
      <c r="A132" s="141">
        <v>1</v>
      </c>
      <c r="B132" s="142"/>
      <c r="C132" s="42"/>
      <c r="D132" s="42">
        <v>0</v>
      </c>
      <c r="E132" s="42">
        <v>0</v>
      </c>
      <c r="F132" s="67">
        <f>D132+(IF(E132&lt;201,E132,IF(E132&lt;301,E132/2,E132/3)))</f>
        <v>0</v>
      </c>
      <c r="G132" s="68">
        <v>0</v>
      </c>
      <c r="H132" s="67">
        <f>(F132+(IF(G132&lt;101,G132,IF(G132&lt;201,G132/2,IF(G132&lt;=301,G132/3,G132/4)))))*(($H$130)+1)</f>
        <v>0</v>
      </c>
      <c r="I132" s="36"/>
      <c r="L132" s="294"/>
      <c r="M132" s="294"/>
      <c r="N132" s="36"/>
      <c r="T132" s="35"/>
    </row>
    <row r="133" spans="1:20" s="37" customFormat="1" ht="15.75" hidden="1" customHeight="1" x14ac:dyDescent="0.25">
      <c r="A133" s="141">
        <f>A132+1</f>
        <v>2</v>
      </c>
      <c r="B133" s="142"/>
      <c r="C133" s="42"/>
      <c r="D133" s="42"/>
      <c r="E133" s="42">
        <v>0</v>
      </c>
      <c r="F133" s="67">
        <f>D133+(IF(E133&lt;201,E133,IF(E133&lt;301,E133/2,E133/3)))</f>
        <v>0</v>
      </c>
      <c r="G133" s="57">
        <v>0</v>
      </c>
      <c r="H133" s="67">
        <f>(F133+(IF(G133&lt;101,G133,IF(G133&lt;201,G133/2,IF(G133&lt;=301,G133/3,G133/4)))))*(($H$130)+1)</f>
        <v>0</v>
      </c>
      <c r="I133" s="36"/>
      <c r="L133" s="294"/>
      <c r="M133" s="294"/>
      <c r="N133" s="36"/>
      <c r="T133" s="34"/>
    </row>
    <row r="134" spans="1:20" s="37" customFormat="1" ht="15.75" hidden="1" customHeight="1" x14ac:dyDescent="0.25">
      <c r="A134" s="141">
        <f>A133+1</f>
        <v>3</v>
      </c>
      <c r="B134" s="142"/>
      <c r="C134" s="42"/>
      <c r="D134" s="42"/>
      <c r="E134" s="42">
        <v>0</v>
      </c>
      <c r="F134" s="67">
        <f>D134+(IF(E134&lt;201,E134,IF(E134&lt;301,E134/2,E134/3)))</f>
        <v>0</v>
      </c>
      <c r="G134" s="57">
        <v>0</v>
      </c>
      <c r="H134" s="67">
        <f>(F134+(IF(G134&lt;101,G134,IF(G134&lt;201,G134/2,IF(G134&lt;=301,G134/3,G134/4)))))*(($H$130)+1)</f>
        <v>0</v>
      </c>
      <c r="I134" s="36"/>
      <c r="L134" s="294"/>
      <c r="M134" s="294"/>
      <c r="N134" s="36"/>
      <c r="T134" s="21"/>
    </row>
    <row r="135" spans="1:20" s="37" customFormat="1" ht="15.75" hidden="1" customHeight="1" x14ac:dyDescent="0.25">
      <c r="A135" s="141">
        <f>A134+1</f>
        <v>4</v>
      </c>
      <c r="B135" s="142"/>
      <c r="C135" s="42"/>
      <c r="D135" s="42"/>
      <c r="E135" s="42">
        <v>0</v>
      </c>
      <c r="F135" s="67">
        <f>D135+(IF(E135&lt;201,E135,IF(E135&lt;301,E135/2,E135/3)))</f>
        <v>0</v>
      </c>
      <c r="G135" s="57">
        <v>0</v>
      </c>
      <c r="H135" s="67">
        <f>(F135+(IF(G135&lt;101,G135,IF(G135&lt;201,G135/2,IF(G135&lt;=301,G135/3,G135/4)))))*(($H$130)+1)</f>
        <v>0</v>
      </c>
      <c r="I135" s="36"/>
      <c r="L135" s="294"/>
      <c r="M135" s="294"/>
      <c r="N135" s="36"/>
      <c r="T135" s="21"/>
    </row>
    <row r="136" spans="1:20" s="37" customFormat="1" hidden="1" x14ac:dyDescent="0.25">
      <c r="A136" s="141"/>
      <c r="B136" s="267"/>
      <c r="C136" s="267"/>
      <c r="D136" s="267"/>
      <c r="E136" s="267"/>
      <c r="F136" s="267"/>
      <c r="G136" s="267"/>
      <c r="H136" s="142"/>
      <c r="I136" s="36"/>
      <c r="N136" s="36"/>
    </row>
    <row r="137" spans="1:20" ht="47.25" customHeight="1" x14ac:dyDescent="0.25">
      <c r="A137" s="268" t="s">
        <v>111</v>
      </c>
      <c r="B137" s="160" t="s">
        <v>167</v>
      </c>
      <c r="C137" s="160" t="s">
        <v>53</v>
      </c>
      <c r="D137" s="160" t="s">
        <v>221</v>
      </c>
      <c r="E137" s="160" t="s">
        <v>393</v>
      </c>
      <c r="F137" s="183" t="s">
        <v>54</v>
      </c>
      <c r="G137" s="168" t="s">
        <v>55</v>
      </c>
      <c r="H137" s="73" t="s">
        <v>139</v>
      </c>
      <c r="I137" s="36"/>
      <c r="T137" s="37"/>
    </row>
    <row r="138" spans="1:20" s="37" customFormat="1" x14ac:dyDescent="0.25">
      <c r="A138" s="269"/>
      <c r="B138" s="161"/>
      <c r="C138" s="161"/>
      <c r="D138" s="161"/>
      <c r="E138" s="161"/>
      <c r="F138" s="184"/>
      <c r="G138" s="169"/>
      <c r="H138" s="112">
        <v>0.5</v>
      </c>
      <c r="I138" s="36"/>
    </row>
    <row r="139" spans="1:20" s="97" customFormat="1" x14ac:dyDescent="0.25">
      <c r="A139" s="173" t="s">
        <v>388</v>
      </c>
      <c r="B139" s="174"/>
      <c r="C139" s="174"/>
      <c r="D139" s="174"/>
      <c r="E139" s="174"/>
      <c r="F139" s="174"/>
      <c r="G139" s="174"/>
      <c r="H139" s="175"/>
      <c r="J139" s="36"/>
    </row>
    <row r="140" spans="1:20" s="37" customFormat="1" x14ac:dyDescent="0.25">
      <c r="A140" s="173" t="s">
        <v>389</v>
      </c>
      <c r="B140" s="174"/>
      <c r="C140" s="174"/>
      <c r="D140" s="174"/>
      <c r="E140" s="174"/>
      <c r="F140" s="174"/>
      <c r="G140" s="174"/>
      <c r="H140" s="175"/>
      <c r="J140" s="36"/>
    </row>
    <row r="141" spans="1:20" s="37" customFormat="1" x14ac:dyDescent="0.25">
      <c r="A141" s="173" t="s">
        <v>360</v>
      </c>
      <c r="B141" s="174"/>
      <c r="C141" s="174"/>
      <c r="D141" s="174"/>
      <c r="E141" s="174"/>
      <c r="F141" s="174"/>
      <c r="G141" s="174"/>
      <c r="H141" s="175"/>
      <c r="I141" s="36">
        <f>(6.92*6.86+4.18*3.75+2.45*1.63+4.05*4.32+3.65*4.57+4.18*2.65+2.75*1.83+3.2*4.27+2.45*1.52+1.02*1.73+1.17*2.1+2.3*2.3+3.5*1.5)</f>
        <v>149.57529999999997</v>
      </c>
      <c r="L141" s="294"/>
      <c r="M141" s="294"/>
      <c r="N141" s="36"/>
    </row>
    <row r="142" spans="1:20" s="37" customFormat="1" ht="47.25" x14ac:dyDescent="0.25">
      <c r="A142" s="141">
        <v>1</v>
      </c>
      <c r="B142" s="142"/>
      <c r="C142" s="42" t="s">
        <v>358</v>
      </c>
      <c r="D142" s="104">
        <f>(154.64+117.99)*(10.764)</f>
        <v>2934.5893199999996</v>
      </c>
      <c r="E142" s="104">
        <f>(12.85+35.16)*(10.764)</f>
        <v>516.77963999999997</v>
      </c>
      <c r="F142" s="42">
        <f>D142+E142</f>
        <v>3451.3689599999998</v>
      </c>
      <c r="G142" s="57">
        <v>0</v>
      </c>
      <c r="H142" s="57">
        <f>F142*(($H$138)+1)+(IF(G142&lt;101,G142,IF(G142&lt;201,G142/2,IF(G142&lt;=301,G142/3,G142/4))))</f>
        <v>5177.0534399999997</v>
      </c>
      <c r="I142" s="36"/>
      <c r="J142" s="37">
        <v>6</v>
      </c>
      <c r="L142" s="294"/>
      <c r="M142" s="294"/>
      <c r="N142" s="36"/>
    </row>
    <row r="143" spans="1:20" s="37" customFormat="1" ht="47.25" x14ac:dyDescent="0.25">
      <c r="A143" s="141">
        <f>A142+1</f>
        <v>2</v>
      </c>
      <c r="B143" s="142"/>
      <c r="C143" s="98" t="s">
        <v>359</v>
      </c>
      <c r="D143" s="104">
        <f>(130.96+126.49)*(10.764)</f>
        <v>2771.1917999999996</v>
      </c>
      <c r="E143" s="104">
        <f>(44.49)*(10.764)</f>
        <v>478.89035999999999</v>
      </c>
      <c r="F143" s="99">
        <f>D143+E143</f>
        <v>3250.0821599999995</v>
      </c>
      <c r="G143" s="57">
        <v>0</v>
      </c>
      <c r="H143" s="57">
        <f>F143*(($H$138)+1)+(IF(G143&lt;101,G143,IF(G143&lt;201,G143/2,IF(G143&lt;=301,G143/3,G143/4))))</f>
        <v>4875.123239999999</v>
      </c>
      <c r="I143" s="36"/>
      <c r="L143" s="294"/>
      <c r="M143" s="294"/>
      <c r="N143" s="36"/>
    </row>
    <row r="144" spans="1:20" s="37" customFormat="1" ht="51" customHeight="1" x14ac:dyDescent="0.25">
      <c r="A144" s="141">
        <f>A143+1</f>
        <v>3</v>
      </c>
      <c r="B144" s="142"/>
      <c r="C144" s="98" t="s">
        <v>358</v>
      </c>
      <c r="D144" s="104">
        <f>(154.64+117.99)*(10.764)</f>
        <v>2934.5893199999996</v>
      </c>
      <c r="E144" s="104">
        <f>(12.85+35.16)*(10.764)</f>
        <v>516.77963999999997</v>
      </c>
      <c r="F144" s="57">
        <f>D144+E144</f>
        <v>3451.3689599999998</v>
      </c>
      <c r="G144" s="57">
        <v>0</v>
      </c>
      <c r="H144" s="57">
        <f>F144*(($H$138)+1)+(IF(G144&lt;101,G144,IF(G144&lt;201,G144/2,IF(G144&lt;=301,G144/3,G144/4))))</f>
        <v>5177.0534399999997</v>
      </c>
      <c r="I144" s="36"/>
      <c r="L144" s="294"/>
      <c r="M144" s="294"/>
      <c r="N144" s="36"/>
      <c r="T144" s="21"/>
    </row>
    <row r="145" spans="1:14" s="97" customFormat="1" x14ac:dyDescent="0.25">
      <c r="A145" s="141">
        <f>A144+1</f>
        <v>4</v>
      </c>
      <c r="B145" s="142"/>
      <c r="C145" s="141" t="s">
        <v>361</v>
      </c>
      <c r="D145" s="267"/>
      <c r="E145" s="267"/>
      <c r="F145" s="267"/>
      <c r="G145" s="267"/>
      <c r="H145" s="142"/>
      <c r="I145" s="36"/>
      <c r="L145" s="294"/>
      <c r="M145" s="294"/>
    </row>
    <row r="146" spans="1:14" s="97" customFormat="1" x14ac:dyDescent="0.25">
      <c r="A146" s="176" t="s">
        <v>392</v>
      </c>
      <c r="B146" s="176"/>
      <c r="C146" s="176"/>
      <c r="D146" s="176"/>
      <c r="E146" s="176"/>
      <c r="F146" s="176"/>
      <c r="G146" s="176"/>
      <c r="H146" s="176"/>
      <c r="L146" s="294"/>
      <c r="M146" s="294"/>
    </row>
    <row r="147" spans="1:14" s="97" customFormat="1" x14ac:dyDescent="0.25">
      <c r="A147" s="141">
        <v>1</v>
      </c>
      <c r="B147" s="142"/>
      <c r="C147" s="141" t="s">
        <v>390</v>
      </c>
      <c r="D147" s="267"/>
      <c r="E147" s="267"/>
      <c r="F147" s="267"/>
      <c r="G147" s="267"/>
      <c r="H147" s="142"/>
      <c r="I147" s="36">
        <f>(7.02*4.68+2.45*3.75+3.2*4.28+1.52*2.45+1.5*1.12+3.2*4.28+1.53*2.45+3.65*4.57+2.45*2.65+2.75*1.82+3.2*4.27+2.45*1.52+3.45*1.53+2.45*1.53)</f>
        <v>133.17860000000005</v>
      </c>
      <c r="N147" s="36"/>
    </row>
    <row r="148" spans="1:14" s="97" customFormat="1" x14ac:dyDescent="0.25">
      <c r="A148" s="141">
        <f>A147+1</f>
        <v>2</v>
      </c>
      <c r="B148" s="142"/>
      <c r="C148" s="141" t="s">
        <v>391</v>
      </c>
      <c r="D148" s="267"/>
      <c r="E148" s="267"/>
      <c r="F148" s="267"/>
      <c r="G148" s="267"/>
      <c r="H148" s="142"/>
      <c r="I148" s="36"/>
      <c r="N148" s="36"/>
    </row>
    <row r="149" spans="1:14" s="97" customFormat="1" x14ac:dyDescent="0.25">
      <c r="A149" s="141">
        <f>A148+1</f>
        <v>3</v>
      </c>
      <c r="B149" s="142"/>
      <c r="C149" s="141" t="s">
        <v>390</v>
      </c>
      <c r="D149" s="267"/>
      <c r="E149" s="267"/>
      <c r="F149" s="267"/>
      <c r="G149" s="267"/>
      <c r="H149" s="142"/>
      <c r="I149" s="36"/>
      <c r="J149" s="104">
        <f>10.764</f>
        <v>10.763999999999999</v>
      </c>
      <c r="N149" s="36"/>
    </row>
    <row r="150" spans="1:14" s="97" customFormat="1" ht="115.5" customHeight="1" x14ac:dyDescent="0.25">
      <c r="A150" s="177" t="s">
        <v>426</v>
      </c>
      <c r="B150" s="177"/>
      <c r="C150" s="177"/>
      <c r="D150" s="177"/>
      <c r="E150" s="177"/>
      <c r="F150" s="177"/>
      <c r="G150" s="177"/>
      <c r="H150" s="177"/>
      <c r="I150" s="36">
        <f>(7.01*4.88+3.05*2.45+1.38*2.6+1.53*2.45+4.27*3.2+2.45*1.52+3.2*4.28+3.65*4.58+1.83*3+2.27*0.6+1.78*1.12+1.53*2.45+1.75*1.12+1.52*2.7)</f>
        <v>115.47689999999999</v>
      </c>
      <c r="N150" s="36"/>
    </row>
    <row r="151" spans="1:14" s="102" customFormat="1" x14ac:dyDescent="0.25">
      <c r="A151" s="172">
        <v>1</v>
      </c>
      <c r="B151" s="172"/>
      <c r="C151" s="98" t="s">
        <v>357</v>
      </c>
      <c r="D151" s="104">
        <f>(143.28)*(10.764)</f>
        <v>1542.2659199999998</v>
      </c>
      <c r="E151" s="104">
        <f>(16.65)*(10.764)</f>
        <v>179.22059999999996</v>
      </c>
      <c r="F151" s="98">
        <f>D151+E151</f>
        <v>1721.4865199999997</v>
      </c>
      <c r="G151" s="98">
        <v>0</v>
      </c>
      <c r="H151" s="98">
        <f>F151*(($H$138)+1)+(IF(G151&lt;101,G151,IF(G151&lt;201,G151/2,IF(G151&lt;=301,G151/3,G151/4))))</f>
        <v>2582.2297799999997</v>
      </c>
      <c r="I151" s="36"/>
      <c r="K151" s="107"/>
    </row>
    <row r="152" spans="1:14" s="102" customFormat="1" ht="15.75" customHeight="1" x14ac:dyDescent="0.25">
      <c r="A152" s="172">
        <f>A151+1</f>
        <v>2</v>
      </c>
      <c r="B152" s="172"/>
      <c r="C152" s="98" t="s">
        <v>362</v>
      </c>
      <c r="D152" s="104">
        <f>(123.41)*(10.764)</f>
        <v>1328.3852399999998</v>
      </c>
      <c r="E152" s="104">
        <f>(17.54)*(10.764)</f>
        <v>188.80055999999999</v>
      </c>
      <c r="F152" s="98">
        <f>D152+E152</f>
        <v>1517.1857999999997</v>
      </c>
      <c r="G152" s="98">
        <v>0</v>
      </c>
      <c r="H152" s="98">
        <f>F152*(($H$138)+1)+(IF(G152&lt;101,G152,IF(G152&lt;201,G152/2,IF(G152&lt;=301,G152/3,G152/4))))</f>
        <v>2275.7786999999998</v>
      </c>
      <c r="I152" s="36"/>
      <c r="J152" s="107">
        <f>24000000/H152</f>
        <v>10545.84085877946</v>
      </c>
      <c r="K152" s="107">
        <f>20000000/H152</f>
        <v>8788.2007156495492</v>
      </c>
    </row>
    <row r="153" spans="1:14" s="102" customFormat="1" ht="15.75" customHeight="1" x14ac:dyDescent="0.25">
      <c r="A153" s="172">
        <f>A152+1</f>
        <v>3</v>
      </c>
      <c r="B153" s="172"/>
      <c r="C153" s="98" t="s">
        <v>357</v>
      </c>
      <c r="D153" s="104">
        <f>(148.06)*(10.764)</f>
        <v>1593.71784</v>
      </c>
      <c r="E153" s="104">
        <f>(17.19)*(10.764)</f>
        <v>185.03316000000001</v>
      </c>
      <c r="F153" s="98">
        <f>D153+E153</f>
        <v>1778.751</v>
      </c>
      <c r="G153" s="98">
        <v>0</v>
      </c>
      <c r="H153" s="98">
        <f>F153*(($H$138)+1)+(IF(G153&lt;101,G153,IF(G153&lt;201,G153/2,IF(G153&lt;=301,G153/3,G153/4))))</f>
        <v>2668.1264999999999</v>
      </c>
      <c r="I153" s="36"/>
      <c r="J153" s="102">
        <f>27000000/H153</f>
        <v>10119.46022799144</v>
      </c>
    </row>
    <row r="154" spans="1:14" s="102" customFormat="1" ht="15.75" customHeight="1" x14ac:dyDescent="0.25">
      <c r="A154" s="172">
        <f>A153+1</f>
        <v>4</v>
      </c>
      <c r="B154" s="172"/>
      <c r="C154" s="98" t="s">
        <v>362</v>
      </c>
      <c r="D154" s="104">
        <f>(123.53)*(10.764)</f>
        <v>1329.6769199999999</v>
      </c>
      <c r="E154" s="104">
        <f>(17.58)*(10.764)</f>
        <v>189.23111999999998</v>
      </c>
      <c r="F154" s="98">
        <f>D154+E154</f>
        <v>1518.9080399999998</v>
      </c>
      <c r="G154" s="98">
        <v>0</v>
      </c>
      <c r="H154" s="98">
        <f>F154*(($H$138)+1)+(IF(G154&lt;101,G154,IF(G154&lt;201,G154/2,IF(G154&lt;=301,G154/3,G154/4))))</f>
        <v>2278.3620599999995</v>
      </c>
      <c r="I154" s="36"/>
    </row>
    <row r="155" spans="1:14" s="102" customFormat="1" ht="49.5" customHeight="1" x14ac:dyDescent="0.25">
      <c r="A155" s="297" t="s">
        <v>427</v>
      </c>
      <c r="B155" s="298"/>
      <c r="C155" s="298"/>
      <c r="D155" s="298"/>
      <c r="E155" s="298"/>
      <c r="F155" s="298"/>
      <c r="G155" s="298"/>
      <c r="H155" s="299"/>
      <c r="I155" s="36"/>
    </row>
    <row r="156" spans="1:14" s="100" customFormat="1" x14ac:dyDescent="0.25">
      <c r="A156" s="141">
        <v>1</v>
      </c>
      <c r="B156" s="142"/>
      <c r="C156" s="101" t="s">
        <v>357</v>
      </c>
      <c r="D156" s="104">
        <f>(143.28)*(10.764)</f>
        <v>1542.2659199999998</v>
      </c>
      <c r="E156" s="104">
        <f>(16.65)*(10.764)</f>
        <v>179.22059999999996</v>
      </c>
      <c r="F156" s="101">
        <f>D156+E156</f>
        <v>1721.4865199999997</v>
      </c>
      <c r="G156" s="101">
        <v>0</v>
      </c>
      <c r="H156" s="101">
        <f>F156*(($H$138)+1)+(IF(G156&lt;101,G156,IF(G156&lt;201,G156/2,IF(G156&lt;=301,G156/3,G156/4))))</f>
        <v>2582.2297799999997</v>
      </c>
      <c r="I156" s="36"/>
      <c r="L156" s="294"/>
      <c r="M156" s="294"/>
    </row>
    <row r="157" spans="1:14" s="100" customFormat="1" x14ac:dyDescent="0.25">
      <c r="A157" s="141">
        <v>2</v>
      </c>
      <c r="B157" s="142"/>
      <c r="C157" s="101" t="s">
        <v>362</v>
      </c>
      <c r="D157" s="104">
        <f>(123.41)*(10.764)</f>
        <v>1328.3852399999998</v>
      </c>
      <c r="E157" s="104">
        <f>(17.54)*(10.764)</f>
        <v>188.80055999999999</v>
      </c>
      <c r="F157" s="101">
        <f>D157+E157</f>
        <v>1517.1857999999997</v>
      </c>
      <c r="G157" s="101">
        <v>0</v>
      </c>
      <c r="H157" s="101">
        <f>F157*(($H$138)+1)+(IF(G157&lt;101,G157,IF(G157&lt;201,G157/2,IF(G157&lt;=301,G157/3,G157/4))))</f>
        <v>2275.7786999999998</v>
      </c>
      <c r="I157" s="36">
        <f>(10.5*1.53+3.65*4.57+2.4*1.35+4.12*1.25+2.75*1.82+1.9*1.25+1.98*4.28+1.98*4.08+4.18*3.75+2.45*1.58+3.2*4.27+2.45*1.52+2.45*1.68)</f>
        <v>106.1183</v>
      </c>
      <c r="N157" s="36"/>
    </row>
    <row r="158" spans="1:14" s="100" customFormat="1" x14ac:dyDescent="0.25">
      <c r="A158" s="141">
        <v>3</v>
      </c>
      <c r="B158" s="142"/>
      <c r="C158" s="101" t="s">
        <v>425</v>
      </c>
      <c r="D158" s="104">
        <f>(148.06+1.83*1.68+1.83*3+6.95*4.55+1.53*2.45+3.2*0.92+2.27*0.6)*(10.764)</f>
        <v>2112.9882696</v>
      </c>
      <c r="E158" s="104">
        <f>(17.19)*(10.764)</f>
        <v>185.03316000000001</v>
      </c>
      <c r="F158" s="101">
        <f>D158+E158</f>
        <v>2298.0214295999999</v>
      </c>
      <c r="G158" s="101">
        <v>0</v>
      </c>
      <c r="H158" s="101">
        <f>F158*(($H$138)+1)+(IF(G158&lt;101,G158,IF(G158&lt;201,G158/2,IF(G158&lt;=301,G158/3,G158/4))))</f>
        <v>3447.0321444000001</v>
      </c>
      <c r="I158" s="36"/>
      <c r="N158" s="36"/>
    </row>
    <row r="159" spans="1:14" s="100" customFormat="1" x14ac:dyDescent="0.25">
      <c r="A159" s="141">
        <v>4</v>
      </c>
      <c r="B159" s="142"/>
      <c r="C159" s="141" t="s">
        <v>365</v>
      </c>
      <c r="D159" s="267"/>
      <c r="E159" s="267"/>
      <c r="F159" s="267"/>
      <c r="G159" s="267"/>
      <c r="H159" s="142"/>
      <c r="I159" s="36"/>
      <c r="N159" s="36"/>
    </row>
    <row r="160" spans="1:14" s="100" customFormat="1" x14ac:dyDescent="0.25">
      <c r="A160" s="171" t="s">
        <v>428</v>
      </c>
      <c r="B160" s="171"/>
      <c r="C160" s="171"/>
      <c r="D160" s="171"/>
      <c r="E160" s="171"/>
      <c r="F160" s="171"/>
      <c r="G160" s="171"/>
      <c r="H160" s="171"/>
      <c r="I160" s="36"/>
      <c r="N160" s="36"/>
    </row>
    <row r="161" spans="1:20" s="102" customFormat="1" ht="58.5" customHeight="1" x14ac:dyDescent="0.25">
      <c r="A161" s="172">
        <v>1</v>
      </c>
      <c r="B161" s="172"/>
      <c r="C161" s="99" t="s">
        <v>364</v>
      </c>
      <c r="D161" s="104">
        <f>(148.02+110.97)*(10.764)</f>
        <v>2787.76836</v>
      </c>
      <c r="E161" s="104">
        <f>(17.19)*(10.764)</f>
        <v>185.03316000000001</v>
      </c>
      <c r="F161" s="99">
        <f>D161+E161</f>
        <v>2972.80152</v>
      </c>
      <c r="G161" s="99">
        <v>0</v>
      </c>
      <c r="H161" s="99">
        <f>F161*(($H$138)+1)+(IF(G161&lt;101,G161,IF(G161&lt;201,G161/2,IF(G161&lt;=301,G161/3,G161/4))))</f>
        <v>4459.2022799999995</v>
      </c>
      <c r="I161" s="36"/>
      <c r="L161" s="294"/>
      <c r="M161" s="294"/>
    </row>
    <row r="162" spans="1:20" s="102" customFormat="1" ht="48" customHeight="1" x14ac:dyDescent="0.25">
      <c r="A162" s="172">
        <f>A161+1</f>
        <v>2</v>
      </c>
      <c r="B162" s="172"/>
      <c r="C162" s="99" t="s">
        <v>363</v>
      </c>
      <c r="D162" s="104">
        <f>(129.69+110.72)*(10.764)</f>
        <v>2587.77324</v>
      </c>
      <c r="E162" s="104">
        <f>(11.29+19.84)*(10.764)</f>
        <v>335.08331999999996</v>
      </c>
      <c r="F162" s="101">
        <f>D162+E162</f>
        <v>2922.8565600000002</v>
      </c>
      <c r="G162" s="99">
        <v>0</v>
      </c>
      <c r="H162" s="99">
        <f>F162*(($H$138)+1)+(IF(G162&lt;101,G162,IF(G162&lt;201,G162/2,IF(G162&lt;=301,G162/3,G162/4))))</f>
        <v>4384.2848400000003</v>
      </c>
      <c r="I162" s="36"/>
      <c r="L162" s="294"/>
      <c r="M162" s="294"/>
    </row>
    <row r="163" spans="1:20" s="102" customFormat="1" ht="47.25" x14ac:dyDescent="0.25">
      <c r="A163" s="172">
        <f>A162+1</f>
        <v>3</v>
      </c>
      <c r="B163" s="172"/>
      <c r="C163" s="99" t="s">
        <v>364</v>
      </c>
      <c r="D163" s="104">
        <f>(148.02+110.97)*(10.764)</f>
        <v>2787.76836</v>
      </c>
      <c r="E163" s="104">
        <f>(17.19)*(10.764)</f>
        <v>185.03316000000001</v>
      </c>
      <c r="F163" s="99">
        <f>D163+E163</f>
        <v>2972.80152</v>
      </c>
      <c r="G163" s="99">
        <v>0</v>
      </c>
      <c r="H163" s="99">
        <f>F163*(($H$138)+1)+(IF(G163&lt;101,G163,IF(G163&lt;201,G163/2,IF(G163&lt;=301,G163/3,G163/4))))</f>
        <v>4459.2022799999995</v>
      </c>
      <c r="I163" s="36"/>
      <c r="N163" s="36"/>
    </row>
    <row r="164" spans="1:20" s="102" customFormat="1" ht="47.25" x14ac:dyDescent="0.25">
      <c r="A164" s="172">
        <f>A163+1</f>
        <v>4</v>
      </c>
      <c r="B164" s="172"/>
      <c r="C164" s="99" t="s">
        <v>363</v>
      </c>
      <c r="D164" s="113">
        <f>(129.94+110.68)*(10.764)</f>
        <v>2590.03368</v>
      </c>
      <c r="E164" s="113">
        <f>(11.31+19.78)*(10.764)</f>
        <v>334.65276</v>
      </c>
      <c r="F164" s="101">
        <f>D164+E164</f>
        <v>2924.6864399999999</v>
      </c>
      <c r="G164" s="99">
        <v>0</v>
      </c>
      <c r="H164" s="99">
        <f>F164*(($H$138)+1)+(IF(G164&lt;101,G164,IF(G164&lt;201,G164/2,IF(G164&lt;=301,G164/3,G164/4))))</f>
        <v>4387.0296600000001</v>
      </c>
      <c r="I164" s="36"/>
      <c r="N164" s="36"/>
    </row>
    <row r="165" spans="1:20" s="102" customFormat="1" x14ac:dyDescent="0.25">
      <c r="A165" s="176" t="s">
        <v>429</v>
      </c>
      <c r="B165" s="176"/>
      <c r="C165" s="176"/>
      <c r="D165" s="176"/>
      <c r="E165" s="176"/>
      <c r="F165" s="176"/>
      <c r="G165" s="176"/>
      <c r="H165" s="176"/>
      <c r="I165" s="36"/>
      <c r="K165" s="102">
        <f>(4*5.9+2.55*2.35+3.3*1.88+4.15*1.87+2.43*1.62+2.45*1.57+1.52*1.48+2.45*1.67)</f>
        <v>57.681200000000004</v>
      </c>
      <c r="L165" s="102">
        <f>(3.1*4.1+6.3*6.1+4.15*9.2)</f>
        <v>89.32</v>
      </c>
      <c r="N165" s="36"/>
    </row>
    <row r="166" spans="1:20" s="102" customFormat="1" x14ac:dyDescent="0.25">
      <c r="A166" s="172">
        <v>1</v>
      </c>
      <c r="B166" s="172"/>
      <c r="C166" s="141" t="s">
        <v>395</v>
      </c>
      <c r="D166" s="267"/>
      <c r="E166" s="267"/>
      <c r="F166" s="267"/>
      <c r="G166" s="267"/>
      <c r="H166" s="142"/>
      <c r="I166" s="36"/>
      <c r="N166" s="36"/>
    </row>
    <row r="167" spans="1:20" s="102" customFormat="1" x14ac:dyDescent="0.25">
      <c r="A167" s="172">
        <f>A166+1</f>
        <v>2</v>
      </c>
      <c r="B167" s="172"/>
      <c r="C167" s="141" t="s">
        <v>394</v>
      </c>
      <c r="D167" s="267"/>
      <c r="E167" s="267"/>
      <c r="F167" s="267"/>
      <c r="G167" s="267"/>
      <c r="H167" s="142"/>
      <c r="I167" s="36"/>
      <c r="L167" s="294"/>
      <c r="M167" s="294"/>
    </row>
    <row r="168" spans="1:20" s="102" customFormat="1" ht="15.75" customHeight="1" x14ac:dyDescent="0.25">
      <c r="A168" s="172">
        <f>A167+1</f>
        <v>3</v>
      </c>
      <c r="B168" s="172"/>
      <c r="C168" s="141" t="s">
        <v>395</v>
      </c>
      <c r="D168" s="267"/>
      <c r="E168" s="267"/>
      <c r="F168" s="267"/>
      <c r="G168" s="267"/>
      <c r="H168" s="142"/>
      <c r="I168" s="36"/>
      <c r="L168" s="294"/>
      <c r="M168" s="294"/>
    </row>
    <row r="169" spans="1:20" s="37" customFormat="1" x14ac:dyDescent="0.25">
      <c r="A169" s="172">
        <f>A168+1</f>
        <v>4</v>
      </c>
      <c r="B169" s="172"/>
      <c r="C169" s="141" t="s">
        <v>394</v>
      </c>
      <c r="D169" s="267"/>
      <c r="E169" s="267"/>
      <c r="F169" s="267"/>
      <c r="G169" s="267"/>
      <c r="H169" s="142"/>
      <c r="I169" s="36"/>
      <c r="L169" s="294"/>
      <c r="M169" s="294"/>
    </row>
    <row r="170" spans="1:20" s="37" customFormat="1" x14ac:dyDescent="0.25">
      <c r="A170" s="176" t="s">
        <v>430</v>
      </c>
      <c r="B170" s="176"/>
      <c r="C170" s="176"/>
      <c r="D170" s="176"/>
      <c r="E170" s="176"/>
      <c r="F170" s="176"/>
      <c r="G170" s="176"/>
      <c r="H170" s="176"/>
      <c r="I170" s="36"/>
      <c r="N170" s="36"/>
    </row>
    <row r="171" spans="1:20" s="37" customFormat="1" ht="62.25" customHeight="1" x14ac:dyDescent="0.25">
      <c r="A171" s="172">
        <v>1</v>
      </c>
      <c r="B171" s="172"/>
      <c r="C171" s="101" t="s">
        <v>366</v>
      </c>
      <c r="D171" s="104">
        <f>(148.02+110.97+(4*5.9+2.55*2.35+3.3*1.88+4.15*1.87+2.43*1.62+2.45*1.57+1.52*1.48+2.45*1.67))*(10.764)</f>
        <v>3408.6487967999997</v>
      </c>
      <c r="E171" s="104">
        <f>(17.19+17.19)*(10.764)</f>
        <v>370.06632000000002</v>
      </c>
      <c r="F171" s="101">
        <f>D171+E171</f>
        <v>3778.7151167999996</v>
      </c>
      <c r="G171" s="114">
        <f>((3.1*4.1+6.3*6.1+4.15*9.2))*(10.764)</f>
        <v>961.44047999999987</v>
      </c>
      <c r="H171" s="101">
        <f>F171*(($H$138)+1)+(IF(G171&lt;101,G171,IF(G171&lt;201,G171/2,IF(G171&lt;=301,G171/3,G171/4))))</f>
        <v>5908.4327951999994</v>
      </c>
      <c r="I171" s="36"/>
      <c r="N171" s="36"/>
    </row>
    <row r="172" spans="1:20" s="37" customFormat="1" ht="57.75" customHeight="1" x14ac:dyDescent="0.25">
      <c r="A172" s="172">
        <f>A171+1</f>
        <v>2</v>
      </c>
      <c r="B172" s="172"/>
      <c r="C172" s="103" t="s">
        <v>397</v>
      </c>
      <c r="D172" s="104">
        <f>(129.69+110.72)*(10.764)</f>
        <v>2587.77324</v>
      </c>
      <c r="E172" s="104">
        <f>(11.29+19.84)*(10.764)</f>
        <v>335.08331999999996</v>
      </c>
      <c r="F172" s="101">
        <f>D172+E172</f>
        <v>2922.8565600000002</v>
      </c>
      <c r="G172" s="115">
        <v>0</v>
      </c>
      <c r="H172" s="101">
        <f>F172*(($H$138)+1)+(IF(G172&lt;101,G172,IF(G172&lt;201,G172/2,IF(G172&lt;=301,G172/3,G172/4))))</f>
        <v>4384.2848400000003</v>
      </c>
      <c r="I172" s="36"/>
      <c r="N172" s="36"/>
    </row>
    <row r="173" spans="1:20" s="35" customFormat="1" ht="63" x14ac:dyDescent="0.25">
      <c r="A173" s="172">
        <f>A172+1</f>
        <v>3</v>
      </c>
      <c r="B173" s="172"/>
      <c r="C173" s="103" t="s">
        <v>366</v>
      </c>
      <c r="D173" s="104">
        <f>(148.02+110.97+(4*5.9+2.55*2.35+3.3*1.88+4.15*1.87+2.43*1.62+2.45*1.57+1.52*1.48+2.45*1.67))*(10.764)</f>
        <v>3408.6487967999997</v>
      </c>
      <c r="E173" s="104">
        <f>(17.19+17.19)*(10.764)</f>
        <v>370.06632000000002</v>
      </c>
      <c r="F173" s="101">
        <f>D173+E173</f>
        <v>3778.7151167999996</v>
      </c>
      <c r="G173" s="114">
        <f>((3.1*4.1+6.3*6.1+4.15*9.2))*(10.764)</f>
        <v>961.44047999999987</v>
      </c>
      <c r="H173" s="101">
        <f>F173*(($H$138)+1)+(IF(G173&lt;101,G173,IF(G173&lt;201,G173/2,IF(G173&lt;=301,G173/3,G173/4))))</f>
        <v>5908.4327951999994</v>
      </c>
      <c r="T173" s="37"/>
    </row>
    <row r="174" spans="1:20" s="35" customFormat="1" ht="47.25" x14ac:dyDescent="0.25">
      <c r="A174" s="172">
        <f>A173+1</f>
        <v>4</v>
      </c>
      <c r="B174" s="172"/>
      <c r="C174" s="108" t="s">
        <v>397</v>
      </c>
      <c r="D174" s="104">
        <f>(129.94+110.68)*(10.764)</f>
        <v>2590.03368</v>
      </c>
      <c r="E174" s="104">
        <f>(11.31+19.78)*(10.764)</f>
        <v>334.65276</v>
      </c>
      <c r="F174" s="101">
        <f>D174+E174</f>
        <v>2924.6864399999999</v>
      </c>
      <c r="G174" s="115">
        <v>0</v>
      </c>
      <c r="H174" s="101">
        <f>F174*(($H$138)+1)+(IF(G174&lt;101,G174,IF(G174&lt;201,G174/2,IF(G174&lt;=301,G174/3,G174/4))))</f>
        <v>4387.0296600000001</v>
      </c>
      <c r="T174" s="37"/>
    </row>
    <row r="175" spans="1:20" s="35" customFormat="1" x14ac:dyDescent="0.25">
      <c r="A175" s="176" t="s">
        <v>431</v>
      </c>
      <c r="B175" s="176"/>
      <c r="C175" s="176"/>
      <c r="D175" s="176"/>
      <c r="E175" s="176"/>
      <c r="F175" s="176"/>
      <c r="G175" s="176"/>
      <c r="H175" s="176"/>
      <c r="T175" s="37"/>
    </row>
    <row r="176" spans="1:20" s="35" customFormat="1" x14ac:dyDescent="0.25">
      <c r="A176" s="141">
        <v>1</v>
      </c>
      <c r="B176" s="142"/>
      <c r="C176" s="279" t="s">
        <v>396</v>
      </c>
      <c r="D176" s="280"/>
      <c r="E176" s="280"/>
      <c r="F176" s="280"/>
      <c r="G176" s="280"/>
      <c r="H176" s="281"/>
    </row>
    <row r="177" spans="1:20" s="35" customFormat="1" ht="15.75" customHeight="1" x14ac:dyDescent="0.25">
      <c r="A177" s="141">
        <f>A176+1</f>
        <v>2</v>
      </c>
      <c r="B177" s="142"/>
      <c r="C177" s="279" t="s">
        <v>398</v>
      </c>
      <c r="D177" s="280"/>
      <c r="E177" s="280"/>
      <c r="F177" s="280"/>
      <c r="G177" s="280"/>
      <c r="H177" s="281"/>
    </row>
    <row r="178" spans="1:20" s="35" customFormat="1" ht="15.75" customHeight="1" x14ac:dyDescent="0.25">
      <c r="A178" s="141">
        <f>A177+1</f>
        <v>3</v>
      </c>
      <c r="B178" s="142"/>
      <c r="C178" s="279" t="s">
        <v>396</v>
      </c>
      <c r="D178" s="280"/>
      <c r="E178" s="280"/>
      <c r="F178" s="280"/>
      <c r="G178" s="280"/>
      <c r="H178" s="281"/>
    </row>
    <row r="179" spans="1:20" s="35" customFormat="1" ht="15.75" customHeight="1" x14ac:dyDescent="0.25">
      <c r="A179" s="141">
        <f>A178+1</f>
        <v>4</v>
      </c>
      <c r="B179" s="142"/>
      <c r="C179" s="279" t="s">
        <v>398</v>
      </c>
      <c r="D179" s="280"/>
      <c r="E179" s="280"/>
      <c r="F179" s="280"/>
      <c r="G179" s="280"/>
      <c r="H179" s="281"/>
    </row>
    <row r="180" spans="1:20" s="35" customFormat="1" x14ac:dyDescent="0.25">
      <c r="A180" s="301" t="s">
        <v>432</v>
      </c>
      <c r="B180" s="301"/>
      <c r="C180" s="301"/>
      <c r="D180" s="301"/>
      <c r="E180" s="301"/>
      <c r="F180" s="301"/>
      <c r="G180" s="301"/>
      <c r="H180" s="301"/>
    </row>
    <row r="181" spans="1:20" s="35" customFormat="1" x14ac:dyDescent="0.25">
      <c r="A181" s="141">
        <v>1</v>
      </c>
      <c r="B181" s="142"/>
      <c r="C181" s="279" t="s">
        <v>399</v>
      </c>
      <c r="D181" s="280"/>
      <c r="E181" s="280"/>
      <c r="F181" s="280"/>
      <c r="G181" s="280"/>
      <c r="H181" s="281"/>
    </row>
    <row r="182" spans="1:20" s="35" customFormat="1" x14ac:dyDescent="0.25">
      <c r="A182" s="141">
        <f>A181+1</f>
        <v>2</v>
      </c>
      <c r="B182" s="142"/>
      <c r="C182" s="279" t="s">
        <v>400</v>
      </c>
      <c r="D182" s="280"/>
      <c r="E182" s="280"/>
      <c r="F182" s="280"/>
      <c r="G182" s="280"/>
      <c r="H182" s="281"/>
    </row>
    <row r="183" spans="1:20" s="35" customFormat="1" x14ac:dyDescent="0.25">
      <c r="A183" s="141">
        <f>A182+1</f>
        <v>3</v>
      </c>
      <c r="B183" s="142"/>
      <c r="C183" s="279" t="s">
        <v>399</v>
      </c>
      <c r="D183" s="280"/>
      <c r="E183" s="280"/>
      <c r="F183" s="280"/>
      <c r="G183" s="280"/>
      <c r="H183" s="281"/>
    </row>
    <row r="184" spans="1:20" x14ac:dyDescent="0.25">
      <c r="A184" s="141">
        <f>A183+1</f>
        <v>4</v>
      </c>
      <c r="B184" s="142"/>
      <c r="C184" s="279" t="s">
        <v>400</v>
      </c>
      <c r="D184" s="280"/>
      <c r="E184" s="280"/>
      <c r="F184" s="280"/>
      <c r="G184" s="280"/>
      <c r="H184" s="281"/>
      <c r="T184" s="35"/>
    </row>
    <row r="185" spans="1:20" x14ac:dyDescent="0.25">
      <c r="A185" s="170" t="s">
        <v>63</v>
      </c>
      <c r="B185" s="170"/>
      <c r="C185" s="170"/>
      <c r="D185" s="170"/>
      <c r="E185" s="170"/>
      <c r="F185" s="170"/>
      <c r="G185" s="170"/>
      <c r="H185" s="170"/>
      <c r="T185" s="35"/>
    </row>
    <row r="186" spans="1:20" ht="15.75" customHeight="1" x14ac:dyDescent="0.25">
      <c r="A186" s="46" t="s">
        <v>143</v>
      </c>
      <c r="B186" s="162" t="s">
        <v>433</v>
      </c>
      <c r="C186" s="163"/>
      <c r="D186" s="163"/>
      <c r="E186" s="163"/>
      <c r="F186" s="163"/>
      <c r="G186" s="163"/>
      <c r="H186" s="164"/>
      <c r="T186" s="35"/>
    </row>
    <row r="187" spans="1:20" x14ac:dyDescent="0.25">
      <c r="A187" s="46" t="s">
        <v>143</v>
      </c>
      <c r="B187" s="162" t="str">
        <f>(IF(H137="Saleable area Loading :","We have considered Saleable area of Flats as per our Calculation.","We considered Saleable area of Flat as per Builder area Sheet."))</f>
        <v>We have considered Saleable area of Flats as per our Calculation.</v>
      </c>
      <c r="C187" s="163"/>
      <c r="D187" s="163"/>
      <c r="E187" s="163"/>
      <c r="F187" s="163"/>
      <c r="G187" s="163"/>
      <c r="H187" s="164"/>
      <c r="T187" s="35"/>
    </row>
    <row r="188" spans="1:20" hidden="1" x14ac:dyDescent="0.25">
      <c r="A188" s="46" t="s">
        <v>143</v>
      </c>
      <c r="B188" s="165" t="str">
        <f>(IF(H129="Saleable area Loading :","We have considered Saleable area of Commercial as per our Calculation.","We considered Saleable area of Commercial as per Builder area Sheet."))</f>
        <v>We have considered Saleable area of Commercial as per our Calculation.</v>
      </c>
      <c r="C188" s="166"/>
      <c r="D188" s="166"/>
      <c r="E188" s="166"/>
      <c r="F188" s="166"/>
      <c r="G188" s="166"/>
      <c r="H188" s="167"/>
      <c r="T188" s="35"/>
    </row>
    <row r="189" spans="1:20" x14ac:dyDescent="0.25">
      <c r="A189" s="46" t="s">
        <v>143</v>
      </c>
      <c r="B189" s="187" t="s">
        <v>113</v>
      </c>
      <c r="C189" s="188"/>
      <c r="D189" s="188"/>
      <c r="E189" s="188"/>
      <c r="F189" s="188"/>
      <c r="G189" s="188"/>
      <c r="H189" s="189"/>
      <c r="T189" s="35"/>
    </row>
    <row r="190" spans="1:20" x14ac:dyDescent="0.25">
      <c r="A190" s="46" t="s">
        <v>143</v>
      </c>
      <c r="B190" s="162" t="s">
        <v>401</v>
      </c>
      <c r="C190" s="163"/>
      <c r="D190" s="163"/>
      <c r="E190" s="163"/>
      <c r="F190" s="163"/>
      <c r="G190" s="163"/>
      <c r="H190" s="164"/>
    </row>
    <row r="191" spans="1:20" x14ac:dyDescent="0.25">
      <c r="A191" s="46" t="s">
        <v>143</v>
      </c>
      <c r="B191" s="187" t="s">
        <v>142</v>
      </c>
      <c r="C191" s="188"/>
      <c r="D191" s="188"/>
      <c r="E191" s="188"/>
      <c r="F191" s="188"/>
      <c r="G191" s="188"/>
      <c r="H191" s="189"/>
    </row>
    <row r="192" spans="1:20" x14ac:dyDescent="0.25">
      <c r="A192" s="46" t="s">
        <v>143</v>
      </c>
      <c r="B192" s="187" t="s">
        <v>114</v>
      </c>
      <c r="C192" s="188"/>
      <c r="D192" s="188"/>
      <c r="E192" s="188"/>
      <c r="F192" s="188"/>
      <c r="G192" s="188"/>
      <c r="H192" s="189"/>
    </row>
    <row r="193" spans="1:8" ht="36" customHeight="1" x14ac:dyDescent="0.25">
      <c r="A193" s="46" t="s">
        <v>143</v>
      </c>
      <c r="B193" s="162" t="s">
        <v>144</v>
      </c>
      <c r="C193" s="163"/>
      <c r="D193" s="163"/>
      <c r="E193" s="163"/>
      <c r="F193" s="163"/>
      <c r="G193" s="163"/>
      <c r="H193" s="164"/>
    </row>
    <row r="194" spans="1:8" x14ac:dyDescent="0.25">
      <c r="A194" s="46" t="s">
        <v>143</v>
      </c>
      <c r="B194" s="187" t="s">
        <v>115</v>
      </c>
      <c r="C194" s="188"/>
      <c r="D194" s="188"/>
      <c r="E194" s="188"/>
      <c r="F194" s="188"/>
      <c r="G194" s="188"/>
      <c r="H194" s="189"/>
    </row>
    <row r="195" spans="1:8" ht="31.5" customHeight="1" x14ac:dyDescent="0.25">
      <c r="A195" s="109" t="s">
        <v>143</v>
      </c>
      <c r="B195" s="162" t="s">
        <v>411</v>
      </c>
      <c r="C195" s="163"/>
      <c r="D195" s="163"/>
      <c r="E195" s="163"/>
      <c r="F195" s="163"/>
      <c r="G195" s="163"/>
      <c r="H195" s="164"/>
    </row>
    <row r="196" spans="1:8" ht="30.75" customHeight="1" x14ac:dyDescent="0.25">
      <c r="A196" s="58" t="s">
        <v>143</v>
      </c>
      <c r="B196" s="162" t="s">
        <v>416</v>
      </c>
      <c r="C196" s="163"/>
      <c r="D196" s="163"/>
      <c r="E196" s="163"/>
      <c r="F196" s="163"/>
      <c r="G196" s="163"/>
      <c r="H196" s="164"/>
    </row>
    <row r="197" spans="1:8" x14ac:dyDescent="0.25">
      <c r="A197" s="116" t="s">
        <v>143</v>
      </c>
      <c r="B197" s="162" t="s">
        <v>415</v>
      </c>
      <c r="C197" s="163"/>
      <c r="D197" s="163"/>
      <c r="E197" s="163"/>
      <c r="F197" s="163"/>
      <c r="G197" s="163"/>
      <c r="H197" s="164"/>
    </row>
    <row r="198" spans="1:8" x14ac:dyDescent="0.25">
      <c r="A198" s="116" t="s">
        <v>143</v>
      </c>
      <c r="B198" s="162" t="s">
        <v>412</v>
      </c>
      <c r="C198" s="163"/>
      <c r="D198" s="163"/>
      <c r="E198" s="163"/>
      <c r="F198" s="163"/>
      <c r="G198" s="163"/>
      <c r="H198" s="164"/>
    </row>
    <row r="199" spans="1:8" ht="18" hidden="1" customHeight="1" x14ac:dyDescent="0.25">
      <c r="A199" s="92" t="s">
        <v>143</v>
      </c>
      <c r="B199" s="165" t="str">
        <f ca="1">IF(G55&gt;EDATE(E3,-48),"NO REMARK FOR CC","REMARK FOR CC")</f>
        <v>NO REMARK FOR CC</v>
      </c>
      <c r="C199" s="166"/>
      <c r="D199" s="166"/>
      <c r="E199" s="166"/>
      <c r="F199" s="166"/>
      <c r="G199" s="166"/>
      <c r="H199" s="167"/>
    </row>
    <row r="200" spans="1:8" ht="52.5" customHeight="1" x14ac:dyDescent="0.25">
      <c r="A200" s="93" t="s">
        <v>143</v>
      </c>
      <c r="B200" s="162" t="s">
        <v>424</v>
      </c>
      <c r="C200" s="163"/>
      <c r="D200" s="163"/>
      <c r="E200" s="163"/>
      <c r="F200" s="163"/>
      <c r="G200" s="163"/>
      <c r="H200" s="164"/>
    </row>
    <row r="201" spans="1:8" x14ac:dyDescent="0.25">
      <c r="A201" s="199" t="s">
        <v>56</v>
      </c>
      <c r="B201" s="199"/>
      <c r="C201" s="199"/>
      <c r="D201" s="199"/>
      <c r="E201" s="199"/>
      <c r="F201" s="199"/>
      <c r="G201" s="199"/>
      <c r="H201" s="199"/>
    </row>
    <row r="202" spans="1:8" x14ac:dyDescent="0.25">
      <c r="A202" s="146" t="s">
        <v>57</v>
      </c>
      <c r="B202" s="146"/>
      <c r="C202" s="146"/>
      <c r="D202" s="146"/>
      <c r="E202" s="146"/>
      <c r="F202" s="146"/>
      <c r="G202" s="146"/>
      <c r="H202" s="146"/>
    </row>
    <row r="203" spans="1:8" x14ac:dyDescent="0.25">
      <c r="A203" s="159" t="s">
        <v>58</v>
      </c>
      <c r="B203" s="159"/>
      <c r="C203" s="159"/>
      <c r="D203" s="159"/>
      <c r="E203" s="159"/>
      <c r="F203" s="159"/>
      <c r="G203" s="159"/>
      <c r="H203" s="159"/>
    </row>
    <row r="204" spans="1:8" x14ac:dyDescent="0.25">
      <c r="A204" s="146" t="s">
        <v>59</v>
      </c>
      <c r="B204" s="146"/>
      <c r="C204" s="146"/>
      <c r="D204" s="146"/>
      <c r="E204" s="146"/>
      <c r="F204" s="146"/>
      <c r="G204" s="146"/>
      <c r="H204" s="146"/>
    </row>
    <row r="205" spans="1:8" x14ac:dyDescent="0.25">
      <c r="A205" s="146" t="s">
        <v>60</v>
      </c>
      <c r="B205" s="146"/>
      <c r="C205" s="146"/>
      <c r="D205" s="146"/>
      <c r="E205" s="146"/>
      <c r="F205" s="146"/>
      <c r="G205" s="146"/>
      <c r="H205" s="146"/>
    </row>
    <row r="206" spans="1:8" x14ac:dyDescent="0.25">
      <c r="A206" s="146" t="s">
        <v>116</v>
      </c>
      <c r="B206" s="146"/>
      <c r="C206" s="146"/>
      <c r="D206" s="146"/>
      <c r="E206" s="146"/>
      <c r="F206" s="146"/>
      <c r="G206" s="146"/>
      <c r="H206" s="146"/>
    </row>
    <row r="207" spans="1:8" x14ac:dyDescent="0.25">
      <c r="A207" s="150" t="s">
        <v>117</v>
      </c>
      <c r="B207" s="150"/>
      <c r="C207" s="150"/>
      <c r="D207" s="150"/>
      <c r="E207" s="150"/>
      <c r="F207" s="150"/>
      <c r="G207" s="150"/>
      <c r="H207" s="150"/>
    </row>
    <row r="208" spans="1:8" x14ac:dyDescent="0.25">
      <c r="A208" s="196" t="s">
        <v>72</v>
      </c>
      <c r="B208" s="196"/>
      <c r="C208" s="196" t="s">
        <v>435</v>
      </c>
      <c r="D208" s="196"/>
      <c r="E208" s="196" t="s">
        <v>96</v>
      </c>
      <c r="F208" s="196"/>
      <c r="G208" s="196" t="s">
        <v>434</v>
      </c>
      <c r="H208" s="196"/>
    </row>
    <row r="209" spans="1:8" x14ac:dyDescent="0.25">
      <c r="A209" s="195" t="s">
        <v>74</v>
      </c>
      <c r="B209" s="195"/>
      <c r="C209" s="195"/>
      <c r="D209" s="195"/>
      <c r="E209" s="195"/>
      <c r="F209" s="195"/>
      <c r="G209" s="195"/>
      <c r="H209" s="195"/>
    </row>
    <row r="210" spans="1:8" x14ac:dyDescent="0.25">
      <c r="A210" s="195"/>
      <c r="B210" s="195"/>
      <c r="C210" s="195"/>
      <c r="D210" s="195"/>
      <c r="E210" s="195"/>
      <c r="F210" s="195"/>
      <c r="G210" s="195"/>
      <c r="H210" s="195"/>
    </row>
    <row r="211" spans="1:8" x14ac:dyDescent="0.25">
      <c r="A211" s="195"/>
      <c r="B211" s="195"/>
      <c r="C211" s="195"/>
      <c r="D211" s="195"/>
      <c r="E211" s="195"/>
      <c r="F211" s="195"/>
      <c r="G211" s="195"/>
      <c r="H211" s="195"/>
    </row>
    <row r="212" spans="1:8" x14ac:dyDescent="0.25">
      <c r="A212" s="195"/>
      <c r="B212" s="195"/>
      <c r="C212" s="195"/>
      <c r="D212" s="195"/>
      <c r="E212" s="195"/>
      <c r="F212" s="195"/>
      <c r="G212" s="195"/>
      <c r="H212" s="195"/>
    </row>
    <row r="213" spans="1:8" x14ac:dyDescent="0.25">
      <c r="A213" s="38" t="s">
        <v>61</v>
      </c>
      <c r="B213" s="39"/>
      <c r="C213" s="39"/>
      <c r="D213" s="38" t="str">
        <f>E9</f>
        <v>Hanging Garden Palava</v>
      </c>
      <c r="F213" s="39"/>
      <c r="G213" s="39"/>
      <c r="H213" s="39"/>
    </row>
    <row r="214" spans="1:8" x14ac:dyDescent="0.25">
      <c r="A214" s="39"/>
      <c r="B214" s="39"/>
      <c r="C214" s="39"/>
      <c r="D214" s="39"/>
      <c r="E214" s="39"/>
      <c r="F214" s="39"/>
      <c r="G214" s="39"/>
      <c r="H214" s="39"/>
    </row>
    <row r="215" spans="1:8" x14ac:dyDescent="0.25">
      <c r="A215" s="39"/>
      <c r="B215" s="39"/>
      <c r="C215" s="39"/>
      <c r="D215" s="39"/>
      <c r="E215" s="39"/>
      <c r="F215" s="39"/>
      <c r="G215" s="39"/>
      <c r="H215" s="39"/>
    </row>
    <row r="257" spans="1:8" x14ac:dyDescent="0.25">
      <c r="A257" s="41" t="s">
        <v>154</v>
      </c>
      <c r="B257" s="105"/>
    </row>
    <row r="267" spans="1:8" x14ac:dyDescent="0.25">
      <c r="A267" s="21"/>
      <c r="B267" s="21"/>
      <c r="C267" s="21"/>
      <c r="D267" s="21"/>
      <c r="E267" s="21"/>
      <c r="F267" s="21"/>
      <c r="G267" s="21"/>
      <c r="H267" s="21"/>
    </row>
    <row r="268" spans="1:8" x14ac:dyDescent="0.25">
      <c r="A268" s="21"/>
      <c r="B268" s="21"/>
      <c r="C268" s="21"/>
      <c r="D268" s="21"/>
      <c r="E268" s="21"/>
      <c r="F268" s="21"/>
      <c r="G268" s="21"/>
      <c r="H268" s="21"/>
    </row>
    <row r="269" spans="1:8" x14ac:dyDescent="0.25">
      <c r="A269" s="21"/>
      <c r="B269" s="21"/>
      <c r="C269" s="21"/>
      <c r="D269" s="21"/>
      <c r="E269" s="21"/>
      <c r="F269" s="21"/>
      <c r="G269" s="21"/>
      <c r="H269" s="21"/>
    </row>
    <row r="270" spans="1:8" x14ac:dyDescent="0.25">
      <c r="A270" s="21"/>
      <c r="B270" s="21"/>
      <c r="C270" s="21"/>
      <c r="D270" s="21"/>
      <c r="E270" s="21"/>
      <c r="F270" s="21"/>
      <c r="G270" s="21"/>
      <c r="H270" s="21"/>
    </row>
    <row r="271" spans="1:8" x14ac:dyDescent="0.25">
      <c r="A271" s="21"/>
      <c r="B271" s="21"/>
      <c r="C271" s="21"/>
      <c r="D271" s="21"/>
      <c r="E271" s="21"/>
      <c r="F271" s="21"/>
      <c r="G271" s="21"/>
      <c r="H271" s="21"/>
    </row>
    <row r="272" spans="1:8" x14ac:dyDescent="0.25">
      <c r="A272" s="21"/>
      <c r="B272" s="21"/>
      <c r="C272" s="21"/>
      <c r="D272" s="21"/>
      <c r="E272" s="21"/>
      <c r="F272" s="21"/>
      <c r="G272" s="21"/>
      <c r="H272" s="21"/>
    </row>
    <row r="273" s="21" customFormat="1" x14ac:dyDescent="0.25"/>
    <row r="274" s="21" customFormat="1" x14ac:dyDescent="0.25"/>
    <row r="275" s="21" customFormat="1" x14ac:dyDescent="0.25"/>
    <row r="276" s="21" customFormat="1" x14ac:dyDescent="0.25"/>
    <row r="277" s="21" customFormat="1" x14ac:dyDescent="0.25"/>
    <row r="278" s="21" customFormat="1" x14ac:dyDescent="0.25"/>
    <row r="279" s="21" customFormat="1" x14ac:dyDescent="0.25"/>
    <row r="280" s="21" customFormat="1" x14ac:dyDescent="0.25"/>
    <row r="281" s="21" customFormat="1" x14ac:dyDescent="0.25"/>
    <row r="300" spans="1:2" x14ac:dyDescent="0.25">
      <c r="A300" s="119" t="s">
        <v>423</v>
      </c>
      <c r="B300" s="119"/>
    </row>
    <row r="340" spans="1:1" x14ac:dyDescent="0.25">
      <c r="A340" s="41" t="s">
        <v>62</v>
      </c>
    </row>
  </sheetData>
  <mergeCells count="390">
    <mergeCell ref="C179:H179"/>
    <mergeCell ref="A181:B181"/>
    <mergeCell ref="C181:H181"/>
    <mergeCell ref="C182:H182"/>
    <mergeCell ref="A183:B183"/>
    <mergeCell ref="C183:H183"/>
    <mergeCell ref="A184:B184"/>
    <mergeCell ref="C184:H184"/>
    <mergeCell ref="G12:H12"/>
    <mergeCell ref="A139:H139"/>
    <mergeCell ref="A147:B147"/>
    <mergeCell ref="A148:B148"/>
    <mergeCell ref="A149:B149"/>
    <mergeCell ref="C147:H147"/>
    <mergeCell ref="C149:H149"/>
    <mergeCell ref="C148:H148"/>
    <mergeCell ref="A171:B171"/>
    <mergeCell ref="A172:B172"/>
    <mergeCell ref="A173:B173"/>
    <mergeCell ref="A174:B174"/>
    <mergeCell ref="A180:H180"/>
    <mergeCell ref="A176:B176"/>
    <mergeCell ref="A178:B178"/>
    <mergeCell ref="A179:B179"/>
    <mergeCell ref="L162:M162"/>
    <mergeCell ref="L161:M161"/>
    <mergeCell ref="E80:F89"/>
    <mergeCell ref="C125:D125"/>
    <mergeCell ref="A141:H141"/>
    <mergeCell ref="L144:M144"/>
    <mergeCell ref="L141:M141"/>
    <mergeCell ref="L142:M142"/>
    <mergeCell ref="L143:M143"/>
    <mergeCell ref="L145:M145"/>
    <mergeCell ref="L146:M146"/>
    <mergeCell ref="L156:M156"/>
    <mergeCell ref="L135:M135"/>
    <mergeCell ref="L134:M134"/>
    <mergeCell ref="L133:M133"/>
    <mergeCell ref="L132:M132"/>
    <mergeCell ref="G94:H103"/>
    <mergeCell ref="A97:B97"/>
    <mergeCell ref="A155:H155"/>
    <mergeCell ref="A143:B143"/>
    <mergeCell ref="A144:B144"/>
    <mergeCell ref="A154:B154"/>
    <mergeCell ref="A145:B145"/>
    <mergeCell ref="A162:B162"/>
    <mergeCell ref="L168:M168"/>
    <mergeCell ref="A175:H175"/>
    <mergeCell ref="L167:M167"/>
    <mergeCell ref="A166:B166"/>
    <mergeCell ref="A167:B167"/>
    <mergeCell ref="A168:B168"/>
    <mergeCell ref="A169:B169"/>
    <mergeCell ref="C166:H166"/>
    <mergeCell ref="C167:H167"/>
    <mergeCell ref="C168:H168"/>
    <mergeCell ref="C169:H169"/>
    <mergeCell ref="L169:M169"/>
    <mergeCell ref="A170:H170"/>
    <mergeCell ref="C177:H177"/>
    <mergeCell ref="C178:H178"/>
    <mergeCell ref="I15:P15"/>
    <mergeCell ref="G16:H16"/>
    <mergeCell ref="G80:H89"/>
    <mergeCell ref="A114:E114"/>
    <mergeCell ref="G125:H125"/>
    <mergeCell ref="C120:D120"/>
    <mergeCell ref="E120:F120"/>
    <mergeCell ref="G120:H120"/>
    <mergeCell ref="A121:B121"/>
    <mergeCell ref="C121:D121"/>
    <mergeCell ref="E121:F121"/>
    <mergeCell ref="G121:H121"/>
    <mergeCell ref="E125:F125"/>
    <mergeCell ref="A76:B76"/>
    <mergeCell ref="A79:B79"/>
    <mergeCell ref="A108:E108"/>
    <mergeCell ref="E79:F79"/>
    <mergeCell ref="A86:B86"/>
    <mergeCell ref="A82:B82"/>
    <mergeCell ref="I20:J20"/>
    <mergeCell ref="I21:J21"/>
    <mergeCell ref="E15:H15"/>
    <mergeCell ref="A159:B159"/>
    <mergeCell ref="C159:H159"/>
    <mergeCell ref="B188:H188"/>
    <mergeCell ref="A93:B93"/>
    <mergeCell ref="E93:F93"/>
    <mergeCell ref="E94:F103"/>
    <mergeCell ref="A98:B98"/>
    <mergeCell ref="B196:H196"/>
    <mergeCell ref="A109:E109"/>
    <mergeCell ref="A125:B125"/>
    <mergeCell ref="A100:B100"/>
    <mergeCell ref="F105:H105"/>
    <mergeCell ref="G119:H119"/>
    <mergeCell ref="A103:B103"/>
    <mergeCell ref="F111:H111"/>
    <mergeCell ref="C118:D118"/>
    <mergeCell ref="A110:E110"/>
    <mergeCell ref="F110:H110"/>
    <mergeCell ref="A101:B101"/>
    <mergeCell ref="A102:B102"/>
    <mergeCell ref="A107:E107"/>
    <mergeCell ref="A104:E104"/>
    <mergeCell ref="F108:H108"/>
    <mergeCell ref="C176:H176"/>
    <mergeCell ref="A153:B153"/>
    <mergeCell ref="C145:H145"/>
    <mergeCell ref="A135:B135"/>
    <mergeCell ref="A134:B134"/>
    <mergeCell ref="A136:H136"/>
    <mergeCell ref="A137:A138"/>
    <mergeCell ref="F137:F138"/>
    <mergeCell ref="C129:C130"/>
    <mergeCell ref="B137:B138"/>
    <mergeCell ref="A151:B151"/>
    <mergeCell ref="A152:B152"/>
    <mergeCell ref="F40:H40"/>
    <mergeCell ref="C54:E54"/>
    <mergeCell ref="C53:E53"/>
    <mergeCell ref="G53:H53"/>
    <mergeCell ref="A54:B54"/>
    <mergeCell ref="G59:H59"/>
    <mergeCell ref="A61:B62"/>
    <mergeCell ref="C61:E61"/>
    <mergeCell ref="G61:H61"/>
    <mergeCell ref="G54:H54"/>
    <mergeCell ref="A43:B43"/>
    <mergeCell ref="C43:H43"/>
    <mergeCell ref="A42:B42"/>
    <mergeCell ref="C42:H42"/>
    <mergeCell ref="C58:H58"/>
    <mergeCell ref="A49:D49"/>
    <mergeCell ref="A50:D50"/>
    <mergeCell ref="E49:H49"/>
    <mergeCell ref="E50:H50"/>
    <mergeCell ref="C60:H60"/>
    <mergeCell ref="A51:H51"/>
    <mergeCell ref="A47:D47"/>
    <mergeCell ref="E47:H47"/>
    <mergeCell ref="E48:H48"/>
    <mergeCell ref="A67:C67"/>
    <mergeCell ref="A48:D48"/>
    <mergeCell ref="A52:B52"/>
    <mergeCell ref="C52:H52"/>
    <mergeCell ref="A68:C68"/>
    <mergeCell ref="D68:H68"/>
    <mergeCell ref="G55:H55"/>
    <mergeCell ref="A64:H64"/>
    <mergeCell ref="A65:C65"/>
    <mergeCell ref="A59:B60"/>
    <mergeCell ref="C59:E59"/>
    <mergeCell ref="C62:E62"/>
    <mergeCell ref="G57:H57"/>
    <mergeCell ref="G62:H62"/>
    <mergeCell ref="A55:B56"/>
    <mergeCell ref="C55:E55"/>
    <mergeCell ref="C56:H56"/>
    <mergeCell ref="A66:C66"/>
    <mergeCell ref="D67:H67"/>
    <mergeCell ref="A53:B53"/>
    <mergeCell ref="A69:C69"/>
    <mergeCell ref="C76:H76"/>
    <mergeCell ref="A71:C71"/>
    <mergeCell ref="D71:H71"/>
    <mergeCell ref="C78:H78"/>
    <mergeCell ref="A72:C72"/>
    <mergeCell ref="D72:H72"/>
    <mergeCell ref="A75:C75"/>
    <mergeCell ref="D75:H75"/>
    <mergeCell ref="A74:C74"/>
    <mergeCell ref="A70:C70"/>
    <mergeCell ref="D69:H69"/>
    <mergeCell ref="D70:H70"/>
    <mergeCell ref="D74:H74"/>
    <mergeCell ref="A78:B78"/>
    <mergeCell ref="A73:C73"/>
    <mergeCell ref="A39:B39"/>
    <mergeCell ref="C39:E39"/>
    <mergeCell ref="A34:D34"/>
    <mergeCell ref="E34:H34"/>
    <mergeCell ref="A35:D35"/>
    <mergeCell ref="E35:H35"/>
    <mergeCell ref="A46:D46"/>
    <mergeCell ref="C57:E57"/>
    <mergeCell ref="A41:H41"/>
    <mergeCell ref="A40:B40"/>
    <mergeCell ref="C40:E40"/>
    <mergeCell ref="A45:D45"/>
    <mergeCell ref="E45:H45"/>
    <mergeCell ref="A44:H44"/>
    <mergeCell ref="C36:E36"/>
    <mergeCell ref="F39:H39"/>
    <mergeCell ref="F36:H36"/>
    <mergeCell ref="A37:B37"/>
    <mergeCell ref="A36:B36"/>
    <mergeCell ref="C37:E37"/>
    <mergeCell ref="A38:B38"/>
    <mergeCell ref="C38:E38"/>
    <mergeCell ref="F37:H37"/>
    <mergeCell ref="F38:H38"/>
    <mergeCell ref="A14:D14"/>
    <mergeCell ref="A29:D29"/>
    <mergeCell ref="E29:H29"/>
    <mergeCell ref="A28:D28"/>
    <mergeCell ref="E28:H28"/>
    <mergeCell ref="A33:D33"/>
    <mergeCell ref="E33:H33"/>
    <mergeCell ref="A30:D30"/>
    <mergeCell ref="A24:B24"/>
    <mergeCell ref="C24:D24"/>
    <mergeCell ref="E24:F24"/>
    <mergeCell ref="G24:H24"/>
    <mergeCell ref="A25:B25"/>
    <mergeCell ref="C25:D25"/>
    <mergeCell ref="E25:F25"/>
    <mergeCell ref="G25:H25"/>
    <mergeCell ref="E30:H30"/>
    <mergeCell ref="A31:D31"/>
    <mergeCell ref="E31:H31"/>
    <mergeCell ref="A32:D32"/>
    <mergeCell ref="E32:H32"/>
    <mergeCell ref="E26:H27"/>
    <mergeCell ref="E16:F16"/>
    <mergeCell ref="G17:H17"/>
    <mergeCell ref="E14:H14"/>
    <mergeCell ref="A11:D11"/>
    <mergeCell ref="E11:H11"/>
    <mergeCell ref="A26:D27"/>
    <mergeCell ref="A22:B22"/>
    <mergeCell ref="C22:D22"/>
    <mergeCell ref="E22:F22"/>
    <mergeCell ref="G22:H22"/>
    <mergeCell ref="A23:B23"/>
    <mergeCell ref="C23:D23"/>
    <mergeCell ref="E23:F23"/>
    <mergeCell ref="G23:H23"/>
    <mergeCell ref="A15:D18"/>
    <mergeCell ref="E17:F18"/>
    <mergeCell ref="G18:H18"/>
    <mergeCell ref="A19:B19"/>
    <mergeCell ref="C19:H19"/>
    <mergeCell ref="C20:H20"/>
    <mergeCell ref="A21:B21"/>
    <mergeCell ref="C21:H21"/>
    <mergeCell ref="A13:D13"/>
    <mergeCell ref="E13:H13"/>
    <mergeCell ref="A12:D12"/>
    <mergeCell ref="A20:B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09:H212"/>
    <mergeCell ref="A208:B208"/>
    <mergeCell ref="E208:F208"/>
    <mergeCell ref="C208:D208"/>
    <mergeCell ref="G208:H208"/>
    <mergeCell ref="A117:H117"/>
    <mergeCell ref="A115:E115"/>
    <mergeCell ref="F115:H115"/>
    <mergeCell ref="A116:E116"/>
    <mergeCell ref="F116:H116"/>
    <mergeCell ref="A124:B124"/>
    <mergeCell ref="A182:B182"/>
    <mergeCell ref="A119:B119"/>
    <mergeCell ref="A204:H204"/>
    <mergeCell ref="A122:H122"/>
    <mergeCell ref="A207:H207"/>
    <mergeCell ref="A205:H205"/>
    <mergeCell ref="A201:H201"/>
    <mergeCell ref="G123:H123"/>
    <mergeCell ref="B191:H191"/>
    <mergeCell ref="A177:B177"/>
    <mergeCell ref="C126:D126"/>
    <mergeCell ref="A164:B164"/>
    <mergeCell ref="B200:H200"/>
    <mergeCell ref="E119:F119"/>
    <mergeCell ref="B129:B130"/>
    <mergeCell ref="A129:A130"/>
    <mergeCell ref="B195:H195"/>
    <mergeCell ref="A126:B126"/>
    <mergeCell ref="F129:F130"/>
    <mergeCell ref="B194:H194"/>
    <mergeCell ref="B192:H192"/>
    <mergeCell ref="C124:D124"/>
    <mergeCell ref="E124:F124"/>
    <mergeCell ref="G124:H124"/>
    <mergeCell ref="A131:H131"/>
    <mergeCell ref="E129:E130"/>
    <mergeCell ref="E126:F126"/>
    <mergeCell ref="D129:D130"/>
    <mergeCell ref="E123:F123"/>
    <mergeCell ref="A127:H127"/>
    <mergeCell ref="A165:H165"/>
    <mergeCell ref="A156:B156"/>
    <mergeCell ref="A157:B157"/>
    <mergeCell ref="A158:B158"/>
    <mergeCell ref="B189:H189"/>
    <mergeCell ref="A142:B142"/>
    <mergeCell ref="A163:B163"/>
    <mergeCell ref="A206:H206"/>
    <mergeCell ref="A203:H203"/>
    <mergeCell ref="A123:B123"/>
    <mergeCell ref="D137:D138"/>
    <mergeCell ref="E137:E138"/>
    <mergeCell ref="B190:H190"/>
    <mergeCell ref="B199:H199"/>
    <mergeCell ref="A202:H202"/>
    <mergeCell ref="B193:H193"/>
    <mergeCell ref="G129:G130"/>
    <mergeCell ref="B186:H186"/>
    <mergeCell ref="B187:H187"/>
    <mergeCell ref="A185:H185"/>
    <mergeCell ref="A160:H160"/>
    <mergeCell ref="A161:B161"/>
    <mergeCell ref="A140:H140"/>
    <mergeCell ref="A146:H146"/>
    <mergeCell ref="A150:H150"/>
    <mergeCell ref="A132:B132"/>
    <mergeCell ref="C137:C138"/>
    <mergeCell ref="G137:G138"/>
    <mergeCell ref="G126:H126"/>
    <mergeCell ref="B198:H198"/>
    <mergeCell ref="B197:H197"/>
    <mergeCell ref="A96:B96"/>
    <mergeCell ref="I16:P16"/>
    <mergeCell ref="F114:H114"/>
    <mergeCell ref="F112:H112"/>
    <mergeCell ref="A128:H128"/>
    <mergeCell ref="G118:H118"/>
    <mergeCell ref="A113:E113"/>
    <mergeCell ref="A133:B133"/>
    <mergeCell ref="A63:B63"/>
    <mergeCell ref="C63:E63"/>
    <mergeCell ref="D65:H65"/>
    <mergeCell ref="F113:H113"/>
    <mergeCell ref="E118:F118"/>
    <mergeCell ref="A118:B118"/>
    <mergeCell ref="A120:B120"/>
    <mergeCell ref="C123:D123"/>
    <mergeCell ref="D73:H73"/>
    <mergeCell ref="D66:H66"/>
    <mergeCell ref="G63:H63"/>
    <mergeCell ref="A57:B58"/>
    <mergeCell ref="A112:E112"/>
    <mergeCell ref="E46:H46"/>
    <mergeCell ref="A85:B85"/>
    <mergeCell ref="C119:D119"/>
    <mergeCell ref="A300:B300"/>
    <mergeCell ref="A80:B80"/>
    <mergeCell ref="G79:H79"/>
    <mergeCell ref="A88:B88"/>
    <mergeCell ref="A89:B89"/>
    <mergeCell ref="A84:B84"/>
    <mergeCell ref="A83:B83"/>
    <mergeCell ref="A81:B81"/>
    <mergeCell ref="F107:H107"/>
    <mergeCell ref="A111:E111"/>
    <mergeCell ref="A87:B87"/>
    <mergeCell ref="A105:E105"/>
    <mergeCell ref="A90:B90"/>
    <mergeCell ref="C90:H90"/>
    <mergeCell ref="A94:B94"/>
    <mergeCell ref="C92:H92"/>
    <mergeCell ref="A99:B99"/>
    <mergeCell ref="G93:H93"/>
    <mergeCell ref="A92:B92"/>
    <mergeCell ref="A95:B95"/>
    <mergeCell ref="F104:H104"/>
    <mergeCell ref="F109:H109"/>
    <mergeCell ref="F106:H106"/>
    <mergeCell ref="A106:E106"/>
  </mergeCells>
  <dataValidations disablePrompts="1" count="17">
    <dataValidation type="list" allowBlank="1" showInputMessage="1" showErrorMessage="1" sqref="E5:H5" xr:uid="{00000000-0002-0000-0000-000000000000}">
      <formula1>OFFSET($L$3,1,MATCH($E4,$L$3:$P$3,0)-1,10,1)</formula1>
    </dataValidation>
    <dataValidation type="list" allowBlank="1" showInputMessage="1" showErrorMessage="1" sqref="A20:B20" xr:uid="{00000000-0002-0000-0000-000001000000}">
      <formula1>"CTS No,Survey No,Plot No,Gut No,FP No,Sector No"</formula1>
    </dataValidation>
    <dataValidation type="list" allowBlank="1" showInputMessage="1" showErrorMessage="1" sqref="G23:H23" xr:uid="{00000000-0002-0000-0000-000002000000}">
      <formula1>$S$13:$W$13</formula1>
    </dataValidation>
    <dataValidation type="list" allowBlank="1" showInputMessage="1" showErrorMessage="1" sqref="E129:E130" xr:uid="{00000000-0002-0000-0000-000003000000}">
      <formula1>"Attached Loft area,Attached Otla area,Attached Mezzanine area"</formula1>
    </dataValidation>
    <dataValidation type="list" allowBlank="1" showInputMessage="1" showErrorMessage="1" sqref="G208:H208" xr:uid="{00000000-0002-0000-0000-000004000000}">
      <formula1>"Kunal Kadam,Pranita Mhatre,Shruti Fule,Pooja Kawale,Gaurav Panchal,Shruti Tathare, Hitakshi Mhatre, Sachin Sawant"</formula1>
    </dataValidation>
    <dataValidation type="list" allowBlank="1" showInputMessage="1" showErrorMessage="1" sqref="F104:H104" xr:uid="{00000000-0002-0000-0000-000005000000}">
      <formula1>"On Saleable Area,On Builtup Area,On Carpet Area,On Plot Area"</formula1>
    </dataValidation>
    <dataValidation type="list" allowBlank="1" showInputMessage="1" showErrorMessage="1" sqref="F115:H115" xr:uid="{00000000-0002-0000-0000-000006000000}">
      <formula1>OFFSET($S$104,1,MATCH($G23,$S$104:$W$104,0)-1,15,1)</formula1>
    </dataValidation>
    <dataValidation type="list" allowBlank="1" showInputMessage="1" showErrorMessage="1" sqref="B129:B130" xr:uid="{00000000-0002-0000-0000-000007000000}">
      <formula1>"Shop No. (Sale Plan),Sale / Rehab,Sale / Mhada"</formula1>
    </dataValidation>
    <dataValidation type="list" allowBlank="1" showInputMessage="1" showErrorMessage="1" sqref="B137:B138" xr:uid="{00000000-0002-0000-0000-000008000000}">
      <formula1>"Flat No. (Sale Plan),Sale / Rehab,Sale / Mhada"</formula1>
    </dataValidation>
    <dataValidation type="list" allowBlank="1" showInputMessage="1" showErrorMessage="1" sqref="C24:D24" xr:uid="{00000000-0002-0000-0000-000009000000}">
      <formula1>OFFSET($S$13,1,MATCH($G23,$S$13:$W$13,0)-1,15,1)</formula1>
    </dataValidation>
    <dataValidation type="list" allowBlank="1" showInputMessage="1" showErrorMessage="1" sqref="Y13" xr:uid="{00000000-0002-0000-0000-00000A000000}">
      <formula1>$D$5:$H$5</formula1>
    </dataValidation>
    <dataValidation type="list" allowBlank="1" showInputMessage="1" showErrorMessage="1" sqref="E137:E138" xr:uid="{00000000-0002-0000-0000-00000B000000}">
      <formula1>"EVBT Area,Balcony Area,Chajja Area,Cornice Area,AP Area,WS Area"</formula1>
    </dataValidation>
    <dataValidation type="list" allowBlank="1" showInputMessage="1" showErrorMessage="1" sqref="H130 H138"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2:H52" xr:uid="{00000000-0002-0000-0000-00000E000000}">
      <formula1>OFFSET($S$52,1,MATCH($G23,$S$52:$W$52,0)-1,15,1)</formula1>
    </dataValidation>
    <dataValidation type="list" allowBlank="1" showInputMessage="1" showErrorMessage="1" sqref="H129 H137" xr:uid="{00000000-0002-0000-0000-00000F000000}">
      <formula1>"Saleable area Loading :,Builder Saleable Area"</formula1>
    </dataValidation>
    <dataValidation type="list" allowBlank="1" showInputMessage="1" showErrorMessage="1" sqref="D129:D130 D137:D138" xr:uid="{00000000-0002-0000-0000-000010000000}">
      <formula1>"Carpet area,RERA Carpet area"</formula1>
    </dataValidation>
  </dataValidations>
  <hyperlinks>
    <hyperlink ref="C43" r:id="rId1" xr:uid="{00000000-0004-0000-0000-000000000000}"/>
  </hyperlinks>
  <printOptions horizontalCentered="1"/>
  <pageMargins left="0.39370078740157483" right="0.39370078740157483" top="0.82677165354330717" bottom="0.78740157480314965" header="0.15748031496062992" footer="0.19685039370078741"/>
  <pageSetup paperSize="9" fitToHeight="0" orientation="portrait" r:id="rId2"/>
  <headerFooter>
    <oddHeader>&amp;C&amp;G</oddHeader>
    <oddFooter>&amp;L&amp;"Times New Roman,Bold"&amp;12Ref No: &amp;F&amp;C&amp;G&amp;R&amp;"Times New Roman,Bold"&amp;12&amp;P</oddFooter>
  </headerFooter>
  <rowBreaks count="5" manualBreakCount="5">
    <brk id="159" max="16383" man="1"/>
    <brk id="212" max="7" man="1"/>
    <brk id="256" max="7" man="1"/>
    <brk id="298" max="16383" man="1"/>
    <brk id="339"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302" t="s">
        <v>97</v>
      </c>
      <c r="C3" s="302"/>
      <c r="D3" s="302"/>
      <c r="E3" s="302"/>
      <c r="F3" s="302"/>
      <c r="G3" s="302"/>
      <c r="H3" s="302"/>
    </row>
    <row r="4" spans="1:9" x14ac:dyDescent="0.25">
      <c r="A4" s="2"/>
      <c r="B4" s="3" t="s">
        <v>98</v>
      </c>
      <c r="C4" s="3" t="s">
        <v>99</v>
      </c>
      <c r="D4" s="3" t="s">
        <v>64</v>
      </c>
      <c r="E4" s="3" t="s">
        <v>100</v>
      </c>
      <c r="F4" s="3" t="s">
        <v>106</v>
      </c>
      <c r="G4" s="3" t="s">
        <v>107</v>
      </c>
      <c r="H4" s="3" t="s">
        <v>101</v>
      </c>
    </row>
    <row r="5" spans="1:9" ht="15" customHeight="1" x14ac:dyDescent="0.25">
      <c r="A5" s="2"/>
      <c r="B5" s="5" t="s">
        <v>102</v>
      </c>
      <c r="C5" s="6"/>
      <c r="D5" s="5"/>
      <c r="E5" s="5"/>
      <c r="F5" s="7">
        <f>E5*1.6</f>
        <v>0</v>
      </c>
      <c r="G5" s="7" t="e">
        <f>H5/F5</f>
        <v>#DIV/0!</v>
      </c>
      <c r="H5" s="8"/>
    </row>
    <row r="6" spans="1:9" x14ac:dyDescent="0.25">
      <c r="A6" s="2"/>
      <c r="B6" s="5" t="s">
        <v>102</v>
      </c>
      <c r="C6" s="9"/>
      <c r="D6" s="5"/>
      <c r="E6" s="5"/>
      <c r="F6" s="7">
        <f t="shared" ref="F6:F11" si="0">E6*1.6</f>
        <v>0</v>
      </c>
      <c r="G6" s="7" t="e">
        <f t="shared" ref="G6:G11" si="1">H6/F6</f>
        <v>#DIV/0!</v>
      </c>
      <c r="H6" s="8"/>
    </row>
    <row r="7" spans="1:9" ht="15" customHeight="1" x14ac:dyDescent="0.25">
      <c r="A7" s="2"/>
      <c r="B7" s="5" t="s">
        <v>102</v>
      </c>
      <c r="C7" s="6"/>
      <c r="D7" s="5"/>
      <c r="E7" s="5"/>
      <c r="F7" s="7">
        <f t="shared" si="0"/>
        <v>0</v>
      </c>
      <c r="G7" s="7" t="e">
        <f t="shared" si="1"/>
        <v>#DIV/0!</v>
      </c>
      <c r="H7" s="8"/>
    </row>
    <row r="8" spans="1:9" x14ac:dyDescent="0.25">
      <c r="A8" s="2"/>
      <c r="B8" s="5" t="s">
        <v>102</v>
      </c>
      <c r="C8" s="9"/>
      <c r="D8" s="5"/>
      <c r="E8" s="5"/>
      <c r="F8" s="7">
        <f t="shared" si="0"/>
        <v>0</v>
      </c>
      <c r="G8" s="7" t="e">
        <f t="shared" si="1"/>
        <v>#DIV/0!</v>
      </c>
      <c r="H8" s="8"/>
    </row>
    <row r="9" spans="1:9" ht="15" customHeight="1" x14ac:dyDescent="0.25">
      <c r="A9" s="2"/>
      <c r="B9" s="5" t="s">
        <v>102</v>
      </c>
      <c r="C9" s="9"/>
      <c r="D9" s="5"/>
      <c r="E9" s="5"/>
      <c r="F9" s="7">
        <f t="shared" si="0"/>
        <v>0</v>
      </c>
      <c r="G9" s="7" t="e">
        <f t="shared" si="1"/>
        <v>#DIV/0!</v>
      </c>
      <c r="H9" s="8"/>
    </row>
    <row r="10" spans="1:9" ht="15" customHeight="1" x14ac:dyDescent="0.25">
      <c r="A10" s="2"/>
      <c r="B10" s="5" t="s">
        <v>103</v>
      </c>
      <c r="C10" s="6"/>
      <c r="D10" s="5"/>
      <c r="E10" s="5"/>
      <c r="F10" s="7">
        <f t="shared" si="0"/>
        <v>0</v>
      </c>
      <c r="G10" s="7" t="e">
        <f t="shared" si="1"/>
        <v>#DIV/0!</v>
      </c>
      <c r="H10" s="8"/>
    </row>
    <row r="11" spans="1:9" ht="15" customHeight="1" x14ac:dyDescent="0.25">
      <c r="A11" s="2"/>
      <c r="B11" s="5" t="s">
        <v>103</v>
      </c>
      <c r="C11" s="6"/>
      <c r="D11" s="5"/>
      <c r="E11" s="5"/>
      <c r="F11" s="7">
        <f t="shared" si="0"/>
        <v>0</v>
      </c>
      <c r="G11" s="7" t="e">
        <f t="shared" si="1"/>
        <v>#DIV/0!</v>
      </c>
      <c r="H11" s="8"/>
    </row>
    <row r="12" spans="1:9" ht="15" customHeight="1" x14ac:dyDescent="0.25">
      <c r="A12" s="2"/>
      <c r="B12" s="10" t="s">
        <v>104</v>
      </c>
      <c r="C12" s="5"/>
      <c r="D12" s="5"/>
      <c r="E12" s="5"/>
      <c r="F12" s="5"/>
      <c r="G12" s="11" t="e">
        <f>AVERAGE(G5:G11)</f>
        <v>#DIV/0!</v>
      </c>
      <c r="H12" s="5"/>
    </row>
    <row r="13" spans="1:9" ht="15" customHeight="1" x14ac:dyDescent="0.25">
      <c r="B13" s="10" t="s">
        <v>105</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10</v>
      </c>
      <c r="D4" s="56" t="s">
        <v>168</v>
      </c>
      <c r="E4" s="56" t="s">
        <v>178</v>
      </c>
      <c r="F4" s="56" t="s">
        <v>163</v>
      </c>
      <c r="G4" s="56" t="s">
        <v>183</v>
      </c>
      <c r="H4" s="56" t="s">
        <v>201</v>
      </c>
      <c r="J4" t="s">
        <v>183</v>
      </c>
      <c r="K4" t="s">
        <v>199</v>
      </c>
    </row>
    <row r="5" spans="2:11" x14ac:dyDescent="0.25">
      <c r="B5" s="55"/>
      <c r="C5" s="55"/>
      <c r="D5" s="56" t="s">
        <v>169</v>
      </c>
      <c r="E5" s="56" t="s">
        <v>176</v>
      </c>
      <c r="F5" s="56" t="s">
        <v>198</v>
      </c>
      <c r="G5" s="56" t="s">
        <v>184</v>
      </c>
      <c r="H5" s="56" t="s">
        <v>202</v>
      </c>
    </row>
    <row r="6" spans="2:11" x14ac:dyDescent="0.25">
      <c r="B6" s="55"/>
      <c r="C6" s="55"/>
      <c r="D6" s="56" t="s">
        <v>170</v>
      </c>
      <c r="E6" s="56" t="s">
        <v>177</v>
      </c>
      <c r="F6" s="56" t="s">
        <v>199</v>
      </c>
      <c r="G6" s="56" t="s">
        <v>185</v>
      </c>
      <c r="H6" s="56" t="s">
        <v>215</v>
      </c>
    </row>
    <row r="7" spans="2:11" x14ac:dyDescent="0.25">
      <c r="B7" s="55"/>
      <c r="C7" s="55"/>
      <c r="D7" s="56" t="s">
        <v>171</v>
      </c>
      <c r="E7" s="56" t="s">
        <v>179</v>
      </c>
      <c r="F7" s="56" t="s">
        <v>200</v>
      </c>
      <c r="G7" s="56" t="s">
        <v>186</v>
      </c>
      <c r="H7" s="56" t="s">
        <v>203</v>
      </c>
    </row>
    <row r="8" spans="2:11" x14ac:dyDescent="0.25">
      <c r="B8" s="55"/>
      <c r="C8" s="55"/>
      <c r="D8" s="56" t="s">
        <v>172</v>
      </c>
      <c r="E8" s="56" t="s">
        <v>180</v>
      </c>
      <c r="F8" s="56"/>
      <c r="G8" s="56" t="s">
        <v>187</v>
      </c>
      <c r="H8" s="56" t="s">
        <v>204</v>
      </c>
    </row>
    <row r="9" spans="2:11" x14ac:dyDescent="0.25">
      <c r="B9" s="55"/>
      <c r="C9" s="55"/>
      <c r="D9" s="56" t="s">
        <v>173</v>
      </c>
      <c r="E9" s="56" t="s">
        <v>178</v>
      </c>
      <c r="F9" s="56"/>
      <c r="G9" s="56" t="s">
        <v>188</v>
      </c>
      <c r="H9" s="56" t="s">
        <v>205</v>
      </c>
    </row>
    <row r="10" spans="2:11" x14ac:dyDescent="0.25">
      <c r="B10" s="55"/>
      <c r="C10" s="55"/>
      <c r="D10" s="56" t="s">
        <v>174</v>
      </c>
      <c r="E10" s="56" t="s">
        <v>181</v>
      </c>
      <c r="F10" s="56"/>
      <c r="G10" s="56" t="s">
        <v>189</v>
      </c>
      <c r="H10" s="56" t="s">
        <v>206</v>
      </c>
    </row>
    <row r="11" spans="2:11" x14ac:dyDescent="0.25">
      <c r="B11" s="55"/>
      <c r="C11" s="55"/>
      <c r="D11" s="56" t="s">
        <v>175</v>
      </c>
      <c r="E11" s="56" t="s">
        <v>182</v>
      </c>
      <c r="F11" s="56"/>
      <c r="G11" s="56" t="s">
        <v>190</v>
      </c>
      <c r="H11" s="56" t="s">
        <v>207</v>
      </c>
    </row>
    <row r="12" spans="2:11" x14ac:dyDescent="0.25">
      <c r="B12" s="55"/>
      <c r="C12" s="55"/>
      <c r="D12" s="56"/>
      <c r="E12" s="56"/>
      <c r="F12" s="56"/>
      <c r="G12" s="56" t="s">
        <v>191</v>
      </c>
      <c r="H12" s="56" t="s">
        <v>208</v>
      </c>
    </row>
    <row r="13" spans="2:11" x14ac:dyDescent="0.25">
      <c r="B13" s="55"/>
      <c r="C13" s="55"/>
      <c r="D13" s="56"/>
      <c r="E13" s="56"/>
      <c r="F13" s="56"/>
      <c r="G13" s="56" t="s">
        <v>192</v>
      </c>
      <c r="H13" s="56" t="s">
        <v>209</v>
      </c>
    </row>
    <row r="14" spans="2:11" x14ac:dyDescent="0.25">
      <c r="B14" s="55"/>
      <c r="C14" s="55"/>
      <c r="D14" s="56"/>
      <c r="E14" s="56"/>
      <c r="F14" s="56"/>
      <c r="G14" s="56" t="s">
        <v>193</v>
      </c>
      <c r="H14" s="56" t="s">
        <v>210</v>
      </c>
    </row>
    <row r="15" spans="2:11" x14ac:dyDescent="0.25">
      <c r="B15" s="55"/>
      <c r="C15" s="55"/>
      <c r="D15" s="56"/>
      <c r="E15" s="56"/>
      <c r="F15" s="56"/>
      <c r="G15" s="56" t="s">
        <v>194</v>
      </c>
      <c r="H15" s="56" t="s">
        <v>211</v>
      </c>
    </row>
    <row r="16" spans="2:11" x14ac:dyDescent="0.25">
      <c r="B16" s="55"/>
      <c r="C16" s="55"/>
      <c r="D16" s="56"/>
      <c r="E16" s="56"/>
      <c r="F16" s="56"/>
      <c r="G16" s="56" t="s">
        <v>195</v>
      </c>
      <c r="H16" s="56" t="s">
        <v>212</v>
      </c>
    </row>
    <row r="17" spans="2:8" x14ac:dyDescent="0.25">
      <c r="B17" s="55"/>
      <c r="C17" s="55"/>
      <c r="D17" s="56"/>
      <c r="E17" s="56"/>
      <c r="F17" s="56"/>
      <c r="G17" s="56" t="s">
        <v>196</v>
      </c>
      <c r="H17" s="56" t="s">
        <v>213</v>
      </c>
    </row>
    <row r="18" spans="2:8" x14ac:dyDescent="0.25">
      <c r="B18" s="55"/>
      <c r="C18" s="55"/>
      <c r="D18" s="56"/>
      <c r="E18" s="56"/>
      <c r="F18" s="56"/>
      <c r="G18" s="56" t="s">
        <v>197</v>
      </c>
      <c r="H18" s="56" t="s">
        <v>214</v>
      </c>
    </row>
    <row r="24" spans="2:8" x14ac:dyDescent="0.25">
      <c r="C24" t="s">
        <v>160</v>
      </c>
    </row>
    <row r="25" spans="2:8" x14ac:dyDescent="0.25">
      <c r="C25" t="s">
        <v>216</v>
      </c>
    </row>
    <row r="26" spans="2:8" x14ac:dyDescent="0.25">
      <c r="C26" t="s">
        <v>217</v>
      </c>
    </row>
    <row r="27" spans="2:8" x14ac:dyDescent="0.25">
      <c r="C27" t="s">
        <v>218</v>
      </c>
    </row>
    <row r="28" spans="2:8" x14ac:dyDescent="0.25">
      <c r="C28" t="s">
        <v>219</v>
      </c>
    </row>
    <row r="29" spans="2:8" x14ac:dyDescent="0.25">
      <c r="C29" t="s">
        <v>220</v>
      </c>
    </row>
    <row r="30" spans="2:8" x14ac:dyDescent="0.25">
      <c r="C30" t="s">
        <v>160</v>
      </c>
    </row>
    <row r="33" spans="3:11" x14ac:dyDescent="0.25">
      <c r="J33">
        <v>1</v>
      </c>
      <c r="K33">
        <v>2</v>
      </c>
    </row>
    <row r="34" spans="3:11" x14ac:dyDescent="0.25">
      <c r="C34" s="60" t="s">
        <v>225</v>
      </c>
      <c r="D34" s="56" t="s">
        <v>223</v>
      </c>
      <c r="E34" s="56" t="s">
        <v>228</v>
      </c>
      <c r="F34" s="56" t="s">
        <v>226</v>
      </c>
      <c r="G34" s="56" t="s">
        <v>227</v>
      </c>
      <c r="H34" s="56" t="s">
        <v>229</v>
      </c>
      <c r="J34" t="s">
        <v>183</v>
      </c>
      <c r="K34" t="s">
        <v>199</v>
      </c>
    </row>
    <row r="35" spans="3:11" x14ac:dyDescent="0.25">
      <c r="C35" s="55" t="s">
        <v>224</v>
      </c>
      <c r="D35" s="56" t="s">
        <v>161</v>
      </c>
      <c r="E35" s="56" t="s">
        <v>233</v>
      </c>
      <c r="F35" s="56" t="s">
        <v>235</v>
      </c>
      <c r="G35" s="56" t="s">
        <v>237</v>
      </c>
      <c r="H35" s="56"/>
    </row>
    <row r="36" spans="3:11" x14ac:dyDescent="0.25">
      <c r="C36" s="55"/>
      <c r="D36" s="56" t="s">
        <v>230</v>
      </c>
      <c r="E36" s="56" t="s">
        <v>234</v>
      </c>
      <c r="F36" s="56" t="s">
        <v>236</v>
      </c>
      <c r="G36" s="56" t="s">
        <v>238</v>
      </c>
      <c r="H36" s="56"/>
    </row>
    <row r="37" spans="3:11" x14ac:dyDescent="0.25">
      <c r="C37" s="55"/>
      <c r="D37" s="56" t="s">
        <v>231</v>
      </c>
      <c r="E37" s="56"/>
      <c r="F37" s="56"/>
      <c r="G37" s="56" t="s">
        <v>239</v>
      </c>
      <c r="H37" s="56"/>
    </row>
    <row r="38" spans="3:11" x14ac:dyDescent="0.25">
      <c r="C38" s="55"/>
      <c r="D38" s="56" t="s">
        <v>232</v>
      </c>
      <c r="E38" s="56"/>
      <c r="F38" s="56"/>
      <c r="G38" s="56" t="s">
        <v>239</v>
      </c>
      <c r="H38" s="56"/>
    </row>
    <row r="39" spans="3:11" x14ac:dyDescent="0.25">
      <c r="C39" s="55"/>
      <c r="D39" s="56"/>
      <c r="E39" s="56"/>
      <c r="F39" s="56"/>
      <c r="G39" s="56" t="s">
        <v>240</v>
      </c>
      <c r="H39" s="56"/>
    </row>
    <row r="40" spans="3:11" x14ac:dyDescent="0.25">
      <c r="C40" s="55"/>
      <c r="D40" s="56"/>
      <c r="E40" s="56"/>
      <c r="F40" s="56"/>
      <c r="G40" s="56" t="s">
        <v>241</v>
      </c>
      <c r="H40" s="56"/>
    </row>
    <row r="41" spans="3:11" x14ac:dyDescent="0.25">
      <c r="C41" s="55"/>
      <c r="D41" s="56"/>
      <c r="E41" s="56"/>
      <c r="F41" s="56"/>
      <c r="G41" s="56"/>
      <c r="H41" s="56"/>
    </row>
    <row r="43" spans="3:11" x14ac:dyDescent="0.25">
      <c r="C43" t="s">
        <v>242</v>
      </c>
    </row>
    <row r="44" spans="3:11" x14ac:dyDescent="0.25">
      <c r="C44" t="s">
        <v>163</v>
      </c>
      <c r="D44" t="s">
        <v>243</v>
      </c>
    </row>
    <row r="45" spans="3:11" x14ac:dyDescent="0.25">
      <c r="D45" t="s">
        <v>244</v>
      </c>
    </row>
    <row r="46" spans="3:11" x14ac:dyDescent="0.25">
      <c r="D46" t="s">
        <v>245</v>
      </c>
    </row>
    <row r="47" spans="3:11" x14ac:dyDescent="0.25">
      <c r="D47" t="s">
        <v>246</v>
      </c>
    </row>
    <row r="48" spans="3:11" x14ac:dyDescent="0.25">
      <c r="D48" t="s">
        <v>247</v>
      </c>
    </row>
    <row r="49" spans="3:4" x14ac:dyDescent="0.25">
      <c r="C49" t="s">
        <v>168</v>
      </c>
      <c r="D49" t="s">
        <v>248</v>
      </c>
    </row>
    <row r="50" spans="3:4" x14ac:dyDescent="0.25">
      <c r="D50" t="s">
        <v>249</v>
      </c>
    </row>
    <row r="51" spans="3:4" x14ac:dyDescent="0.25">
      <c r="D51" t="s">
        <v>250</v>
      </c>
    </row>
    <row r="52" spans="3:4" x14ac:dyDescent="0.25">
      <c r="D52" t="s">
        <v>253</v>
      </c>
    </row>
    <row r="53" spans="3:4" x14ac:dyDescent="0.25">
      <c r="D53" t="s">
        <v>251</v>
      </c>
    </row>
    <row r="54" spans="3:4" x14ac:dyDescent="0.25">
      <c r="D54" t="s">
        <v>252</v>
      </c>
    </row>
    <row r="55" spans="3:4" x14ac:dyDescent="0.25">
      <c r="D55" t="s">
        <v>254</v>
      </c>
    </row>
    <row r="56" spans="3:4" x14ac:dyDescent="0.25">
      <c r="D56" t="s">
        <v>255</v>
      </c>
    </row>
    <row r="57" spans="3:4" x14ac:dyDescent="0.25">
      <c r="D57" t="s">
        <v>256</v>
      </c>
    </row>
    <row r="58" spans="3:4" x14ac:dyDescent="0.25">
      <c r="D58" t="s">
        <v>258</v>
      </c>
    </row>
    <row r="59" spans="3:4" x14ac:dyDescent="0.25">
      <c r="D59" t="s">
        <v>267</v>
      </c>
    </row>
    <row r="60" spans="3:4" x14ac:dyDescent="0.25">
      <c r="C60" t="s">
        <v>183</v>
      </c>
      <c r="D60" t="s">
        <v>259</v>
      </c>
    </row>
    <row r="61" spans="3:4" x14ac:dyDescent="0.25">
      <c r="D61" t="s">
        <v>257</v>
      </c>
    </row>
    <row r="62" spans="3:4" x14ac:dyDescent="0.25">
      <c r="D62" t="s">
        <v>247</v>
      </c>
    </row>
    <row r="63" spans="3:4" x14ac:dyDescent="0.25">
      <c r="D63" t="s">
        <v>260</v>
      </c>
    </row>
    <row r="64" spans="3:4" x14ac:dyDescent="0.25">
      <c r="D64" t="s">
        <v>261</v>
      </c>
    </row>
    <row r="65" spans="3:4" x14ac:dyDescent="0.25">
      <c r="D65" t="s">
        <v>262</v>
      </c>
    </row>
    <row r="66" spans="3:4" x14ac:dyDescent="0.25">
      <c r="D66" t="s">
        <v>263</v>
      </c>
    </row>
    <row r="67" spans="3:4" x14ac:dyDescent="0.25">
      <c r="C67" t="s">
        <v>178</v>
      </c>
      <c r="D67" t="s">
        <v>264</v>
      </c>
    </row>
    <row r="68" spans="3:4" x14ac:dyDescent="0.25">
      <c r="D68" t="s">
        <v>265</v>
      </c>
    </row>
    <row r="69" spans="3:4" x14ac:dyDescent="0.25">
      <c r="D69" t="s">
        <v>266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61">
        <v>1</v>
      </c>
      <c r="C2" s="64" t="s">
        <v>272</v>
      </c>
    </row>
    <row r="3" spans="2:3" x14ac:dyDescent="0.25">
      <c r="B3" s="61">
        <v>2</v>
      </c>
      <c r="C3" s="62" t="s">
        <v>273</v>
      </c>
    </row>
    <row r="4" spans="2:3" x14ac:dyDescent="0.25">
      <c r="B4" s="61">
        <v>3</v>
      </c>
      <c r="C4" s="63" t="s">
        <v>274</v>
      </c>
    </row>
    <row r="5" spans="2:3" x14ac:dyDescent="0.25">
      <c r="B5" s="61">
        <v>4</v>
      </c>
      <c r="C5" s="62" t="s">
        <v>275</v>
      </c>
    </row>
    <row r="6" spans="2:3" x14ac:dyDescent="0.25">
      <c r="B6" s="61">
        <v>5</v>
      </c>
      <c r="C6" s="63" t="s">
        <v>276</v>
      </c>
    </row>
    <row r="7" spans="2:3" ht="30" x14ac:dyDescent="0.25">
      <c r="B7" s="61">
        <v>6</v>
      </c>
      <c r="C7" s="62" t="s">
        <v>277</v>
      </c>
    </row>
    <row r="8" spans="2:3" ht="75" x14ac:dyDescent="0.25">
      <c r="B8" s="61">
        <v>7</v>
      </c>
      <c r="C8" s="62" t="s">
        <v>278</v>
      </c>
    </row>
    <row r="9" spans="2:3" x14ac:dyDescent="0.25">
      <c r="B9" s="61">
        <v>8</v>
      </c>
      <c r="C9" s="63" t="s">
        <v>279</v>
      </c>
    </row>
    <row r="10" spans="2:3" x14ac:dyDescent="0.25">
      <c r="B10" s="61">
        <v>9</v>
      </c>
      <c r="C10" s="63" t="s">
        <v>280</v>
      </c>
    </row>
    <row r="11" spans="2:3" x14ac:dyDescent="0.25">
      <c r="B11" s="61">
        <v>10</v>
      </c>
      <c r="C11" s="63" t="s">
        <v>281</v>
      </c>
    </row>
    <row r="12" spans="2:3" x14ac:dyDescent="0.25">
      <c r="B12" s="61">
        <v>11</v>
      </c>
      <c r="C12" s="63" t="s">
        <v>282</v>
      </c>
    </row>
    <row r="13" spans="2:3" x14ac:dyDescent="0.25">
      <c r="B13" s="61">
        <v>12</v>
      </c>
      <c r="C13" s="63" t="s">
        <v>283</v>
      </c>
    </row>
    <row r="14" spans="2:3" x14ac:dyDescent="0.25">
      <c r="B14" s="61">
        <v>13</v>
      </c>
      <c r="C14" s="63" t="s">
        <v>284</v>
      </c>
    </row>
    <row r="15" spans="2:3" x14ac:dyDescent="0.25">
      <c r="B15" s="61">
        <v>14</v>
      </c>
      <c r="C15" s="63" t="s">
        <v>274</v>
      </c>
    </row>
    <row r="16" spans="2:3" x14ac:dyDescent="0.25">
      <c r="B16" s="61">
        <v>15</v>
      </c>
      <c r="C16" s="63" t="s">
        <v>286</v>
      </c>
    </row>
    <row r="17" spans="2:3" x14ac:dyDescent="0.25">
      <c r="B17" s="90">
        <v>16</v>
      </c>
      <c r="C17" s="71" t="s">
        <v>287</v>
      </c>
    </row>
    <row r="18" spans="2:3" x14ac:dyDescent="0.25">
      <c r="B18" s="70">
        <v>17</v>
      </c>
      <c r="C18" s="71" t="s">
        <v>288</v>
      </c>
    </row>
    <row r="19" spans="2:3" x14ac:dyDescent="0.25">
      <c r="B19" s="69">
        <v>18</v>
      </c>
      <c r="C19" s="61" t="s">
        <v>289</v>
      </c>
    </row>
    <row r="20" spans="2:3" x14ac:dyDescent="0.25">
      <c r="B20" s="70">
        <v>19</v>
      </c>
      <c r="C20" s="61" t="s">
        <v>325</v>
      </c>
    </row>
    <row r="21" spans="2:3" x14ac:dyDescent="0.25">
      <c r="B21" s="72">
        <v>20</v>
      </c>
      <c r="C21" s="61" t="s">
        <v>290</v>
      </c>
    </row>
    <row r="22" spans="2:3" x14ac:dyDescent="0.25">
      <c r="B22" s="70">
        <v>21</v>
      </c>
      <c r="C22" s="61" t="s">
        <v>289</v>
      </c>
    </row>
    <row r="23" spans="2:3" s="82" customFormat="1" ht="29.25" customHeight="1" x14ac:dyDescent="0.25">
      <c r="B23" s="81">
        <v>22</v>
      </c>
      <c r="C23" s="64" t="s">
        <v>317</v>
      </c>
    </row>
    <row r="24" spans="2:3" s="82" customFormat="1" ht="30.75" customHeight="1" x14ac:dyDescent="0.25">
      <c r="B24" s="83">
        <v>23</v>
      </c>
      <c r="C24" s="64" t="s">
        <v>318</v>
      </c>
    </row>
    <row r="25" spans="2:3" x14ac:dyDescent="0.25">
      <c r="B25" s="72">
        <v>24</v>
      </c>
      <c r="C25" s="61" t="s">
        <v>321</v>
      </c>
    </row>
    <row r="26" spans="2:3" x14ac:dyDescent="0.25">
      <c r="B26" s="70">
        <v>25</v>
      </c>
      <c r="C26" s="61" t="s">
        <v>319</v>
      </c>
    </row>
    <row r="27" spans="2:3" x14ac:dyDescent="0.25">
      <c r="B27" s="83">
        <v>26</v>
      </c>
      <c r="C27" s="72" t="s">
        <v>320</v>
      </c>
    </row>
    <row r="28" spans="2:3" x14ac:dyDescent="0.25">
      <c r="B28" s="84">
        <v>27</v>
      </c>
      <c r="C28" s="61" t="s">
        <v>322</v>
      </c>
    </row>
    <row r="29" spans="2:3" ht="60" x14ac:dyDescent="0.25">
      <c r="B29" s="89">
        <v>28</v>
      </c>
      <c r="C29" s="62" t="s">
        <v>323</v>
      </c>
    </row>
    <row r="30" spans="2:3" x14ac:dyDescent="0.25">
      <c r="B30" s="83">
        <v>29</v>
      </c>
      <c r="C30" s="61" t="s">
        <v>324</v>
      </c>
    </row>
    <row r="31" spans="2:3" ht="30" x14ac:dyDescent="0.25">
      <c r="B31" s="91">
        <v>30</v>
      </c>
      <c r="C31" s="62" t="s">
        <v>326</v>
      </c>
    </row>
    <row r="32" spans="2:3" x14ac:dyDescent="0.25">
      <c r="B32" s="83">
        <v>31</v>
      </c>
      <c r="C32" s="61" t="s">
        <v>327</v>
      </c>
    </row>
    <row r="33" spans="2:3" x14ac:dyDescent="0.25">
      <c r="B33" s="83">
        <v>32</v>
      </c>
      <c r="C33" s="61" t="s">
        <v>328</v>
      </c>
    </row>
    <row r="34" spans="2:3" ht="36.75" customHeight="1" x14ac:dyDescent="0.25">
      <c r="B34" s="91">
        <v>33</v>
      </c>
      <c r="C34" s="71" t="s">
        <v>329</v>
      </c>
    </row>
    <row r="35" spans="2:3" x14ac:dyDescent="0.25">
      <c r="B35" s="96">
        <v>34</v>
      </c>
      <c r="C35" s="61" t="s">
        <v>337</v>
      </c>
    </row>
    <row r="36" spans="2:3" ht="60" x14ac:dyDescent="0.25">
      <c r="B36" s="81">
        <v>35</v>
      </c>
      <c r="C36" s="62" t="s">
        <v>339</v>
      </c>
    </row>
    <row r="37" spans="2:3" x14ac:dyDescent="0.25">
      <c r="B37" s="61"/>
      <c r="C37" s="61"/>
    </row>
    <row r="38" spans="2:3" x14ac:dyDescent="0.25">
      <c r="B38" s="61"/>
      <c r="C38" s="61"/>
    </row>
    <row r="39" spans="2:3" x14ac:dyDescent="0.25">
      <c r="B39" s="61"/>
      <c r="C39" s="61"/>
    </row>
    <row r="40" spans="2:3" x14ac:dyDescent="0.25">
      <c r="B40" s="61"/>
      <c r="C40" s="61"/>
    </row>
    <row r="41" spans="2:3" x14ac:dyDescent="0.25">
      <c r="B41" s="61"/>
      <c r="C41" s="61"/>
    </row>
    <row r="42" spans="2:3" x14ac:dyDescent="0.25">
      <c r="B42" s="61"/>
      <c r="C42" s="61"/>
    </row>
    <row r="43" spans="2:3" x14ac:dyDescent="0.25">
      <c r="B43" s="61"/>
      <c r="C43" s="61"/>
    </row>
    <row r="44" spans="2:3" x14ac:dyDescent="0.25">
      <c r="B44" s="61"/>
      <c r="C44" s="6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RowHeight="15" x14ac:dyDescent="0.25"/>
  <cols>
    <col min="1" max="1" width="9.140625" style="55"/>
    <col min="2" max="2" width="12.28515625" style="55" customWidth="1"/>
    <col min="3" max="16384" width="9.140625" style="55"/>
  </cols>
  <sheetData>
    <row r="2" spans="1:12" x14ac:dyDescent="0.25">
      <c r="B2" s="75" t="s">
        <v>291</v>
      </c>
      <c r="C2" s="303"/>
      <c r="D2" s="303"/>
    </row>
    <row r="3" spans="1:12" x14ac:dyDescent="0.25">
      <c r="D3" s="76"/>
      <c r="E3" s="76"/>
      <c r="F3" s="76"/>
      <c r="G3" s="76"/>
      <c r="H3" s="76"/>
      <c r="I3" s="76"/>
    </row>
    <row r="4" spans="1:12" x14ac:dyDescent="0.25">
      <c r="A4" s="75" t="s">
        <v>64</v>
      </c>
      <c r="B4" s="77" t="s">
        <v>292</v>
      </c>
      <c r="C4" s="304" t="s">
        <v>293</v>
      </c>
      <c r="D4" s="304"/>
      <c r="E4" s="304"/>
      <c r="F4" s="77"/>
      <c r="G4" s="305" t="s">
        <v>294</v>
      </c>
      <c r="H4" s="305"/>
      <c r="I4" s="305"/>
      <c r="J4" s="306" t="s">
        <v>295</v>
      </c>
      <c r="K4" s="306"/>
      <c r="L4" s="306"/>
    </row>
    <row r="5" spans="1:12" x14ac:dyDescent="0.25">
      <c r="A5" s="75"/>
      <c r="B5" s="77"/>
      <c r="C5" s="77" t="s">
        <v>296</v>
      </c>
      <c r="D5" s="77" t="s">
        <v>297</v>
      </c>
      <c r="E5" s="77" t="s">
        <v>298</v>
      </c>
      <c r="F5" s="77"/>
      <c r="G5" s="77" t="s">
        <v>296</v>
      </c>
      <c r="H5" s="77" t="s">
        <v>297</v>
      </c>
      <c r="I5" s="77" t="s">
        <v>298</v>
      </c>
      <c r="J5" s="77" t="s">
        <v>296</v>
      </c>
      <c r="K5" s="77" t="s">
        <v>297</v>
      </c>
      <c r="L5" s="77" t="s">
        <v>298</v>
      </c>
    </row>
    <row r="6" spans="1:12" x14ac:dyDescent="0.25">
      <c r="B6" s="56" t="s">
        <v>299</v>
      </c>
      <c r="C6" s="56"/>
      <c r="D6" s="56"/>
      <c r="E6" s="56">
        <f>C6*D6</f>
        <v>0</v>
      </c>
      <c r="F6" s="56" t="s">
        <v>316</v>
      </c>
      <c r="G6" s="56"/>
      <c r="H6" s="56"/>
      <c r="I6" s="56">
        <f>G6*H6</f>
        <v>0</v>
      </c>
      <c r="J6" s="56"/>
      <c r="K6" s="56"/>
      <c r="L6" s="56">
        <f>J6*K6</f>
        <v>0</v>
      </c>
    </row>
    <row r="7" spans="1:12" x14ac:dyDescent="0.25">
      <c r="B7" s="56"/>
      <c r="C7" s="56"/>
      <c r="D7" s="56"/>
      <c r="E7" s="56">
        <f t="shared" ref="E7:E41" si="0">C7*D7</f>
        <v>0</v>
      </c>
      <c r="F7" s="56" t="s">
        <v>316</v>
      </c>
      <c r="G7" s="56"/>
      <c r="H7" s="56"/>
      <c r="I7" s="56">
        <f t="shared" ref="I7:I35" si="1">G7*H7</f>
        <v>0</v>
      </c>
      <c r="J7" s="56"/>
      <c r="K7" s="56"/>
      <c r="L7" s="56">
        <f t="shared" ref="L7:L35" si="2">J7*K7</f>
        <v>0</v>
      </c>
    </row>
    <row r="8" spans="1:12" x14ac:dyDescent="0.25">
      <c r="B8" s="56"/>
      <c r="C8" s="56"/>
      <c r="D8" s="56"/>
      <c r="E8" s="56">
        <f t="shared" si="0"/>
        <v>0</v>
      </c>
      <c r="F8" s="56"/>
      <c r="G8" s="56"/>
      <c r="H8" s="56"/>
      <c r="I8" s="56">
        <f t="shared" si="1"/>
        <v>0</v>
      </c>
      <c r="J8" s="56"/>
      <c r="K8" s="56"/>
      <c r="L8" s="56">
        <f t="shared" si="2"/>
        <v>0</v>
      </c>
    </row>
    <row r="9" spans="1:12" x14ac:dyDescent="0.25">
      <c r="B9" s="56"/>
      <c r="C9" s="56"/>
      <c r="D9" s="56"/>
      <c r="E9" s="56">
        <f t="shared" si="0"/>
        <v>0</v>
      </c>
      <c r="F9" s="56" t="s">
        <v>300</v>
      </c>
      <c r="G9" s="56"/>
      <c r="H9" s="56"/>
      <c r="I9" s="56">
        <f t="shared" si="1"/>
        <v>0</v>
      </c>
      <c r="J9" s="56"/>
      <c r="K9" s="56"/>
      <c r="L9" s="56">
        <f t="shared" si="2"/>
        <v>0</v>
      </c>
    </row>
    <row r="10" spans="1:12" x14ac:dyDescent="0.25">
      <c r="B10" s="56" t="s">
        <v>301</v>
      </c>
      <c r="C10" s="56"/>
      <c r="D10" s="56"/>
      <c r="E10" s="56">
        <f t="shared" si="0"/>
        <v>0</v>
      </c>
      <c r="F10" s="56" t="s">
        <v>300</v>
      </c>
      <c r="G10" s="56"/>
      <c r="H10" s="56"/>
      <c r="I10" s="56">
        <f t="shared" si="1"/>
        <v>0</v>
      </c>
      <c r="J10" s="56"/>
      <c r="K10" s="56"/>
      <c r="L10" s="56">
        <f t="shared" si="2"/>
        <v>0</v>
      </c>
    </row>
    <row r="11" spans="1:12" x14ac:dyDescent="0.25">
      <c r="B11" s="56"/>
      <c r="C11" s="56"/>
      <c r="D11" s="56"/>
      <c r="E11" s="56">
        <f t="shared" si="0"/>
        <v>0</v>
      </c>
      <c r="F11" s="56" t="s">
        <v>302</v>
      </c>
      <c r="G11" s="56"/>
      <c r="H11" s="56"/>
      <c r="I11" s="56">
        <f t="shared" si="1"/>
        <v>0</v>
      </c>
      <c r="J11" s="56"/>
      <c r="K11" s="56"/>
      <c r="L11" s="56">
        <f t="shared" si="2"/>
        <v>0</v>
      </c>
    </row>
    <row r="12" spans="1:12" x14ac:dyDescent="0.25">
      <c r="B12" s="56"/>
      <c r="C12" s="56"/>
      <c r="D12" s="56"/>
      <c r="E12" s="56">
        <f t="shared" si="0"/>
        <v>0</v>
      </c>
      <c r="F12" s="56"/>
      <c r="G12" s="56"/>
      <c r="H12" s="56"/>
      <c r="I12" s="56">
        <f t="shared" si="1"/>
        <v>0</v>
      </c>
      <c r="J12" s="56"/>
      <c r="K12" s="56"/>
      <c r="L12" s="56">
        <f t="shared" si="2"/>
        <v>0</v>
      </c>
    </row>
    <row r="13" spans="1:12" x14ac:dyDescent="0.25">
      <c r="B13" s="56"/>
      <c r="C13" s="56"/>
      <c r="D13" s="56"/>
      <c r="E13" s="56">
        <f t="shared" si="0"/>
        <v>0</v>
      </c>
      <c r="F13" s="56"/>
      <c r="G13" s="56"/>
      <c r="H13" s="56"/>
      <c r="I13" s="56">
        <f t="shared" si="1"/>
        <v>0</v>
      </c>
      <c r="J13" s="56"/>
      <c r="K13" s="56"/>
      <c r="L13" s="56">
        <f t="shared" si="2"/>
        <v>0</v>
      </c>
    </row>
    <row r="14" spans="1:12" x14ac:dyDescent="0.25">
      <c r="B14" s="56" t="s">
        <v>303</v>
      </c>
      <c r="C14" s="56"/>
      <c r="D14" s="56"/>
      <c r="E14" s="56">
        <f t="shared" si="0"/>
        <v>0</v>
      </c>
      <c r="F14" s="56" t="s">
        <v>300</v>
      </c>
      <c r="G14" s="56"/>
      <c r="H14" s="56"/>
      <c r="I14" s="56">
        <f t="shared" si="1"/>
        <v>0</v>
      </c>
      <c r="J14" s="56"/>
      <c r="K14" s="56"/>
      <c r="L14" s="56">
        <f t="shared" si="2"/>
        <v>0</v>
      </c>
    </row>
    <row r="15" spans="1:12" x14ac:dyDescent="0.25">
      <c r="B15" s="56"/>
      <c r="C15" s="56"/>
      <c r="D15" s="56"/>
      <c r="E15" s="56">
        <f t="shared" si="0"/>
        <v>0</v>
      </c>
      <c r="F15" s="56" t="s">
        <v>302</v>
      </c>
      <c r="G15" s="56"/>
      <c r="H15" s="56"/>
      <c r="I15" s="56">
        <f t="shared" si="1"/>
        <v>0</v>
      </c>
      <c r="J15" s="56"/>
      <c r="K15" s="56"/>
      <c r="L15" s="56">
        <f t="shared" si="2"/>
        <v>0</v>
      </c>
    </row>
    <row r="16" spans="1:12" x14ac:dyDescent="0.25">
      <c r="B16" s="56"/>
      <c r="C16" s="56"/>
      <c r="D16" s="56"/>
      <c r="E16" s="56">
        <f t="shared" si="0"/>
        <v>0</v>
      </c>
      <c r="F16" s="56"/>
      <c r="G16" s="56"/>
      <c r="H16" s="56"/>
      <c r="I16" s="56">
        <f t="shared" si="1"/>
        <v>0</v>
      </c>
      <c r="J16" s="56"/>
      <c r="K16" s="56"/>
      <c r="L16" s="56">
        <f t="shared" si="2"/>
        <v>0</v>
      </c>
    </row>
    <row r="17" spans="2:12" x14ac:dyDescent="0.25">
      <c r="B17" s="56"/>
      <c r="C17" s="56"/>
      <c r="D17" s="56"/>
      <c r="E17" s="56">
        <f t="shared" si="0"/>
        <v>0</v>
      </c>
      <c r="F17" s="56"/>
      <c r="G17" s="56"/>
      <c r="H17" s="56"/>
      <c r="I17" s="56">
        <f t="shared" si="1"/>
        <v>0</v>
      </c>
      <c r="J17" s="56"/>
      <c r="K17" s="56"/>
      <c r="L17" s="56">
        <f t="shared" si="2"/>
        <v>0</v>
      </c>
    </row>
    <row r="18" spans="2:12" x14ac:dyDescent="0.25">
      <c r="B18" s="56" t="s">
        <v>304</v>
      </c>
      <c r="C18" s="56"/>
      <c r="D18" s="56"/>
      <c r="E18" s="56">
        <f t="shared" si="0"/>
        <v>0</v>
      </c>
      <c r="F18" s="56" t="s">
        <v>300</v>
      </c>
      <c r="G18" s="56"/>
      <c r="H18" s="56"/>
      <c r="I18" s="56">
        <f t="shared" si="1"/>
        <v>0</v>
      </c>
      <c r="J18" s="56"/>
      <c r="K18" s="56"/>
      <c r="L18" s="56">
        <f t="shared" si="2"/>
        <v>0</v>
      </c>
    </row>
    <row r="19" spans="2:12" x14ac:dyDescent="0.25">
      <c r="B19" s="56"/>
      <c r="C19" s="56"/>
      <c r="D19" s="56"/>
      <c r="E19" s="56">
        <f t="shared" si="0"/>
        <v>0</v>
      </c>
      <c r="F19" s="56" t="s">
        <v>302</v>
      </c>
      <c r="G19" s="56"/>
      <c r="H19" s="56"/>
      <c r="I19" s="56">
        <f t="shared" si="1"/>
        <v>0</v>
      </c>
      <c r="J19" s="56"/>
      <c r="K19" s="56"/>
      <c r="L19" s="56">
        <f t="shared" si="2"/>
        <v>0</v>
      </c>
    </row>
    <row r="20" spans="2:12" x14ac:dyDescent="0.25">
      <c r="B20" s="56"/>
      <c r="C20" s="56"/>
      <c r="D20" s="56"/>
      <c r="E20" s="56">
        <f t="shared" si="0"/>
        <v>0</v>
      </c>
      <c r="F20" s="56"/>
      <c r="G20" s="56"/>
      <c r="H20" s="56"/>
      <c r="I20" s="56">
        <f t="shared" si="1"/>
        <v>0</v>
      </c>
      <c r="J20" s="56"/>
      <c r="K20" s="56"/>
      <c r="L20" s="56">
        <f t="shared" si="2"/>
        <v>0</v>
      </c>
    </row>
    <row r="21" spans="2:12" x14ac:dyDescent="0.25">
      <c r="B21" s="56" t="s">
        <v>305</v>
      </c>
      <c r="C21" s="56"/>
      <c r="D21" s="56"/>
      <c r="E21" s="56">
        <f t="shared" si="0"/>
        <v>0</v>
      </c>
      <c r="F21" s="56" t="s">
        <v>300</v>
      </c>
      <c r="G21" s="56"/>
      <c r="H21" s="56"/>
      <c r="I21" s="56">
        <f t="shared" si="1"/>
        <v>0</v>
      </c>
      <c r="J21" s="56"/>
      <c r="K21" s="56"/>
      <c r="L21" s="56">
        <f t="shared" si="2"/>
        <v>0</v>
      </c>
    </row>
    <row r="22" spans="2:12" x14ac:dyDescent="0.25">
      <c r="B22" s="56"/>
      <c r="C22" s="56"/>
      <c r="D22" s="56"/>
      <c r="E22" s="56">
        <f t="shared" si="0"/>
        <v>0</v>
      </c>
      <c r="F22" s="56" t="s">
        <v>302</v>
      </c>
      <c r="G22" s="56"/>
      <c r="H22" s="56"/>
      <c r="I22" s="56">
        <f t="shared" si="1"/>
        <v>0</v>
      </c>
      <c r="J22" s="56"/>
      <c r="K22" s="56"/>
      <c r="L22" s="56">
        <f t="shared" si="2"/>
        <v>0</v>
      </c>
    </row>
    <row r="23" spans="2:12" x14ac:dyDescent="0.25">
      <c r="B23" s="56"/>
      <c r="C23" s="56"/>
      <c r="D23" s="56"/>
      <c r="E23" s="56">
        <f t="shared" si="0"/>
        <v>0</v>
      </c>
      <c r="F23" s="56"/>
      <c r="G23" s="56"/>
      <c r="H23" s="56"/>
      <c r="I23" s="56">
        <f t="shared" si="1"/>
        <v>0</v>
      </c>
      <c r="J23" s="56"/>
      <c r="K23" s="56"/>
      <c r="L23" s="56">
        <f t="shared" si="2"/>
        <v>0</v>
      </c>
    </row>
    <row r="24" spans="2:12" x14ac:dyDescent="0.25">
      <c r="B24" s="56" t="s">
        <v>306</v>
      </c>
      <c r="C24" s="56"/>
      <c r="D24" s="56"/>
      <c r="E24" s="56">
        <f t="shared" si="0"/>
        <v>0</v>
      </c>
      <c r="F24" s="56" t="s">
        <v>307</v>
      </c>
      <c r="G24" s="56"/>
      <c r="H24" s="56"/>
      <c r="I24" s="56">
        <f t="shared" si="1"/>
        <v>0</v>
      </c>
      <c r="J24" s="56"/>
      <c r="K24" s="56"/>
      <c r="L24" s="56">
        <f t="shared" si="2"/>
        <v>0</v>
      </c>
    </row>
    <row r="25" spans="2:12" x14ac:dyDescent="0.25">
      <c r="B25" s="56"/>
      <c r="C25" s="56"/>
      <c r="D25" s="56"/>
      <c r="E25" s="56">
        <f>C25*D25</f>
        <v>0</v>
      </c>
      <c r="F25" s="56" t="s">
        <v>307</v>
      </c>
      <c r="G25" s="56"/>
      <c r="H25" s="56"/>
      <c r="I25" s="56">
        <f>G25*H25</f>
        <v>0</v>
      </c>
      <c r="J25" s="56"/>
      <c r="K25" s="56"/>
      <c r="L25" s="56">
        <f>J25*K25</f>
        <v>0</v>
      </c>
    </row>
    <row r="26" spans="2:12" x14ac:dyDescent="0.25">
      <c r="B26" s="56"/>
      <c r="C26" s="56"/>
      <c r="D26" s="56"/>
      <c r="E26" s="56">
        <f>C26*D26</f>
        <v>0</v>
      </c>
      <c r="F26" s="56" t="s">
        <v>307</v>
      </c>
      <c r="G26" s="56"/>
      <c r="H26" s="56"/>
      <c r="I26" s="56">
        <f>G26*H26</f>
        <v>0</v>
      </c>
      <c r="J26" s="56"/>
      <c r="K26" s="56"/>
      <c r="L26" s="56">
        <f>J26*K26</f>
        <v>0</v>
      </c>
    </row>
    <row r="27" spans="2:12" x14ac:dyDescent="0.25">
      <c r="B27" s="56"/>
      <c r="C27" s="56"/>
      <c r="D27" s="56"/>
      <c r="E27" s="56">
        <f>C27*D27</f>
        <v>0</v>
      </c>
      <c r="F27" s="56" t="s">
        <v>307</v>
      </c>
      <c r="G27" s="56"/>
      <c r="H27" s="56"/>
      <c r="I27" s="56">
        <f>G27*H27</f>
        <v>0</v>
      </c>
      <c r="J27" s="56"/>
      <c r="K27" s="56"/>
      <c r="L27" s="56">
        <f>J27*K27</f>
        <v>0</v>
      </c>
    </row>
    <row r="28" spans="2:12" x14ac:dyDescent="0.25">
      <c r="B28" s="56" t="s">
        <v>308</v>
      </c>
      <c r="C28" s="56"/>
      <c r="D28" s="56"/>
      <c r="E28" s="56">
        <f t="shared" si="0"/>
        <v>0</v>
      </c>
      <c r="F28" s="56" t="s">
        <v>307</v>
      </c>
      <c r="G28" s="56"/>
      <c r="H28" s="56"/>
      <c r="I28" s="56">
        <f t="shared" si="1"/>
        <v>0</v>
      </c>
      <c r="J28" s="56"/>
      <c r="K28" s="56"/>
      <c r="L28" s="56">
        <f t="shared" si="2"/>
        <v>0</v>
      </c>
    </row>
    <row r="29" spans="2:12" x14ac:dyDescent="0.25">
      <c r="B29" s="56" t="s">
        <v>309</v>
      </c>
      <c r="C29" s="56"/>
      <c r="D29" s="56"/>
      <c r="E29" s="56">
        <f t="shared" si="0"/>
        <v>0</v>
      </c>
      <c r="F29" s="56" t="s">
        <v>307</v>
      </c>
      <c r="G29" s="56"/>
      <c r="H29" s="56"/>
      <c r="I29" s="56">
        <f t="shared" si="1"/>
        <v>0</v>
      </c>
      <c r="J29" s="56"/>
      <c r="K29" s="56"/>
      <c r="L29" s="56">
        <f t="shared" si="2"/>
        <v>0</v>
      </c>
    </row>
    <row r="30" spans="2:12" x14ac:dyDescent="0.25">
      <c r="B30" s="56" t="s">
        <v>313</v>
      </c>
      <c r="C30" s="56"/>
      <c r="D30" s="56"/>
      <c r="E30" s="56">
        <f t="shared" si="0"/>
        <v>0</v>
      </c>
      <c r="F30" s="56"/>
      <c r="G30" s="56"/>
      <c r="H30" s="56"/>
      <c r="I30" s="56">
        <f t="shared" si="1"/>
        <v>0</v>
      </c>
      <c r="J30" s="56"/>
      <c r="K30" s="56"/>
      <c r="L30" s="56">
        <f t="shared" si="2"/>
        <v>0</v>
      </c>
    </row>
    <row r="31" spans="2:12" x14ac:dyDescent="0.25">
      <c r="B31" s="56"/>
      <c r="C31" s="56"/>
      <c r="D31" s="56"/>
      <c r="E31" s="56">
        <f>C31*D31</f>
        <v>0</v>
      </c>
      <c r="F31" s="56"/>
      <c r="G31" s="56"/>
      <c r="H31" s="56"/>
      <c r="I31" s="56">
        <f>G31*H31</f>
        <v>0</v>
      </c>
      <c r="J31" s="56"/>
      <c r="K31" s="56"/>
      <c r="L31" s="56">
        <f>J31*K31</f>
        <v>0</v>
      </c>
    </row>
    <row r="32" spans="2:12" x14ac:dyDescent="0.25">
      <c r="B32" s="56"/>
      <c r="C32" s="56"/>
      <c r="D32" s="56"/>
      <c r="E32" s="56">
        <f>C32*D32</f>
        <v>0</v>
      </c>
      <c r="F32" s="56"/>
      <c r="G32" s="56"/>
      <c r="H32" s="56"/>
      <c r="I32" s="56">
        <f>G32*H32</f>
        <v>0</v>
      </c>
      <c r="J32" s="56"/>
      <c r="K32" s="56"/>
      <c r="L32" s="56">
        <f>J32*K32</f>
        <v>0</v>
      </c>
    </row>
    <row r="33" spans="2:12" x14ac:dyDescent="0.25">
      <c r="B33" s="56" t="s">
        <v>310</v>
      </c>
      <c r="C33" s="56"/>
      <c r="D33" s="56"/>
      <c r="E33" s="56">
        <f t="shared" si="0"/>
        <v>0</v>
      </c>
      <c r="F33" s="56"/>
      <c r="G33" s="56"/>
      <c r="H33" s="56"/>
      <c r="I33" s="56">
        <f t="shared" si="1"/>
        <v>0</v>
      </c>
      <c r="J33" s="56"/>
      <c r="K33" s="56"/>
      <c r="L33" s="56">
        <f t="shared" si="2"/>
        <v>0</v>
      </c>
    </row>
    <row r="34" spans="2:12" x14ac:dyDescent="0.25">
      <c r="B34" s="56" t="s">
        <v>314</v>
      </c>
      <c r="C34" s="56"/>
      <c r="D34" s="56"/>
      <c r="E34" s="56">
        <f t="shared" si="0"/>
        <v>0</v>
      </c>
      <c r="F34" s="56"/>
      <c r="G34" s="56"/>
      <c r="H34" s="56"/>
      <c r="I34" s="56">
        <f t="shared" si="1"/>
        <v>0</v>
      </c>
      <c r="J34" s="56"/>
      <c r="K34" s="56"/>
      <c r="L34" s="56">
        <f t="shared" si="2"/>
        <v>0</v>
      </c>
    </row>
    <row r="35" spans="2:12" x14ac:dyDescent="0.25">
      <c r="B35" s="56" t="s">
        <v>311</v>
      </c>
      <c r="C35" s="56"/>
      <c r="D35" s="56"/>
      <c r="E35" s="56">
        <f t="shared" si="0"/>
        <v>0</v>
      </c>
      <c r="F35" s="56"/>
      <c r="G35" s="56"/>
      <c r="H35" s="56"/>
      <c r="I35" s="56">
        <f t="shared" si="1"/>
        <v>0</v>
      </c>
      <c r="J35" s="56"/>
      <c r="K35" s="56"/>
      <c r="L35" s="56">
        <f t="shared" si="2"/>
        <v>0</v>
      </c>
    </row>
    <row r="36" spans="2:12" x14ac:dyDescent="0.25">
      <c r="B36" s="56" t="s">
        <v>312</v>
      </c>
      <c r="C36" s="56"/>
      <c r="D36" s="56"/>
      <c r="E36" s="56">
        <f t="shared" si="0"/>
        <v>0</v>
      </c>
      <c r="F36" s="56"/>
      <c r="G36" s="56"/>
      <c r="H36" s="56"/>
      <c r="I36" s="56">
        <f t="shared" ref="I36:I41" si="3">G36*H36</f>
        <v>0</v>
      </c>
      <c r="J36" s="56"/>
      <c r="K36" s="56"/>
      <c r="L36" s="56">
        <f t="shared" ref="L36:L41" si="4">J36*K36</f>
        <v>0</v>
      </c>
    </row>
    <row r="37" spans="2:12" x14ac:dyDescent="0.25">
      <c r="B37" s="56"/>
      <c r="C37" s="56"/>
      <c r="D37" s="56"/>
      <c r="E37" s="56">
        <f>C37*D37</f>
        <v>0</v>
      </c>
      <c r="F37" s="56"/>
      <c r="G37" s="56"/>
      <c r="H37" s="56"/>
      <c r="I37" s="56">
        <f t="shared" si="3"/>
        <v>0</v>
      </c>
      <c r="J37" s="56"/>
      <c r="K37" s="56"/>
      <c r="L37" s="56">
        <f t="shared" si="4"/>
        <v>0</v>
      </c>
    </row>
    <row r="38" spans="2:12" x14ac:dyDescent="0.25">
      <c r="B38" s="56" t="s">
        <v>315</v>
      </c>
      <c r="C38" s="56"/>
      <c r="D38" s="56"/>
      <c r="E38" s="56">
        <f>C38*D38</f>
        <v>0</v>
      </c>
      <c r="F38" s="56"/>
      <c r="G38" s="56"/>
      <c r="H38" s="56"/>
      <c r="I38" s="56">
        <f t="shared" si="3"/>
        <v>0</v>
      </c>
      <c r="J38" s="56"/>
      <c r="K38" s="56"/>
      <c r="L38" s="56">
        <f t="shared" si="4"/>
        <v>0</v>
      </c>
    </row>
    <row r="39" spans="2:12" x14ac:dyDescent="0.25">
      <c r="B39" s="56"/>
      <c r="C39" s="56"/>
      <c r="D39" s="56"/>
      <c r="E39" s="56">
        <f t="shared" si="0"/>
        <v>0</v>
      </c>
      <c r="F39" s="56"/>
      <c r="G39" s="56"/>
      <c r="H39" s="56"/>
      <c r="I39" s="56">
        <f t="shared" si="3"/>
        <v>0</v>
      </c>
      <c r="J39" s="56"/>
      <c r="K39" s="56"/>
      <c r="L39" s="56">
        <f t="shared" si="4"/>
        <v>0</v>
      </c>
    </row>
    <row r="40" spans="2:12" x14ac:dyDescent="0.25">
      <c r="B40" s="56"/>
      <c r="C40" s="56"/>
      <c r="D40" s="56"/>
      <c r="E40" s="56">
        <f t="shared" si="0"/>
        <v>0</v>
      </c>
      <c r="F40" s="56"/>
      <c r="G40" s="56"/>
      <c r="H40" s="56"/>
      <c r="I40" s="56">
        <f t="shared" si="3"/>
        <v>0</v>
      </c>
      <c r="J40" s="56"/>
      <c r="K40" s="56"/>
      <c r="L40" s="56">
        <f t="shared" si="4"/>
        <v>0</v>
      </c>
    </row>
    <row r="41" spans="2:12" x14ac:dyDescent="0.25">
      <c r="B41" s="56"/>
      <c r="C41" s="56"/>
      <c r="D41" s="56"/>
      <c r="E41" s="56">
        <f t="shared" si="0"/>
        <v>0</v>
      </c>
      <c r="F41" s="56"/>
      <c r="G41" s="56"/>
      <c r="H41" s="56"/>
      <c r="I41" s="56">
        <f t="shared" si="3"/>
        <v>0</v>
      </c>
      <c r="J41" s="56"/>
      <c r="K41" s="56"/>
      <c r="L41" s="56">
        <f t="shared" si="4"/>
        <v>0</v>
      </c>
    </row>
    <row r="42" spans="2:12" x14ac:dyDescent="0.25">
      <c r="B42" s="56" t="s">
        <v>140</v>
      </c>
      <c r="C42" s="56"/>
      <c r="D42" s="56">
        <f>E42*10.764</f>
        <v>0</v>
      </c>
      <c r="E42" s="80">
        <f>SUM(E6:E41)</f>
        <v>0</v>
      </c>
      <c r="F42" s="56"/>
      <c r="G42" s="56"/>
      <c r="H42" s="56">
        <f>I42*10.764</f>
        <v>0</v>
      </c>
      <c r="I42" s="79">
        <f>SUM(I6:I41)</f>
        <v>0</v>
      </c>
      <c r="J42" s="56"/>
      <c r="K42" s="56">
        <f>L42*10.764</f>
        <v>0</v>
      </c>
      <c r="L42" s="78">
        <f>SUM(L6:L41)</f>
        <v>0</v>
      </c>
    </row>
    <row r="44" spans="2:12" x14ac:dyDescent="0.25">
      <c r="D44" s="55">
        <f>D42+H42</f>
        <v>0</v>
      </c>
      <c r="E44" s="5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2025-07-10T12:48:01Z</cp:lastPrinted>
  <dcterms:created xsi:type="dcterms:W3CDTF">2019-07-16T09:29:46Z</dcterms:created>
  <dcterms:modified xsi:type="dcterms:W3CDTF">2025-07-10T12:48:04Z</dcterms:modified>
</cp:coreProperties>
</file>