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D:\Gaurav\July 25\Dump\"/>
    </mc:Choice>
  </mc:AlternateContent>
  <xr:revisionPtr revIDLastSave="0" documentId="13_ncr:1_{6BD66271-17BF-4EC6-8216-DF97E2E55629}" xr6:coauthVersionLast="36" xr6:coauthVersionMax="36" xr10:uidLastSave="{00000000-0000-0000-0000-000000000000}"/>
  <bookViews>
    <workbookView xWindow="0" yWindow="0" windowWidth="20490" windowHeight="7125" xr2:uid="{00000000-000D-0000-FFFF-FFFF00000000}"/>
  </bookViews>
  <sheets>
    <sheet name="Report" sheetId="1" r:id="rId1"/>
    <sheet name="Flat detail" sheetId="3" r:id="rId2"/>
    <sheet name="Note" sheetId="4" r:id="rId3"/>
    <sheet name="Valuation" sheetId="5" r:id="rId4"/>
  </sheets>
  <definedNames>
    <definedName name="_xlnm.Print_Area" localSheetId="0">Report!$A$1:$H$367</definedName>
  </definedNames>
  <calcPr calcId="191029"/>
</workbook>
</file>

<file path=xl/calcChain.xml><?xml version="1.0" encoding="utf-8"?>
<calcChain xmlns="http://schemas.openxmlformats.org/spreadsheetml/2006/main">
  <c r="C78" i="1" l="1"/>
  <c r="H7" i="5" l="1"/>
  <c r="I7" i="5" s="1"/>
  <c r="H6" i="5"/>
  <c r="I6" i="5" s="1"/>
  <c r="H5" i="5"/>
  <c r="I5" i="5" s="1"/>
  <c r="H4" i="5"/>
  <c r="I4" i="5"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280" i="1"/>
  <c r="D265" i="1"/>
  <c r="J265" i="1" s="1"/>
  <c r="D264" i="1"/>
  <c r="J264" i="1" s="1"/>
  <c r="D263" i="1"/>
  <c r="J263" i="1" s="1"/>
  <c r="D262" i="1"/>
  <c r="J262" i="1" s="1"/>
  <c r="D261" i="1"/>
  <c r="J261" i="1" s="1"/>
  <c r="D260" i="1"/>
  <c r="J260" i="1" s="1"/>
  <c r="D259" i="1"/>
  <c r="J259" i="1" s="1"/>
  <c r="D258" i="1"/>
  <c r="J258" i="1" s="1"/>
  <c r="G257" i="1"/>
  <c r="D257" i="1"/>
  <c r="J257" i="1" s="1"/>
  <c r="J256" i="1"/>
  <c r="D255" i="1"/>
  <c r="J255" i="1" s="1"/>
  <c r="D254" i="1"/>
  <c r="J254" i="1" s="1"/>
  <c r="D253" i="1"/>
  <c r="J253" i="1" s="1"/>
  <c r="D252" i="1"/>
  <c r="J252" i="1" s="1"/>
  <c r="D251" i="1"/>
  <c r="J251" i="1" s="1"/>
  <c r="D250" i="1"/>
  <c r="J250" i="1" s="1"/>
  <c r="D249" i="1"/>
  <c r="J249" i="1" s="1"/>
  <c r="J248" i="1"/>
  <c r="G247" i="1"/>
  <c r="D247" i="1"/>
  <c r="J247" i="1" s="1"/>
  <c r="J246" i="1"/>
  <c r="D245" i="1"/>
  <c r="J245" i="1" s="1"/>
  <c r="D244" i="1"/>
  <c r="J244" i="1" s="1"/>
  <c r="D243" i="1"/>
  <c r="J243" i="1" s="1"/>
  <c r="D242" i="1"/>
  <c r="J242" i="1" s="1"/>
  <c r="D241" i="1"/>
  <c r="J241" i="1" s="1"/>
  <c r="D240" i="1"/>
  <c r="J240" i="1" s="1"/>
  <c r="D239" i="1"/>
  <c r="J239" i="1" s="1"/>
  <c r="D238" i="1"/>
  <c r="J238" i="1" s="1"/>
  <c r="I237" i="1"/>
  <c r="G237" i="1"/>
  <c r="D237" i="1"/>
  <c r="J237" i="1" s="1"/>
  <c r="J236" i="1"/>
  <c r="D235" i="1"/>
  <c r="D234" i="1"/>
  <c r="J234" i="1" s="1"/>
  <c r="D233" i="1"/>
  <c r="J233" i="1" s="1"/>
  <c r="D232" i="1"/>
  <c r="J232" i="1" s="1"/>
  <c r="D231" i="1"/>
  <c r="J231" i="1" s="1"/>
  <c r="D230" i="1"/>
  <c r="J230" i="1" s="1"/>
  <c r="D229" i="1"/>
  <c r="J229" i="1" s="1"/>
  <c r="D228" i="1"/>
  <c r="J228" i="1" s="1"/>
  <c r="G227" i="1"/>
  <c r="D227" i="1"/>
  <c r="J227" i="1" s="1"/>
  <c r="J226" i="1"/>
  <c r="D225" i="1"/>
  <c r="J225" i="1" s="1"/>
  <c r="D224" i="1"/>
  <c r="J224" i="1" s="1"/>
  <c r="D223" i="1"/>
  <c r="J223" i="1" s="1"/>
  <c r="D222" i="1"/>
  <c r="J222" i="1" s="1"/>
  <c r="D221" i="1"/>
  <c r="J221" i="1" s="1"/>
  <c r="D220" i="1"/>
  <c r="J220" i="1" s="1"/>
  <c r="D219" i="1"/>
  <c r="J219" i="1" s="1"/>
  <c r="D218" i="1"/>
  <c r="J218" i="1" s="1"/>
  <c r="G217" i="1"/>
  <c r="D217" i="1"/>
  <c r="J217" i="1" s="1"/>
  <c r="J216" i="1"/>
  <c r="D215" i="1"/>
  <c r="J215" i="1" s="1"/>
  <c r="D214" i="1"/>
  <c r="J214" i="1" s="1"/>
  <c r="J213" i="1"/>
  <c r="D212" i="1"/>
  <c r="J212" i="1" s="1"/>
  <c r="D211" i="1"/>
  <c r="J211" i="1" s="1"/>
  <c r="D210" i="1"/>
  <c r="J210" i="1" s="1"/>
  <c r="D209" i="1"/>
  <c r="J209" i="1" s="1"/>
  <c r="D208" i="1"/>
  <c r="J208" i="1" s="1"/>
  <c r="G207" i="1"/>
  <c r="D207" i="1"/>
  <c r="J207" i="1" s="1"/>
  <c r="J206" i="1"/>
  <c r="D205" i="1"/>
  <c r="J205" i="1" s="1"/>
  <c r="D204" i="1"/>
  <c r="J204" i="1" s="1"/>
  <c r="D203" i="1"/>
  <c r="J203" i="1" s="1"/>
  <c r="D202" i="1"/>
  <c r="J202" i="1" s="1"/>
  <c r="D201" i="1"/>
  <c r="J201" i="1" s="1"/>
  <c r="D200" i="1"/>
  <c r="D199" i="1"/>
  <c r="J199" i="1" s="1"/>
  <c r="I198" i="1"/>
  <c r="D198" i="1"/>
  <c r="J198" i="1" s="1"/>
  <c r="I197" i="1"/>
  <c r="G197" i="1"/>
  <c r="D197" i="1"/>
  <c r="J197" i="1" s="1"/>
  <c r="J196" i="1"/>
  <c r="J195" i="1"/>
  <c r="J194" i="1"/>
  <c r="D193" i="1"/>
  <c r="J193" i="1" s="1"/>
  <c r="D192" i="1"/>
  <c r="J192" i="1" s="1"/>
  <c r="D191" i="1"/>
  <c r="J191" i="1" s="1"/>
  <c r="D190" i="1"/>
  <c r="J190" i="1" s="1"/>
  <c r="D189" i="1"/>
  <c r="J189" i="1" s="1"/>
  <c r="D188" i="1"/>
  <c r="J188" i="1" s="1"/>
  <c r="D187" i="1"/>
  <c r="J187" i="1" s="1"/>
  <c r="G186" i="1"/>
  <c r="D186" i="1"/>
  <c r="J186" i="1" s="1"/>
  <c r="J185" i="1"/>
  <c r="D184" i="1"/>
  <c r="J184" i="1" s="1"/>
  <c r="D183" i="1"/>
  <c r="J183" i="1" s="1"/>
  <c r="D182" i="1"/>
  <c r="J182" i="1" s="1"/>
  <c r="D181" i="1"/>
  <c r="J181" i="1" s="1"/>
  <c r="D180" i="1"/>
  <c r="J180" i="1" s="1"/>
  <c r="D179" i="1"/>
  <c r="J179" i="1" s="1"/>
  <c r="D178" i="1"/>
  <c r="J178" i="1" s="1"/>
  <c r="J177" i="1"/>
  <c r="G177" i="1"/>
  <c r="J176" i="1"/>
  <c r="D175" i="1"/>
  <c r="J175" i="1" s="1"/>
  <c r="D174" i="1"/>
  <c r="J174" i="1" s="1"/>
  <c r="D173" i="1"/>
  <c r="J173" i="1" s="1"/>
  <c r="D172" i="1"/>
  <c r="J172" i="1" s="1"/>
  <c r="D171" i="1"/>
  <c r="J171" i="1" s="1"/>
  <c r="I170" i="1"/>
  <c r="D170" i="1"/>
  <c r="J170" i="1" s="1"/>
  <c r="I169" i="1"/>
  <c r="D169" i="1"/>
  <c r="J169" i="1" s="1"/>
  <c r="G168" i="1"/>
  <c r="D168" i="1"/>
  <c r="J168" i="1" s="1"/>
  <c r="J167" i="1"/>
  <c r="J166" i="1"/>
  <c r="D166" i="1"/>
  <c r="D165" i="1"/>
  <c r="J165" i="1" s="1"/>
  <c r="J164" i="1"/>
  <c r="D164" i="1"/>
  <c r="D163" i="1"/>
  <c r="J163" i="1" s="1"/>
  <c r="D162" i="1"/>
  <c r="J162" i="1" s="1"/>
  <c r="D161" i="1"/>
  <c r="J161" i="1" s="1"/>
  <c r="D160" i="1"/>
  <c r="J160" i="1" s="1"/>
  <c r="G159" i="1"/>
  <c r="D159" i="1"/>
  <c r="J159" i="1" s="1"/>
  <c r="J158" i="1"/>
  <c r="D157" i="1"/>
  <c r="J157" i="1" s="1"/>
  <c r="J156" i="1"/>
  <c r="D156" i="1"/>
  <c r="D155" i="1"/>
  <c r="J155" i="1" s="1"/>
  <c r="D154" i="1"/>
  <c r="J154" i="1" s="1"/>
  <c r="D153" i="1"/>
  <c r="J153" i="1" s="1"/>
  <c r="D152" i="1"/>
  <c r="J152" i="1" s="1"/>
  <c r="I151" i="1"/>
  <c r="D151" i="1"/>
  <c r="J151" i="1" s="1"/>
  <c r="G150" i="1"/>
  <c r="D150" i="1"/>
  <c r="J150" i="1" s="1"/>
  <c r="J149" i="1"/>
  <c r="D148" i="1"/>
  <c r="J148" i="1" s="1"/>
  <c r="D147" i="1"/>
  <c r="J147" i="1" s="1"/>
  <c r="I146" i="1"/>
  <c r="D146" i="1"/>
  <c r="J146" i="1" s="1"/>
  <c r="D145" i="1"/>
  <c r="J145" i="1" s="1"/>
  <c r="D144" i="1"/>
  <c r="J144" i="1" s="1"/>
  <c r="J143" i="1"/>
  <c r="E143" i="1"/>
  <c r="D143" i="1"/>
  <c r="I142" i="1"/>
  <c r="E142" i="1"/>
  <c r="D142" i="1"/>
  <c r="J142" i="1" s="1"/>
  <c r="G141" i="1"/>
  <c r="D141" i="1"/>
  <c r="J141" i="1" s="1"/>
  <c r="J140" i="1"/>
  <c r="I139" i="1"/>
  <c r="D139" i="1"/>
  <c r="J139" i="1" s="1"/>
  <c r="D138" i="1"/>
  <c r="F138" i="1" s="1"/>
  <c r="J138" i="1" s="1"/>
  <c r="I137" i="1"/>
  <c r="D137" i="1"/>
  <c r="F137" i="1" s="1"/>
  <c r="J136" i="1"/>
  <c r="D136" i="1"/>
  <c r="D135" i="1"/>
  <c r="I134" i="1"/>
  <c r="D134" i="1"/>
  <c r="J134" i="1" s="1"/>
  <c r="D133" i="1"/>
  <c r="F133" i="1" s="1"/>
  <c r="J133" i="1" s="1"/>
  <c r="F132" i="1"/>
  <c r="J132" i="1" s="1"/>
  <c r="D132" i="1"/>
  <c r="D131" i="1"/>
  <c r="F131" i="1" s="1"/>
  <c r="J131" i="1" s="1"/>
  <c r="G130" i="1"/>
  <c r="D130" i="1"/>
  <c r="F130" i="1" s="1"/>
  <c r="J130" i="1" s="1"/>
  <c r="J129" i="1"/>
  <c r="D128" i="1"/>
  <c r="F128" i="1" s="1"/>
  <c r="J128" i="1" s="1"/>
  <c r="D127" i="1"/>
  <c r="F127" i="1" s="1"/>
  <c r="J127" i="1" s="1"/>
  <c r="D126" i="1"/>
  <c r="F126" i="1" s="1"/>
  <c r="J126" i="1" s="1"/>
  <c r="D125" i="1"/>
  <c r="C109" i="1" s="1"/>
  <c r="D124" i="1"/>
  <c r="F124" i="1" s="1"/>
  <c r="J124" i="1" s="1"/>
  <c r="D123" i="1"/>
  <c r="F123" i="1" s="1"/>
  <c r="J123" i="1" s="1"/>
  <c r="D122" i="1"/>
  <c r="F122" i="1" s="1"/>
  <c r="J122" i="1" s="1"/>
  <c r="D121" i="1"/>
  <c r="F121" i="1" s="1"/>
  <c r="F113" i="1"/>
  <c r="F106" i="1"/>
  <c r="D53" i="1"/>
  <c r="C47" i="1"/>
  <c r="C49" i="1" s="1"/>
  <c r="E41" i="1"/>
  <c r="E42" i="1" s="1"/>
  <c r="M38" i="1"/>
  <c r="C14" i="1"/>
  <c r="E7" i="1"/>
  <c r="E3" i="1"/>
  <c r="H62" i="1"/>
  <c r="H76" i="1"/>
  <c r="E34" i="3" l="1"/>
  <c r="C112" i="1"/>
  <c r="C114" i="1" s="1"/>
  <c r="C115" i="1" s="1"/>
  <c r="I34" i="3"/>
  <c r="H34" i="3" s="1"/>
  <c r="F125" i="1"/>
  <c r="J125" i="1" s="1"/>
  <c r="D113" i="1"/>
  <c r="D112" i="1"/>
  <c r="D109" i="1"/>
  <c r="L34" i="3"/>
  <c r="K34" i="3" s="1"/>
  <c r="F109" i="1"/>
  <c r="J137" i="1"/>
  <c r="F112" i="1"/>
  <c r="F114" i="1" s="1"/>
  <c r="D114" i="1"/>
  <c r="D115" i="1" s="1"/>
  <c r="D34" i="3"/>
  <c r="E36" i="3"/>
  <c r="I8" i="5"/>
  <c r="J121" i="1"/>
  <c r="J135" i="1"/>
  <c r="J200" i="1"/>
  <c r="C113" i="1"/>
  <c r="D74" i="1"/>
  <c r="D70" i="1"/>
  <c r="D71" i="1"/>
  <c r="K70" i="1"/>
  <c r="K73" i="1"/>
  <c r="C66" i="1" s="1"/>
  <c r="D66" i="1" s="1"/>
  <c r="D69" i="1"/>
  <c r="D73" i="1"/>
  <c r="K68" i="1"/>
  <c r="C65" i="1" s="1"/>
  <c r="D65" i="1" s="1"/>
  <c r="K67" i="1"/>
  <c r="D67" i="1"/>
  <c r="K72" i="1"/>
  <c r="D68" i="1"/>
  <c r="D72" i="1"/>
  <c r="K71" i="1"/>
  <c r="K85" i="1"/>
  <c r="D86" i="1"/>
  <c r="D89" i="1"/>
  <c r="D85" i="1"/>
  <c r="D84" i="1"/>
  <c r="D83" i="1"/>
  <c r="D87" i="1"/>
  <c r="K86" i="1"/>
  <c r="D82" i="1"/>
  <c r="K88" i="1"/>
  <c r="C81" i="1" s="1"/>
  <c r="D81" i="1" s="1"/>
  <c r="D88" i="1"/>
  <c r="K83" i="1"/>
  <c r="C80" i="1" s="1"/>
  <c r="D80" i="1" s="1"/>
  <c r="K87" i="1"/>
  <c r="K82" i="1"/>
  <c r="D36" i="3" l="1"/>
  <c r="F115" i="1"/>
  <c r="I75" i="1"/>
  <c r="E80" i="1" s="1"/>
  <c r="G80" i="1"/>
  <c r="G65" i="1"/>
  <c r="I61" i="1"/>
  <c r="C63" i="1" s="1"/>
  <c r="E65" i="1" s="1"/>
</calcChain>
</file>

<file path=xl/sharedStrings.xml><?xml version="1.0" encoding="utf-8"?>
<sst xmlns="http://schemas.openxmlformats.org/spreadsheetml/2006/main" count="559" uniqueCount="293">
  <si>
    <t>Office No. 1031, Wing J, Akshar Business Park, Plot No. 03 Sector 25, Near APMC Market,
Vashi, Navi Mumbai, Maharashtra 400703 TEL: 022-46090378/79/80                                                                       
E mail : vsjcapf@gmail.com. Web site : www.vsjadon.com</t>
  </si>
  <si>
    <t xml:space="preserve">Valuation Report </t>
  </si>
  <si>
    <t>Date:</t>
  </si>
  <si>
    <t>CPC Name:</t>
  </si>
  <si>
    <t>Axis Sanpada</t>
  </si>
  <si>
    <t>Date Of Property Visit</t>
  </si>
  <si>
    <t>Name of the builder group</t>
  </si>
  <si>
    <t>M/s.Unity Builders &amp; Developers</t>
  </si>
  <si>
    <t>Name of the builder company</t>
  </si>
  <si>
    <t>Name of the Project</t>
  </si>
  <si>
    <t>Dream Home</t>
  </si>
  <si>
    <t>Contact Details ( Name &amp; Contact No.)</t>
  </si>
  <si>
    <t>Site Meet Person Contact Details ( Name &amp; Contact No.)</t>
  </si>
  <si>
    <t>Name / No of the Building</t>
  </si>
  <si>
    <t>Wing A &amp; B</t>
  </si>
  <si>
    <t>Docouments Provided</t>
  </si>
  <si>
    <t>Approved Plans, CC, Sale Plans, Builder Saleable Area, Cost Sheet</t>
  </si>
  <si>
    <t>RERA No.</t>
  </si>
  <si>
    <t>P51700019674</t>
  </si>
  <si>
    <t xml:space="preserve">Project location details       </t>
  </si>
  <si>
    <t>Survey No</t>
  </si>
  <si>
    <t>121, H.No.14</t>
  </si>
  <si>
    <t>Road</t>
  </si>
  <si>
    <t>Davdi Gaon Road</t>
  </si>
  <si>
    <t>Locality/Village</t>
  </si>
  <si>
    <t>Davdi</t>
  </si>
  <si>
    <t>City</t>
  </si>
  <si>
    <t>Dombivli East</t>
  </si>
  <si>
    <t>District</t>
  </si>
  <si>
    <t>Thane</t>
  </si>
  <si>
    <t>Taluka</t>
  </si>
  <si>
    <t>Kalyan</t>
  </si>
  <si>
    <t>Pin Code</t>
  </si>
  <si>
    <t>Near by Landmark</t>
  </si>
  <si>
    <t>Asha Palms</t>
  </si>
  <si>
    <t xml:space="preserve">Distance from city centre: </t>
  </si>
  <si>
    <t>4.7Km from Dombivli Railway Station</t>
  </si>
  <si>
    <t>Accessibility to the Project from the City: (Proximity to civic amenities like school, hospital, market, etc.)</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</si>
  <si>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</si>
  <si>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</si>
  <si>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</si>
  <si>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</si>
  <si>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</si>
  <si>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</si>
  <si>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</si>
  <si>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</si>
  <si>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</si>
  <si>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</si>
  <si>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</si>
  <si>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Type of Structure</t>
  </si>
  <si>
    <t>RCC Frame Structure</t>
  </si>
  <si>
    <t xml:space="preserve">Approved usage of the Property:                                                                                                                                             </t>
  </si>
  <si>
    <t>Residential + Commercial</t>
  </si>
  <si>
    <t>Restrictive Covenants in regard to Land Use</t>
  </si>
  <si>
    <t>No</t>
  </si>
  <si>
    <t>Boundries</t>
  </si>
  <si>
    <t>As per deed</t>
  </si>
  <si>
    <t>At site</t>
  </si>
  <si>
    <t>East</t>
  </si>
  <si>
    <t>NA</t>
  </si>
  <si>
    <t>West</t>
  </si>
  <si>
    <t>Open Plot</t>
  </si>
  <si>
    <t>North</t>
  </si>
  <si>
    <t>South</t>
  </si>
  <si>
    <t>Ayodhya park</t>
  </si>
  <si>
    <t>Does the boundaries at site match, as mentioned in the Docoumentation: NA</t>
  </si>
  <si>
    <t>19.1994134,73.1135655</t>
  </si>
  <si>
    <t>Location link</t>
  </si>
  <si>
    <t>https://goo.gl/maps/jDxdf4B6R5NWFHia6</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</si>
  <si>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</si>
  <si>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</si>
  <si>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</si>
  <si>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</si>
  <si>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</si>
  <si>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</si>
  <si>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</si>
  <si>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2 Wing</t>
  </si>
  <si>
    <t xml:space="preserve">Approval Detail : Plan approval </t>
  </si>
  <si>
    <t xml:space="preserve">Layout Approval No     </t>
  </si>
  <si>
    <t>KDMC/TPD/BP/27Village/2018-19/16/450</t>
  </si>
  <si>
    <t>Dated</t>
  </si>
  <si>
    <t>21/01/2022.</t>
  </si>
  <si>
    <t xml:space="preserve">Approved Floor plan No.  </t>
  </si>
  <si>
    <t>31/10/2018</t>
  </si>
  <si>
    <t>Approved Floor plan No. For (Wing B ) Flat No. 409 &amp; 609</t>
  </si>
  <si>
    <t>KDMP/NRV/BP/27GV/2018-19/16</t>
  </si>
  <si>
    <t>31/10/2018.</t>
  </si>
  <si>
    <t>Commencement Certificate No.</t>
  </si>
  <si>
    <t>Valid Up to: Wing A &amp; B = G/St + 1st to 13th Floor</t>
  </si>
  <si>
    <t xml:space="preserve">O. Certificate No.: </t>
  </si>
  <si>
    <t>NA
Approved upto : NA</t>
  </si>
  <si>
    <t xml:space="preserve">Date of approval: </t>
  </si>
  <si>
    <t>Building wise Construction details</t>
  </si>
  <si>
    <t>Approved area of building (Sq.Mt)</t>
  </si>
  <si>
    <t>Approved no of units</t>
  </si>
  <si>
    <t>Flats - 213, Shops (GF) - 08, Shops (FF) - 4</t>
  </si>
  <si>
    <t>Approved no of Floors</t>
  </si>
  <si>
    <t>Wing A = G/St + 1st to 13th Floor
Wing B = G/St + 1st to 13th Floor</t>
  </si>
  <si>
    <t>Proposed no of Floors</t>
  </si>
  <si>
    <t>Wing A &amp; B = G/St + 1st to 13th Floor</t>
  </si>
  <si>
    <t>Expected Completion</t>
  </si>
  <si>
    <t>As per RERA - 30/12/2025</t>
  </si>
  <si>
    <t>Projected life of the structure</t>
  </si>
  <si>
    <t>60 Years After Completion</t>
  </si>
  <si>
    <t xml:space="preserve">Quality of construction: </t>
  </si>
  <si>
    <t xml:space="preserve">Material laying at Site: </t>
  </si>
  <si>
    <t xml:space="preserve">Cement, Aggregate, Steel, etc </t>
  </si>
  <si>
    <t>Construction details:</t>
  </si>
  <si>
    <t>Wing A = G/St + 1st to 13th Floor</t>
  </si>
  <si>
    <t>Ground</t>
  </si>
  <si>
    <t>Podium</t>
  </si>
  <si>
    <t>Floors</t>
  </si>
  <si>
    <t>All work Completed. Wait For OC.</t>
  </si>
  <si>
    <t xml:space="preserve">Stage of construction: </t>
  </si>
  <si>
    <t>All work Completed. Provide OC.</t>
  </si>
  <si>
    <t>Type of Work</t>
  </si>
  <si>
    <t>Slab/Floor</t>
  </si>
  <si>
    <t>Complition %</t>
  </si>
  <si>
    <t>Progress %</t>
  </si>
  <si>
    <t>Disbursement %</t>
  </si>
  <si>
    <t>All work Completed. OC Received.</t>
  </si>
  <si>
    <t>Excavation</t>
  </si>
  <si>
    <t>Plinth</t>
  </si>
  <si>
    <t xml:space="preserve">RCC </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</si>
  <si>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</si>
  <si>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</si>
  <si>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</si>
  <si>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</si>
  <si>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</si>
  <si>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</si>
  <si>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</si>
  <si>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</si>
  <si>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</si>
  <si>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</si>
  <si>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</si>
  <si>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</si>
  <si>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</si>
  <si>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</si>
  <si>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</si>
  <si>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Wing B = G/St + 1st to 13th Floor</t>
  </si>
  <si>
    <t>Wheather the construction is as per approved Building plan : Under Construction</t>
  </si>
  <si>
    <t>Violations Observed if any : NA</t>
  </si>
  <si>
    <r>
      <rPr>
        <b/>
        <sz val="12"/>
        <rFont val="Times New Roman"/>
        <family val="1"/>
      </rP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</si>
  <si>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</si>
  <si>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Rates of the Property :</t>
  </si>
  <si>
    <t>Recommended rate of the flat Per Sq. Ft. ( on Saleable area)</t>
  </si>
  <si>
    <t>5500 to 5900</t>
  </si>
  <si>
    <t xml:space="preserve">Sanket </t>
  </si>
  <si>
    <t>vrbal n cost sheet</t>
  </si>
  <si>
    <t>Recommended rate of the shop on First Floor Per Sq. Ft. 
(on Saleable area)</t>
  </si>
  <si>
    <t>Recommended rate of the shop on Ground Floor Per Sq. Ft. 
(on Saleable area)</t>
  </si>
  <si>
    <t>Floor Rise Rate Per Sq.ft</t>
  </si>
  <si>
    <t>Development Charges</t>
  </si>
  <si>
    <t>4,00,000/-</t>
  </si>
  <si>
    <t>Club Charges</t>
  </si>
  <si>
    <t>Legal Services Charges</t>
  </si>
  <si>
    <t>Gas Connection Charges</t>
  </si>
  <si>
    <t>Water, Electricity, Drainages, Sewerage Connection</t>
  </si>
  <si>
    <t>Society Formation Charges</t>
  </si>
  <si>
    <t>Advance Maintenance Charges</t>
  </si>
  <si>
    <t xml:space="preserve">Recommended rate of Parking </t>
  </si>
  <si>
    <t>Distressed valuation of the Property</t>
  </si>
  <si>
    <t>Commercial Area Details :</t>
  </si>
  <si>
    <t>Building &amp; Wing</t>
  </si>
  <si>
    <t>No. of Units</t>
  </si>
  <si>
    <t>Total Carpet Area</t>
  </si>
  <si>
    <t>Total Saleable Area</t>
  </si>
  <si>
    <t>Wing A</t>
  </si>
  <si>
    <t>Residential Area Details :</t>
  </si>
  <si>
    <t>Wing B</t>
  </si>
  <si>
    <t>Total</t>
  </si>
  <si>
    <t>Grand Total</t>
  </si>
  <si>
    <t>Building details Floor Wise</t>
  </si>
  <si>
    <t xml:space="preserve">Details of Flats in Building   </t>
  </si>
  <si>
    <t>Flat/Shop No.</t>
  </si>
  <si>
    <t>Description</t>
  </si>
  <si>
    <t>Gross Carpet area</t>
  </si>
  <si>
    <t>Attached Terrace area</t>
  </si>
  <si>
    <t>Saleable area</t>
  </si>
  <si>
    <t>Floor</t>
  </si>
  <si>
    <t>Ground Floor For Parking &amp; Commercial</t>
  </si>
  <si>
    <t>01</t>
  </si>
  <si>
    <t>Shop</t>
  </si>
  <si>
    <t>Ground Floor</t>
  </si>
  <si>
    <t>02</t>
  </si>
  <si>
    <t>03</t>
  </si>
  <si>
    <t>04</t>
  </si>
  <si>
    <t>05</t>
  </si>
  <si>
    <t>06</t>
  </si>
  <si>
    <t>07</t>
  </si>
  <si>
    <t>08</t>
  </si>
  <si>
    <t>1st &amp; 2nd Floor For Residential &amp; Commercial</t>
  </si>
  <si>
    <t>101 &amp; 201</t>
  </si>
  <si>
    <t>1RK</t>
  </si>
  <si>
    <t>104 &amp; 204</t>
  </si>
  <si>
    <t>105 &amp; 205</t>
  </si>
  <si>
    <t>106 &amp; 206</t>
  </si>
  <si>
    <t>1BHK</t>
  </si>
  <si>
    <t>107 &amp; 207</t>
  </si>
  <si>
    <t>108 &amp; 208</t>
  </si>
  <si>
    <t>3rd Floor</t>
  </si>
  <si>
    <t>2BHK</t>
  </si>
  <si>
    <t>4th &amp; 6th Floor</t>
  </si>
  <si>
    <t>401 &amp; 601</t>
  </si>
  <si>
    <t>402 &amp; 602</t>
  </si>
  <si>
    <t>403 &amp; 603</t>
  </si>
  <si>
    <t>404 &amp; 604</t>
  </si>
  <si>
    <t>405 &amp; 605</t>
  </si>
  <si>
    <t>406 &amp; 606</t>
  </si>
  <si>
    <t>407 &amp; 607</t>
  </si>
  <si>
    <t>408 &amp; 608</t>
  </si>
  <si>
    <t>5th Floor</t>
  </si>
  <si>
    <t>7th Floor</t>
  </si>
  <si>
    <t>8th &amp; 13th Floor (Part Refuge Area)</t>
  </si>
  <si>
    <t>801 &amp; 1301</t>
  </si>
  <si>
    <t>Refuge Area</t>
  </si>
  <si>
    <t>802 &amp; 1302</t>
  </si>
  <si>
    <t>803 &amp; 1303</t>
  </si>
  <si>
    <t>804 &amp; 1304</t>
  </si>
  <si>
    <t>805 &amp; 1305</t>
  </si>
  <si>
    <t>806 &amp; 1306</t>
  </si>
  <si>
    <t>807 &amp; 1307</t>
  </si>
  <si>
    <t>808 &amp; 1308</t>
  </si>
  <si>
    <t>9th to 12th Floor</t>
  </si>
  <si>
    <t>901 to 1201</t>
  </si>
  <si>
    <t>902 to 1202</t>
  </si>
  <si>
    <t>903 to 1203</t>
  </si>
  <si>
    <t>904 to 1204</t>
  </si>
  <si>
    <t>905 to 1205</t>
  </si>
  <si>
    <t>906 to 1206</t>
  </si>
  <si>
    <t>907 to 1207</t>
  </si>
  <si>
    <t>908 to 1208</t>
  </si>
  <si>
    <t>Ground Floor For Parking</t>
  </si>
  <si>
    <t>102 &amp; 202</t>
  </si>
  <si>
    <t>103 &amp; 203</t>
  </si>
  <si>
    <t>109 &amp; 209</t>
  </si>
  <si>
    <t>409 &amp; 609</t>
  </si>
  <si>
    <t>809 &amp; 1309</t>
  </si>
  <si>
    <t>909 to 1209</t>
  </si>
  <si>
    <t xml:space="preserve">Remarks: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</si>
  <si>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</si>
  <si>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</si>
  <si>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</si>
  <si>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</si>
  <si>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</si>
  <si>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</si>
  <si>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</si>
  <si>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</si>
  <si>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Report By :</t>
  </si>
  <si>
    <t>Authorized Signatory
Name &amp; Seal of the agency</t>
  </si>
  <si>
    <t xml:space="preserve">PHOTOGRAPHS OF PROPERTY : 
</t>
  </si>
  <si>
    <t>Google Map :</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</si>
  <si>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</si>
  <si>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</si>
  <si>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</si>
  <si>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</si>
  <si>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</si>
  <si>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</si>
  <si>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</si>
  <si>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</si>
  <si>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</si>
  <si>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</si>
  <si>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</si>
  <si>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</si>
  <si>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</si>
  <si>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</si>
  <si>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</si>
  <si>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</si>
  <si>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</si>
  <si>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</si>
  <si>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</si>
  <si>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</si>
  <si>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</si>
  <si>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</si>
  <si>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</si>
  <si>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Pratiksha</t>
  </si>
  <si>
    <t>05/10/2020.</t>
  </si>
  <si>
    <t>Market Research Data</t>
  </si>
  <si>
    <t>Source</t>
  </si>
  <si>
    <t>Distance from proposed property</t>
  </si>
  <si>
    <t>Net Carpet</t>
  </si>
  <si>
    <t>Saleable Area</t>
  </si>
  <si>
    <t>Rate on Saleable</t>
  </si>
  <si>
    <t>Market Value</t>
  </si>
  <si>
    <t>99Acers</t>
  </si>
  <si>
    <t>housing</t>
  </si>
  <si>
    <t>Average</t>
  </si>
  <si>
    <t xml:space="preserve">Valuation Adopted </t>
  </si>
  <si>
    <t xml:space="preserve">Latitude &amp; Longitude  </t>
  </si>
  <si>
    <t>Mr. Sandeep 8779179855</t>
  </si>
  <si>
    <t>Gaurav Panchal</t>
  </si>
  <si>
    <t>Mr. Krishna Kambli</t>
  </si>
  <si>
    <t>1. Wing A - Construction work is in process at the time of Visit. (Slow Speed)
    Wing B - All work completed. Please provide OC.
2. We considered Flat Saleable area as per Builder area sheet. Shop area as per our calculation.
3. We considered Carpet area as per Approved Plan.
4. We have considered proposed No. of Floor for Stage Calculation.
5. We considered Gross carpet area = Net carpet + C.B Area + E.P Area + Utiliy Area.
6. We have considered rate by verifying it from market inquire.
7. Car parking is subjected to authentic documentation.
8. We have updated revised approved floor plan &amp; CC of Wing A &amp; B. (on dtd. 30/10/2022)
9. We have updated (Wing B) Flat No. 409 &amp; 609 on date 14/09/2023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</si>
</sst>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18">
    <font>
      <sz val="11"/>
      <color rgb="FF000000"/>
      <name val="Calibri"/>
      <charset val="134"/>
    </font>
    <font>
      <b/>
      <sz val="11"/>
      <color theme="1"/>
      <name val="Calibri"/>
      <family val="2"/>
      <scheme val="minor"/>
    </font>
    <font>
      <sz val="11"/>
      <color theme="1"/>
      <name val="Calibri"/>
      <family val="2"/>
      <scheme val="minor"/>
    </font>
    <font>
      <sz val="11"/>
      <color indexed="8"/>
      <name val="Calibri"/>
      <family val="2"/>
    </font>
    <font>
      <sz val="11"/>
      <color rgb="FFFF0000"/>
      <name val="Calibri"/>
      <family val="2"/>
      <scheme val="minor"/>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b/>
      <sz val="12"/>
      <color theme="1"/>
      <name val="Times New Roman"/>
      <family val="1"/>
    </font>
    <font>
      <b/>
      <sz val="11"/>
      <color indexed="8"/>
      <name val="Times New Roman"/>
      <family val="1"/>
    </font>
    <font>
      <sz val="11"/>
      <color rgb="FF000000"/>
      <name val="Times New Roman"/>
      <family val="1"/>
    </font>
    <font>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8">
    <xf numFmtId="0" fontId="0" fillId="0" borderId="0"/>
    <xf numFmtId="0" fontId="13" fillId="0" borderId="0" applyNumberFormat="0" applyFill="0" applyBorder="0" applyAlignment="0" applyProtection="0"/>
    <xf numFmtId="164" fontId="3" fillId="0" borderId="0" applyFont="0" applyFill="0" applyBorder="0" applyAlignment="0" applyProtection="0"/>
    <xf numFmtId="0" fontId="3" fillId="0" borderId="0"/>
    <xf numFmtId="0" fontId="3" fillId="0" borderId="0"/>
    <xf numFmtId="0" fontId="2" fillId="0" borderId="0"/>
    <xf numFmtId="0" fontId="2" fillId="0" borderId="0"/>
    <xf numFmtId="0" fontId="2" fillId="0" borderId="0"/>
  </cellStyleXfs>
  <cellXfs count="210">
    <xf numFmtId="0" fontId="0" fillId="0" borderId="0" xfId="0"/>
    <xf numFmtId="0" fontId="1" fillId="0" borderId="1" xfId="7" applyFont="1" applyBorder="1" applyAlignment="1">
      <alignment horizontal="center" vertical="top" wrapText="1"/>
    </xf>
    <xf numFmtId="0" fontId="2" fillId="0" borderId="1" xfId="7" applyFont="1" applyBorder="1" applyAlignment="1">
      <alignment horizontal="center" vertical="center"/>
    </xf>
    <xf numFmtId="0" fontId="2" fillId="0" borderId="1" xfId="7" applyFont="1" applyBorder="1" applyAlignment="1">
      <alignment horizontal="left" vertical="center"/>
    </xf>
    <xf numFmtId="0" fontId="2" fillId="0" borderId="1" xfId="7" applyBorder="1" applyAlignment="1">
      <alignment horizontal="center" vertical="center"/>
    </xf>
    <xf numFmtId="1" fontId="2" fillId="0" borderId="1" xfId="7" applyNumberFormat="1" applyBorder="1" applyAlignment="1">
      <alignment horizontal="center" vertical="center"/>
    </xf>
    <xf numFmtId="0" fontId="1" fillId="0" borderId="1" xfId="7" applyFont="1" applyBorder="1" applyAlignment="1">
      <alignment horizontal="center" vertical="center"/>
    </xf>
    <xf numFmtId="0" fontId="3" fillId="0" borderId="1" xfId="4" applyBorder="1" applyAlignment="1">
      <alignment horizontal="center" vertical="center"/>
    </xf>
    <xf numFmtId="165" fontId="2" fillId="0" borderId="1" xfId="2" applyNumberFormat="1" applyFont="1" applyBorder="1" applyAlignment="1">
      <alignment horizontal="right" vertical="center"/>
    </xf>
    <xf numFmtId="1" fontId="4" fillId="0" borderId="1" xfId="7" applyNumberFormat="1" applyFont="1" applyBorder="1" applyAlignment="1">
      <alignment horizontal="center" vertical="center"/>
    </xf>
    <xf numFmtId="14" fontId="0" fillId="0" borderId="0" xfId="0" applyNumberFormat="1"/>
    <xf numFmtId="0" fontId="0" fillId="2" borderId="1" xfId="0" applyFill="1" applyBorder="1"/>
    <xf numFmtId="0" fontId="0" fillId="0" borderId="2" xfId="0" applyBorder="1" applyAlignment="1"/>
    <xf numFmtId="0" fontId="1" fillId="0" borderId="1" xfId="0" applyFont="1" applyBorder="1"/>
    <xf numFmtId="0" fontId="1" fillId="0" borderId="1" xfId="0" applyFont="1" applyBorder="1" applyAlignment="1">
      <alignment horizontal="center"/>
    </xf>
    <xf numFmtId="0" fontId="0" fillId="0" borderId="1" xfId="0" applyBorder="1"/>
    <xf numFmtId="0" fontId="5" fillId="0" borderId="0" xfId="6" applyFont="1"/>
    <xf numFmtId="0" fontId="6" fillId="0" borderId="0" xfId="6" applyFont="1"/>
    <xf numFmtId="0" fontId="7" fillId="0" borderId="0" xfId="6" applyFont="1"/>
    <xf numFmtId="0" fontId="8" fillId="0" borderId="0" xfId="3" applyFont="1"/>
    <xf numFmtId="0" fontId="9" fillId="0" borderId="0" xfId="0" applyFont="1" applyAlignment="1">
      <alignment horizontal="center" vertical="center"/>
    </xf>
    <xf numFmtId="0" fontId="9" fillId="0" borderId="0" xfId="6" applyFont="1" applyAlignment="1">
      <alignment horizontal="center" vertical="center"/>
    </xf>
    <xf numFmtId="0" fontId="9" fillId="0" borderId="0" xfId="0" applyFont="1"/>
    <xf numFmtId="0" fontId="9" fillId="0" borderId="0" xfId="6" applyFont="1" applyProtection="1">
      <protection locked="0"/>
    </xf>
    <xf numFmtId="0" fontId="9" fillId="0" borderId="0" xfId="6" applyFont="1"/>
    <xf numFmtId="0" fontId="6" fillId="0" borderId="1" xfId="6" applyFont="1" applyFill="1" applyBorder="1" applyAlignment="1" applyProtection="1">
      <alignment horizontal="center" vertical="top"/>
      <protection locked="0"/>
    </xf>
    <xf numFmtId="0" fontId="6" fillId="3" borderId="1" xfId="6" applyFont="1" applyFill="1" applyBorder="1" applyAlignment="1" applyProtection="1">
      <alignment horizontal="left" vertical="top"/>
      <protection locked="0"/>
    </xf>
    <xf numFmtId="0" fontId="6" fillId="3" borderId="1" xfId="6" applyFont="1" applyFill="1" applyBorder="1" applyAlignment="1" applyProtection="1">
      <alignment vertical="top"/>
      <protection locked="0"/>
    </xf>
    <xf numFmtId="0" fontId="12" fillId="3" borderId="1" xfId="6" applyFont="1" applyFill="1" applyBorder="1" applyAlignment="1" applyProtection="1">
      <alignment horizontal="left" vertical="top"/>
      <protection locked="0"/>
    </xf>
    <xf numFmtId="0" fontId="6" fillId="0" borderId="13" xfId="6" applyFont="1" applyFill="1" applyBorder="1" applyAlignment="1" applyProtection="1">
      <alignment horizontal="center" vertical="top"/>
      <protection locked="0"/>
    </xf>
    <xf numFmtId="0" fontId="6" fillId="0" borderId="1" xfId="6" applyFont="1" applyFill="1" applyBorder="1" applyAlignment="1" applyProtection="1">
      <alignment horizontal="center" vertical="top" wrapText="1"/>
      <protection locked="0"/>
    </xf>
    <xf numFmtId="0" fontId="6" fillId="0" borderId="1" xfId="6" applyFont="1" applyBorder="1" applyAlignment="1" applyProtection="1">
      <alignment horizontal="center" vertical="top" wrapText="1"/>
      <protection locked="0"/>
    </xf>
    <xf numFmtId="0" fontId="9" fillId="0" borderId="0" xfId="6" applyFont="1" applyProtection="1">
      <protection hidden="1"/>
    </xf>
    <xf numFmtId="0" fontId="9" fillId="0" borderId="14" xfId="6" applyFont="1" applyFill="1" applyBorder="1" applyProtection="1">
      <protection hidden="1"/>
    </xf>
    <xf numFmtId="0" fontId="9" fillId="0" borderId="14" xfId="6" applyFont="1" applyBorder="1" applyProtection="1">
      <protection hidden="1"/>
    </xf>
    <xf numFmtId="0" fontId="9" fillId="0" borderId="15" xfId="6" applyFont="1" applyBorder="1" applyProtection="1">
      <protection hidden="1"/>
    </xf>
    <xf numFmtId="0" fontId="9" fillId="0" borderId="0" xfId="6" applyFont="1" applyFill="1" applyBorder="1" applyProtection="1">
      <protection hidden="1"/>
    </xf>
    <xf numFmtId="0" fontId="9" fillId="0" borderId="0" xfId="6" applyFont="1" applyBorder="1" applyProtection="1">
      <protection hidden="1"/>
    </xf>
    <xf numFmtId="0" fontId="9" fillId="0" borderId="16" xfId="6" applyFont="1" applyBorder="1" applyProtection="1">
      <protection hidden="1"/>
    </xf>
    <xf numFmtId="0" fontId="9" fillId="0" borderId="0" xfId="6" applyFont="1" applyBorder="1"/>
    <xf numFmtId="0" fontId="9" fillId="0" borderId="16" xfId="6" applyFont="1" applyBorder="1"/>
    <xf numFmtId="0" fontId="6" fillId="0" borderId="1" xfId="6" applyFont="1" applyBorder="1" applyAlignment="1" applyProtection="1">
      <alignment horizontal="center" wrapText="1"/>
      <protection locked="0"/>
    </xf>
    <xf numFmtId="9" fontId="6" fillId="3" borderId="1" xfId="6" applyNumberFormat="1" applyFont="1" applyFill="1" applyBorder="1" applyAlignment="1" applyProtection="1">
      <alignment horizontal="center" vertical="center" wrapText="1"/>
      <protection hidden="1"/>
    </xf>
    <xf numFmtId="1" fontId="6" fillId="0" borderId="1" xfId="6" applyNumberFormat="1" applyFont="1" applyBorder="1" applyAlignment="1" applyProtection="1">
      <alignment horizontal="center" wrapText="1"/>
      <protection locked="0"/>
    </xf>
    <xf numFmtId="0" fontId="6" fillId="0" borderId="18" xfId="6" applyFont="1" applyBorder="1" applyAlignment="1" applyProtection="1">
      <alignment horizontal="center" wrapText="1"/>
      <protection locked="0"/>
    </xf>
    <xf numFmtId="9" fontId="6" fillId="3" borderId="18" xfId="6" applyNumberFormat="1" applyFont="1" applyFill="1" applyBorder="1" applyAlignment="1" applyProtection="1">
      <alignment horizontal="center" vertical="center" wrapText="1"/>
      <protection hidden="1"/>
    </xf>
    <xf numFmtId="0" fontId="14"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1" fontId="14" fillId="0" borderId="1" xfId="0" applyNumberFormat="1" applyFont="1" applyBorder="1" applyAlignment="1" applyProtection="1">
      <alignment horizontal="center" vertical="center"/>
      <protection locked="0"/>
    </xf>
    <xf numFmtId="1" fontId="11" fillId="0" borderId="1" xfId="6" applyNumberFormat="1" applyFont="1" applyFill="1" applyBorder="1" applyAlignment="1" applyProtection="1">
      <alignment horizontal="center" vertical="top" wrapText="1"/>
      <protection locked="0"/>
    </xf>
    <xf numFmtId="1" fontId="15" fillId="0" borderId="1" xfId="6" applyNumberFormat="1" applyFont="1" applyFill="1" applyBorder="1" applyAlignment="1" applyProtection="1">
      <alignment horizontal="center" vertical="top" wrapText="1"/>
      <protection locked="0"/>
    </xf>
    <xf numFmtId="1" fontId="6" fillId="0" borderId="1" xfId="6" applyNumberFormat="1" applyFont="1" applyFill="1" applyBorder="1" applyAlignment="1" applyProtection="1">
      <alignment horizontal="center" vertical="center" wrapText="1"/>
      <protection locked="0"/>
    </xf>
    <xf numFmtId="1" fontId="6" fillId="0" borderId="26" xfId="6" applyNumberFormat="1" applyFont="1" applyFill="1" applyBorder="1" applyAlignment="1" applyProtection="1">
      <alignment horizontal="center" vertical="center" wrapText="1"/>
      <protection locked="0"/>
    </xf>
    <xf numFmtId="0" fontId="16" fillId="0" borderId="0" xfId="0" applyFont="1" applyFill="1" applyBorder="1" applyProtection="1">
      <protection hidden="1"/>
    </xf>
    <xf numFmtId="9" fontId="16" fillId="0" borderId="0" xfId="0" applyNumberFormat="1" applyFont="1" applyBorder="1" applyProtection="1">
      <protection hidden="1"/>
    </xf>
    <xf numFmtId="0" fontId="16" fillId="0" borderId="16" xfId="0" applyNumberFormat="1" applyFont="1" applyBorder="1" applyProtection="1">
      <protection hidden="1"/>
    </xf>
    <xf numFmtId="0" fontId="0" fillId="0" borderId="27" xfId="0" applyBorder="1"/>
    <xf numFmtId="0" fontId="0" fillId="0" borderId="28" xfId="0" applyBorder="1"/>
    <xf numFmtId="0" fontId="9" fillId="2" borderId="0" xfId="6" applyFont="1" applyFill="1"/>
    <xf numFmtId="0" fontId="7" fillId="2" borderId="0" xfId="6" applyFont="1" applyFill="1"/>
    <xf numFmtId="14" fontId="9" fillId="2" borderId="0" xfId="6" applyNumberFormat="1" applyFont="1" applyFill="1"/>
    <xf numFmtId="1" fontId="6" fillId="0" borderId="0" xfId="6" applyNumberFormat="1" applyFont="1" applyAlignment="1">
      <alignment horizontal="center" vertical="center"/>
    </xf>
    <xf numFmtId="1" fontId="6" fillId="0" borderId="1" xfId="6" applyNumberFormat="1" applyFont="1" applyBorder="1" applyAlignment="1">
      <alignment horizontal="center" vertical="center"/>
    </xf>
    <xf numFmtId="1" fontId="8" fillId="0" borderId="1" xfId="6" applyNumberFormat="1" applyFont="1" applyFill="1" applyBorder="1" applyAlignment="1" applyProtection="1">
      <alignment horizontal="center" vertical="center" wrapText="1"/>
      <protection locked="0"/>
    </xf>
    <xf numFmtId="1" fontId="6" fillId="0" borderId="2" xfId="6" applyNumberFormat="1" applyFont="1" applyFill="1" applyBorder="1" applyAlignment="1" applyProtection="1">
      <alignment horizontal="center" vertical="center" wrapText="1"/>
      <protection locked="0"/>
    </xf>
    <xf numFmtId="0" fontId="11" fillId="0" borderId="0" xfId="6" applyFont="1" applyBorder="1" applyAlignment="1" applyProtection="1">
      <alignment vertical="top"/>
      <protection locked="0"/>
    </xf>
    <xf numFmtId="0" fontId="11" fillId="0" borderId="0" xfId="6" applyFont="1" applyBorder="1" applyAlignment="1" applyProtection="1">
      <alignment vertical="top" wrapText="1"/>
      <protection locked="0"/>
    </xf>
    <xf numFmtId="0" fontId="14" fillId="0" borderId="0" xfId="6" applyFont="1" applyProtection="1">
      <protection locked="0"/>
    </xf>
    <xf numFmtId="0" fontId="6" fillId="0" borderId="1" xfId="6" applyFont="1" applyFill="1" applyBorder="1" applyAlignment="1" applyProtection="1">
      <alignment horizontal="center" vertical="top"/>
      <protection locked="0"/>
    </xf>
    <xf numFmtId="0" fontId="10" fillId="0" borderId="1" xfId="6" applyFont="1" applyBorder="1" applyAlignment="1" applyProtection="1">
      <alignment horizontal="center" vertical="top" wrapText="1"/>
      <protection locked="0"/>
    </xf>
    <xf numFmtId="0" fontId="11" fillId="0" borderId="1" xfId="6" applyFont="1" applyBorder="1" applyAlignment="1" applyProtection="1">
      <alignment horizontal="center" vertical="top"/>
      <protection locked="0"/>
    </xf>
    <xf numFmtId="0" fontId="8" fillId="0" borderId="1" xfId="6" applyFont="1" applyBorder="1" applyAlignment="1" applyProtection="1">
      <alignment horizontal="left" vertical="top"/>
      <protection locked="0"/>
    </xf>
    <xf numFmtId="14" fontId="8" fillId="0" borderId="1" xfId="6" applyNumberFormat="1" applyFont="1" applyBorder="1" applyAlignment="1" applyProtection="1">
      <alignment horizontal="left" vertical="top"/>
      <protection locked="0"/>
    </xf>
    <xf numFmtId="0" fontId="6" fillId="0" borderId="1" xfId="6" applyFont="1" applyFill="1" applyBorder="1" applyAlignment="1" applyProtection="1">
      <alignment horizontal="left" vertical="center" wrapText="1"/>
      <protection locked="0"/>
    </xf>
    <xf numFmtId="14" fontId="6" fillId="0" borderId="1" xfId="6" applyNumberFormat="1" applyFont="1" applyBorder="1" applyAlignment="1" applyProtection="1">
      <alignment horizontal="left" vertical="top"/>
      <protection locked="0"/>
    </xf>
    <xf numFmtId="0" fontId="8" fillId="0" borderId="1" xfId="6" applyFont="1" applyBorder="1" applyAlignment="1" applyProtection="1">
      <alignment horizontal="left" vertical="top" wrapText="1"/>
      <protection locked="0"/>
    </xf>
    <xf numFmtId="0" fontId="11" fillId="0" borderId="1" xfId="6" applyFont="1" applyBorder="1" applyAlignment="1" applyProtection="1">
      <alignment horizontal="left" vertical="top"/>
      <protection locked="0"/>
    </xf>
    <xf numFmtId="0" fontId="6" fillId="0" borderId="1" xfId="6" applyFont="1" applyBorder="1" applyAlignment="1" applyProtection="1">
      <alignment horizontal="left" vertical="top"/>
      <protection locked="0"/>
    </xf>
    <xf numFmtId="0" fontId="9" fillId="0" borderId="1" xfId="6" applyFont="1" applyBorder="1" applyAlignment="1" applyProtection="1">
      <alignment horizontal="left" vertical="top" wrapText="1"/>
      <protection locked="0"/>
    </xf>
    <xf numFmtId="0" fontId="6" fillId="0" borderId="1" xfId="6" applyFont="1" applyFill="1" applyBorder="1" applyAlignment="1" applyProtection="1">
      <alignment horizontal="left" vertical="top" wrapText="1"/>
      <protection locked="0"/>
    </xf>
    <xf numFmtId="0" fontId="8" fillId="0" borderId="1" xfId="6" applyFont="1" applyFill="1" applyBorder="1" applyAlignment="1" applyProtection="1">
      <alignment horizontal="left" vertical="top" wrapText="1"/>
      <protection locked="0"/>
    </xf>
    <xf numFmtId="0" fontId="6" fillId="0" borderId="1" xfId="6" applyFont="1" applyFill="1" applyBorder="1" applyAlignment="1" applyProtection="1">
      <alignment horizontal="left" vertical="top"/>
      <protection locked="0"/>
    </xf>
    <xf numFmtId="0" fontId="8" fillId="0" borderId="1" xfId="6" applyFont="1" applyFill="1" applyBorder="1" applyAlignment="1" applyProtection="1">
      <alignment horizontal="left" vertical="top"/>
      <protection locked="0"/>
    </xf>
    <xf numFmtId="0" fontId="6" fillId="0" borderId="1" xfId="6" applyFont="1" applyBorder="1" applyAlignment="1" applyProtection="1">
      <alignment horizontal="left"/>
      <protection locked="0"/>
    </xf>
    <xf numFmtId="0" fontId="8" fillId="3" borderId="1" xfId="6" applyFont="1" applyFill="1" applyBorder="1" applyAlignment="1" applyProtection="1">
      <alignment horizontal="left" vertical="top" wrapText="1"/>
      <protection locked="0"/>
    </xf>
    <xf numFmtId="0" fontId="12" fillId="0" borderId="1" xfId="6" applyFont="1" applyBorder="1" applyAlignment="1" applyProtection="1">
      <alignment horizontal="center"/>
      <protection locked="0"/>
    </xf>
    <xf numFmtId="0" fontId="12" fillId="0" borderId="1" xfId="6" applyFont="1" applyFill="1" applyBorder="1" applyAlignment="1" applyProtection="1">
      <alignment horizontal="center" vertical="top"/>
      <protection locked="0"/>
    </xf>
    <xf numFmtId="0" fontId="6" fillId="0" borderId="1" xfId="6" applyFont="1" applyBorder="1" applyAlignment="1" applyProtection="1">
      <alignment horizontal="center"/>
      <protection locked="0"/>
    </xf>
    <xf numFmtId="0" fontId="6" fillId="0" borderId="1" xfId="6" applyFont="1" applyFill="1" applyBorder="1" applyAlignment="1" applyProtection="1">
      <alignment horizontal="center" vertical="top"/>
      <protection locked="0"/>
    </xf>
    <xf numFmtId="0" fontId="14" fillId="0" borderId="3" xfId="6" applyFont="1" applyBorder="1" applyAlignment="1" applyProtection="1">
      <alignment horizontal="left"/>
      <protection locked="0"/>
    </xf>
    <xf numFmtId="0" fontId="14" fillId="0" borderId="4" xfId="6" applyFont="1" applyBorder="1" applyAlignment="1" applyProtection="1">
      <alignment horizontal="left"/>
      <protection locked="0"/>
    </xf>
    <xf numFmtId="0" fontId="14" fillId="0" borderId="5" xfId="6" applyFont="1" applyBorder="1" applyAlignment="1" applyProtection="1">
      <alignment horizontal="left"/>
      <protection locked="0"/>
    </xf>
    <xf numFmtId="0" fontId="13" fillId="0" borderId="3" xfId="1" applyBorder="1" applyAlignment="1" applyProtection="1">
      <alignment horizontal="left"/>
      <protection locked="0"/>
    </xf>
    <xf numFmtId="0" fontId="9" fillId="0" borderId="4" xfId="6" applyFont="1" applyBorder="1" applyAlignment="1" applyProtection="1">
      <alignment horizontal="left"/>
      <protection locked="0"/>
    </xf>
    <xf numFmtId="0" fontId="9" fillId="0" borderId="5" xfId="6" applyFont="1" applyBorder="1" applyAlignment="1" applyProtection="1">
      <alignment horizontal="left"/>
      <protection locked="0"/>
    </xf>
    <xf numFmtId="0" fontId="11" fillId="0" borderId="1" xfId="6" applyFont="1" applyFill="1" applyBorder="1" applyAlignment="1" applyProtection="1">
      <alignment horizontal="left" vertical="top"/>
      <protection locked="0"/>
    </xf>
    <xf numFmtId="2" fontId="8" fillId="0" borderId="1" xfId="6" applyNumberFormat="1" applyFont="1" applyFill="1" applyBorder="1" applyAlignment="1" applyProtection="1">
      <alignment horizontal="left" vertical="top" wrapText="1"/>
      <protection locked="0"/>
    </xf>
    <xf numFmtId="2" fontId="8" fillId="0" borderId="1" xfId="6" applyNumberFormat="1" applyFont="1" applyFill="1" applyBorder="1" applyAlignment="1" applyProtection="1">
      <alignment horizontal="left" vertical="top"/>
      <protection locked="0"/>
    </xf>
    <xf numFmtId="166" fontId="8" fillId="0" borderId="1" xfId="6" applyNumberFormat="1" applyFont="1" applyFill="1" applyBorder="1" applyAlignment="1" applyProtection="1">
      <alignment horizontal="left" vertical="top"/>
      <protection locked="0"/>
    </xf>
    <xf numFmtId="0" fontId="6" fillId="3" borderId="1" xfId="6" applyFont="1" applyFill="1" applyBorder="1" applyAlignment="1" applyProtection="1">
      <alignment horizontal="left" vertical="top" wrapText="1"/>
      <protection locked="0"/>
    </xf>
    <xf numFmtId="14" fontId="6" fillId="0" borderId="1" xfId="6" applyNumberFormat="1" applyFont="1" applyFill="1" applyBorder="1" applyAlignment="1" applyProtection="1">
      <alignment horizontal="left" vertical="top" wrapText="1"/>
      <protection locked="0"/>
    </xf>
    <xf numFmtId="0" fontId="6" fillId="3" borderId="1" xfId="6" applyFont="1" applyFill="1" applyBorder="1" applyAlignment="1" applyProtection="1">
      <alignment horizontal="left" vertical="top"/>
      <protection locked="0"/>
    </xf>
    <xf numFmtId="0" fontId="6" fillId="3" borderId="3" xfId="6" applyFont="1" applyFill="1" applyBorder="1" applyAlignment="1" applyProtection="1">
      <alignment horizontal="left" vertical="top" wrapText="1"/>
      <protection locked="0"/>
    </xf>
    <xf numFmtId="0" fontId="6" fillId="3" borderId="4" xfId="6" applyFont="1" applyFill="1" applyBorder="1" applyAlignment="1" applyProtection="1">
      <alignment horizontal="left" vertical="top" wrapText="1"/>
      <protection locked="0"/>
    </xf>
    <xf numFmtId="0" fontId="6" fillId="3" borderId="5" xfId="6" applyFont="1" applyFill="1" applyBorder="1" applyAlignment="1" applyProtection="1">
      <alignment horizontal="left" vertical="top" wrapText="1"/>
      <protection locked="0"/>
    </xf>
    <xf numFmtId="0" fontId="11" fillId="0" borderId="1" xfId="6" applyFont="1" applyFill="1" applyBorder="1" applyAlignment="1" applyProtection="1">
      <alignment horizontal="left" vertical="top" wrapText="1"/>
      <protection locked="0"/>
    </xf>
    <xf numFmtId="0" fontId="12" fillId="3" borderId="1" xfId="6" applyFont="1" applyFill="1" applyBorder="1" applyAlignment="1" applyProtection="1">
      <alignment horizontal="left" vertical="top" wrapText="1"/>
      <protection locked="0"/>
    </xf>
    <xf numFmtId="0" fontId="12" fillId="3" borderId="1" xfId="6" applyFont="1" applyFill="1" applyBorder="1" applyAlignment="1" applyProtection="1">
      <alignment horizontal="left" vertical="top"/>
      <protection locked="0"/>
    </xf>
    <xf numFmtId="0" fontId="12" fillId="0" borderId="3" xfId="6" applyFont="1" applyFill="1" applyBorder="1" applyAlignment="1" applyProtection="1">
      <alignment horizontal="left" vertical="top" wrapText="1"/>
      <protection locked="0"/>
    </xf>
    <xf numFmtId="0" fontId="12" fillId="0" borderId="5" xfId="6" applyFont="1" applyFill="1" applyBorder="1" applyAlignment="1" applyProtection="1">
      <alignment horizontal="left" vertical="top" wrapText="1"/>
      <protection locked="0"/>
    </xf>
    <xf numFmtId="0" fontId="11" fillId="0" borderId="1" xfId="6" applyFont="1" applyFill="1" applyBorder="1" applyAlignment="1" applyProtection="1">
      <alignment vertical="top"/>
      <protection locked="0"/>
    </xf>
    <xf numFmtId="0" fontId="6" fillId="0" borderId="6" xfId="6" applyFont="1" applyFill="1" applyBorder="1" applyAlignment="1" applyProtection="1">
      <alignment horizontal="left" vertical="top"/>
      <protection locked="0"/>
    </xf>
    <xf numFmtId="0" fontId="6" fillId="0" borderId="6" xfId="6" applyFont="1" applyFill="1" applyBorder="1" applyAlignment="1" applyProtection="1">
      <alignment horizontal="left" vertical="top" wrapText="1"/>
      <protection locked="0"/>
    </xf>
    <xf numFmtId="0" fontId="11" fillId="0" borderId="7" xfId="6" applyFont="1" applyFill="1" applyBorder="1" applyAlignment="1" applyProtection="1">
      <alignment horizontal="left" vertical="top" wrapText="1"/>
      <protection locked="0"/>
    </xf>
    <xf numFmtId="0" fontId="11" fillId="0" borderId="8" xfId="6" applyFont="1" applyFill="1" applyBorder="1" applyAlignment="1" applyProtection="1">
      <alignment horizontal="left" vertical="top" wrapText="1"/>
      <protection locked="0"/>
    </xf>
    <xf numFmtId="0" fontId="12" fillId="0" borderId="9" xfId="6" applyFont="1" applyFill="1" applyBorder="1" applyAlignment="1" applyProtection="1">
      <alignment horizontal="left" vertical="top" wrapText="1"/>
      <protection locked="0"/>
    </xf>
    <xf numFmtId="0" fontId="12" fillId="0" borderId="10" xfId="6" applyFont="1" applyFill="1" applyBorder="1" applyAlignment="1" applyProtection="1">
      <alignment horizontal="left" vertical="top" wrapText="1"/>
      <protection locked="0"/>
    </xf>
    <xf numFmtId="0" fontId="12" fillId="0" borderId="11" xfId="6" applyFont="1" applyFill="1" applyBorder="1" applyAlignment="1" applyProtection="1">
      <alignment horizontal="left" vertical="top" wrapText="1"/>
      <protection locked="0"/>
    </xf>
    <xf numFmtId="0" fontId="6" fillId="0" borderId="12" xfId="6" applyFont="1" applyFill="1" applyBorder="1" applyAlignment="1" applyProtection="1">
      <alignment horizontal="center" vertical="top"/>
      <protection locked="0"/>
    </xf>
    <xf numFmtId="0" fontId="12" fillId="0" borderId="12" xfId="6" applyFont="1" applyFill="1" applyBorder="1" applyAlignment="1" applyProtection="1">
      <alignment horizontal="left" vertical="top"/>
      <protection locked="0"/>
    </xf>
    <xf numFmtId="0" fontId="12" fillId="0" borderId="1" xfId="6" applyFont="1" applyFill="1" applyBorder="1" applyAlignment="1" applyProtection="1">
      <alignment horizontal="left" vertical="top"/>
      <protection locked="0"/>
    </xf>
    <xf numFmtId="0" fontId="12" fillId="0" borderId="1" xfId="6" applyFont="1" applyFill="1" applyBorder="1" applyAlignment="1" applyProtection="1">
      <alignment horizontal="left" vertical="top" wrapText="1"/>
      <protection locked="0"/>
    </xf>
    <xf numFmtId="0" fontId="12" fillId="0" borderId="13" xfId="6" applyFont="1" applyFill="1" applyBorder="1" applyAlignment="1" applyProtection="1">
      <alignment horizontal="left" vertical="top" wrapText="1"/>
      <protection locked="0"/>
    </xf>
    <xf numFmtId="0" fontId="6" fillId="0" borderId="12" xfId="6" applyFont="1" applyFill="1" applyBorder="1" applyAlignment="1" applyProtection="1">
      <alignment horizontal="center" vertical="top" wrapText="1"/>
      <protection locked="0"/>
    </xf>
    <xf numFmtId="0" fontId="6" fillId="0" borderId="1" xfId="6" applyFont="1" applyFill="1" applyBorder="1" applyAlignment="1" applyProtection="1">
      <alignment horizontal="center" vertical="top" wrapText="1"/>
      <protection locked="0"/>
    </xf>
    <xf numFmtId="0" fontId="6" fillId="0" borderId="13" xfId="6" applyFont="1" applyFill="1" applyBorder="1" applyAlignment="1" applyProtection="1">
      <alignment horizontal="center" vertical="top" wrapText="1"/>
      <protection locked="0"/>
    </xf>
    <xf numFmtId="9" fontId="6" fillId="3" borderId="1" xfId="6" applyNumberFormat="1" applyFont="1" applyFill="1" applyBorder="1" applyAlignment="1" applyProtection="1">
      <alignment horizontal="center" vertical="center" wrapText="1"/>
      <protection hidden="1"/>
    </xf>
    <xf numFmtId="9" fontId="6" fillId="3" borderId="18" xfId="6" applyNumberFormat="1" applyFont="1" applyFill="1" applyBorder="1" applyAlignment="1" applyProtection="1">
      <alignment horizontal="center" vertical="center" wrapText="1"/>
      <protection hidden="1"/>
    </xf>
    <xf numFmtId="9" fontId="6" fillId="3" borderId="13" xfId="6" applyNumberFormat="1" applyFont="1" applyFill="1" applyBorder="1" applyAlignment="1" applyProtection="1">
      <alignment horizontal="center" vertical="center" wrapText="1"/>
      <protection hidden="1"/>
    </xf>
    <xf numFmtId="9" fontId="6" fillId="3" borderId="19" xfId="6" applyNumberFormat="1" applyFont="1" applyFill="1" applyBorder="1" applyAlignment="1" applyProtection="1">
      <alignment horizontal="center" vertical="center" wrapText="1"/>
      <protection hidden="1"/>
    </xf>
    <xf numFmtId="0" fontId="6" fillId="0" borderId="17" xfId="6" applyFont="1" applyFill="1" applyBorder="1" applyAlignment="1" applyProtection="1">
      <alignment horizontal="center" vertical="top" wrapText="1"/>
      <protection locked="0"/>
    </xf>
    <xf numFmtId="0" fontId="6" fillId="0" borderId="18" xfId="6" applyFont="1" applyFill="1" applyBorder="1" applyAlignment="1" applyProtection="1">
      <alignment horizontal="center" vertical="top" wrapText="1"/>
      <protection locked="0"/>
    </xf>
    <xf numFmtId="0" fontId="12" fillId="0" borderId="7" xfId="6" applyFont="1" applyFill="1" applyBorder="1" applyAlignment="1" applyProtection="1">
      <alignment horizontal="left" vertical="top" wrapText="1"/>
      <protection locked="0"/>
    </xf>
    <xf numFmtId="0" fontId="12" fillId="0" borderId="8" xfId="6" applyFont="1" applyFill="1" applyBorder="1" applyAlignment="1" applyProtection="1">
      <alignment horizontal="left" vertical="top" wrapText="1"/>
      <protection locked="0"/>
    </xf>
    <xf numFmtId="0" fontId="6" fillId="0" borderId="20" xfId="6" applyFont="1" applyFill="1" applyBorder="1" applyAlignment="1" applyProtection="1">
      <alignment horizontal="left" vertical="top"/>
      <protection locked="0"/>
    </xf>
    <xf numFmtId="0" fontId="8" fillId="0" borderId="3" xfId="6" applyFont="1" applyFill="1" applyBorder="1" applyAlignment="1" applyProtection="1">
      <alignment horizontal="left" vertical="top" wrapText="1"/>
      <protection locked="0"/>
    </xf>
    <xf numFmtId="0" fontId="8" fillId="0" borderId="4" xfId="6" applyFont="1" applyFill="1" applyBorder="1" applyAlignment="1" applyProtection="1">
      <alignment horizontal="left" vertical="top" wrapText="1"/>
      <protection locked="0"/>
    </xf>
    <xf numFmtId="0" fontId="8" fillId="0" borderId="5" xfId="6" applyFont="1" applyFill="1" applyBorder="1" applyAlignment="1" applyProtection="1">
      <alignment horizontal="left" vertical="top" wrapText="1"/>
      <protection locked="0"/>
    </xf>
    <xf numFmtId="1" fontId="11" fillId="0" borderId="1" xfId="0" applyNumberFormat="1" applyFont="1" applyFill="1" applyBorder="1" applyAlignment="1" applyProtection="1">
      <alignment horizontal="center" vertical="center" wrapText="1"/>
      <protection locked="0"/>
    </xf>
    <xf numFmtId="1" fontId="11" fillId="0" borderId="1" xfId="0" applyNumberFormat="1" applyFont="1" applyFill="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top" wrapText="1"/>
      <protection locked="0"/>
    </xf>
    <xf numFmtId="1" fontId="9" fillId="0" borderId="4" xfId="0" applyNumberFormat="1" applyFont="1" applyBorder="1" applyAlignment="1" applyProtection="1">
      <alignment horizontal="center" vertical="top" wrapText="1"/>
      <protection locked="0"/>
    </xf>
    <xf numFmtId="1" fontId="9" fillId="0" borderId="5" xfId="0" applyNumberFormat="1" applyFont="1" applyBorder="1" applyAlignment="1" applyProtection="1">
      <alignment horizontal="center" vertical="top" wrapText="1"/>
      <protection locked="0"/>
    </xf>
    <xf numFmtId="1" fontId="14" fillId="0" borderId="1" xfId="0" applyNumberFormat="1" applyFont="1" applyBorder="1" applyAlignment="1" applyProtection="1">
      <alignment horizontal="center" vertical="top" wrapText="1"/>
      <protection locked="0"/>
    </xf>
    <xf numFmtId="0" fontId="11" fillId="0" borderId="1" xfId="6" applyFont="1" applyFill="1" applyBorder="1" applyAlignment="1" applyProtection="1">
      <alignment horizontal="center" vertical="top"/>
      <protection locked="0"/>
    </xf>
    <xf numFmtId="1" fontId="11" fillId="0" borderId="1" xfId="6" applyNumberFormat="1" applyFont="1" applyFill="1" applyBorder="1" applyAlignment="1" applyProtection="1">
      <alignment horizontal="center" vertical="top" wrapText="1"/>
      <protection locked="0"/>
    </xf>
    <xf numFmtId="1" fontId="12" fillId="0" borderId="1" xfId="6" applyNumberFormat="1" applyFont="1" applyFill="1" applyBorder="1" applyAlignment="1" applyProtection="1">
      <alignment horizontal="center" vertical="center" wrapText="1"/>
      <protection locked="0"/>
    </xf>
    <xf numFmtId="1" fontId="6" fillId="0" borderId="1" xfId="6" quotePrefix="1" applyNumberFormat="1" applyFont="1" applyFill="1" applyBorder="1" applyAlignment="1" applyProtection="1">
      <alignment horizontal="center" vertical="center" wrapText="1"/>
      <protection locked="0"/>
    </xf>
    <xf numFmtId="1" fontId="6" fillId="0" borderId="1" xfId="6" applyNumberFormat="1" applyFont="1" applyFill="1" applyBorder="1" applyAlignment="1" applyProtection="1">
      <alignment horizontal="center" vertical="center" wrapText="1"/>
      <protection locked="0"/>
    </xf>
    <xf numFmtId="1" fontId="6" fillId="0" borderId="3" xfId="6" applyNumberFormat="1" applyFont="1" applyFill="1" applyBorder="1" applyAlignment="1" applyProtection="1">
      <alignment horizontal="center" vertical="center" wrapText="1"/>
      <protection locked="0"/>
    </xf>
    <xf numFmtId="1" fontId="6" fillId="0" borderId="5" xfId="6" applyNumberFormat="1" applyFont="1" applyFill="1" applyBorder="1" applyAlignment="1" applyProtection="1">
      <alignment horizontal="center" vertical="center" wrapText="1"/>
      <protection locked="0"/>
    </xf>
    <xf numFmtId="1" fontId="6" fillId="0" borderId="21" xfId="6" applyNumberFormat="1" applyFont="1" applyFill="1" applyBorder="1" applyAlignment="1" applyProtection="1">
      <alignment horizontal="center" vertical="center" wrapText="1"/>
      <protection locked="0"/>
    </xf>
    <xf numFmtId="1" fontId="6" fillId="0" borderId="22" xfId="6" applyNumberFormat="1" applyFont="1" applyFill="1" applyBorder="1" applyAlignment="1" applyProtection="1">
      <alignment horizontal="center" vertical="center" wrapText="1"/>
      <protection locked="0"/>
    </xf>
    <xf numFmtId="1" fontId="6" fillId="0" borderId="23" xfId="6" applyNumberFormat="1" applyFont="1" applyFill="1" applyBorder="1" applyAlignment="1" applyProtection="1">
      <alignment horizontal="center" vertical="center" wrapText="1"/>
      <protection locked="0"/>
    </xf>
    <xf numFmtId="1" fontId="6" fillId="0" borderId="24" xfId="6" applyNumberFormat="1" applyFont="1" applyFill="1" applyBorder="1" applyAlignment="1" applyProtection="1">
      <alignment horizontal="center" vertical="center" wrapText="1"/>
      <protection locked="0"/>
    </xf>
    <xf numFmtId="1" fontId="6" fillId="0" borderId="25" xfId="6" applyNumberFormat="1" applyFont="1" applyFill="1" applyBorder="1" applyAlignment="1" applyProtection="1">
      <alignment horizontal="center" vertical="center" wrapText="1"/>
      <protection locked="0"/>
    </xf>
    <xf numFmtId="1" fontId="6" fillId="0" borderId="26" xfId="6" applyNumberFormat="1" applyFont="1" applyFill="1" applyBorder="1" applyAlignment="1" applyProtection="1">
      <alignment horizontal="center" vertical="center" wrapText="1"/>
      <protection locked="0"/>
    </xf>
    <xf numFmtId="1" fontId="6" fillId="0" borderId="4" xfId="6" applyNumberFormat="1" applyFont="1" applyFill="1" applyBorder="1" applyAlignment="1" applyProtection="1">
      <alignment horizontal="center" vertical="center" wrapText="1"/>
      <protection locked="0"/>
    </xf>
    <xf numFmtId="1" fontId="12" fillId="0" borderId="3" xfId="6" applyNumberFormat="1" applyFont="1" applyFill="1" applyBorder="1" applyAlignment="1" applyProtection="1">
      <alignment horizontal="center" vertical="center" wrapText="1"/>
      <protection locked="0"/>
    </xf>
    <xf numFmtId="1" fontId="12" fillId="0" borderId="4" xfId="6" applyNumberFormat="1" applyFont="1" applyFill="1" applyBorder="1" applyAlignment="1" applyProtection="1">
      <alignment horizontal="center" vertical="center" wrapText="1"/>
      <protection locked="0"/>
    </xf>
    <xf numFmtId="1" fontId="12" fillId="0" borderId="5" xfId="6" applyNumberFormat="1" applyFont="1" applyFill="1" applyBorder="1" applyAlignment="1" applyProtection="1">
      <alignment horizontal="center" vertical="center" wrapText="1"/>
      <protection locked="0"/>
    </xf>
    <xf numFmtId="1" fontId="12" fillId="0" borderId="3" xfId="0" applyNumberFormat="1" applyFont="1" applyFill="1" applyBorder="1" applyAlignment="1" applyProtection="1">
      <alignment horizontal="left" vertical="top" wrapText="1"/>
      <protection locked="0"/>
    </xf>
    <xf numFmtId="1" fontId="12" fillId="0" borderId="4" xfId="0" applyNumberFormat="1" applyFont="1" applyFill="1" applyBorder="1" applyAlignment="1" applyProtection="1">
      <alignment horizontal="left" vertical="top" wrapText="1"/>
      <protection locked="0"/>
    </xf>
    <xf numFmtId="1" fontId="12" fillId="0" borderId="5" xfId="0" applyNumberFormat="1" applyFont="1" applyFill="1" applyBorder="1" applyAlignment="1" applyProtection="1">
      <alignment horizontal="left" vertical="top" wrapText="1"/>
      <protection locked="0"/>
    </xf>
    <xf numFmtId="0" fontId="12" fillId="0" borderId="3" xfId="3" applyFont="1" applyBorder="1" applyAlignment="1" applyProtection="1">
      <alignment horizontal="left" vertical="top" wrapText="1"/>
      <protection locked="0"/>
    </xf>
    <xf numFmtId="0" fontId="12" fillId="0" borderId="4" xfId="3" applyFont="1" applyBorder="1" applyAlignment="1" applyProtection="1">
      <alignment horizontal="left" vertical="top" wrapText="1"/>
      <protection locked="0"/>
    </xf>
    <xf numFmtId="0" fontId="12" fillId="0" borderId="5" xfId="3" applyFont="1" applyBorder="1" applyAlignment="1" applyProtection="1">
      <alignment horizontal="left" vertical="top" wrapText="1"/>
      <protection locked="0"/>
    </xf>
    <xf numFmtId="0" fontId="8" fillId="0" borderId="3" xfId="6" applyFont="1" applyBorder="1" applyAlignment="1" applyProtection="1">
      <alignment vertical="top"/>
      <protection locked="0"/>
    </xf>
    <xf numFmtId="0" fontId="8" fillId="0" borderId="4" xfId="6" applyFont="1" applyBorder="1" applyAlignment="1" applyProtection="1">
      <alignment vertical="top"/>
      <protection locked="0"/>
    </xf>
    <xf numFmtId="0" fontId="8" fillId="0" borderId="5" xfId="6" applyFont="1" applyBorder="1" applyAlignment="1" applyProtection="1">
      <alignment vertical="top"/>
      <protection locked="0"/>
    </xf>
    <xf numFmtId="0" fontId="12" fillId="0" borderId="21" xfId="6" applyFont="1" applyBorder="1" applyAlignment="1" applyProtection="1">
      <alignment horizontal="center" vertical="top" wrapText="1"/>
      <protection locked="0"/>
    </xf>
    <xf numFmtId="0" fontId="12" fillId="0" borderId="29" xfId="6" applyFont="1" applyBorder="1" applyAlignment="1" applyProtection="1">
      <alignment horizontal="center" vertical="top" wrapText="1"/>
      <protection locked="0"/>
    </xf>
    <xf numFmtId="0" fontId="12" fillId="0" borderId="22" xfId="6" applyFont="1" applyBorder="1" applyAlignment="1" applyProtection="1">
      <alignment horizontal="center" vertical="top" wrapText="1"/>
      <protection locked="0"/>
    </xf>
    <xf numFmtId="0" fontId="12" fillId="0" borderId="23" xfId="6" applyFont="1" applyBorder="1" applyAlignment="1" applyProtection="1">
      <alignment horizontal="center" vertical="top" wrapText="1"/>
      <protection locked="0"/>
    </xf>
    <xf numFmtId="0" fontId="12" fillId="0" borderId="0" xfId="6" applyFont="1" applyBorder="1" applyAlignment="1" applyProtection="1">
      <alignment horizontal="center" vertical="top" wrapText="1"/>
      <protection locked="0"/>
    </xf>
    <xf numFmtId="0" fontId="12" fillId="0" borderId="24" xfId="6" applyFont="1" applyBorder="1" applyAlignment="1" applyProtection="1">
      <alignment horizontal="center" vertical="top" wrapText="1"/>
      <protection locked="0"/>
    </xf>
    <xf numFmtId="0" fontId="12" fillId="0" borderId="25" xfId="6" applyFont="1" applyBorder="1" applyAlignment="1" applyProtection="1">
      <alignment horizontal="center" vertical="top" wrapText="1"/>
      <protection locked="0"/>
    </xf>
    <xf numFmtId="0" fontId="12" fillId="0" borderId="2" xfId="6" applyFont="1" applyBorder="1" applyAlignment="1" applyProtection="1">
      <alignment horizontal="center" vertical="top" wrapText="1"/>
      <protection locked="0"/>
    </xf>
    <xf numFmtId="0" fontId="12" fillId="0" borderId="26" xfId="6" applyFont="1" applyBorder="1" applyAlignment="1" applyProtection="1">
      <alignment horizontal="center" vertical="top" wrapText="1"/>
      <protection locked="0"/>
    </xf>
    <xf numFmtId="1" fontId="6" fillId="0" borderId="29" xfId="6" applyNumberFormat="1" applyFont="1" applyFill="1" applyBorder="1" applyAlignment="1" applyProtection="1">
      <alignment horizontal="center" vertical="center" wrapText="1"/>
      <protection locked="0"/>
    </xf>
    <xf numFmtId="1" fontId="6" fillId="0" borderId="0" xfId="6" applyNumberFormat="1" applyFont="1" applyFill="1" applyBorder="1" applyAlignment="1" applyProtection="1">
      <alignment horizontal="center" vertical="center" wrapText="1"/>
      <protection locked="0"/>
    </xf>
    <xf numFmtId="1" fontId="6" fillId="0" borderId="2" xfId="6" applyNumberFormat="1" applyFont="1" applyFill="1" applyBorder="1" applyAlignment="1" applyProtection="1">
      <alignment horizontal="center" vertical="center" wrapText="1"/>
      <protection locked="0"/>
    </xf>
    <xf numFmtId="0" fontId="8" fillId="0" borderId="3" xfId="6" applyFont="1" applyBorder="1" applyAlignment="1" applyProtection="1">
      <alignment horizontal="left" vertical="top"/>
      <protection locked="0"/>
    </xf>
    <xf numFmtId="0" fontId="8" fillId="0" borderId="4" xfId="6" applyFont="1" applyBorder="1" applyAlignment="1" applyProtection="1">
      <alignment horizontal="left" vertical="top"/>
      <protection locked="0"/>
    </xf>
    <xf numFmtId="0" fontId="8" fillId="0" borderId="5" xfId="6" applyFont="1" applyBorder="1" applyAlignment="1" applyProtection="1">
      <alignment horizontal="left" vertical="top"/>
      <protection locked="0"/>
    </xf>
    <xf numFmtId="0" fontId="8" fillId="0" borderId="3" xfId="6" applyFont="1" applyBorder="1" applyAlignment="1" applyProtection="1">
      <alignment horizontal="left" vertical="top" wrapText="1"/>
      <protection locked="0"/>
    </xf>
    <xf numFmtId="0" fontId="8" fillId="0" borderId="4" xfId="6" applyFont="1" applyBorder="1" applyAlignment="1" applyProtection="1">
      <alignment horizontal="left" vertical="top" wrapText="1"/>
      <protection locked="0"/>
    </xf>
    <xf numFmtId="0" fontId="8" fillId="0" borderId="5" xfId="6" applyFont="1" applyBorder="1" applyAlignment="1" applyProtection="1">
      <alignment horizontal="left" vertical="top" wrapText="1"/>
      <protection locked="0"/>
    </xf>
    <xf numFmtId="0" fontId="17" fillId="0" borderId="1" xfId="6" applyFont="1" applyBorder="1" applyAlignment="1" applyProtection="1">
      <alignment horizontal="center" vertical="top" wrapText="1"/>
      <protection locked="0"/>
    </xf>
    <xf numFmtId="0" fontId="17" fillId="0" borderId="1" xfId="6" applyFont="1" applyBorder="1" applyAlignment="1" applyProtection="1">
      <alignment horizontal="center" vertical="top"/>
      <protection locked="0"/>
    </xf>
    <xf numFmtId="0" fontId="0" fillId="2" borderId="1" xfId="0" applyFill="1" applyBorder="1" applyAlignment="1">
      <alignment horizontal="center" wrapText="1"/>
    </xf>
    <xf numFmtId="0" fontId="1" fillId="0" borderId="1" xfId="0" applyFont="1" applyBorder="1" applyAlignment="1">
      <alignment horizontal="center"/>
    </xf>
    <xf numFmtId="0" fontId="1" fillId="0" borderId="1" xfId="7" applyFont="1" applyBorder="1" applyAlignment="1">
      <alignment horizontal="left"/>
    </xf>
    <xf numFmtId="0" fontId="12" fillId="0" borderId="30" xfId="6" applyFont="1" applyFill="1" applyBorder="1" applyAlignment="1" applyProtection="1">
      <alignment horizontal="center" vertical="top"/>
      <protection locked="0"/>
    </xf>
    <xf numFmtId="0" fontId="12" fillId="0" borderId="5" xfId="6" applyFont="1" applyFill="1" applyBorder="1" applyAlignment="1" applyProtection="1">
      <alignment horizontal="center" vertical="top"/>
      <protection locked="0"/>
    </xf>
    <xf numFmtId="9" fontId="12" fillId="0" borderId="3" xfId="6" applyNumberFormat="1" applyFont="1" applyFill="1" applyBorder="1" applyAlignment="1" applyProtection="1">
      <alignment horizontal="center" vertical="top"/>
      <protection locked="0"/>
    </xf>
    <xf numFmtId="0" fontId="12" fillId="0" borderId="3" xfId="6" applyFont="1" applyFill="1" applyBorder="1" applyAlignment="1" applyProtection="1">
      <alignment horizontal="center" vertical="top"/>
      <protection locked="0"/>
    </xf>
    <xf numFmtId="0" fontId="12" fillId="0" borderId="31" xfId="6" applyFont="1" applyFill="1" applyBorder="1" applyAlignment="1" applyProtection="1">
      <alignment horizontal="center" vertical="top"/>
      <protection locked="0"/>
    </xf>
    <xf numFmtId="0" fontId="6" fillId="0" borderId="32" xfId="6" applyFont="1" applyFill="1" applyBorder="1" applyAlignment="1" applyProtection="1">
      <alignment horizontal="center" vertical="top" wrapText="1"/>
      <protection locked="0"/>
    </xf>
    <xf numFmtId="0" fontId="6" fillId="0" borderId="20" xfId="6" applyFont="1" applyFill="1" applyBorder="1" applyAlignment="1" applyProtection="1">
      <alignment horizontal="center" vertical="top" wrapText="1"/>
      <protection locked="0"/>
    </xf>
    <xf numFmtId="0" fontId="6" fillId="0" borderId="20" xfId="6" applyFont="1" applyBorder="1" applyAlignment="1" applyProtection="1">
      <alignment horizontal="center" vertical="top" wrapText="1"/>
      <protection locked="0"/>
    </xf>
    <xf numFmtId="0" fontId="6" fillId="0" borderId="20" xfId="6" applyFont="1" applyFill="1" applyBorder="1" applyAlignment="1" applyProtection="1">
      <alignment horizontal="center" vertical="top" wrapText="1"/>
      <protection locked="0"/>
    </xf>
    <xf numFmtId="0" fontId="6" fillId="0" borderId="33" xfId="6" applyFont="1" applyFill="1" applyBorder="1" applyAlignment="1" applyProtection="1">
      <alignment horizontal="center" vertical="top" wrapText="1"/>
      <protection locked="0"/>
    </xf>
    <xf numFmtId="0" fontId="12" fillId="0" borderId="17" xfId="6" applyFont="1" applyFill="1" applyBorder="1" applyAlignment="1" applyProtection="1">
      <alignment horizontal="left" vertical="top"/>
      <protection locked="0"/>
    </xf>
    <xf numFmtId="0" fontId="12" fillId="0" borderId="18" xfId="6" applyFont="1" applyFill="1" applyBorder="1" applyAlignment="1" applyProtection="1">
      <alignment horizontal="left" vertical="top"/>
      <protection locked="0"/>
    </xf>
    <xf numFmtId="0" fontId="12" fillId="0" borderId="18" xfId="6" applyFont="1" applyFill="1" applyBorder="1" applyAlignment="1" applyProtection="1">
      <alignment horizontal="left" vertical="top" wrapText="1"/>
      <protection locked="0"/>
    </xf>
    <xf numFmtId="0" fontId="12" fillId="0" borderId="19" xfId="6" applyFont="1" applyFill="1" applyBorder="1" applyAlignment="1" applyProtection="1">
      <alignment horizontal="left" vertical="top" wrapText="1"/>
      <protection locked="0"/>
    </xf>
  </cellXfs>
  <cellStyles count="8">
    <cellStyle name="Comma 2" xfId="2" xr:uid="{00000000-0005-0000-0000-000000000000}"/>
    <cellStyle name="Excel Built-in Normal" xfId="3" xr:uid="{00000000-0005-0000-0000-000001000000}"/>
    <cellStyle name="Excel Built-in Normal 2" xfId="4" xr:uid="{00000000-0005-0000-0000-000002000000}"/>
    <cellStyle name="Hyperlink" xfId="1" builtinId="8"/>
    <cellStyle name="Normal" xfId="0" builtinId="0"/>
    <cellStyle name="Normal 2" xfId="5" xr:uid="{00000000-0005-0000-0000-000005000000}"/>
    <cellStyle name="Normal 3" xfId="6" xr:uid="{00000000-0005-0000-0000-000006000000}"/>
    <cellStyle name="Normal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1.jpeg"/><Relationship Id="rId1" Type="http://schemas.openxmlformats.org/officeDocument/2006/relationships/image" Target="../media/image30.jpeg"/></Relationships>
</file>

<file path=xl/drawings/_rels/drawing3.xml.rels><?xml version="1.0" encoding="UTF-8" standalone="yes"?>
<Relationships xmlns="http://schemas.openxmlformats.org/package/2006/relationships"><Relationship Id="rId8" Type="http://schemas.openxmlformats.org/officeDocument/2006/relationships/image" Target="../media/image39.png"/><Relationship Id="rId3" Type="http://schemas.openxmlformats.org/officeDocument/2006/relationships/image" Target="../media/image34.png"/><Relationship Id="rId7" Type="http://schemas.openxmlformats.org/officeDocument/2006/relationships/image" Target="../media/image38.pn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37.png"/><Relationship Id="rId5" Type="http://schemas.openxmlformats.org/officeDocument/2006/relationships/image" Target="../media/image36.png"/><Relationship Id="rId10" Type="http://schemas.openxmlformats.org/officeDocument/2006/relationships/image" Target="../media/image41.png"/><Relationship Id="rId4" Type="http://schemas.openxmlformats.org/officeDocument/2006/relationships/image" Target="../media/image35.png"/><Relationship Id="rId9" Type="http://schemas.openxmlformats.org/officeDocument/2006/relationships/image" Target="../media/image4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0</xdr:col>
      <xdr:colOff>372494</xdr:colOff>
      <xdr:row>344</xdr:row>
      <xdr:rowOff>44776</xdr:rowOff>
    </xdr:from>
    <xdr:to>
      <xdr:col>7</xdr:col>
      <xdr:colOff>576662</xdr:colOff>
      <xdr:row>363</xdr:row>
      <xdr:rowOff>107668</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cstate="screen"/>
        <a:srcRect/>
        <a:stretch>
          <a:fillRect/>
        </a:stretch>
      </xdr:blipFill>
      <xdr:spPr>
        <a:xfrm>
          <a:off x="372110" y="73156445"/>
          <a:ext cx="5757545" cy="3863340"/>
        </a:xfrm>
        <a:prstGeom prst="rect">
          <a:avLst/>
        </a:prstGeom>
        <a:ln>
          <a:solidFill>
            <a:schemeClr val="tx1"/>
          </a:solidFill>
        </a:ln>
      </xdr:spPr>
    </xdr:pic>
    <xdr:clientData/>
  </xdr:twoCellAnchor>
  <xdr:twoCellAnchor editAs="oneCell">
    <xdr:from>
      <xdr:col>0</xdr:col>
      <xdr:colOff>358583</xdr:colOff>
      <xdr:row>324</xdr:row>
      <xdr:rowOff>98534</xdr:rowOff>
    </xdr:from>
    <xdr:to>
      <xdr:col>7</xdr:col>
      <xdr:colOff>566501</xdr:colOff>
      <xdr:row>343</xdr:row>
      <xdr:rowOff>161427</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cstate="screen"/>
        <a:srcRect/>
        <a:stretch>
          <a:fillRect/>
        </a:stretch>
      </xdr:blipFill>
      <xdr:spPr>
        <a:xfrm>
          <a:off x="358140" y="69209920"/>
          <a:ext cx="5761355" cy="3863340"/>
        </a:xfrm>
        <a:prstGeom prst="rect">
          <a:avLst/>
        </a:prstGeom>
        <a:ln>
          <a:solidFill>
            <a:schemeClr val="tx1"/>
          </a:solidFill>
        </a:ln>
      </xdr:spPr>
    </xdr:pic>
    <xdr:clientData/>
  </xdr:twoCellAnchor>
  <xdr:twoCellAnchor>
    <xdr:from>
      <xdr:col>8</xdr:col>
      <xdr:colOff>1201527</xdr:colOff>
      <xdr:row>282</xdr:row>
      <xdr:rowOff>96188</xdr:rowOff>
    </xdr:from>
    <xdr:to>
      <xdr:col>8</xdr:col>
      <xdr:colOff>1464285</xdr:colOff>
      <xdr:row>283</xdr:row>
      <xdr:rowOff>162816</xdr:rowOff>
    </xdr:to>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7583170" y="60815855"/>
          <a:ext cx="16065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clientData/>
  </xdr:twoCellAnchor>
  <xdr:twoCellAnchor>
    <xdr:from>
      <xdr:col>3</xdr:col>
      <xdr:colOff>584368</xdr:colOff>
      <xdr:row>329</xdr:row>
      <xdr:rowOff>32138</xdr:rowOff>
    </xdr:from>
    <xdr:to>
      <xdr:col>7</xdr:col>
      <xdr:colOff>797279</xdr:colOff>
      <xdr:row>338</xdr:row>
      <xdr:rowOff>196785</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2936875" y="70143370"/>
          <a:ext cx="3413125" cy="196469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b="0" i="0">
            <a:solidFill>
              <a:srgbClr val="222222"/>
            </a:solidFill>
            <a:effectLst/>
            <a:latin typeface="Arial" panose="020B0604020202020204" pitchFamily="7" charset="0"/>
          </a:endParaRPr>
        </a:p>
      </xdr:txBody>
    </xdr:sp>
    <xdr:clientData/>
  </xdr:twoCellAnchor>
  <xdr:twoCellAnchor>
    <xdr:from>
      <xdr:col>8</xdr:col>
      <xdr:colOff>699770</xdr:colOff>
      <xdr:row>302</xdr:row>
      <xdr:rowOff>15875</xdr:rowOff>
    </xdr:from>
    <xdr:to>
      <xdr:col>9</xdr:col>
      <xdr:colOff>42545</xdr:colOff>
      <xdr:row>303</xdr:row>
      <xdr:rowOff>86397</xdr:rowOff>
    </xdr:to>
    <xdr:sp macro="" textlink="">
      <xdr:nvSpPr>
        <xdr:cNvPr id="40" name="TextBox 35">
          <a:extLst>
            <a:ext uri="{FF2B5EF4-FFF2-40B4-BE49-F238E27FC236}">
              <a16:creationId xmlns:a16="http://schemas.microsoft.com/office/drawing/2014/main" id="{00000000-0008-0000-0000-000028000000}"/>
            </a:ext>
          </a:extLst>
        </xdr:cNvPr>
        <xdr:cNvSpPr txBox="1"/>
      </xdr:nvSpPr>
      <xdr:spPr>
        <a:xfrm>
          <a:off x="7081520" y="64726820"/>
          <a:ext cx="704850" cy="270510"/>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IN" sz="1200" b="1">
            <a:latin typeface="Times New Roman" panose="02020603050405020304" pitchFamily="18" charset="0"/>
            <a:cs typeface="Times New Roman" panose="02020603050405020304" pitchFamily="18" charset="0"/>
          </a:endParaRPr>
        </a:p>
      </xdr:txBody>
    </xdr:sp>
    <xdr:clientData/>
  </xdr:twoCellAnchor>
  <xdr:twoCellAnchor>
    <xdr:from>
      <xdr:col>8</xdr:col>
      <xdr:colOff>104775</xdr:colOff>
      <xdr:row>278</xdr:row>
      <xdr:rowOff>180975</xdr:rowOff>
    </xdr:from>
    <xdr:to>
      <xdr:col>16</xdr:col>
      <xdr:colOff>243557</xdr:colOff>
      <xdr:row>314</xdr:row>
      <xdr:rowOff>136850</xdr:rowOff>
    </xdr:to>
    <xdr:grpSp>
      <xdr:nvGrpSpPr>
        <xdr:cNvPr id="29" name="Group 28">
          <a:extLst>
            <a:ext uri="{FF2B5EF4-FFF2-40B4-BE49-F238E27FC236}">
              <a16:creationId xmlns:a16="http://schemas.microsoft.com/office/drawing/2014/main" id="{00000000-0008-0000-0000-00001D000000}"/>
            </a:ext>
          </a:extLst>
        </xdr:cNvPr>
        <xdr:cNvGrpSpPr/>
      </xdr:nvGrpSpPr>
      <xdr:grpSpPr>
        <a:xfrm>
          <a:off x="6486525" y="57940575"/>
          <a:ext cx="5996657" cy="7147250"/>
          <a:chOff x="156197" y="205947"/>
          <a:chExt cx="5996657" cy="7147250"/>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264823" y="205947"/>
            <a:ext cx="1888031" cy="252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201812" y="205947"/>
            <a:ext cx="1888031" cy="252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56197" y="205947"/>
            <a:ext cx="1888031" cy="252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210510" y="2870169"/>
            <a:ext cx="1888031" cy="252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256125" y="2855383"/>
            <a:ext cx="1888031" cy="2520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64895" y="2855383"/>
            <a:ext cx="1888031" cy="2520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477416" y="5553197"/>
            <a:ext cx="1354219" cy="1800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995369" y="5553197"/>
            <a:ext cx="1348594" cy="180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965088" y="5553197"/>
            <a:ext cx="1348594" cy="1800000"/>
          </a:xfrm>
          <a:prstGeom prst="rect">
            <a:avLst/>
          </a:prstGeom>
          <a:ln>
            <a:solidFill>
              <a:schemeClr val="tx1"/>
            </a:solidFill>
          </a:ln>
        </xdr:spPr>
      </xdr:pic>
    </xdr:grpSp>
    <xdr:clientData/>
  </xdr:twoCellAnchor>
  <xdr:twoCellAnchor editAs="oneCell">
    <xdr:from>
      <xdr:col>13</xdr:col>
      <xdr:colOff>600075</xdr:colOff>
      <xdr:row>280</xdr:row>
      <xdr:rowOff>95250</xdr:rowOff>
    </xdr:from>
    <xdr:to>
      <xdr:col>17</xdr:col>
      <xdr:colOff>49706</xdr:colOff>
      <xdr:row>293</xdr:row>
      <xdr:rowOff>24450</xdr:rowOff>
    </xdr:to>
    <xdr:pic>
      <xdr:nvPicPr>
        <xdr:cNvPr id="53" name="Picture 52" descr="https://vsjcllp.vsjadon.com/upload/insp-225898-874.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1010900" y="58254900"/>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419100</xdr:colOff>
      <xdr:row>280</xdr:row>
      <xdr:rowOff>47625</xdr:rowOff>
    </xdr:from>
    <xdr:to>
      <xdr:col>16</xdr:col>
      <xdr:colOff>602156</xdr:colOff>
      <xdr:row>316</xdr:row>
      <xdr:rowOff>176150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6800850" y="58207275"/>
          <a:ext cx="6040931" cy="7319900"/>
          <a:chOff x="66675" y="60807600"/>
          <a:chExt cx="6040931" cy="7319900"/>
        </a:xfrm>
      </xdr:grpSpPr>
      <xdr:pic>
        <xdr:nvPicPr>
          <xdr:cNvPr id="37" name="Picture 36" descr="https://vsjcllp.vsjadon.com/upload/insp-225898-1525.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3802138" y="66327500"/>
            <a:ext cx="1348594"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25898-844.jpg">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2178311" y="63564721"/>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25898-861.jp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142875" y="63583771"/>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25898-883.jpg">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2341887" y="66327500"/>
            <a:ext cx="1354219"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25898-931.jp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139964" y="60864750"/>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25898-871.jpg">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4219575" y="63560325"/>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25898-880.jpg">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2152650" y="60864750"/>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887488" y="66327500"/>
            <a:ext cx="1348594" cy="1800000"/>
          </a:xfrm>
          <a:prstGeom prst="rect">
            <a:avLst/>
          </a:prstGeom>
          <a:ln>
            <a:solidFill>
              <a:schemeClr val="tx1"/>
            </a:solidFill>
          </a:ln>
        </xdr:spPr>
      </xdr:pic>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6675" y="60817125"/>
            <a:ext cx="828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A</a:t>
            </a:r>
          </a:p>
        </xdr:txBody>
      </xdr:sp>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4181475" y="63541275"/>
            <a:ext cx="828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A</a:t>
            </a:r>
          </a:p>
        </xdr:txBody>
      </xdr:sp>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123825" y="63541275"/>
            <a:ext cx="8286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A</a:t>
            </a:r>
          </a:p>
        </xdr:txBody>
      </xdr:sp>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2152650" y="63550800"/>
            <a:ext cx="8286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A</a:t>
            </a:r>
          </a:p>
        </xdr:txBody>
      </xdr:sp>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4152900" y="60836175"/>
            <a:ext cx="828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B</a:t>
            </a:r>
          </a:p>
        </xdr:txBody>
      </xdr:sp>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2085975" y="60807600"/>
            <a:ext cx="8286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B</a:t>
            </a:r>
          </a:p>
        </xdr:txBody>
      </xdr:sp>
    </xdr:grpSp>
    <xdr:clientData/>
  </xdr:twoCellAnchor>
  <xdr:twoCellAnchor>
    <xdr:from>
      <xdr:col>0</xdr:col>
      <xdr:colOff>238126</xdr:colOff>
      <xdr:row>280</xdr:row>
      <xdr:rowOff>104775</xdr:rowOff>
    </xdr:from>
    <xdr:to>
      <xdr:col>7</xdr:col>
      <xdr:colOff>666751</xdr:colOff>
      <xdr:row>317</xdr:row>
      <xdr:rowOff>22216</xdr:rowOff>
    </xdr:to>
    <xdr:grpSp>
      <xdr:nvGrpSpPr>
        <xdr:cNvPr id="35" name="Group 34">
          <a:extLst>
            <a:ext uri="{FF2B5EF4-FFF2-40B4-BE49-F238E27FC236}">
              <a16:creationId xmlns:a16="http://schemas.microsoft.com/office/drawing/2014/main" id="{5C1F688A-F134-46C9-BA15-BD409D08952A}"/>
            </a:ext>
          </a:extLst>
        </xdr:cNvPr>
        <xdr:cNvGrpSpPr/>
      </xdr:nvGrpSpPr>
      <xdr:grpSpPr>
        <a:xfrm>
          <a:off x="238126" y="58264425"/>
          <a:ext cx="5981700" cy="7308841"/>
          <a:chOff x="280313" y="394448"/>
          <a:chExt cx="6320659" cy="7518391"/>
        </a:xfrm>
      </xdr:grpSpPr>
      <xdr:grpSp>
        <xdr:nvGrpSpPr>
          <xdr:cNvPr id="36" name="Group 35">
            <a:extLst>
              <a:ext uri="{FF2B5EF4-FFF2-40B4-BE49-F238E27FC236}">
                <a16:creationId xmlns:a16="http://schemas.microsoft.com/office/drawing/2014/main" id="{7C8F601E-01DB-4B34-8CCE-35C392B21BB0}"/>
              </a:ext>
            </a:extLst>
          </xdr:cNvPr>
          <xdr:cNvGrpSpPr/>
        </xdr:nvGrpSpPr>
        <xdr:grpSpPr>
          <a:xfrm>
            <a:off x="280313" y="412377"/>
            <a:ext cx="6320659" cy="7500462"/>
            <a:chOff x="280313" y="412377"/>
            <a:chExt cx="6320659" cy="7500462"/>
          </a:xfrm>
        </xdr:grpSpPr>
        <xdr:pic>
          <xdr:nvPicPr>
            <xdr:cNvPr id="59" name="Picture 58">
              <a:extLst>
                <a:ext uri="{FF2B5EF4-FFF2-40B4-BE49-F238E27FC236}">
                  <a16:creationId xmlns:a16="http://schemas.microsoft.com/office/drawing/2014/main" id="{2AFFA95B-6112-41A0-AB41-2514DFBAF8B6}"/>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80314" y="412377"/>
              <a:ext cx="3012250" cy="3240000"/>
            </a:xfrm>
            <a:prstGeom prst="rect">
              <a:avLst/>
            </a:prstGeom>
            <a:ln>
              <a:solidFill>
                <a:schemeClr val="tx1"/>
              </a:solidFill>
            </a:ln>
          </xdr:spPr>
        </xdr:pic>
        <xdr:pic>
          <xdr:nvPicPr>
            <xdr:cNvPr id="60" name="Picture 59">
              <a:extLst>
                <a:ext uri="{FF2B5EF4-FFF2-40B4-BE49-F238E27FC236}">
                  <a16:creationId xmlns:a16="http://schemas.microsoft.com/office/drawing/2014/main" id="{7E80A8E1-F01D-4E9A-BFA8-67AA350CF00F}"/>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280313" y="3802608"/>
              <a:ext cx="1618312" cy="2160000"/>
            </a:xfrm>
            <a:prstGeom prst="rect">
              <a:avLst/>
            </a:prstGeom>
            <a:ln>
              <a:solidFill>
                <a:schemeClr val="tx1"/>
              </a:solidFill>
            </a:ln>
          </xdr:spPr>
        </xdr:pic>
        <xdr:pic>
          <xdr:nvPicPr>
            <xdr:cNvPr id="61" name="Picture 60">
              <a:extLst>
                <a:ext uri="{FF2B5EF4-FFF2-40B4-BE49-F238E27FC236}">
                  <a16:creationId xmlns:a16="http://schemas.microsoft.com/office/drawing/2014/main" id="{324A9792-FA45-4906-A962-C4AF3CCB1A51}"/>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429000" y="412377"/>
              <a:ext cx="3171972" cy="3240000"/>
            </a:xfrm>
            <a:prstGeom prst="rect">
              <a:avLst/>
            </a:prstGeom>
            <a:ln>
              <a:solidFill>
                <a:schemeClr val="tx1"/>
              </a:solidFill>
            </a:ln>
          </xdr:spPr>
        </xdr:pic>
        <xdr:pic>
          <xdr:nvPicPr>
            <xdr:cNvPr id="62" name="Picture 61">
              <a:extLst>
                <a:ext uri="{FF2B5EF4-FFF2-40B4-BE49-F238E27FC236}">
                  <a16:creationId xmlns:a16="http://schemas.microsoft.com/office/drawing/2014/main" id="{B869323E-05C5-4DFB-9A02-1818B06F3E8A}"/>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001976" y="3802608"/>
              <a:ext cx="1618312" cy="2160000"/>
            </a:xfrm>
            <a:prstGeom prst="rect">
              <a:avLst/>
            </a:prstGeom>
            <a:ln>
              <a:solidFill>
                <a:schemeClr val="tx1"/>
              </a:solidFill>
            </a:ln>
          </xdr:spPr>
        </xdr:pic>
        <xdr:pic>
          <xdr:nvPicPr>
            <xdr:cNvPr id="63" name="Picture 62">
              <a:extLst>
                <a:ext uri="{FF2B5EF4-FFF2-40B4-BE49-F238E27FC236}">
                  <a16:creationId xmlns:a16="http://schemas.microsoft.com/office/drawing/2014/main" id="{48711D93-E86B-4E7D-A6FB-BB1520A25E27}"/>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3723639" y="3802608"/>
              <a:ext cx="2877333" cy="2160000"/>
            </a:xfrm>
            <a:prstGeom prst="rect">
              <a:avLst/>
            </a:prstGeom>
            <a:ln>
              <a:solidFill>
                <a:schemeClr val="tx1"/>
              </a:solidFill>
            </a:ln>
          </xdr:spPr>
        </xdr:pic>
        <xdr:pic>
          <xdr:nvPicPr>
            <xdr:cNvPr id="64" name="Picture 63">
              <a:extLst>
                <a:ext uri="{FF2B5EF4-FFF2-40B4-BE49-F238E27FC236}">
                  <a16:creationId xmlns:a16="http://schemas.microsoft.com/office/drawing/2014/main" id="{621E9004-E774-4B0E-9F4F-75EE25D7AECF}"/>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910198" y="6112839"/>
              <a:ext cx="2397778" cy="1800000"/>
            </a:xfrm>
            <a:prstGeom prst="rect">
              <a:avLst/>
            </a:prstGeom>
            <a:ln>
              <a:solidFill>
                <a:schemeClr val="tx1"/>
              </a:solidFill>
            </a:ln>
          </xdr:spPr>
        </xdr:pic>
        <xdr:pic>
          <xdr:nvPicPr>
            <xdr:cNvPr id="65" name="Picture 64">
              <a:extLst>
                <a:ext uri="{FF2B5EF4-FFF2-40B4-BE49-F238E27FC236}">
                  <a16:creationId xmlns:a16="http://schemas.microsoft.com/office/drawing/2014/main" id="{E72E78EA-EA23-476E-BBAB-CA213FAEE378}"/>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3382748" y="6112839"/>
              <a:ext cx="2397778" cy="1800000"/>
            </a:xfrm>
            <a:prstGeom prst="rect">
              <a:avLst/>
            </a:prstGeom>
            <a:ln>
              <a:solidFill>
                <a:schemeClr val="tx1"/>
              </a:solidFill>
            </a:ln>
          </xdr:spPr>
        </xdr:pic>
      </xdr:grpSp>
      <xdr:sp macro="" textlink="">
        <xdr:nvSpPr>
          <xdr:cNvPr id="47" name="TextBox 184">
            <a:extLst>
              <a:ext uri="{FF2B5EF4-FFF2-40B4-BE49-F238E27FC236}">
                <a16:creationId xmlns:a16="http://schemas.microsoft.com/office/drawing/2014/main" id="{65471F7F-5F62-4897-954F-6772C1A168D3}"/>
              </a:ext>
            </a:extLst>
          </xdr:cNvPr>
          <xdr:cNvSpPr txBox="1"/>
        </xdr:nvSpPr>
        <xdr:spPr>
          <a:xfrm>
            <a:off x="280313" y="394448"/>
            <a:ext cx="1288286" cy="4814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Wing A</a:t>
            </a:r>
            <a:endParaRPr lang="en-IN" sz="2400" b="1">
              <a:solidFill>
                <a:srgbClr val="FF0000"/>
              </a:solidFill>
            </a:endParaRPr>
          </a:p>
        </xdr:txBody>
      </xdr:sp>
      <xdr:sp macro="" textlink="">
        <xdr:nvSpPr>
          <xdr:cNvPr id="49" name="TextBox 185">
            <a:extLst>
              <a:ext uri="{FF2B5EF4-FFF2-40B4-BE49-F238E27FC236}">
                <a16:creationId xmlns:a16="http://schemas.microsoft.com/office/drawing/2014/main" id="{DA33B962-FAC4-48CB-B816-A7228E0FAE90}"/>
              </a:ext>
            </a:extLst>
          </xdr:cNvPr>
          <xdr:cNvSpPr txBox="1"/>
        </xdr:nvSpPr>
        <xdr:spPr>
          <a:xfrm>
            <a:off x="4029242" y="468560"/>
            <a:ext cx="1202923" cy="4814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Wing B</a:t>
            </a:r>
            <a:endParaRPr lang="en-IN" sz="2400" b="1">
              <a:solidFill>
                <a:srgbClr val="FF0000"/>
              </a:solidFill>
            </a:endParaRPr>
          </a:p>
        </xdr:txBody>
      </xdr:sp>
      <xdr:sp macro="" textlink="">
        <xdr:nvSpPr>
          <xdr:cNvPr id="51" name="TextBox 186">
            <a:extLst>
              <a:ext uri="{FF2B5EF4-FFF2-40B4-BE49-F238E27FC236}">
                <a16:creationId xmlns:a16="http://schemas.microsoft.com/office/drawing/2014/main" id="{691979EE-1C7D-4D69-BEAB-9474D4FFCFAA}"/>
              </a:ext>
            </a:extLst>
          </xdr:cNvPr>
          <xdr:cNvSpPr txBox="1"/>
        </xdr:nvSpPr>
        <xdr:spPr>
          <a:xfrm>
            <a:off x="537074" y="5417089"/>
            <a:ext cx="1232820" cy="4814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Wing A</a:t>
            </a:r>
            <a:endParaRPr lang="en-IN" sz="2400"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146129</xdr:colOff>
      <xdr:row>0</xdr:row>
      <xdr:rowOff>167640</xdr:rowOff>
    </xdr:from>
    <xdr:to>
      <xdr:col>12</xdr:col>
      <xdr:colOff>60918</xdr:colOff>
      <xdr:row>22</xdr:row>
      <xdr:rowOff>104280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2300" y="167640"/>
          <a:ext cx="2914650" cy="4127500"/>
        </a:xfrm>
        <a:prstGeom prst="rect">
          <a:avLst/>
        </a:prstGeom>
      </xdr:spPr>
    </xdr:pic>
    <xdr:clientData/>
  </xdr:twoCellAnchor>
  <xdr:twoCellAnchor editAs="oneCell">
    <xdr:from>
      <xdr:col>2</xdr:col>
      <xdr:colOff>114300</xdr:colOff>
      <xdr:row>0</xdr:row>
      <xdr:rowOff>167640</xdr:rowOff>
    </xdr:from>
    <xdr:to>
      <xdr:col>7</xdr:col>
      <xdr:colOff>29089</xdr:colOff>
      <xdr:row>22</xdr:row>
      <xdr:rowOff>104280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167640"/>
          <a:ext cx="2914650" cy="4127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38100</xdr:colOff>
      <xdr:row>10</xdr:row>
      <xdr:rowOff>7620</xdr:rowOff>
    </xdr:from>
    <xdr:to>
      <xdr:col>13</xdr:col>
      <xdr:colOff>478122</xdr:colOff>
      <xdr:row>31</xdr:row>
      <xdr:rowOff>127140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t="21230" b="6408"/>
        <a:stretch>
          <a:fillRect/>
        </a:stretch>
      </xdr:blipFill>
      <xdr:spPr>
        <a:xfrm>
          <a:off x="1981200" y="2186940"/>
          <a:ext cx="9497695" cy="4119880"/>
        </a:xfrm>
        <a:prstGeom prst="rect">
          <a:avLst/>
        </a:prstGeom>
        <a:ln>
          <a:solidFill>
            <a:schemeClr val="tx1"/>
          </a:solidFill>
        </a:ln>
      </xdr:spPr>
    </xdr:pic>
    <xdr:clientData/>
  </xdr:twoCellAnchor>
  <xdr:twoCellAnchor editAs="oneCell">
    <xdr:from>
      <xdr:col>3</xdr:col>
      <xdr:colOff>68580</xdr:colOff>
      <xdr:row>32</xdr:row>
      <xdr:rowOff>61163</xdr:rowOff>
    </xdr:from>
    <xdr:to>
      <xdr:col>13</xdr:col>
      <xdr:colOff>188797</xdr:colOff>
      <xdr:row>53</xdr:row>
      <xdr:rowOff>180683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rcRect t="20324" b="4854"/>
        <a:stretch>
          <a:fillRect/>
        </a:stretch>
      </xdr:blipFill>
      <xdr:spPr>
        <a:xfrm>
          <a:off x="2011680" y="6431280"/>
          <a:ext cx="9178290" cy="4119880"/>
        </a:xfrm>
        <a:prstGeom prst="rect">
          <a:avLst/>
        </a:prstGeom>
        <a:ln>
          <a:solidFill>
            <a:schemeClr val="tx1"/>
          </a:solidFill>
        </a:ln>
      </xdr:spPr>
    </xdr:pic>
    <xdr:clientData/>
  </xdr:twoCellAnchor>
  <xdr:twoCellAnchor editAs="oneCell">
    <xdr:from>
      <xdr:col>3</xdr:col>
      <xdr:colOff>106680</xdr:colOff>
      <xdr:row>54</xdr:row>
      <xdr:rowOff>121920</xdr:rowOff>
    </xdr:from>
    <xdr:to>
      <xdr:col>9</xdr:col>
      <xdr:colOff>346868</xdr:colOff>
      <xdr:row>76</xdr:row>
      <xdr:rowOff>58560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rcRect t="11262" r="19175" b="5631"/>
        <a:stretch>
          <a:fillRect/>
        </a:stretch>
      </xdr:blipFill>
      <xdr:spPr>
        <a:xfrm>
          <a:off x="2049780" y="10683240"/>
          <a:ext cx="6669405" cy="4127500"/>
        </a:xfrm>
        <a:prstGeom prst="rect">
          <a:avLst/>
        </a:prstGeom>
        <a:ln>
          <a:solidFill>
            <a:schemeClr val="tx1"/>
          </a:solidFill>
        </a:ln>
      </xdr:spPr>
    </xdr:pic>
    <xdr:clientData/>
  </xdr:twoCellAnchor>
  <xdr:twoCellAnchor editAs="oneCell">
    <xdr:from>
      <xdr:col>3</xdr:col>
      <xdr:colOff>106680</xdr:colOff>
      <xdr:row>77</xdr:row>
      <xdr:rowOff>9305</xdr:rowOff>
    </xdr:from>
    <xdr:to>
      <xdr:col>5</xdr:col>
      <xdr:colOff>265077</xdr:colOff>
      <xdr:row>96</xdr:row>
      <xdr:rowOff>134585</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rcRect l="24649" t="22905" r="42403" b="8221"/>
        <a:stretch>
          <a:fillRect/>
        </a:stretch>
      </xdr:blipFill>
      <xdr:spPr>
        <a:xfrm>
          <a:off x="2049780" y="14951710"/>
          <a:ext cx="2987040" cy="3744595"/>
        </a:xfrm>
        <a:prstGeom prst="rect">
          <a:avLst/>
        </a:prstGeom>
        <a:ln>
          <a:solidFill>
            <a:schemeClr val="tx1"/>
          </a:solidFill>
        </a:ln>
      </xdr:spPr>
    </xdr:pic>
    <xdr:clientData/>
  </xdr:twoCellAnchor>
  <xdr:twoCellAnchor editAs="oneCell">
    <xdr:from>
      <xdr:col>5</xdr:col>
      <xdr:colOff>371333</xdr:colOff>
      <xdr:row>77</xdr:row>
      <xdr:rowOff>9305</xdr:rowOff>
    </xdr:from>
    <xdr:to>
      <xdr:col>8</xdr:col>
      <xdr:colOff>959542</xdr:colOff>
      <xdr:row>96</xdr:row>
      <xdr:rowOff>134585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rcRect l="24713" t="30326" r="43204" b="6149"/>
        <a:stretch>
          <a:fillRect/>
        </a:stretch>
      </xdr:blipFill>
      <xdr:spPr>
        <a:xfrm>
          <a:off x="5142865" y="14951710"/>
          <a:ext cx="3160395" cy="3744595"/>
        </a:xfrm>
        <a:prstGeom prst="rect">
          <a:avLst/>
        </a:prstGeom>
        <a:ln>
          <a:solidFill>
            <a:schemeClr val="tx1"/>
          </a:solidFill>
        </a:ln>
      </xdr:spPr>
    </xdr:pic>
    <xdr:clientData/>
  </xdr:twoCellAnchor>
  <xdr:twoCellAnchor editAs="oneCell">
    <xdr:from>
      <xdr:col>9</xdr:col>
      <xdr:colOff>6618</xdr:colOff>
      <xdr:row>77</xdr:row>
      <xdr:rowOff>985</xdr:rowOff>
    </xdr:from>
    <xdr:to>
      <xdr:col>13</xdr:col>
      <xdr:colOff>328478</xdr:colOff>
      <xdr:row>96</xdr:row>
      <xdr:rowOff>126265</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rcRect l="26280" t="28361" r="43461" b="7173"/>
        <a:stretch>
          <a:fillRect/>
        </a:stretch>
      </xdr:blipFill>
      <xdr:spPr>
        <a:xfrm>
          <a:off x="8378825" y="14943455"/>
          <a:ext cx="2950845" cy="3744595"/>
        </a:xfrm>
        <a:prstGeom prst="rect">
          <a:avLst/>
        </a:prstGeom>
        <a:ln>
          <a:solidFill>
            <a:schemeClr val="tx1"/>
          </a:solidFill>
        </a:ln>
      </xdr:spPr>
    </xdr:pic>
    <xdr:clientData/>
  </xdr:twoCellAnchor>
  <xdr:twoCellAnchor editAs="oneCell">
    <xdr:from>
      <xdr:col>15</xdr:col>
      <xdr:colOff>0</xdr:colOff>
      <xdr:row>10</xdr:row>
      <xdr:rowOff>0</xdr:rowOff>
    </xdr:from>
    <xdr:to>
      <xdr:col>25</xdr:col>
      <xdr:colOff>307125</xdr:colOff>
      <xdr:row>28</xdr:row>
      <xdr:rowOff>171000</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12201525" y="2179320"/>
          <a:ext cx="6307455" cy="3599815"/>
        </a:xfrm>
        <a:prstGeom prst="rect">
          <a:avLst/>
        </a:prstGeom>
        <a:ln>
          <a:solidFill>
            <a:schemeClr val="tx1"/>
          </a:solidFill>
        </a:ln>
      </xdr:spPr>
    </xdr:pic>
    <xdr:clientData/>
  </xdr:twoCellAnchor>
  <xdr:twoCellAnchor editAs="oneCell">
    <xdr:from>
      <xdr:col>15</xdr:col>
      <xdr:colOff>3478</xdr:colOff>
      <xdr:row>29</xdr:row>
      <xdr:rowOff>87923</xdr:rowOff>
    </xdr:from>
    <xdr:to>
      <xdr:col>25</xdr:col>
      <xdr:colOff>310603</xdr:colOff>
      <xdr:row>48</xdr:row>
      <xdr:rowOff>68423</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a:stretch>
          <a:fillRect/>
        </a:stretch>
      </xdr:blipFill>
      <xdr:spPr>
        <a:xfrm>
          <a:off x="12204700" y="5886450"/>
          <a:ext cx="6308090" cy="3599815"/>
        </a:xfrm>
        <a:prstGeom prst="rect">
          <a:avLst/>
        </a:prstGeom>
        <a:ln>
          <a:solidFill>
            <a:schemeClr val="tx1"/>
          </a:solidFill>
        </a:ln>
      </xdr:spPr>
    </xdr:pic>
    <xdr:clientData/>
  </xdr:twoCellAnchor>
  <xdr:twoCellAnchor editAs="oneCell">
    <xdr:from>
      <xdr:col>26</xdr:col>
      <xdr:colOff>11608</xdr:colOff>
      <xdr:row>10</xdr:row>
      <xdr:rowOff>14602</xdr:rowOff>
    </xdr:from>
    <xdr:to>
      <xdr:col>36</xdr:col>
      <xdr:colOff>318733</xdr:colOff>
      <xdr:row>28</xdr:row>
      <xdr:rowOff>185602</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a:stretch>
          <a:fillRect/>
        </a:stretch>
      </xdr:blipFill>
      <xdr:spPr>
        <a:xfrm>
          <a:off x="18813780" y="2193290"/>
          <a:ext cx="6307455" cy="3600450"/>
        </a:xfrm>
        <a:prstGeom prst="rect">
          <a:avLst/>
        </a:prstGeom>
        <a:ln>
          <a:solidFill>
            <a:schemeClr val="tx1"/>
          </a:solidFill>
        </a:ln>
      </xdr:spPr>
    </xdr:pic>
    <xdr:clientData/>
  </xdr:twoCellAnchor>
  <xdr:twoCellAnchor editAs="oneCell">
    <xdr:from>
      <xdr:col>26</xdr:col>
      <xdr:colOff>61562</xdr:colOff>
      <xdr:row>29</xdr:row>
      <xdr:rowOff>134391</xdr:rowOff>
    </xdr:from>
    <xdr:to>
      <xdr:col>36</xdr:col>
      <xdr:colOff>368687</xdr:colOff>
      <xdr:row>48</xdr:row>
      <xdr:rowOff>114891</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a:stretch>
          <a:fillRect/>
        </a:stretch>
      </xdr:blipFill>
      <xdr:spPr>
        <a:xfrm>
          <a:off x="18863310" y="5932805"/>
          <a:ext cx="6308090" cy="359981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jDxdf4B6R5NWFHia6"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4"/>
  <sheetViews>
    <sheetView tabSelected="1" view="pageBreakPreview" zoomScaleNormal="100" zoomScalePageLayoutView="70" workbookViewId="0">
      <selection activeCell="I267" sqref="I267"/>
    </sheetView>
  </sheetViews>
  <sheetFormatPr defaultColWidth="9.140625" defaultRowHeight="15.75"/>
  <cols>
    <col min="1" max="1" width="11.42578125" style="23" customWidth="1"/>
    <col min="2" max="2" width="11.140625" style="23" customWidth="1"/>
    <col min="3" max="3" width="12.7109375" style="23" customWidth="1"/>
    <col min="4" max="4" width="12.85546875" style="23" customWidth="1"/>
    <col min="5" max="7" width="11.7109375" style="23" customWidth="1"/>
    <col min="8" max="8" width="12.42578125" style="23" customWidth="1"/>
    <col min="9" max="9" width="20.42578125" style="24" customWidth="1"/>
    <col min="10" max="10" width="9.85546875" style="24" customWidth="1"/>
    <col min="11" max="12" width="9.140625" style="24"/>
    <col min="13" max="13" width="11.85546875" style="24" customWidth="1"/>
    <col min="14" max="252" width="9.140625" style="24"/>
    <col min="253" max="253" width="8.7109375" style="24" customWidth="1"/>
    <col min="254" max="254" width="9.85546875" style="24" customWidth="1"/>
    <col min="255" max="255" width="14.42578125" style="24" customWidth="1"/>
    <col min="256" max="256" width="7.28515625" style="24" customWidth="1"/>
    <col min="257" max="257" width="5.5703125" style="24" customWidth="1"/>
    <col min="258" max="258" width="9" style="24" customWidth="1"/>
    <col min="259" max="260" width="9.85546875" style="24" customWidth="1"/>
    <col min="261" max="261" width="11.140625" style="24" customWidth="1"/>
    <col min="262" max="262" width="2.85546875" style="24" customWidth="1"/>
    <col min="263" max="263" width="3.5703125" style="24" customWidth="1"/>
    <col min="264" max="508" width="9.140625" style="24"/>
    <col min="509" max="509" width="8.7109375" style="24" customWidth="1"/>
    <col min="510" max="510" width="9.85546875" style="24" customWidth="1"/>
    <col min="511" max="511" width="14.42578125" style="24" customWidth="1"/>
    <col min="512" max="512" width="7.28515625" style="24" customWidth="1"/>
    <col min="513" max="513" width="5.5703125" style="24" customWidth="1"/>
    <col min="514" max="514" width="9" style="24" customWidth="1"/>
    <col min="515" max="516" width="9.85546875" style="24" customWidth="1"/>
    <col min="517" max="517" width="11.140625" style="24" customWidth="1"/>
    <col min="518" max="518" width="2.85546875" style="24" customWidth="1"/>
    <col min="519" max="519" width="3.5703125" style="24" customWidth="1"/>
    <col min="520" max="764" width="9.140625" style="24"/>
    <col min="765" max="765" width="8.7109375" style="24" customWidth="1"/>
    <col min="766" max="766" width="9.85546875" style="24" customWidth="1"/>
    <col min="767" max="767" width="14.42578125" style="24" customWidth="1"/>
    <col min="768" max="768" width="7.28515625" style="24" customWidth="1"/>
    <col min="769" max="769" width="5.5703125" style="24" customWidth="1"/>
    <col min="770" max="770" width="9" style="24" customWidth="1"/>
    <col min="771" max="772" width="9.85546875" style="24" customWidth="1"/>
    <col min="773" max="773" width="11.140625" style="24" customWidth="1"/>
    <col min="774" max="774" width="2.85546875" style="24" customWidth="1"/>
    <col min="775" max="775" width="3.5703125" style="24" customWidth="1"/>
    <col min="776" max="1020" width="9.140625" style="24"/>
    <col min="1021" max="1021" width="8.7109375" style="24" customWidth="1"/>
    <col min="1022" max="1022" width="9.85546875" style="24" customWidth="1"/>
    <col min="1023" max="1023" width="14.42578125" style="24" customWidth="1"/>
    <col min="1024" max="1024" width="7.28515625" style="24" customWidth="1"/>
    <col min="1025" max="1025" width="5.5703125" style="24" customWidth="1"/>
    <col min="1026" max="1026" width="9" style="24" customWidth="1"/>
    <col min="1027" max="1028" width="9.85546875" style="24" customWidth="1"/>
    <col min="1029" max="1029" width="11.140625" style="24" customWidth="1"/>
    <col min="1030" max="1030" width="2.85546875" style="24" customWidth="1"/>
    <col min="1031" max="1031" width="3.5703125" style="24" customWidth="1"/>
    <col min="1032" max="1276" width="9.140625" style="24"/>
    <col min="1277" max="1277" width="8.7109375" style="24" customWidth="1"/>
    <col min="1278" max="1278" width="9.85546875" style="24" customWidth="1"/>
    <col min="1279" max="1279" width="14.42578125" style="24" customWidth="1"/>
    <col min="1280" max="1280" width="7.28515625" style="24" customWidth="1"/>
    <col min="1281" max="1281" width="5.5703125" style="24" customWidth="1"/>
    <col min="1282" max="1282" width="9" style="24" customWidth="1"/>
    <col min="1283" max="1284" width="9.85546875" style="24" customWidth="1"/>
    <col min="1285" max="1285" width="11.140625" style="24" customWidth="1"/>
    <col min="1286" max="1286" width="2.85546875" style="24" customWidth="1"/>
    <col min="1287" max="1287" width="3.5703125" style="24" customWidth="1"/>
    <col min="1288" max="1532" width="9.140625" style="24"/>
    <col min="1533" max="1533" width="8.7109375" style="24" customWidth="1"/>
    <col min="1534" max="1534" width="9.85546875" style="24" customWidth="1"/>
    <col min="1535" max="1535" width="14.42578125" style="24" customWidth="1"/>
    <col min="1536" max="1536" width="7.28515625" style="24" customWidth="1"/>
    <col min="1537" max="1537" width="5.5703125" style="24" customWidth="1"/>
    <col min="1538" max="1538" width="9" style="24" customWidth="1"/>
    <col min="1539" max="1540" width="9.85546875" style="24" customWidth="1"/>
    <col min="1541" max="1541" width="11.140625" style="24" customWidth="1"/>
    <col min="1542" max="1542" width="2.85546875" style="24" customWidth="1"/>
    <col min="1543" max="1543" width="3.5703125" style="24" customWidth="1"/>
    <col min="1544" max="1788" width="9.140625" style="24"/>
    <col min="1789" max="1789" width="8.7109375" style="24" customWidth="1"/>
    <col min="1790" max="1790" width="9.85546875" style="24" customWidth="1"/>
    <col min="1791" max="1791" width="14.42578125" style="24" customWidth="1"/>
    <col min="1792" max="1792" width="7.28515625" style="24" customWidth="1"/>
    <col min="1793" max="1793" width="5.5703125" style="24" customWidth="1"/>
    <col min="1794" max="1794" width="9" style="24" customWidth="1"/>
    <col min="1795" max="1796" width="9.85546875" style="24" customWidth="1"/>
    <col min="1797" max="1797" width="11.140625" style="24" customWidth="1"/>
    <col min="1798" max="1798" width="2.85546875" style="24" customWidth="1"/>
    <col min="1799" max="1799" width="3.5703125" style="24" customWidth="1"/>
    <col min="1800" max="2044" width="9.140625" style="24"/>
    <col min="2045" max="2045" width="8.7109375" style="24" customWidth="1"/>
    <col min="2046" max="2046" width="9.85546875" style="24" customWidth="1"/>
    <col min="2047" max="2047" width="14.42578125" style="24" customWidth="1"/>
    <col min="2048" max="2048" width="7.28515625" style="24" customWidth="1"/>
    <col min="2049" max="2049" width="5.5703125" style="24" customWidth="1"/>
    <col min="2050" max="2050" width="9" style="24" customWidth="1"/>
    <col min="2051" max="2052" width="9.85546875" style="24" customWidth="1"/>
    <col min="2053" max="2053" width="11.140625" style="24" customWidth="1"/>
    <col min="2054" max="2054" width="2.85546875" style="24" customWidth="1"/>
    <col min="2055" max="2055" width="3.5703125" style="24" customWidth="1"/>
    <col min="2056" max="2300" width="9.140625" style="24"/>
    <col min="2301" max="2301" width="8.7109375" style="24" customWidth="1"/>
    <col min="2302" max="2302" width="9.85546875" style="24" customWidth="1"/>
    <col min="2303" max="2303" width="14.42578125" style="24" customWidth="1"/>
    <col min="2304" max="2304" width="7.28515625" style="24" customWidth="1"/>
    <col min="2305" max="2305" width="5.5703125" style="24" customWidth="1"/>
    <col min="2306" max="2306" width="9" style="24" customWidth="1"/>
    <col min="2307" max="2308" width="9.85546875" style="24" customWidth="1"/>
    <col min="2309" max="2309" width="11.140625" style="24" customWidth="1"/>
    <col min="2310" max="2310" width="2.85546875" style="24" customWidth="1"/>
    <col min="2311" max="2311" width="3.5703125" style="24" customWidth="1"/>
    <col min="2312" max="2556" width="9.140625" style="24"/>
    <col min="2557" max="2557" width="8.7109375" style="24" customWidth="1"/>
    <col min="2558" max="2558" width="9.85546875" style="24" customWidth="1"/>
    <col min="2559" max="2559" width="14.42578125" style="24" customWidth="1"/>
    <col min="2560" max="2560" width="7.28515625" style="24" customWidth="1"/>
    <col min="2561" max="2561" width="5.5703125" style="24" customWidth="1"/>
    <col min="2562" max="2562" width="9" style="24" customWidth="1"/>
    <col min="2563" max="2564" width="9.85546875" style="24" customWidth="1"/>
    <col min="2565" max="2565" width="11.140625" style="24" customWidth="1"/>
    <col min="2566" max="2566" width="2.85546875" style="24" customWidth="1"/>
    <col min="2567" max="2567" width="3.5703125" style="24" customWidth="1"/>
    <col min="2568" max="2812" width="9.140625" style="24"/>
    <col min="2813" max="2813" width="8.7109375" style="24" customWidth="1"/>
    <col min="2814" max="2814" width="9.85546875" style="24" customWidth="1"/>
    <col min="2815" max="2815" width="14.42578125" style="24" customWidth="1"/>
    <col min="2816" max="2816" width="7.28515625" style="24" customWidth="1"/>
    <col min="2817" max="2817" width="5.5703125" style="24" customWidth="1"/>
    <col min="2818" max="2818" width="9" style="24" customWidth="1"/>
    <col min="2819" max="2820" width="9.85546875" style="24" customWidth="1"/>
    <col min="2821" max="2821" width="11.140625" style="24" customWidth="1"/>
    <col min="2822" max="2822" width="2.85546875" style="24" customWidth="1"/>
    <col min="2823" max="2823" width="3.5703125" style="24" customWidth="1"/>
    <col min="2824" max="3068" width="9.140625" style="24"/>
    <col min="3069" max="3069" width="8.7109375" style="24" customWidth="1"/>
    <col min="3070" max="3070" width="9.85546875" style="24" customWidth="1"/>
    <col min="3071" max="3071" width="14.42578125" style="24" customWidth="1"/>
    <col min="3072" max="3072" width="7.28515625" style="24" customWidth="1"/>
    <col min="3073" max="3073" width="5.5703125" style="24" customWidth="1"/>
    <col min="3074" max="3074" width="9" style="24" customWidth="1"/>
    <col min="3075" max="3076" width="9.85546875" style="24" customWidth="1"/>
    <col min="3077" max="3077" width="11.140625" style="24" customWidth="1"/>
    <col min="3078" max="3078" width="2.85546875" style="24" customWidth="1"/>
    <col min="3079" max="3079" width="3.5703125" style="24" customWidth="1"/>
    <col min="3080" max="3324" width="9.140625" style="24"/>
    <col min="3325" max="3325" width="8.7109375" style="24" customWidth="1"/>
    <col min="3326" max="3326" width="9.85546875" style="24" customWidth="1"/>
    <col min="3327" max="3327" width="14.42578125" style="24" customWidth="1"/>
    <col min="3328" max="3328" width="7.28515625" style="24" customWidth="1"/>
    <col min="3329" max="3329" width="5.5703125" style="24" customWidth="1"/>
    <col min="3330" max="3330" width="9" style="24" customWidth="1"/>
    <col min="3331" max="3332" width="9.85546875" style="24" customWidth="1"/>
    <col min="3333" max="3333" width="11.140625" style="24" customWidth="1"/>
    <col min="3334" max="3334" width="2.85546875" style="24" customWidth="1"/>
    <col min="3335" max="3335" width="3.5703125" style="24" customWidth="1"/>
    <col min="3336" max="3580" width="9.140625" style="24"/>
    <col min="3581" max="3581" width="8.7109375" style="24" customWidth="1"/>
    <col min="3582" max="3582" width="9.85546875" style="24" customWidth="1"/>
    <col min="3583" max="3583" width="14.42578125" style="24" customWidth="1"/>
    <col min="3584" max="3584" width="7.28515625" style="24" customWidth="1"/>
    <col min="3585" max="3585" width="5.5703125" style="24" customWidth="1"/>
    <col min="3586" max="3586" width="9" style="24" customWidth="1"/>
    <col min="3587" max="3588" width="9.85546875" style="24" customWidth="1"/>
    <col min="3589" max="3589" width="11.140625" style="24" customWidth="1"/>
    <col min="3590" max="3590" width="2.85546875" style="24" customWidth="1"/>
    <col min="3591" max="3591" width="3.5703125" style="24" customWidth="1"/>
    <col min="3592" max="3836" width="9.140625" style="24"/>
    <col min="3837" max="3837" width="8.7109375" style="24" customWidth="1"/>
    <col min="3838" max="3838" width="9.85546875" style="24" customWidth="1"/>
    <col min="3839" max="3839" width="14.42578125" style="24" customWidth="1"/>
    <col min="3840" max="3840" width="7.28515625" style="24" customWidth="1"/>
    <col min="3841" max="3841" width="5.5703125" style="24" customWidth="1"/>
    <col min="3842" max="3842" width="9" style="24" customWidth="1"/>
    <col min="3843" max="3844" width="9.85546875" style="24" customWidth="1"/>
    <col min="3845" max="3845" width="11.140625" style="24" customWidth="1"/>
    <col min="3846" max="3846" width="2.85546875" style="24" customWidth="1"/>
    <col min="3847" max="3847" width="3.5703125" style="24" customWidth="1"/>
    <col min="3848" max="4092" width="9.140625" style="24"/>
    <col min="4093" max="4093" width="8.7109375" style="24" customWidth="1"/>
    <col min="4094" max="4094" width="9.85546875" style="24" customWidth="1"/>
    <col min="4095" max="4095" width="14.42578125" style="24" customWidth="1"/>
    <col min="4096" max="4096" width="7.28515625" style="24" customWidth="1"/>
    <col min="4097" max="4097" width="5.5703125" style="24" customWidth="1"/>
    <col min="4098" max="4098" width="9" style="24" customWidth="1"/>
    <col min="4099" max="4100" width="9.85546875" style="24" customWidth="1"/>
    <col min="4101" max="4101" width="11.140625" style="24" customWidth="1"/>
    <col min="4102" max="4102" width="2.85546875" style="24" customWidth="1"/>
    <col min="4103" max="4103" width="3.5703125" style="24" customWidth="1"/>
    <col min="4104" max="4348" width="9.140625" style="24"/>
    <col min="4349" max="4349" width="8.7109375" style="24" customWidth="1"/>
    <col min="4350" max="4350" width="9.85546875" style="24" customWidth="1"/>
    <col min="4351" max="4351" width="14.42578125" style="24" customWidth="1"/>
    <col min="4352" max="4352" width="7.28515625" style="24" customWidth="1"/>
    <col min="4353" max="4353" width="5.5703125" style="24" customWidth="1"/>
    <col min="4354" max="4354" width="9" style="24" customWidth="1"/>
    <col min="4355" max="4356" width="9.85546875" style="24" customWidth="1"/>
    <col min="4357" max="4357" width="11.140625" style="24" customWidth="1"/>
    <col min="4358" max="4358" width="2.85546875" style="24" customWidth="1"/>
    <col min="4359" max="4359" width="3.5703125" style="24" customWidth="1"/>
    <col min="4360" max="4604" width="9.140625" style="24"/>
    <col min="4605" max="4605" width="8.7109375" style="24" customWidth="1"/>
    <col min="4606" max="4606" width="9.85546875" style="24" customWidth="1"/>
    <col min="4607" max="4607" width="14.42578125" style="24" customWidth="1"/>
    <col min="4608" max="4608" width="7.28515625" style="24" customWidth="1"/>
    <col min="4609" max="4609" width="5.5703125" style="24" customWidth="1"/>
    <col min="4610" max="4610" width="9" style="24" customWidth="1"/>
    <col min="4611" max="4612" width="9.85546875" style="24" customWidth="1"/>
    <col min="4613" max="4613" width="11.140625" style="24" customWidth="1"/>
    <col min="4614" max="4614" width="2.85546875" style="24" customWidth="1"/>
    <col min="4615" max="4615" width="3.5703125" style="24" customWidth="1"/>
    <col min="4616" max="4860" width="9.140625" style="24"/>
    <col min="4861" max="4861" width="8.7109375" style="24" customWidth="1"/>
    <col min="4862" max="4862" width="9.85546875" style="24" customWidth="1"/>
    <col min="4863" max="4863" width="14.42578125" style="24" customWidth="1"/>
    <col min="4864" max="4864" width="7.28515625" style="24" customWidth="1"/>
    <col min="4865" max="4865" width="5.5703125" style="24" customWidth="1"/>
    <col min="4866" max="4866" width="9" style="24" customWidth="1"/>
    <col min="4867" max="4868" width="9.85546875" style="24" customWidth="1"/>
    <col min="4869" max="4869" width="11.140625" style="24" customWidth="1"/>
    <col min="4870" max="4870" width="2.85546875" style="24" customWidth="1"/>
    <col min="4871" max="4871" width="3.5703125" style="24" customWidth="1"/>
    <col min="4872" max="5116" width="9.140625" style="24"/>
    <col min="5117" max="5117" width="8.7109375" style="24" customWidth="1"/>
    <col min="5118" max="5118" width="9.85546875" style="24" customWidth="1"/>
    <col min="5119" max="5119" width="14.42578125" style="24" customWidth="1"/>
    <col min="5120" max="5120" width="7.28515625" style="24" customWidth="1"/>
    <col min="5121" max="5121" width="5.5703125" style="24" customWidth="1"/>
    <col min="5122" max="5122" width="9" style="24" customWidth="1"/>
    <col min="5123" max="5124" width="9.85546875" style="24" customWidth="1"/>
    <col min="5125" max="5125" width="11.140625" style="24" customWidth="1"/>
    <col min="5126" max="5126" width="2.85546875" style="24" customWidth="1"/>
    <col min="5127" max="5127" width="3.5703125" style="24" customWidth="1"/>
    <col min="5128" max="5372" width="9.140625" style="24"/>
    <col min="5373" max="5373" width="8.7109375" style="24" customWidth="1"/>
    <col min="5374" max="5374" width="9.85546875" style="24" customWidth="1"/>
    <col min="5375" max="5375" width="14.42578125" style="24" customWidth="1"/>
    <col min="5376" max="5376" width="7.28515625" style="24" customWidth="1"/>
    <col min="5377" max="5377" width="5.5703125" style="24" customWidth="1"/>
    <col min="5378" max="5378" width="9" style="24" customWidth="1"/>
    <col min="5379" max="5380" width="9.85546875" style="24" customWidth="1"/>
    <col min="5381" max="5381" width="11.140625" style="24" customWidth="1"/>
    <col min="5382" max="5382" width="2.85546875" style="24" customWidth="1"/>
    <col min="5383" max="5383" width="3.5703125" style="24" customWidth="1"/>
    <col min="5384" max="5628" width="9.140625" style="24"/>
    <col min="5629" max="5629" width="8.7109375" style="24" customWidth="1"/>
    <col min="5630" max="5630" width="9.85546875" style="24" customWidth="1"/>
    <col min="5631" max="5631" width="14.42578125" style="24" customWidth="1"/>
    <col min="5632" max="5632" width="7.28515625" style="24" customWidth="1"/>
    <col min="5633" max="5633" width="5.5703125" style="24" customWidth="1"/>
    <col min="5634" max="5634" width="9" style="24" customWidth="1"/>
    <col min="5635" max="5636" width="9.85546875" style="24" customWidth="1"/>
    <col min="5637" max="5637" width="11.140625" style="24" customWidth="1"/>
    <col min="5638" max="5638" width="2.85546875" style="24" customWidth="1"/>
    <col min="5639" max="5639" width="3.5703125" style="24" customWidth="1"/>
    <col min="5640" max="5884" width="9.140625" style="24"/>
    <col min="5885" max="5885" width="8.7109375" style="24" customWidth="1"/>
    <col min="5886" max="5886" width="9.85546875" style="24" customWidth="1"/>
    <col min="5887" max="5887" width="14.42578125" style="24" customWidth="1"/>
    <col min="5888" max="5888" width="7.28515625" style="24" customWidth="1"/>
    <col min="5889" max="5889" width="5.5703125" style="24" customWidth="1"/>
    <col min="5890" max="5890" width="9" style="24" customWidth="1"/>
    <col min="5891" max="5892" width="9.85546875" style="24" customWidth="1"/>
    <col min="5893" max="5893" width="11.140625" style="24" customWidth="1"/>
    <col min="5894" max="5894" width="2.85546875" style="24" customWidth="1"/>
    <col min="5895" max="5895" width="3.5703125" style="24" customWidth="1"/>
    <col min="5896" max="6140" width="9.140625" style="24"/>
    <col min="6141" max="6141" width="8.7109375" style="24" customWidth="1"/>
    <col min="6142" max="6142" width="9.85546875" style="24" customWidth="1"/>
    <col min="6143" max="6143" width="14.42578125" style="24" customWidth="1"/>
    <col min="6144" max="6144" width="7.28515625" style="24" customWidth="1"/>
    <col min="6145" max="6145" width="5.5703125" style="24" customWidth="1"/>
    <col min="6146" max="6146" width="9" style="24" customWidth="1"/>
    <col min="6147" max="6148" width="9.85546875" style="24" customWidth="1"/>
    <col min="6149" max="6149" width="11.140625" style="24" customWidth="1"/>
    <col min="6150" max="6150" width="2.85546875" style="24" customWidth="1"/>
    <col min="6151" max="6151" width="3.5703125" style="24" customWidth="1"/>
    <col min="6152" max="6396" width="9.140625" style="24"/>
    <col min="6397" max="6397" width="8.7109375" style="24" customWidth="1"/>
    <col min="6398" max="6398" width="9.85546875" style="24" customWidth="1"/>
    <col min="6399" max="6399" width="14.42578125" style="24" customWidth="1"/>
    <col min="6400" max="6400" width="7.28515625" style="24" customWidth="1"/>
    <col min="6401" max="6401" width="5.5703125" style="24" customWidth="1"/>
    <col min="6402" max="6402" width="9" style="24" customWidth="1"/>
    <col min="6403" max="6404" width="9.85546875" style="24" customWidth="1"/>
    <col min="6405" max="6405" width="11.140625" style="24" customWidth="1"/>
    <col min="6406" max="6406" width="2.85546875" style="24" customWidth="1"/>
    <col min="6407" max="6407" width="3.5703125" style="24" customWidth="1"/>
    <col min="6408" max="6652" width="9.140625" style="24"/>
    <col min="6653" max="6653" width="8.7109375" style="24" customWidth="1"/>
    <col min="6654" max="6654" width="9.85546875" style="24" customWidth="1"/>
    <col min="6655" max="6655" width="14.42578125" style="24" customWidth="1"/>
    <col min="6656" max="6656" width="7.28515625" style="24" customWidth="1"/>
    <col min="6657" max="6657" width="5.5703125" style="24" customWidth="1"/>
    <col min="6658" max="6658" width="9" style="24" customWidth="1"/>
    <col min="6659" max="6660" width="9.85546875" style="24" customWidth="1"/>
    <col min="6661" max="6661" width="11.140625" style="24" customWidth="1"/>
    <col min="6662" max="6662" width="2.85546875" style="24" customWidth="1"/>
    <col min="6663" max="6663" width="3.5703125" style="24" customWidth="1"/>
    <col min="6664" max="6908" width="9.140625" style="24"/>
    <col min="6909" max="6909" width="8.7109375" style="24" customWidth="1"/>
    <col min="6910" max="6910" width="9.85546875" style="24" customWidth="1"/>
    <col min="6911" max="6911" width="14.42578125" style="24" customWidth="1"/>
    <col min="6912" max="6912" width="7.28515625" style="24" customWidth="1"/>
    <col min="6913" max="6913" width="5.5703125" style="24" customWidth="1"/>
    <col min="6914" max="6914" width="9" style="24" customWidth="1"/>
    <col min="6915" max="6916" width="9.85546875" style="24" customWidth="1"/>
    <col min="6917" max="6917" width="11.140625" style="24" customWidth="1"/>
    <col min="6918" max="6918" width="2.85546875" style="24" customWidth="1"/>
    <col min="6919" max="6919" width="3.5703125" style="24" customWidth="1"/>
    <col min="6920" max="7164" width="9.140625" style="24"/>
    <col min="7165" max="7165" width="8.7109375" style="24" customWidth="1"/>
    <col min="7166" max="7166" width="9.85546875" style="24" customWidth="1"/>
    <col min="7167" max="7167" width="14.42578125" style="24" customWidth="1"/>
    <col min="7168" max="7168" width="7.28515625" style="24" customWidth="1"/>
    <col min="7169" max="7169" width="5.5703125" style="24" customWidth="1"/>
    <col min="7170" max="7170" width="9" style="24" customWidth="1"/>
    <col min="7171" max="7172" width="9.85546875" style="24" customWidth="1"/>
    <col min="7173" max="7173" width="11.140625" style="24" customWidth="1"/>
    <col min="7174" max="7174" width="2.85546875" style="24" customWidth="1"/>
    <col min="7175" max="7175" width="3.5703125" style="24" customWidth="1"/>
    <col min="7176" max="7420" width="9.140625" style="24"/>
    <col min="7421" max="7421" width="8.7109375" style="24" customWidth="1"/>
    <col min="7422" max="7422" width="9.85546875" style="24" customWidth="1"/>
    <col min="7423" max="7423" width="14.42578125" style="24" customWidth="1"/>
    <col min="7424" max="7424" width="7.28515625" style="24" customWidth="1"/>
    <col min="7425" max="7425" width="5.5703125" style="24" customWidth="1"/>
    <col min="7426" max="7426" width="9" style="24" customWidth="1"/>
    <col min="7427" max="7428" width="9.85546875" style="24" customWidth="1"/>
    <col min="7429" max="7429" width="11.140625" style="24" customWidth="1"/>
    <col min="7430" max="7430" width="2.85546875" style="24" customWidth="1"/>
    <col min="7431" max="7431" width="3.5703125" style="24" customWidth="1"/>
    <col min="7432" max="7676" width="9.140625" style="24"/>
    <col min="7677" max="7677" width="8.7109375" style="24" customWidth="1"/>
    <col min="7678" max="7678" width="9.85546875" style="24" customWidth="1"/>
    <col min="7679" max="7679" width="14.42578125" style="24" customWidth="1"/>
    <col min="7680" max="7680" width="7.28515625" style="24" customWidth="1"/>
    <col min="7681" max="7681" width="5.5703125" style="24" customWidth="1"/>
    <col min="7682" max="7682" width="9" style="24" customWidth="1"/>
    <col min="7683" max="7684" width="9.85546875" style="24" customWidth="1"/>
    <col min="7685" max="7685" width="11.140625" style="24" customWidth="1"/>
    <col min="7686" max="7686" width="2.85546875" style="24" customWidth="1"/>
    <col min="7687" max="7687" width="3.5703125" style="24" customWidth="1"/>
    <col min="7688" max="7932" width="9.140625" style="24"/>
    <col min="7933" max="7933" width="8.7109375" style="24" customWidth="1"/>
    <col min="7934" max="7934" width="9.85546875" style="24" customWidth="1"/>
    <col min="7935" max="7935" width="14.42578125" style="24" customWidth="1"/>
    <col min="7936" max="7936" width="7.28515625" style="24" customWidth="1"/>
    <col min="7937" max="7937" width="5.5703125" style="24" customWidth="1"/>
    <col min="7938" max="7938" width="9" style="24" customWidth="1"/>
    <col min="7939" max="7940" width="9.85546875" style="24" customWidth="1"/>
    <col min="7941" max="7941" width="11.140625" style="24" customWidth="1"/>
    <col min="7942" max="7942" width="2.85546875" style="24" customWidth="1"/>
    <col min="7943" max="7943" width="3.5703125" style="24" customWidth="1"/>
    <col min="7944" max="8188" width="9.140625" style="24"/>
    <col min="8189" max="8189" width="8.7109375" style="24" customWidth="1"/>
    <col min="8190" max="8190" width="9.85546875" style="24" customWidth="1"/>
    <col min="8191" max="8191" width="14.42578125" style="24" customWidth="1"/>
    <col min="8192" max="8192" width="7.28515625" style="24" customWidth="1"/>
    <col min="8193" max="8193" width="5.5703125" style="24" customWidth="1"/>
    <col min="8194" max="8194" width="9" style="24" customWidth="1"/>
    <col min="8195" max="8196" width="9.85546875" style="24" customWidth="1"/>
    <col min="8197" max="8197" width="11.140625" style="24" customWidth="1"/>
    <col min="8198" max="8198" width="2.85546875" style="24" customWidth="1"/>
    <col min="8199" max="8199" width="3.5703125" style="24" customWidth="1"/>
    <col min="8200" max="8444" width="9.140625" style="24"/>
    <col min="8445" max="8445" width="8.7109375" style="24" customWidth="1"/>
    <col min="8446" max="8446" width="9.85546875" style="24" customWidth="1"/>
    <col min="8447" max="8447" width="14.42578125" style="24" customWidth="1"/>
    <col min="8448" max="8448" width="7.28515625" style="24" customWidth="1"/>
    <col min="8449" max="8449" width="5.5703125" style="24" customWidth="1"/>
    <col min="8450" max="8450" width="9" style="24" customWidth="1"/>
    <col min="8451" max="8452" width="9.85546875" style="24" customWidth="1"/>
    <col min="8453" max="8453" width="11.140625" style="24" customWidth="1"/>
    <col min="8454" max="8454" width="2.85546875" style="24" customWidth="1"/>
    <col min="8455" max="8455" width="3.5703125" style="24" customWidth="1"/>
    <col min="8456" max="8700" width="9.140625" style="24"/>
    <col min="8701" max="8701" width="8.7109375" style="24" customWidth="1"/>
    <col min="8702" max="8702" width="9.85546875" style="24" customWidth="1"/>
    <col min="8703" max="8703" width="14.42578125" style="24" customWidth="1"/>
    <col min="8704" max="8704" width="7.28515625" style="24" customWidth="1"/>
    <col min="8705" max="8705" width="5.5703125" style="24" customWidth="1"/>
    <col min="8706" max="8706" width="9" style="24" customWidth="1"/>
    <col min="8707" max="8708" width="9.85546875" style="24" customWidth="1"/>
    <col min="8709" max="8709" width="11.140625" style="24" customWidth="1"/>
    <col min="8710" max="8710" width="2.85546875" style="24" customWidth="1"/>
    <col min="8711" max="8711" width="3.5703125" style="24" customWidth="1"/>
    <col min="8712" max="8956" width="9.140625" style="24"/>
    <col min="8957" max="8957" width="8.7109375" style="24" customWidth="1"/>
    <col min="8958" max="8958" width="9.85546875" style="24" customWidth="1"/>
    <col min="8959" max="8959" width="14.42578125" style="24" customWidth="1"/>
    <col min="8960" max="8960" width="7.28515625" style="24" customWidth="1"/>
    <col min="8961" max="8961" width="5.5703125" style="24" customWidth="1"/>
    <col min="8962" max="8962" width="9" style="24" customWidth="1"/>
    <col min="8963" max="8964" width="9.85546875" style="24" customWidth="1"/>
    <col min="8965" max="8965" width="11.140625" style="24" customWidth="1"/>
    <col min="8966" max="8966" width="2.85546875" style="24" customWidth="1"/>
    <col min="8967" max="8967" width="3.5703125" style="24" customWidth="1"/>
    <col min="8968" max="9212" width="9.140625" style="24"/>
    <col min="9213" max="9213" width="8.7109375" style="24" customWidth="1"/>
    <col min="9214" max="9214" width="9.85546875" style="24" customWidth="1"/>
    <col min="9215" max="9215" width="14.42578125" style="24" customWidth="1"/>
    <col min="9216" max="9216" width="7.28515625" style="24" customWidth="1"/>
    <col min="9217" max="9217" width="5.5703125" style="24" customWidth="1"/>
    <col min="9218" max="9218" width="9" style="24" customWidth="1"/>
    <col min="9219" max="9220" width="9.85546875" style="24" customWidth="1"/>
    <col min="9221" max="9221" width="11.140625" style="24" customWidth="1"/>
    <col min="9222" max="9222" width="2.85546875" style="24" customWidth="1"/>
    <col min="9223" max="9223" width="3.5703125" style="24" customWidth="1"/>
    <col min="9224" max="9468" width="9.140625" style="24"/>
    <col min="9469" max="9469" width="8.7109375" style="24" customWidth="1"/>
    <col min="9470" max="9470" width="9.85546875" style="24" customWidth="1"/>
    <col min="9471" max="9471" width="14.42578125" style="24" customWidth="1"/>
    <col min="9472" max="9472" width="7.28515625" style="24" customWidth="1"/>
    <col min="9473" max="9473" width="5.5703125" style="24" customWidth="1"/>
    <col min="9474" max="9474" width="9" style="24" customWidth="1"/>
    <col min="9475" max="9476" width="9.85546875" style="24" customWidth="1"/>
    <col min="9477" max="9477" width="11.140625" style="24" customWidth="1"/>
    <col min="9478" max="9478" width="2.85546875" style="24" customWidth="1"/>
    <col min="9479" max="9479" width="3.5703125" style="24" customWidth="1"/>
    <col min="9480" max="9724" width="9.140625" style="24"/>
    <col min="9725" max="9725" width="8.7109375" style="24" customWidth="1"/>
    <col min="9726" max="9726" width="9.85546875" style="24" customWidth="1"/>
    <col min="9727" max="9727" width="14.42578125" style="24" customWidth="1"/>
    <col min="9728" max="9728" width="7.28515625" style="24" customWidth="1"/>
    <col min="9729" max="9729" width="5.5703125" style="24" customWidth="1"/>
    <col min="9730" max="9730" width="9" style="24" customWidth="1"/>
    <col min="9731" max="9732" width="9.85546875" style="24" customWidth="1"/>
    <col min="9733" max="9733" width="11.140625" style="24" customWidth="1"/>
    <col min="9734" max="9734" width="2.85546875" style="24" customWidth="1"/>
    <col min="9735" max="9735" width="3.5703125" style="24" customWidth="1"/>
    <col min="9736" max="9980" width="9.140625" style="24"/>
    <col min="9981" max="9981" width="8.7109375" style="24" customWidth="1"/>
    <col min="9982" max="9982" width="9.85546875" style="24" customWidth="1"/>
    <col min="9983" max="9983" width="14.42578125" style="24" customWidth="1"/>
    <col min="9984" max="9984" width="7.28515625" style="24" customWidth="1"/>
    <col min="9985" max="9985" width="5.5703125" style="24" customWidth="1"/>
    <col min="9986" max="9986" width="9" style="24" customWidth="1"/>
    <col min="9987" max="9988" width="9.85546875" style="24" customWidth="1"/>
    <col min="9989" max="9989" width="11.140625" style="24" customWidth="1"/>
    <col min="9990" max="9990" width="2.85546875" style="24" customWidth="1"/>
    <col min="9991" max="9991" width="3.5703125" style="24" customWidth="1"/>
    <col min="9992" max="10236" width="9.140625" style="24"/>
    <col min="10237" max="10237" width="8.7109375" style="24" customWidth="1"/>
    <col min="10238" max="10238" width="9.85546875" style="24" customWidth="1"/>
    <col min="10239" max="10239" width="14.42578125" style="24" customWidth="1"/>
    <col min="10240" max="10240" width="7.28515625" style="24" customWidth="1"/>
    <col min="10241" max="10241" width="5.5703125" style="24" customWidth="1"/>
    <col min="10242" max="10242" width="9" style="24" customWidth="1"/>
    <col min="10243" max="10244" width="9.85546875" style="24" customWidth="1"/>
    <col min="10245" max="10245" width="11.140625" style="24" customWidth="1"/>
    <col min="10246" max="10246" width="2.85546875" style="24" customWidth="1"/>
    <col min="10247" max="10247" width="3.5703125" style="24" customWidth="1"/>
    <col min="10248" max="10492" width="9.140625" style="24"/>
    <col min="10493" max="10493" width="8.7109375" style="24" customWidth="1"/>
    <col min="10494" max="10494" width="9.85546875" style="24" customWidth="1"/>
    <col min="10495" max="10495" width="14.42578125" style="24" customWidth="1"/>
    <col min="10496" max="10496" width="7.28515625" style="24" customWidth="1"/>
    <col min="10497" max="10497" width="5.5703125" style="24" customWidth="1"/>
    <col min="10498" max="10498" width="9" style="24" customWidth="1"/>
    <col min="10499" max="10500" width="9.85546875" style="24" customWidth="1"/>
    <col min="10501" max="10501" width="11.140625" style="24" customWidth="1"/>
    <col min="10502" max="10502" width="2.85546875" style="24" customWidth="1"/>
    <col min="10503" max="10503" width="3.5703125" style="24" customWidth="1"/>
    <col min="10504" max="10748" width="9.140625" style="24"/>
    <col min="10749" max="10749" width="8.7109375" style="24" customWidth="1"/>
    <col min="10750" max="10750" width="9.85546875" style="24" customWidth="1"/>
    <col min="10751" max="10751" width="14.42578125" style="24" customWidth="1"/>
    <col min="10752" max="10752" width="7.28515625" style="24" customWidth="1"/>
    <col min="10753" max="10753" width="5.5703125" style="24" customWidth="1"/>
    <col min="10754" max="10754" width="9" style="24" customWidth="1"/>
    <col min="10755" max="10756" width="9.85546875" style="24" customWidth="1"/>
    <col min="10757" max="10757" width="11.140625" style="24" customWidth="1"/>
    <col min="10758" max="10758" width="2.85546875" style="24" customWidth="1"/>
    <col min="10759" max="10759" width="3.5703125" style="24" customWidth="1"/>
    <col min="10760" max="11004" width="9.140625" style="24"/>
    <col min="11005" max="11005" width="8.7109375" style="24" customWidth="1"/>
    <col min="11006" max="11006" width="9.85546875" style="24" customWidth="1"/>
    <col min="11007" max="11007" width="14.42578125" style="24" customWidth="1"/>
    <col min="11008" max="11008" width="7.28515625" style="24" customWidth="1"/>
    <col min="11009" max="11009" width="5.5703125" style="24" customWidth="1"/>
    <col min="11010" max="11010" width="9" style="24" customWidth="1"/>
    <col min="11011" max="11012" width="9.85546875" style="24" customWidth="1"/>
    <col min="11013" max="11013" width="11.140625" style="24" customWidth="1"/>
    <col min="11014" max="11014" width="2.85546875" style="24" customWidth="1"/>
    <col min="11015" max="11015" width="3.5703125" style="24" customWidth="1"/>
    <col min="11016" max="11260" width="9.140625" style="24"/>
    <col min="11261" max="11261" width="8.7109375" style="24" customWidth="1"/>
    <col min="11262" max="11262" width="9.85546875" style="24" customWidth="1"/>
    <col min="11263" max="11263" width="14.42578125" style="24" customWidth="1"/>
    <col min="11264" max="11264" width="7.28515625" style="24" customWidth="1"/>
    <col min="11265" max="11265" width="5.5703125" style="24" customWidth="1"/>
    <col min="11266" max="11266" width="9" style="24" customWidth="1"/>
    <col min="11267" max="11268" width="9.85546875" style="24" customWidth="1"/>
    <col min="11269" max="11269" width="11.140625" style="24" customWidth="1"/>
    <col min="11270" max="11270" width="2.85546875" style="24" customWidth="1"/>
    <col min="11271" max="11271" width="3.5703125" style="24" customWidth="1"/>
    <col min="11272" max="11516" width="9.140625" style="24"/>
    <col min="11517" max="11517" width="8.7109375" style="24" customWidth="1"/>
    <col min="11518" max="11518" width="9.85546875" style="24" customWidth="1"/>
    <col min="11519" max="11519" width="14.42578125" style="24" customWidth="1"/>
    <col min="11520" max="11520" width="7.28515625" style="24" customWidth="1"/>
    <col min="11521" max="11521" width="5.5703125" style="24" customWidth="1"/>
    <col min="11522" max="11522" width="9" style="24" customWidth="1"/>
    <col min="11523" max="11524" width="9.85546875" style="24" customWidth="1"/>
    <col min="11525" max="11525" width="11.140625" style="24" customWidth="1"/>
    <col min="11526" max="11526" width="2.85546875" style="24" customWidth="1"/>
    <col min="11527" max="11527" width="3.5703125" style="24" customWidth="1"/>
    <col min="11528" max="11772" width="9.140625" style="24"/>
    <col min="11773" max="11773" width="8.7109375" style="24" customWidth="1"/>
    <col min="11774" max="11774" width="9.85546875" style="24" customWidth="1"/>
    <col min="11775" max="11775" width="14.42578125" style="24" customWidth="1"/>
    <col min="11776" max="11776" width="7.28515625" style="24" customWidth="1"/>
    <col min="11777" max="11777" width="5.5703125" style="24" customWidth="1"/>
    <col min="11778" max="11778" width="9" style="24" customWidth="1"/>
    <col min="11779" max="11780" width="9.85546875" style="24" customWidth="1"/>
    <col min="11781" max="11781" width="11.140625" style="24" customWidth="1"/>
    <col min="11782" max="11782" width="2.85546875" style="24" customWidth="1"/>
    <col min="11783" max="11783" width="3.5703125" style="24" customWidth="1"/>
    <col min="11784" max="12028" width="9.140625" style="24"/>
    <col min="12029" max="12029" width="8.7109375" style="24" customWidth="1"/>
    <col min="12030" max="12030" width="9.85546875" style="24" customWidth="1"/>
    <col min="12031" max="12031" width="14.42578125" style="24" customWidth="1"/>
    <col min="12032" max="12032" width="7.28515625" style="24" customWidth="1"/>
    <col min="12033" max="12033" width="5.5703125" style="24" customWidth="1"/>
    <col min="12034" max="12034" width="9" style="24" customWidth="1"/>
    <col min="12035" max="12036" width="9.85546875" style="24" customWidth="1"/>
    <col min="12037" max="12037" width="11.140625" style="24" customWidth="1"/>
    <col min="12038" max="12038" width="2.85546875" style="24" customWidth="1"/>
    <col min="12039" max="12039" width="3.5703125" style="24" customWidth="1"/>
    <col min="12040" max="12284" width="9.140625" style="24"/>
    <col min="12285" max="12285" width="8.7109375" style="24" customWidth="1"/>
    <col min="12286" max="12286" width="9.85546875" style="24" customWidth="1"/>
    <col min="12287" max="12287" width="14.42578125" style="24" customWidth="1"/>
    <col min="12288" max="12288" width="7.28515625" style="24" customWidth="1"/>
    <col min="12289" max="12289" width="5.5703125" style="24" customWidth="1"/>
    <col min="12290" max="12290" width="9" style="24" customWidth="1"/>
    <col min="12291" max="12292" width="9.85546875" style="24" customWidth="1"/>
    <col min="12293" max="12293" width="11.140625" style="24" customWidth="1"/>
    <col min="12294" max="12294" width="2.85546875" style="24" customWidth="1"/>
    <col min="12295" max="12295" width="3.5703125" style="24" customWidth="1"/>
    <col min="12296" max="12540" width="9.140625" style="24"/>
    <col min="12541" max="12541" width="8.7109375" style="24" customWidth="1"/>
    <col min="12542" max="12542" width="9.85546875" style="24" customWidth="1"/>
    <col min="12543" max="12543" width="14.42578125" style="24" customWidth="1"/>
    <col min="12544" max="12544" width="7.28515625" style="24" customWidth="1"/>
    <col min="12545" max="12545" width="5.5703125" style="24" customWidth="1"/>
    <col min="12546" max="12546" width="9" style="24" customWidth="1"/>
    <col min="12547" max="12548" width="9.85546875" style="24" customWidth="1"/>
    <col min="12549" max="12549" width="11.140625" style="24" customWidth="1"/>
    <col min="12550" max="12550" width="2.85546875" style="24" customWidth="1"/>
    <col min="12551" max="12551" width="3.5703125" style="24" customWidth="1"/>
    <col min="12552" max="12796" width="9.140625" style="24"/>
    <col min="12797" max="12797" width="8.7109375" style="24" customWidth="1"/>
    <col min="12798" max="12798" width="9.85546875" style="24" customWidth="1"/>
    <col min="12799" max="12799" width="14.42578125" style="24" customWidth="1"/>
    <col min="12800" max="12800" width="7.28515625" style="24" customWidth="1"/>
    <col min="12801" max="12801" width="5.5703125" style="24" customWidth="1"/>
    <col min="12802" max="12802" width="9" style="24" customWidth="1"/>
    <col min="12803" max="12804" width="9.85546875" style="24" customWidth="1"/>
    <col min="12805" max="12805" width="11.140625" style="24" customWidth="1"/>
    <col min="12806" max="12806" width="2.85546875" style="24" customWidth="1"/>
    <col min="12807" max="12807" width="3.5703125" style="24" customWidth="1"/>
    <col min="12808" max="13052" width="9.140625" style="24"/>
    <col min="13053" max="13053" width="8.7109375" style="24" customWidth="1"/>
    <col min="13054" max="13054" width="9.85546875" style="24" customWidth="1"/>
    <col min="13055" max="13055" width="14.42578125" style="24" customWidth="1"/>
    <col min="13056" max="13056" width="7.28515625" style="24" customWidth="1"/>
    <col min="13057" max="13057" width="5.5703125" style="24" customWidth="1"/>
    <col min="13058" max="13058" width="9" style="24" customWidth="1"/>
    <col min="13059" max="13060" width="9.85546875" style="24" customWidth="1"/>
    <col min="13061" max="13061" width="11.140625" style="24" customWidth="1"/>
    <col min="13062" max="13062" width="2.85546875" style="24" customWidth="1"/>
    <col min="13063" max="13063" width="3.5703125" style="24" customWidth="1"/>
    <col min="13064" max="13308" width="9.140625" style="24"/>
    <col min="13309" max="13309" width="8.7109375" style="24" customWidth="1"/>
    <col min="13310" max="13310" width="9.85546875" style="24" customWidth="1"/>
    <col min="13311" max="13311" width="14.42578125" style="24" customWidth="1"/>
    <col min="13312" max="13312" width="7.28515625" style="24" customWidth="1"/>
    <col min="13313" max="13313" width="5.5703125" style="24" customWidth="1"/>
    <col min="13314" max="13314" width="9" style="24" customWidth="1"/>
    <col min="13315" max="13316" width="9.85546875" style="24" customWidth="1"/>
    <col min="13317" max="13317" width="11.140625" style="24" customWidth="1"/>
    <col min="13318" max="13318" width="2.85546875" style="24" customWidth="1"/>
    <col min="13319" max="13319" width="3.5703125" style="24" customWidth="1"/>
    <col min="13320" max="13564" width="9.140625" style="24"/>
    <col min="13565" max="13565" width="8.7109375" style="24" customWidth="1"/>
    <col min="13566" max="13566" width="9.85546875" style="24" customWidth="1"/>
    <col min="13567" max="13567" width="14.42578125" style="24" customWidth="1"/>
    <col min="13568" max="13568" width="7.28515625" style="24" customWidth="1"/>
    <col min="13569" max="13569" width="5.5703125" style="24" customWidth="1"/>
    <col min="13570" max="13570" width="9" style="24" customWidth="1"/>
    <col min="13571" max="13572" width="9.85546875" style="24" customWidth="1"/>
    <col min="13573" max="13573" width="11.140625" style="24" customWidth="1"/>
    <col min="13574" max="13574" width="2.85546875" style="24" customWidth="1"/>
    <col min="13575" max="13575" width="3.5703125" style="24" customWidth="1"/>
    <col min="13576" max="13820" width="9.140625" style="24"/>
    <col min="13821" max="13821" width="8.7109375" style="24" customWidth="1"/>
    <col min="13822" max="13822" width="9.85546875" style="24" customWidth="1"/>
    <col min="13823" max="13823" width="14.42578125" style="24" customWidth="1"/>
    <col min="13824" max="13824" width="7.28515625" style="24" customWidth="1"/>
    <col min="13825" max="13825" width="5.5703125" style="24" customWidth="1"/>
    <col min="13826" max="13826" width="9" style="24" customWidth="1"/>
    <col min="13827" max="13828" width="9.85546875" style="24" customWidth="1"/>
    <col min="13829" max="13829" width="11.140625" style="24" customWidth="1"/>
    <col min="13830" max="13830" width="2.85546875" style="24" customWidth="1"/>
    <col min="13831" max="13831" width="3.5703125" style="24" customWidth="1"/>
    <col min="13832" max="14076" width="9.140625" style="24"/>
    <col min="14077" max="14077" width="8.7109375" style="24" customWidth="1"/>
    <col min="14078" max="14078" width="9.85546875" style="24" customWidth="1"/>
    <col min="14079" max="14079" width="14.42578125" style="24" customWidth="1"/>
    <col min="14080" max="14080" width="7.28515625" style="24" customWidth="1"/>
    <col min="14081" max="14081" width="5.5703125" style="24" customWidth="1"/>
    <col min="14082" max="14082" width="9" style="24" customWidth="1"/>
    <col min="14083" max="14084" width="9.85546875" style="24" customWidth="1"/>
    <col min="14085" max="14085" width="11.140625" style="24" customWidth="1"/>
    <col min="14086" max="14086" width="2.85546875" style="24" customWidth="1"/>
    <col min="14087" max="14087" width="3.5703125" style="24" customWidth="1"/>
    <col min="14088" max="14332" width="9.140625" style="24"/>
    <col min="14333" max="14333" width="8.7109375" style="24" customWidth="1"/>
    <col min="14334" max="14334" width="9.85546875" style="24" customWidth="1"/>
    <col min="14335" max="14335" width="14.42578125" style="24" customWidth="1"/>
    <col min="14336" max="14336" width="7.28515625" style="24" customWidth="1"/>
    <col min="14337" max="14337" width="5.5703125" style="24" customWidth="1"/>
    <col min="14338" max="14338" width="9" style="24" customWidth="1"/>
    <col min="14339" max="14340" width="9.85546875" style="24" customWidth="1"/>
    <col min="14341" max="14341" width="11.140625" style="24" customWidth="1"/>
    <col min="14342" max="14342" width="2.85546875" style="24" customWidth="1"/>
    <col min="14343" max="14343" width="3.5703125" style="24" customWidth="1"/>
    <col min="14344" max="14588" width="9.140625" style="24"/>
    <col min="14589" max="14589" width="8.7109375" style="24" customWidth="1"/>
    <col min="14590" max="14590" width="9.85546875" style="24" customWidth="1"/>
    <col min="14591" max="14591" width="14.42578125" style="24" customWidth="1"/>
    <col min="14592" max="14592" width="7.28515625" style="24" customWidth="1"/>
    <col min="14593" max="14593" width="5.5703125" style="24" customWidth="1"/>
    <col min="14594" max="14594" width="9" style="24" customWidth="1"/>
    <col min="14595" max="14596" width="9.85546875" style="24" customWidth="1"/>
    <col min="14597" max="14597" width="11.140625" style="24" customWidth="1"/>
    <col min="14598" max="14598" width="2.85546875" style="24" customWidth="1"/>
    <col min="14599" max="14599" width="3.5703125" style="24" customWidth="1"/>
    <col min="14600" max="14844" width="9.140625" style="24"/>
    <col min="14845" max="14845" width="8.7109375" style="24" customWidth="1"/>
    <col min="14846" max="14846" width="9.85546875" style="24" customWidth="1"/>
    <col min="14847" max="14847" width="14.42578125" style="24" customWidth="1"/>
    <col min="14848" max="14848" width="7.28515625" style="24" customWidth="1"/>
    <col min="14849" max="14849" width="5.5703125" style="24" customWidth="1"/>
    <col min="14850" max="14850" width="9" style="24" customWidth="1"/>
    <col min="14851" max="14852" width="9.85546875" style="24" customWidth="1"/>
    <col min="14853" max="14853" width="11.140625" style="24" customWidth="1"/>
    <col min="14854" max="14854" width="2.85546875" style="24" customWidth="1"/>
    <col min="14855" max="14855" width="3.5703125" style="24" customWidth="1"/>
    <col min="14856" max="15100" width="9.140625" style="24"/>
    <col min="15101" max="15101" width="8.7109375" style="24" customWidth="1"/>
    <col min="15102" max="15102" width="9.85546875" style="24" customWidth="1"/>
    <col min="15103" max="15103" width="14.42578125" style="24" customWidth="1"/>
    <col min="15104" max="15104" width="7.28515625" style="24" customWidth="1"/>
    <col min="15105" max="15105" width="5.5703125" style="24" customWidth="1"/>
    <col min="15106" max="15106" width="9" style="24" customWidth="1"/>
    <col min="15107" max="15108" width="9.85546875" style="24" customWidth="1"/>
    <col min="15109" max="15109" width="11.140625" style="24" customWidth="1"/>
    <col min="15110" max="15110" width="2.85546875" style="24" customWidth="1"/>
    <col min="15111" max="15111" width="3.5703125" style="24" customWidth="1"/>
    <col min="15112" max="15356" width="9.140625" style="24"/>
    <col min="15357" max="15357" width="8.7109375" style="24" customWidth="1"/>
    <col min="15358" max="15358" width="9.85546875" style="24" customWidth="1"/>
    <col min="15359" max="15359" width="14.42578125" style="24" customWidth="1"/>
    <col min="15360" max="15360" width="7.28515625" style="24" customWidth="1"/>
    <col min="15361" max="15361" width="5.5703125" style="24" customWidth="1"/>
    <col min="15362" max="15362" width="9" style="24" customWidth="1"/>
    <col min="15363" max="15364" width="9.85546875" style="24" customWidth="1"/>
    <col min="15365" max="15365" width="11.140625" style="24" customWidth="1"/>
    <col min="15366" max="15366" width="2.85546875" style="24" customWidth="1"/>
    <col min="15367" max="15367" width="3.5703125" style="24" customWidth="1"/>
    <col min="15368" max="15612" width="9.140625" style="24"/>
    <col min="15613" max="15613" width="8.7109375" style="24" customWidth="1"/>
    <col min="15614" max="15614" width="9.85546875" style="24" customWidth="1"/>
    <col min="15615" max="15615" width="14.42578125" style="24" customWidth="1"/>
    <col min="15616" max="15616" width="7.28515625" style="24" customWidth="1"/>
    <col min="15617" max="15617" width="5.5703125" style="24" customWidth="1"/>
    <col min="15618" max="15618" width="9" style="24" customWidth="1"/>
    <col min="15619" max="15620" width="9.85546875" style="24" customWidth="1"/>
    <col min="15621" max="15621" width="11.140625" style="24" customWidth="1"/>
    <col min="15622" max="15622" width="2.85546875" style="24" customWidth="1"/>
    <col min="15623" max="15623" width="3.5703125" style="24" customWidth="1"/>
    <col min="15624" max="15868" width="9.140625" style="24"/>
    <col min="15869" max="15869" width="8.7109375" style="24" customWidth="1"/>
    <col min="15870" max="15870" width="9.85546875" style="24" customWidth="1"/>
    <col min="15871" max="15871" width="14.42578125" style="24" customWidth="1"/>
    <col min="15872" max="15872" width="7.28515625" style="24" customWidth="1"/>
    <col min="15873" max="15873" width="5.5703125" style="24" customWidth="1"/>
    <col min="15874" max="15874" width="9" style="24" customWidth="1"/>
    <col min="15875" max="15876" width="9.85546875" style="24" customWidth="1"/>
    <col min="15877" max="15877" width="11.140625" style="24" customWidth="1"/>
    <col min="15878" max="15878" width="2.85546875" style="24" customWidth="1"/>
    <col min="15879" max="15879" width="3.5703125" style="24" customWidth="1"/>
    <col min="15880" max="16124" width="9.140625" style="24"/>
    <col min="16125" max="16125" width="8.7109375" style="24" customWidth="1"/>
    <col min="16126" max="16126" width="9.85546875" style="24" customWidth="1"/>
    <col min="16127" max="16127" width="14.42578125" style="24" customWidth="1"/>
    <col min="16128" max="16128" width="7.28515625" style="24" customWidth="1"/>
    <col min="16129" max="16129" width="5.5703125" style="24" customWidth="1"/>
    <col min="16130" max="16130" width="9" style="24" customWidth="1"/>
    <col min="16131" max="16132" width="9.85546875" style="24" customWidth="1"/>
    <col min="16133" max="16133" width="11.140625" style="24" customWidth="1"/>
    <col min="16134" max="16134" width="2.85546875" style="24" customWidth="1"/>
    <col min="16135" max="16135" width="3.5703125" style="24" customWidth="1"/>
    <col min="16136" max="16384" width="9.140625" style="24"/>
  </cols>
  <sheetData>
    <row r="1" spans="1:8" ht="46.5" customHeight="1">
      <c r="A1" s="69" t="s">
        <v>0</v>
      </c>
      <c r="B1" s="69"/>
      <c r="C1" s="69"/>
      <c r="D1" s="69"/>
      <c r="E1" s="69"/>
      <c r="F1" s="69"/>
      <c r="G1" s="69"/>
      <c r="H1" s="69"/>
    </row>
    <row r="2" spans="1:8" ht="16.5" customHeight="1">
      <c r="A2" s="70" t="s">
        <v>1</v>
      </c>
      <c r="B2" s="70"/>
      <c r="C2" s="70"/>
      <c r="D2" s="70"/>
      <c r="E2" s="70"/>
      <c r="F2" s="70"/>
      <c r="G2" s="70"/>
      <c r="H2" s="70"/>
    </row>
    <row r="3" spans="1:8">
      <c r="A3" s="71" t="s">
        <v>2</v>
      </c>
      <c r="B3" s="71"/>
      <c r="C3" s="71"/>
      <c r="D3" s="71"/>
      <c r="E3" s="72" t="str">
        <f ca="1">TEXT(TODAY(),"DD/MM/YYYY")</f>
        <v>14/07/2025</v>
      </c>
      <c r="F3" s="72"/>
      <c r="G3" s="72"/>
      <c r="H3" s="72"/>
    </row>
    <row r="4" spans="1:8">
      <c r="A4" s="71" t="s">
        <v>3</v>
      </c>
      <c r="B4" s="71"/>
      <c r="C4" s="71"/>
      <c r="D4" s="71"/>
      <c r="E4" s="73" t="s">
        <v>4</v>
      </c>
      <c r="F4" s="73"/>
      <c r="G4" s="73"/>
      <c r="H4" s="73"/>
    </row>
    <row r="5" spans="1:8">
      <c r="A5" s="71" t="s">
        <v>5</v>
      </c>
      <c r="B5" s="71"/>
      <c r="C5" s="71"/>
      <c r="D5" s="71"/>
      <c r="E5" s="74">
        <v>45849</v>
      </c>
      <c r="F5" s="74"/>
      <c r="G5" s="74"/>
      <c r="H5" s="74"/>
    </row>
    <row r="6" spans="1:8" ht="16.5" customHeight="1">
      <c r="A6" s="71" t="s">
        <v>6</v>
      </c>
      <c r="B6" s="71"/>
      <c r="C6" s="71"/>
      <c r="D6" s="71"/>
      <c r="E6" s="75" t="s">
        <v>7</v>
      </c>
      <c r="F6" s="75"/>
      <c r="G6" s="75"/>
      <c r="H6" s="75"/>
    </row>
    <row r="7" spans="1:8" ht="15" customHeight="1">
      <c r="A7" s="71" t="s">
        <v>8</v>
      </c>
      <c r="B7" s="71"/>
      <c r="C7" s="71"/>
      <c r="D7" s="71"/>
      <c r="E7" s="75" t="str">
        <f>E6</f>
        <v>M/s.Unity Builders &amp; Developers</v>
      </c>
      <c r="F7" s="75"/>
      <c r="G7" s="75"/>
      <c r="H7" s="75"/>
    </row>
    <row r="8" spans="1:8">
      <c r="A8" s="71" t="s">
        <v>9</v>
      </c>
      <c r="B8" s="71"/>
      <c r="C8" s="71"/>
      <c r="D8" s="71"/>
      <c r="E8" s="76" t="s">
        <v>10</v>
      </c>
      <c r="F8" s="76"/>
      <c r="G8" s="76"/>
      <c r="H8" s="76"/>
    </row>
    <row r="9" spans="1:8">
      <c r="A9" s="71" t="s">
        <v>11</v>
      </c>
      <c r="B9" s="71"/>
      <c r="C9" s="71"/>
      <c r="D9" s="71"/>
      <c r="E9" s="71">
        <v>8097019998</v>
      </c>
      <c r="F9" s="71"/>
      <c r="G9" s="71"/>
      <c r="H9" s="71"/>
    </row>
    <row r="10" spans="1:8">
      <c r="A10" s="71" t="s">
        <v>12</v>
      </c>
      <c r="B10" s="71"/>
      <c r="C10" s="71"/>
      <c r="D10" s="71"/>
      <c r="E10" s="71" t="s">
        <v>289</v>
      </c>
      <c r="F10" s="71"/>
      <c r="G10" s="71"/>
      <c r="H10" s="71"/>
    </row>
    <row r="11" spans="1:8">
      <c r="A11" s="77" t="s">
        <v>13</v>
      </c>
      <c r="B11" s="77"/>
      <c r="C11" s="77"/>
      <c r="D11" s="77"/>
      <c r="E11" s="77" t="s">
        <v>14</v>
      </c>
      <c r="F11" s="77"/>
      <c r="G11" s="77"/>
      <c r="H11" s="77"/>
    </row>
    <row r="12" spans="1:8" ht="32.25" customHeight="1">
      <c r="A12" s="71" t="s">
        <v>15</v>
      </c>
      <c r="B12" s="71"/>
      <c r="C12" s="71"/>
      <c r="D12" s="71"/>
      <c r="E12" s="78" t="s">
        <v>16</v>
      </c>
      <c r="F12" s="78"/>
      <c r="G12" s="78"/>
      <c r="H12" s="78"/>
    </row>
    <row r="13" spans="1:8">
      <c r="A13" s="71" t="s">
        <v>17</v>
      </c>
      <c r="B13" s="71"/>
      <c r="C13" s="71"/>
      <c r="D13" s="71"/>
      <c r="E13" s="77" t="s">
        <v>18</v>
      </c>
      <c r="F13" s="77"/>
      <c r="G13" s="77"/>
      <c r="H13" s="77"/>
    </row>
    <row r="14" spans="1:8" ht="34.5" customHeight="1">
      <c r="A14" s="75" t="s">
        <v>19</v>
      </c>
      <c r="B14" s="75"/>
      <c r="C14" s="75" t="str">
        <f>CONCATENATE((IF(OR(E8="",E8="NA"),"",E8)),", ",(IF(OR(A15="",A15="NA"),"",A15)),".",(IF(OR(C15="",C15="NA"),"",C15)),", ",(IF(OR(C16="",C16="NA"),"",C16)),", ",(IF(OR(G16="",G16="NA"),"",G16)),", ",(IF(OR(C17="",C17="NA"),"",C17)),", ",(IF(OR(C18="",C18="NA"),"",C18)),", ",(IF(OR(G17="",G17="NA"),"",G17)),".")</f>
        <v>Dream Home, Survey No.121, H.No.14, Davdi Gaon Road, Davdi, Dombivli East, Kalyan, Thane.</v>
      </c>
      <c r="D14" s="75"/>
      <c r="E14" s="75"/>
      <c r="F14" s="75"/>
      <c r="G14" s="75"/>
      <c r="H14" s="75"/>
    </row>
    <row r="15" spans="1:8" ht="15.75" customHeight="1">
      <c r="A15" s="79" t="s">
        <v>20</v>
      </c>
      <c r="B15" s="79"/>
      <c r="C15" s="79" t="s">
        <v>21</v>
      </c>
      <c r="D15" s="79"/>
      <c r="E15" s="79"/>
      <c r="F15" s="79"/>
      <c r="G15" s="79"/>
      <c r="H15" s="79"/>
    </row>
    <row r="16" spans="1:8" ht="15.75" customHeight="1">
      <c r="A16" s="80" t="s">
        <v>22</v>
      </c>
      <c r="B16" s="80"/>
      <c r="C16" s="81" t="s">
        <v>23</v>
      </c>
      <c r="D16" s="81"/>
      <c r="E16" s="80" t="s">
        <v>24</v>
      </c>
      <c r="F16" s="80"/>
      <c r="G16" s="79" t="s">
        <v>25</v>
      </c>
      <c r="H16" s="79"/>
    </row>
    <row r="17" spans="1:8">
      <c r="A17" s="82" t="s">
        <v>26</v>
      </c>
      <c r="B17" s="82"/>
      <c r="C17" s="79" t="s">
        <v>27</v>
      </c>
      <c r="D17" s="79"/>
      <c r="E17" s="80" t="s">
        <v>28</v>
      </c>
      <c r="F17" s="80"/>
      <c r="G17" s="83" t="s">
        <v>29</v>
      </c>
      <c r="H17" s="83"/>
    </row>
    <row r="18" spans="1:8">
      <c r="A18" s="82" t="s">
        <v>30</v>
      </c>
      <c r="B18" s="82"/>
      <c r="C18" s="79" t="s">
        <v>31</v>
      </c>
      <c r="D18" s="79"/>
      <c r="E18" s="80" t="s">
        <v>32</v>
      </c>
      <c r="F18" s="80"/>
      <c r="G18" s="79">
        <v>421203</v>
      </c>
      <c r="H18" s="79"/>
    </row>
    <row r="19" spans="1:8" ht="32.25" customHeight="1">
      <c r="A19" s="82" t="s">
        <v>33</v>
      </c>
      <c r="B19" s="82"/>
      <c r="C19" s="84" t="s">
        <v>34</v>
      </c>
      <c r="D19" s="84"/>
      <c r="E19" s="79" t="s">
        <v>35</v>
      </c>
      <c r="F19" s="79"/>
      <c r="G19" s="79" t="s">
        <v>36</v>
      </c>
      <c r="H19" s="79"/>
    </row>
    <row r="20" spans="1:8" ht="15" customHeight="1">
      <c r="A20" s="80" t="s">
        <v>37</v>
      </c>
      <c r="B20" s="80"/>
      <c r="C20" s="80"/>
      <c r="D20" s="80"/>
      <c r="E20" s="81" t="s">
        <v>38</v>
      </c>
      <c r="F20" s="81"/>
      <c r="G20" s="81"/>
      <c r="H20" s="81"/>
    </row>
    <row r="21" spans="1:8" ht="18.75" customHeight="1">
      <c r="A21" s="80"/>
      <c r="B21" s="80"/>
      <c r="C21" s="80"/>
      <c r="D21" s="80"/>
      <c r="E21" s="81"/>
      <c r="F21" s="81"/>
      <c r="G21" s="81"/>
      <c r="H21" s="81"/>
    </row>
    <row r="22" spans="1:8" ht="15" customHeight="1">
      <c r="A22" s="80" t="s">
        <v>39</v>
      </c>
      <c r="B22" s="80"/>
      <c r="C22" s="80"/>
      <c r="D22" s="80"/>
      <c r="E22" s="79" t="s">
        <v>40</v>
      </c>
      <c r="F22" s="79"/>
      <c r="G22" s="79"/>
      <c r="H22" s="79"/>
    </row>
    <row r="23" spans="1:8" ht="15" customHeight="1">
      <c r="A23" s="82" t="s">
        <v>41</v>
      </c>
      <c r="B23" s="82"/>
      <c r="C23" s="82"/>
      <c r="D23" s="82"/>
      <c r="E23" s="79" t="s">
        <v>42</v>
      </c>
      <c r="F23" s="79"/>
      <c r="G23" s="79"/>
      <c r="H23" s="79"/>
    </row>
    <row r="24" spans="1:8">
      <c r="A24" s="82" t="s">
        <v>43</v>
      </c>
      <c r="B24" s="82"/>
      <c r="C24" s="82"/>
      <c r="D24" s="82"/>
      <c r="E24" s="79" t="s">
        <v>44</v>
      </c>
      <c r="F24" s="79"/>
      <c r="G24" s="79"/>
      <c r="H24" s="79"/>
    </row>
    <row r="25" spans="1:8">
      <c r="A25" s="82" t="s">
        <v>45</v>
      </c>
      <c r="B25" s="82"/>
      <c r="C25" s="82"/>
      <c r="D25" s="82"/>
      <c r="E25" s="79" t="s">
        <v>46</v>
      </c>
      <c r="F25" s="79"/>
      <c r="G25" s="79"/>
      <c r="H25" s="79"/>
    </row>
    <row r="26" spans="1:8">
      <c r="A26" s="82" t="s">
        <v>47</v>
      </c>
      <c r="B26" s="82"/>
      <c r="C26" s="82"/>
      <c r="D26" s="82"/>
      <c r="E26" s="79" t="s">
        <v>48</v>
      </c>
      <c r="F26" s="79"/>
      <c r="G26" s="79"/>
      <c r="H26" s="79"/>
    </row>
    <row r="27" spans="1:8">
      <c r="A27" s="82" t="s">
        <v>49</v>
      </c>
      <c r="B27" s="82"/>
      <c r="C27" s="82"/>
      <c r="D27" s="82"/>
      <c r="E27" s="79" t="s">
        <v>50</v>
      </c>
      <c r="F27" s="79"/>
      <c r="G27" s="79"/>
      <c r="H27" s="79"/>
    </row>
    <row r="28" spans="1:8" ht="15" customHeight="1">
      <c r="A28" s="80" t="s">
        <v>51</v>
      </c>
      <c r="B28" s="80"/>
      <c r="C28" s="80"/>
      <c r="D28" s="80"/>
      <c r="E28" s="73" t="s">
        <v>52</v>
      </c>
      <c r="F28" s="73"/>
      <c r="G28" s="73"/>
      <c r="H28" s="73"/>
    </row>
    <row r="29" spans="1:8">
      <c r="A29" s="80" t="s">
        <v>53</v>
      </c>
      <c r="B29" s="80"/>
      <c r="C29" s="80"/>
      <c r="D29" s="80"/>
      <c r="E29" s="80" t="s">
        <v>54</v>
      </c>
      <c r="F29" s="80"/>
      <c r="G29" s="80"/>
      <c r="H29" s="80"/>
    </row>
    <row r="30" spans="1:8" s="16" customFormat="1">
      <c r="A30" s="85" t="s">
        <v>55</v>
      </c>
      <c r="B30" s="85"/>
      <c r="C30" s="86" t="s">
        <v>56</v>
      </c>
      <c r="D30" s="86"/>
      <c r="E30" s="86"/>
      <c r="F30" s="86" t="s">
        <v>57</v>
      </c>
      <c r="G30" s="86"/>
      <c r="H30" s="86"/>
    </row>
    <row r="31" spans="1:8" s="16" customFormat="1">
      <c r="A31" s="87" t="s">
        <v>58</v>
      </c>
      <c r="B31" s="87" t="s">
        <v>59</v>
      </c>
      <c r="C31" s="88" t="s">
        <v>59</v>
      </c>
      <c r="D31" s="88"/>
      <c r="E31" s="88"/>
      <c r="F31" s="88" t="s">
        <v>23</v>
      </c>
      <c r="G31" s="88"/>
      <c r="H31" s="88"/>
    </row>
    <row r="32" spans="1:8">
      <c r="A32" s="87" t="s">
        <v>60</v>
      </c>
      <c r="B32" s="87" t="s">
        <v>59</v>
      </c>
      <c r="C32" s="88" t="s">
        <v>59</v>
      </c>
      <c r="D32" s="88"/>
      <c r="E32" s="88"/>
      <c r="F32" s="88" t="s">
        <v>61</v>
      </c>
      <c r="G32" s="88"/>
      <c r="H32" s="88"/>
    </row>
    <row r="33" spans="1:13" s="16" customFormat="1">
      <c r="A33" s="87" t="s">
        <v>62</v>
      </c>
      <c r="B33" s="87" t="s">
        <v>59</v>
      </c>
      <c r="C33" s="88" t="s">
        <v>59</v>
      </c>
      <c r="D33" s="88"/>
      <c r="E33" s="88"/>
      <c r="F33" s="88" t="s">
        <v>34</v>
      </c>
      <c r="G33" s="88"/>
      <c r="H33" s="88"/>
    </row>
    <row r="34" spans="1:13">
      <c r="A34" s="87" t="s">
        <v>63</v>
      </c>
      <c r="B34" s="87" t="s">
        <v>59</v>
      </c>
      <c r="C34" s="88" t="s">
        <v>59</v>
      </c>
      <c r="D34" s="88"/>
      <c r="E34" s="88"/>
      <c r="F34" s="88" t="s">
        <v>64</v>
      </c>
      <c r="G34" s="88"/>
      <c r="H34" s="88"/>
    </row>
    <row r="35" spans="1:13">
      <c r="A35" s="82" t="s">
        <v>65</v>
      </c>
      <c r="B35" s="82"/>
      <c r="C35" s="82"/>
      <c r="D35" s="82"/>
      <c r="E35" s="82"/>
      <c r="F35" s="82"/>
      <c r="G35" s="82"/>
      <c r="H35" s="82"/>
    </row>
    <row r="36" spans="1:13" ht="15.75" customHeight="1">
      <c r="A36" s="82" t="s">
        <v>288</v>
      </c>
      <c r="B36" s="82"/>
      <c r="C36" s="89" t="s">
        <v>66</v>
      </c>
      <c r="D36" s="90"/>
      <c r="E36" s="90"/>
      <c r="F36" s="90"/>
      <c r="G36" s="90"/>
      <c r="H36" s="91"/>
    </row>
    <row r="37" spans="1:13" ht="15.75" customHeight="1">
      <c r="A37" s="82" t="s">
        <v>67</v>
      </c>
      <c r="B37" s="82"/>
      <c r="C37" s="92" t="s">
        <v>68</v>
      </c>
      <c r="D37" s="93"/>
      <c r="E37" s="93"/>
      <c r="F37" s="93"/>
      <c r="G37" s="93"/>
      <c r="H37" s="94"/>
    </row>
    <row r="38" spans="1:13">
      <c r="A38" s="95" t="s">
        <v>69</v>
      </c>
      <c r="B38" s="95"/>
      <c r="C38" s="95"/>
      <c r="D38" s="95"/>
      <c r="E38" s="95"/>
      <c r="F38" s="95"/>
      <c r="G38" s="95"/>
      <c r="H38" s="95"/>
      <c r="M38" s="24">
        <f>E43/E39</f>
        <v>2.6056279594137539</v>
      </c>
    </row>
    <row r="39" spans="1:13">
      <c r="A39" s="82" t="s">
        <v>70</v>
      </c>
      <c r="B39" s="82"/>
      <c r="C39" s="82"/>
      <c r="D39" s="82"/>
      <c r="E39" s="96">
        <v>3326.25</v>
      </c>
      <c r="F39" s="96"/>
      <c r="G39" s="96"/>
      <c r="H39" s="96"/>
    </row>
    <row r="40" spans="1:13">
      <c r="A40" s="82" t="s">
        <v>71</v>
      </c>
      <c r="B40" s="82"/>
      <c r="C40" s="82"/>
      <c r="D40" s="82"/>
      <c r="E40" s="97">
        <v>1.1000000000000001</v>
      </c>
      <c r="F40" s="97"/>
      <c r="G40" s="97"/>
      <c r="H40" s="97"/>
    </row>
    <row r="41" spans="1:13">
      <c r="A41" s="82" t="s">
        <v>72</v>
      </c>
      <c r="B41" s="82"/>
      <c r="C41" s="82"/>
      <c r="D41" s="82"/>
      <c r="E41" s="98">
        <f>E43/E39-E40</f>
        <v>1.5056279594137538</v>
      </c>
      <c r="F41" s="98"/>
      <c r="G41" s="98"/>
      <c r="H41" s="98"/>
    </row>
    <row r="42" spans="1:13">
      <c r="A42" s="82" t="s">
        <v>73</v>
      </c>
      <c r="B42" s="82"/>
      <c r="C42" s="82"/>
      <c r="D42" s="82"/>
      <c r="E42" s="98">
        <f>E40+E41</f>
        <v>2.6056279594137539</v>
      </c>
      <c r="F42" s="98"/>
      <c r="G42" s="98"/>
      <c r="H42" s="98"/>
    </row>
    <row r="43" spans="1:13">
      <c r="A43" s="82" t="s">
        <v>74</v>
      </c>
      <c r="B43" s="82"/>
      <c r="C43" s="82"/>
      <c r="D43" s="82"/>
      <c r="E43" s="97">
        <v>8666.9699999999993</v>
      </c>
      <c r="F43" s="97"/>
      <c r="G43" s="97"/>
      <c r="H43" s="97"/>
    </row>
    <row r="44" spans="1:13">
      <c r="A44" s="81" t="s">
        <v>75</v>
      </c>
      <c r="B44" s="81"/>
      <c r="C44" s="81"/>
      <c r="D44" s="81"/>
      <c r="E44" s="81" t="s">
        <v>76</v>
      </c>
      <c r="F44" s="81"/>
      <c r="G44" s="81"/>
      <c r="H44" s="81"/>
    </row>
    <row r="45" spans="1:13">
      <c r="A45" s="95" t="s">
        <v>77</v>
      </c>
      <c r="B45" s="95"/>
      <c r="C45" s="95"/>
      <c r="D45" s="95"/>
      <c r="E45" s="95"/>
      <c r="F45" s="95"/>
      <c r="G45" s="95"/>
      <c r="H45" s="95"/>
    </row>
    <row r="46" spans="1:13" ht="32.25" customHeight="1">
      <c r="A46" s="80" t="s">
        <v>78</v>
      </c>
      <c r="B46" s="80"/>
      <c r="C46" s="99" t="s">
        <v>79</v>
      </c>
      <c r="D46" s="99"/>
      <c r="E46" s="99"/>
      <c r="F46" s="26" t="s">
        <v>80</v>
      </c>
      <c r="G46" s="100" t="s">
        <v>81</v>
      </c>
      <c r="H46" s="79"/>
    </row>
    <row r="47" spans="1:13" ht="31.5" customHeight="1">
      <c r="A47" s="80" t="s">
        <v>82</v>
      </c>
      <c r="B47" s="80"/>
      <c r="C47" s="99" t="str">
        <f>C46</f>
        <v>KDMC/TPD/BP/27Village/2018-19/16/450</v>
      </c>
      <c r="D47" s="99"/>
      <c r="E47" s="99"/>
      <c r="F47" s="26" t="s">
        <v>80</v>
      </c>
      <c r="G47" s="100" t="s">
        <v>81</v>
      </c>
      <c r="H47" s="79"/>
      <c r="I47" s="24" t="s">
        <v>83</v>
      </c>
    </row>
    <row r="48" spans="1:13" ht="47.25" customHeight="1">
      <c r="A48" s="80" t="s">
        <v>84</v>
      </c>
      <c r="B48" s="80"/>
      <c r="C48" s="99" t="s">
        <v>85</v>
      </c>
      <c r="D48" s="99"/>
      <c r="E48" s="99"/>
      <c r="F48" s="26" t="s">
        <v>80</v>
      </c>
      <c r="G48" s="100" t="s">
        <v>86</v>
      </c>
      <c r="H48" s="79"/>
    </row>
    <row r="49" spans="1:11" s="17" customFormat="1" ht="31.5" customHeight="1">
      <c r="A49" s="79" t="s">
        <v>87</v>
      </c>
      <c r="B49" s="79"/>
      <c r="C49" s="99" t="str">
        <f>C47</f>
        <v>KDMC/TPD/BP/27Village/2018-19/16/450</v>
      </c>
      <c r="D49" s="101"/>
      <c r="E49" s="101"/>
      <c r="F49" s="27" t="s">
        <v>80</v>
      </c>
      <c r="G49" s="100" t="s">
        <v>81</v>
      </c>
      <c r="H49" s="79"/>
    </row>
    <row r="50" spans="1:11" s="17" customFormat="1">
      <c r="A50" s="79"/>
      <c r="B50" s="79"/>
      <c r="C50" s="102" t="s">
        <v>88</v>
      </c>
      <c r="D50" s="103"/>
      <c r="E50" s="103"/>
      <c r="F50" s="103"/>
      <c r="G50" s="103"/>
      <c r="H50" s="104"/>
    </row>
    <row r="51" spans="1:11">
      <c r="A51" s="105" t="s">
        <v>89</v>
      </c>
      <c r="B51" s="105"/>
      <c r="C51" s="106" t="s">
        <v>90</v>
      </c>
      <c r="D51" s="107"/>
      <c r="E51" s="107" t="s">
        <v>91</v>
      </c>
      <c r="F51" s="28" t="s">
        <v>80</v>
      </c>
      <c r="G51" s="108" t="s">
        <v>59</v>
      </c>
      <c r="H51" s="109"/>
    </row>
    <row r="52" spans="1:11">
      <c r="A52" s="110" t="s">
        <v>92</v>
      </c>
      <c r="B52" s="110"/>
      <c r="C52" s="110"/>
      <c r="D52" s="110"/>
      <c r="E52" s="110"/>
      <c r="F52" s="110"/>
      <c r="G52" s="110"/>
      <c r="H52" s="110"/>
    </row>
    <row r="53" spans="1:11">
      <c r="A53" s="80" t="s">
        <v>93</v>
      </c>
      <c r="B53" s="80"/>
      <c r="C53" s="80"/>
      <c r="D53" s="82">
        <f>E43</f>
        <v>8666.9699999999993</v>
      </c>
      <c r="E53" s="82"/>
      <c r="F53" s="82"/>
      <c r="G53" s="82"/>
      <c r="H53" s="82"/>
    </row>
    <row r="54" spans="1:11">
      <c r="A54" s="79" t="s">
        <v>94</v>
      </c>
      <c r="B54" s="81"/>
      <c r="C54" s="81"/>
      <c r="D54" s="81" t="s">
        <v>95</v>
      </c>
      <c r="E54" s="81"/>
      <c r="F54" s="81"/>
      <c r="G54" s="81"/>
      <c r="H54" s="81"/>
    </row>
    <row r="55" spans="1:11" ht="33.75" customHeight="1">
      <c r="A55" s="79" t="s">
        <v>96</v>
      </c>
      <c r="B55" s="81"/>
      <c r="C55" s="81"/>
      <c r="D55" s="79" t="s">
        <v>97</v>
      </c>
      <c r="E55" s="81"/>
      <c r="F55" s="81"/>
      <c r="G55" s="81"/>
      <c r="H55" s="81"/>
    </row>
    <row r="56" spans="1:11">
      <c r="A56" s="79" t="s">
        <v>98</v>
      </c>
      <c r="B56" s="81"/>
      <c r="C56" s="81"/>
      <c r="D56" s="81" t="s">
        <v>99</v>
      </c>
      <c r="E56" s="81"/>
      <c r="F56" s="81"/>
      <c r="G56" s="81"/>
      <c r="H56" s="81"/>
    </row>
    <row r="57" spans="1:11" ht="15.75" customHeight="1">
      <c r="A57" s="82" t="s">
        <v>100</v>
      </c>
      <c r="B57" s="82"/>
      <c r="C57" s="82"/>
      <c r="D57" s="80" t="s">
        <v>101</v>
      </c>
      <c r="E57" s="80"/>
      <c r="F57" s="80"/>
      <c r="G57" s="80"/>
      <c r="H57" s="80"/>
    </row>
    <row r="58" spans="1:11" ht="15.75" customHeight="1">
      <c r="A58" s="82" t="s">
        <v>102</v>
      </c>
      <c r="B58" s="82"/>
      <c r="C58" s="82"/>
      <c r="D58" s="80" t="s">
        <v>103</v>
      </c>
      <c r="E58" s="80"/>
      <c r="F58" s="80"/>
      <c r="G58" s="80"/>
      <c r="H58" s="80"/>
    </row>
    <row r="59" spans="1:11" ht="15.75" customHeight="1">
      <c r="A59" s="82" t="s">
        <v>104</v>
      </c>
      <c r="B59" s="82"/>
      <c r="C59" s="82"/>
      <c r="D59" s="80" t="s">
        <v>48</v>
      </c>
      <c r="E59" s="80"/>
      <c r="F59" s="80"/>
      <c r="G59" s="80"/>
      <c r="H59" s="80"/>
      <c r="J59" s="32"/>
      <c r="K59" s="32"/>
    </row>
    <row r="60" spans="1:11" ht="15.75" customHeight="1">
      <c r="A60" s="111" t="s">
        <v>105</v>
      </c>
      <c r="B60" s="111"/>
      <c r="C60" s="111"/>
      <c r="D60" s="112" t="s">
        <v>106</v>
      </c>
      <c r="E60" s="112"/>
      <c r="F60" s="112"/>
      <c r="G60" s="112"/>
      <c r="H60" s="112"/>
      <c r="J60" s="32"/>
      <c r="K60" s="32"/>
    </row>
    <row r="61" spans="1:11" ht="15.75" customHeight="1">
      <c r="A61" s="113" t="s">
        <v>107</v>
      </c>
      <c r="B61" s="114"/>
      <c r="C61" s="115" t="s">
        <v>108</v>
      </c>
      <c r="D61" s="116"/>
      <c r="E61" s="116"/>
      <c r="F61" s="116"/>
      <c r="G61" s="116"/>
      <c r="H61" s="117"/>
      <c r="I61" s="33" t="str">
        <f ca="1">(IF(C65=0,"Work not yet Started.",IF(D65=50%,"Excavation work in process",IF(D65=100%,"Excavation work completed, ","0")))&amp;(IF(C66=0%,"",IF(D66=25%,"Footing work is process",IF(D66=50%,"Footing work Completed",IF(D66=75%,"Plinth work is process",IF(D66=100%,"Plinth work completed","0"))))))&amp;(IF(C67&gt;0,", RCC upto "&amp;C67&amp;" Slab completed",""))&amp;(IF(C68&gt;0,", Brickwork upto "&amp;C68&amp;" Floor completed"," "))&amp;(IF(C69&gt;0,", Internal Plaster upto "&amp;C69&amp;" Floor completed"," "))&amp;(IF(C70&gt;0,", External Plaster upto "&amp;C70&amp;" Floor completed"," "))&amp;(IF(C71&gt;0,", Flooring upto "&amp;C71&amp;" Floor completed"," "))&amp;(IF(C72&gt;0,", Painting upto "&amp;C72&amp;" Floor completed"," "))&amp;(IF(C73&gt;0,", Finishing upto "&amp;C73&amp;" Floor completed"," ")))</f>
        <v xml:space="preserve">Excavation work completed, Plinth work completed, RCC upto 14 Slab completed, Brickwork upto 13 Floor completed, Internal Plaster upto 13 Floor completed, External Plaster upto 13 Floor completed, Flooring upto 7 Floor completed, Painting upto 2 Floor completed </v>
      </c>
      <c r="J61" s="34"/>
      <c r="K61" s="35"/>
    </row>
    <row r="62" spans="1:11">
      <c r="A62" s="118" t="s">
        <v>109</v>
      </c>
      <c r="B62" s="88"/>
      <c r="C62" s="88">
        <v>1</v>
      </c>
      <c r="D62" s="88"/>
      <c r="E62" s="25" t="s">
        <v>110</v>
      </c>
      <c r="F62" s="25">
        <v>0</v>
      </c>
      <c r="G62" s="25" t="s">
        <v>111</v>
      </c>
      <c r="H62" s="29">
        <f ca="1">--TRIM(RIGHT(SUBSTITUTE(LEFT(C61,_xlfn.AGGREGATE(16,6,FIND({0,1,2,3,4,5,6,7,8,9},C61,ROW(INDIRECT("1:"&amp;LEN(C61)))),1))," ",REPT(" ",LEN(C61))),LEN(C61)))</f>
        <v>13</v>
      </c>
      <c r="I62" s="36" t="s">
        <v>112</v>
      </c>
      <c r="J62" s="37"/>
      <c r="K62" s="38"/>
    </row>
    <row r="63" spans="1:11" ht="64.5" customHeight="1">
      <c r="A63" s="119" t="s">
        <v>113</v>
      </c>
      <c r="B63" s="120"/>
      <c r="C63" s="121" t="str">
        <f ca="1">I61</f>
        <v xml:space="preserve">Excavation work completed, Plinth work completed, RCC upto 14 Slab completed, Brickwork upto 13 Floor completed, Internal Plaster upto 13 Floor completed, External Plaster upto 13 Floor completed, Flooring upto 7 Floor completed, Painting upto 2 Floor completed </v>
      </c>
      <c r="D63" s="121"/>
      <c r="E63" s="121"/>
      <c r="F63" s="121"/>
      <c r="G63" s="121"/>
      <c r="H63" s="122"/>
      <c r="I63" s="36" t="s">
        <v>114</v>
      </c>
      <c r="J63" s="37"/>
      <c r="K63" s="38"/>
    </row>
    <row r="64" spans="1:11" ht="18" customHeight="1">
      <c r="A64" s="123" t="s">
        <v>115</v>
      </c>
      <c r="B64" s="124"/>
      <c r="C64" s="31" t="s">
        <v>116</v>
      </c>
      <c r="D64" s="30" t="s">
        <v>117</v>
      </c>
      <c r="E64" s="124" t="s">
        <v>118</v>
      </c>
      <c r="F64" s="124"/>
      <c r="G64" s="124" t="s">
        <v>119</v>
      </c>
      <c r="H64" s="125"/>
      <c r="I64" s="36" t="s">
        <v>120</v>
      </c>
      <c r="J64" s="39"/>
      <c r="K64" s="40"/>
    </row>
    <row r="65" spans="1:11">
      <c r="A65" s="123" t="s">
        <v>121</v>
      </c>
      <c r="B65" s="124"/>
      <c r="C65" s="41">
        <f ca="1">K68</f>
        <v>13</v>
      </c>
      <c r="D65" s="42">
        <f ca="1">((100/H62)*C65)/100</f>
        <v>1</v>
      </c>
      <c r="E65" s="126">
        <f ca="1">(IF(C63=I63,"100%",IF(C63=I64,"100%",(((C66/H62*10)+(40/(C62+F62+H62)*C67)+(7.5/(H62)*C68)+(7.5/(H62)*C69)+(10/H62*C70)+(10/H62*C71)+(5/H62*C72)+(5/H62*C73)+(5/H62*C74))/100))))</f>
        <v>0.81153846153846165</v>
      </c>
      <c r="F65" s="126"/>
      <c r="G65" s="126">
        <f ca="1">((((C65/H62)*20)+((C66/H62)*25)+(30/(H62+F62+C62)*C67)+(5/H62*C68)+(5/H62*C69)+(5/H62*C70)+(5/H62*C71)+(0/H62*C72)+(0/H62*C73)+(5/H62*C74))/100)</f>
        <v>0.92692307692307696</v>
      </c>
      <c r="H65" s="128"/>
      <c r="I65" s="36"/>
      <c r="J65" s="39"/>
      <c r="K65" s="40"/>
    </row>
    <row r="66" spans="1:11">
      <c r="A66" s="123" t="s">
        <v>122</v>
      </c>
      <c r="B66" s="124"/>
      <c r="C66" s="41">
        <f ca="1">K73</f>
        <v>13</v>
      </c>
      <c r="D66" s="42">
        <f ca="1">((100/H62)*C66)/100</f>
        <v>1</v>
      </c>
      <c r="E66" s="126"/>
      <c r="F66" s="126"/>
      <c r="G66" s="126"/>
      <c r="H66" s="128"/>
      <c r="I66" s="39"/>
      <c r="J66" s="39"/>
      <c r="K66" s="40"/>
    </row>
    <row r="67" spans="1:11">
      <c r="A67" s="123" t="s">
        <v>123</v>
      </c>
      <c r="B67" s="124"/>
      <c r="C67" s="43">
        <v>14</v>
      </c>
      <c r="D67" s="42">
        <f ca="1">((100/(C62+F62+H62))*C67)/100</f>
        <v>1</v>
      </c>
      <c r="E67" s="126"/>
      <c r="F67" s="126"/>
      <c r="G67" s="126"/>
      <c r="H67" s="128"/>
      <c r="I67" s="53" t="s">
        <v>124</v>
      </c>
      <c r="J67" s="54"/>
      <c r="K67" s="55">
        <f ca="1">H62*50%</f>
        <v>6.5</v>
      </c>
    </row>
    <row r="68" spans="1:11">
      <c r="A68" s="123" t="s">
        <v>125</v>
      </c>
      <c r="B68" s="124" t="s">
        <v>126</v>
      </c>
      <c r="C68" s="41">
        <v>13</v>
      </c>
      <c r="D68" s="42">
        <f ca="1">((100/H62)*C68)/100</f>
        <v>1</v>
      </c>
      <c r="E68" s="126"/>
      <c r="F68" s="126"/>
      <c r="G68" s="126"/>
      <c r="H68" s="128"/>
      <c r="I68" s="53" t="s">
        <v>127</v>
      </c>
      <c r="J68" s="54"/>
      <c r="K68" s="55">
        <f ca="1">H62</f>
        <v>13</v>
      </c>
    </row>
    <row r="69" spans="1:11">
      <c r="A69" s="123" t="s">
        <v>128</v>
      </c>
      <c r="B69" s="124" t="s">
        <v>126</v>
      </c>
      <c r="C69" s="41">
        <v>13</v>
      </c>
      <c r="D69" s="42">
        <f ca="1">((100/H62)*C69)/100</f>
        <v>1</v>
      </c>
      <c r="E69" s="126"/>
      <c r="F69" s="126"/>
      <c r="G69" s="126"/>
      <c r="H69" s="128"/>
      <c r="I69" s="53"/>
      <c r="J69" s="54"/>
      <c r="K69" s="55"/>
    </row>
    <row r="70" spans="1:11" ht="15" customHeight="1">
      <c r="A70" s="118" t="s">
        <v>129</v>
      </c>
      <c r="B70" s="88" t="s">
        <v>130</v>
      </c>
      <c r="C70" s="41">
        <v>13</v>
      </c>
      <c r="D70" s="42">
        <f ca="1">((100/(H62))*C70)/100</f>
        <v>1</v>
      </c>
      <c r="E70" s="126"/>
      <c r="F70" s="126"/>
      <c r="G70" s="126"/>
      <c r="H70" s="128"/>
      <c r="I70" s="53" t="s">
        <v>131</v>
      </c>
      <c r="J70" s="54"/>
      <c r="K70" s="55">
        <f ca="1">H62*25%</f>
        <v>3.25</v>
      </c>
    </row>
    <row r="71" spans="1:11">
      <c r="A71" s="123" t="s">
        <v>132</v>
      </c>
      <c r="B71" s="124" t="s">
        <v>132</v>
      </c>
      <c r="C71" s="41">
        <v>7</v>
      </c>
      <c r="D71" s="42">
        <f ca="1">((100/H62)*C71)/100</f>
        <v>0.53846153846153844</v>
      </c>
      <c r="E71" s="126"/>
      <c r="F71" s="126"/>
      <c r="G71" s="126"/>
      <c r="H71" s="128"/>
      <c r="I71" s="53" t="s">
        <v>133</v>
      </c>
      <c r="J71" s="54"/>
      <c r="K71" s="55">
        <f ca="1">H62*50%</f>
        <v>6.5</v>
      </c>
    </row>
    <row r="72" spans="1:11">
      <c r="A72" s="123" t="s">
        <v>134</v>
      </c>
      <c r="B72" s="124"/>
      <c r="C72" s="41">
        <v>2</v>
      </c>
      <c r="D72" s="42">
        <f ca="1">((100/H62)*C72)/100</f>
        <v>0.15384615384615385</v>
      </c>
      <c r="E72" s="126"/>
      <c r="F72" s="126"/>
      <c r="G72" s="126"/>
      <c r="H72" s="128"/>
      <c r="I72" s="53" t="s">
        <v>135</v>
      </c>
      <c r="J72" s="54"/>
      <c r="K72" s="55">
        <f ca="1">H62*75%</f>
        <v>9.75</v>
      </c>
    </row>
    <row r="73" spans="1:11" ht="15" customHeight="1">
      <c r="A73" s="123" t="s">
        <v>136</v>
      </c>
      <c r="B73" s="124" t="s">
        <v>136</v>
      </c>
      <c r="C73" s="41">
        <v>0</v>
      </c>
      <c r="D73" s="42">
        <f ca="1">((100/(H62))*C73)/100</f>
        <v>0</v>
      </c>
      <c r="E73" s="126"/>
      <c r="F73" s="126"/>
      <c r="G73" s="126"/>
      <c r="H73" s="128"/>
      <c r="I73" s="53" t="s">
        <v>137</v>
      </c>
      <c r="J73" s="54"/>
      <c r="K73" s="55">
        <f ca="1">H62</f>
        <v>13</v>
      </c>
    </row>
    <row r="74" spans="1:11" ht="16.5" thickBot="1">
      <c r="A74" s="130" t="s">
        <v>138</v>
      </c>
      <c r="B74" s="131"/>
      <c r="C74" s="44">
        <v>0</v>
      </c>
      <c r="D74" s="45">
        <f ca="1">((100/(H62))*C74)/100</f>
        <v>0</v>
      </c>
      <c r="E74" s="127"/>
      <c r="F74" s="127"/>
      <c r="G74" s="127"/>
      <c r="H74" s="129"/>
      <c r="I74" s="56"/>
      <c r="J74" s="56"/>
      <c r="K74" s="57"/>
    </row>
    <row r="75" spans="1:11" ht="15.75" customHeight="1">
      <c r="A75" s="132" t="s">
        <v>107</v>
      </c>
      <c r="B75" s="133"/>
      <c r="C75" s="115" t="s">
        <v>139</v>
      </c>
      <c r="D75" s="116"/>
      <c r="E75" s="116"/>
      <c r="F75" s="116"/>
      <c r="G75" s="116"/>
      <c r="H75" s="117"/>
      <c r="I75" s="33" t="str">
        <f ca="1">(IF(C80=0,"Work not yet Started.",IF(D80=50%,"Excavation work in process",IF(D80=100%,"Excavation work completed, ","0")))&amp;(IF(C81=0%,"",IF(D81=25%,"Footing work is process",IF(D81=50%,"Footing work Completed",IF(D81=75%,"Plinth work is process",IF(D81=100%,"Plinth work completed","0"))))))&amp;(IF(C82&gt;0,", RCC upto "&amp;C82&amp;" Slab completed",""))&amp;(IF(C83&gt;0,", Brickwork upto "&amp;C83&amp;" Floor completed"," "))&amp;(IF(C84&gt;0,", Internal Plaster upto "&amp;C84&amp;" Floor completed"," "))&amp;(IF(C85&gt;0,", External Plaster upto "&amp;C85&amp;" Floor completed"," "))&amp;(IF(C86&gt;0,", Flooring upto "&amp;C86&amp;" Floor completed"," "))&amp;(IF(C87&gt;0,", Painting upto "&amp;C87&amp;" Floor completed"," "))&amp;(IF(C88&gt;0,", Finishing upto "&amp;C88&amp;" Floor completed"," ")))</f>
        <v>Excavation work completed, Plinth work completed, RCC upto 14 Slab completed, Brickwork upto 13 Floor completed, Internal Plaster upto 13 Floor completed, External Plaster upto 13 Floor completed, Flooring upto 13 Floor completed, Painting upto 13 Floor completed, Finishing upto 13 Floor completed</v>
      </c>
      <c r="J75" s="34"/>
      <c r="K75" s="35"/>
    </row>
    <row r="76" spans="1:11">
      <c r="A76" s="118" t="s">
        <v>109</v>
      </c>
      <c r="B76" s="88"/>
      <c r="C76" s="88">
        <v>1</v>
      </c>
      <c r="D76" s="88"/>
      <c r="E76" s="68" t="s">
        <v>110</v>
      </c>
      <c r="F76" s="68">
        <v>0</v>
      </c>
      <c r="G76" s="68" t="s">
        <v>111</v>
      </c>
      <c r="H76" s="29">
        <f ca="1">--TRIM(RIGHT(SUBSTITUTE(LEFT(C75,_xlfn.AGGREGATE(16,6,FIND({0,1,2,3,4,5,6,7,8,9},C75,ROW(INDIRECT("1:"&amp;LEN(C75)))),1))," ",REPT(" ",LEN(C75))),LEN(C75)))</f>
        <v>13</v>
      </c>
      <c r="I76" s="36" t="s">
        <v>112</v>
      </c>
      <c r="J76" s="37"/>
      <c r="K76" s="38"/>
    </row>
    <row r="77" spans="1:11">
      <c r="A77" s="196" t="s">
        <v>118</v>
      </c>
      <c r="B77" s="197"/>
      <c r="C77" s="198">
        <v>1</v>
      </c>
      <c r="D77" s="197"/>
      <c r="E77" s="199" t="s">
        <v>119</v>
      </c>
      <c r="F77" s="197"/>
      <c r="G77" s="198">
        <v>1</v>
      </c>
      <c r="H77" s="200"/>
      <c r="I77" s="36"/>
      <c r="J77" s="37"/>
      <c r="K77" s="38"/>
    </row>
    <row r="78" spans="1:11" ht="16.5" thickBot="1">
      <c r="A78" s="206" t="s">
        <v>113</v>
      </c>
      <c r="B78" s="207"/>
      <c r="C78" s="208" t="str">
        <f>I76</f>
        <v>All work Completed. Wait For OC.</v>
      </c>
      <c r="D78" s="208"/>
      <c r="E78" s="208"/>
      <c r="F78" s="208"/>
      <c r="G78" s="208"/>
      <c r="H78" s="209"/>
      <c r="I78" s="36" t="s">
        <v>114</v>
      </c>
      <c r="J78" s="37"/>
      <c r="K78" s="38"/>
    </row>
    <row r="79" spans="1:11" ht="16.5" hidden="1" customHeight="1">
      <c r="A79" s="201" t="s">
        <v>115</v>
      </c>
      <c r="B79" s="202"/>
      <c r="C79" s="203" t="s">
        <v>116</v>
      </c>
      <c r="D79" s="204" t="s">
        <v>117</v>
      </c>
      <c r="E79" s="202" t="s">
        <v>118</v>
      </c>
      <c r="F79" s="202"/>
      <c r="G79" s="202" t="s">
        <v>119</v>
      </c>
      <c r="H79" s="205"/>
      <c r="I79" s="36" t="s">
        <v>120</v>
      </c>
      <c r="J79" s="39"/>
      <c r="K79" s="40"/>
    </row>
    <row r="80" spans="1:11" hidden="1">
      <c r="A80" s="123" t="s">
        <v>121</v>
      </c>
      <c r="B80" s="124"/>
      <c r="C80" s="41">
        <f ca="1">K83</f>
        <v>13</v>
      </c>
      <c r="D80" s="42">
        <f ca="1">((100/H76)*C80)/100</f>
        <v>1</v>
      </c>
      <c r="E80" s="126">
        <f ca="1">(IF(C78=I78,"100%",IF(C78=I79,"100%",(((C81/H76*10)+(40/(C76+F76+H76)*C82)+(7.5/(H76)*C83)+(7.5/(H76)*C84)+(10/H76*C85)+(10/H76*C86)+(5/H76*C87)+(5/H76*C88)+(5/H76*C89))/100))))</f>
        <v>1</v>
      </c>
      <c r="F80" s="126"/>
      <c r="G80" s="126">
        <f ca="1">((((C80/H76)*20)+((C81/H76)*25)+(30/(H76+F76+C76)*C82)+(5/H76*C83)+(5/H76*C84)+(5/H76*C85)+(5/H76*C86)+(0/H76*C87)+(0/H76*C88)+(5/H76*C89))/100)</f>
        <v>1</v>
      </c>
      <c r="H80" s="128"/>
      <c r="I80" s="36"/>
      <c r="J80" s="39"/>
      <c r="K80" s="40"/>
    </row>
    <row r="81" spans="1:14" hidden="1">
      <c r="A81" s="123" t="s">
        <v>122</v>
      </c>
      <c r="B81" s="124"/>
      <c r="C81" s="41">
        <f ca="1">K88</f>
        <v>13</v>
      </c>
      <c r="D81" s="42">
        <f ca="1">((100/H76)*C81)/100</f>
        <v>1</v>
      </c>
      <c r="E81" s="126"/>
      <c r="F81" s="126"/>
      <c r="G81" s="126"/>
      <c r="H81" s="128"/>
      <c r="I81" s="39"/>
      <c r="J81" s="39"/>
      <c r="K81" s="40"/>
    </row>
    <row r="82" spans="1:14" hidden="1">
      <c r="A82" s="123" t="s">
        <v>123</v>
      </c>
      <c r="B82" s="124"/>
      <c r="C82" s="43">
        <v>14</v>
      </c>
      <c r="D82" s="42">
        <f ca="1">((100/(C76+F76+H76))*C82)/100</f>
        <v>1</v>
      </c>
      <c r="E82" s="126"/>
      <c r="F82" s="126"/>
      <c r="G82" s="126"/>
      <c r="H82" s="128"/>
      <c r="I82" s="53" t="s">
        <v>124</v>
      </c>
      <c r="J82" s="54"/>
      <c r="K82" s="55">
        <f ca="1">H76*50%</f>
        <v>6.5</v>
      </c>
    </row>
    <row r="83" spans="1:14" hidden="1">
      <c r="A83" s="123" t="s">
        <v>125</v>
      </c>
      <c r="B83" s="124" t="s">
        <v>126</v>
      </c>
      <c r="C83" s="41">
        <v>13</v>
      </c>
      <c r="D83" s="42">
        <f ca="1">((100/H76)*C83)/100</f>
        <v>1</v>
      </c>
      <c r="E83" s="126"/>
      <c r="F83" s="126"/>
      <c r="G83" s="126"/>
      <c r="H83" s="128"/>
      <c r="I83" s="53" t="s">
        <v>127</v>
      </c>
      <c r="J83" s="54"/>
      <c r="K83" s="55">
        <f ca="1">H76</f>
        <v>13</v>
      </c>
    </row>
    <row r="84" spans="1:14" hidden="1">
      <c r="A84" s="123" t="s">
        <v>128</v>
      </c>
      <c r="B84" s="124" t="s">
        <v>126</v>
      </c>
      <c r="C84" s="41">
        <v>13</v>
      </c>
      <c r="D84" s="42">
        <f ca="1">((100/H76)*C84)/100</f>
        <v>1</v>
      </c>
      <c r="E84" s="126"/>
      <c r="F84" s="126"/>
      <c r="G84" s="126"/>
      <c r="H84" s="128"/>
      <c r="I84" s="53"/>
      <c r="J84" s="54"/>
      <c r="K84" s="55"/>
    </row>
    <row r="85" spans="1:14" ht="15" hidden="1" customHeight="1">
      <c r="A85" s="118" t="s">
        <v>129</v>
      </c>
      <c r="B85" s="88" t="s">
        <v>130</v>
      </c>
      <c r="C85" s="41">
        <v>13</v>
      </c>
      <c r="D85" s="42">
        <f ca="1">((100/(H76))*C85)/100</f>
        <v>1</v>
      </c>
      <c r="E85" s="126"/>
      <c r="F85" s="126"/>
      <c r="G85" s="126"/>
      <c r="H85" s="128"/>
      <c r="I85" s="53" t="s">
        <v>131</v>
      </c>
      <c r="J85" s="54"/>
      <c r="K85" s="55">
        <f ca="1">H76*25%</f>
        <v>3.25</v>
      </c>
    </row>
    <row r="86" spans="1:14" hidden="1">
      <c r="A86" s="123" t="s">
        <v>132</v>
      </c>
      <c r="B86" s="124" t="s">
        <v>132</v>
      </c>
      <c r="C86" s="41">
        <v>13</v>
      </c>
      <c r="D86" s="42">
        <f ca="1">((100/H76)*C86)/100</f>
        <v>1</v>
      </c>
      <c r="E86" s="126"/>
      <c r="F86" s="126"/>
      <c r="G86" s="126"/>
      <c r="H86" s="128"/>
      <c r="I86" s="53" t="s">
        <v>133</v>
      </c>
      <c r="J86" s="54"/>
      <c r="K86" s="55">
        <f ca="1">H76*50%</f>
        <v>6.5</v>
      </c>
    </row>
    <row r="87" spans="1:14" hidden="1">
      <c r="A87" s="123" t="s">
        <v>134</v>
      </c>
      <c r="B87" s="124"/>
      <c r="C87" s="41">
        <v>13</v>
      </c>
      <c r="D87" s="42">
        <f ca="1">((100/H76)*C87)/100</f>
        <v>1</v>
      </c>
      <c r="E87" s="126"/>
      <c r="F87" s="126"/>
      <c r="G87" s="126"/>
      <c r="H87" s="128"/>
      <c r="I87" s="53" t="s">
        <v>135</v>
      </c>
      <c r="J87" s="54"/>
      <c r="K87" s="55">
        <f ca="1">H76*75%</f>
        <v>9.75</v>
      </c>
    </row>
    <row r="88" spans="1:14" ht="15" hidden="1" customHeight="1">
      <c r="A88" s="123" t="s">
        <v>136</v>
      </c>
      <c r="B88" s="124" t="s">
        <v>136</v>
      </c>
      <c r="C88" s="41">
        <v>13</v>
      </c>
      <c r="D88" s="42">
        <f ca="1">((100/(H76))*C88)/100</f>
        <v>1</v>
      </c>
      <c r="E88" s="126"/>
      <c r="F88" s="126"/>
      <c r="G88" s="126"/>
      <c r="H88" s="128"/>
      <c r="I88" s="53" t="s">
        <v>137</v>
      </c>
      <c r="J88" s="54"/>
      <c r="K88" s="55">
        <f ca="1">H76</f>
        <v>13</v>
      </c>
    </row>
    <row r="89" spans="1:14" hidden="1">
      <c r="A89" s="130" t="s">
        <v>138</v>
      </c>
      <c r="B89" s="131"/>
      <c r="C89" s="44">
        <v>13</v>
      </c>
      <c r="D89" s="45">
        <f ca="1">((100/(H76))*C89)/100</f>
        <v>1</v>
      </c>
      <c r="E89" s="127"/>
      <c r="F89" s="127"/>
      <c r="G89" s="127"/>
      <c r="H89" s="129"/>
      <c r="I89" s="56"/>
      <c r="J89" s="56"/>
      <c r="K89" s="57"/>
    </row>
    <row r="90" spans="1:14">
      <c r="A90" s="134" t="s">
        <v>140</v>
      </c>
      <c r="B90" s="134"/>
      <c r="C90" s="134"/>
      <c r="D90" s="134"/>
      <c r="E90" s="134"/>
      <c r="F90" s="134"/>
      <c r="G90" s="134"/>
      <c r="H90" s="134"/>
    </row>
    <row r="91" spans="1:14">
      <c r="A91" s="82" t="s">
        <v>141</v>
      </c>
      <c r="B91" s="82"/>
      <c r="C91" s="82"/>
      <c r="D91" s="82"/>
      <c r="E91" s="82"/>
      <c r="F91" s="82"/>
      <c r="G91" s="82"/>
      <c r="H91" s="82"/>
    </row>
    <row r="92" spans="1:14" ht="15" customHeight="1">
      <c r="A92" s="120" t="s">
        <v>142</v>
      </c>
      <c r="B92" s="120"/>
      <c r="C92" s="121" t="s">
        <v>143</v>
      </c>
      <c r="D92" s="121"/>
      <c r="E92" s="121"/>
      <c r="F92" s="121"/>
      <c r="G92" s="121"/>
      <c r="H92" s="121"/>
    </row>
    <row r="93" spans="1:14">
      <c r="A93" s="95" t="s">
        <v>144</v>
      </c>
      <c r="B93" s="95"/>
      <c r="C93" s="95"/>
      <c r="D93" s="95"/>
      <c r="E93" s="95"/>
      <c r="F93" s="95"/>
      <c r="G93" s="95"/>
      <c r="H93" s="95"/>
      <c r="J93" s="18"/>
      <c r="K93" s="18"/>
    </row>
    <row r="94" spans="1:14">
      <c r="A94" s="82" t="s">
        <v>145</v>
      </c>
      <c r="B94" s="82"/>
      <c r="C94" s="82"/>
      <c r="D94" s="82"/>
      <c r="E94" s="82"/>
      <c r="F94" s="101">
        <v>5900</v>
      </c>
      <c r="G94" s="101"/>
      <c r="H94" s="101"/>
      <c r="I94" s="58" t="s">
        <v>146</v>
      </c>
      <c r="J94" s="59" t="s">
        <v>147</v>
      </c>
      <c r="K94" s="59" t="s">
        <v>148</v>
      </c>
      <c r="L94" s="58"/>
      <c r="M94" s="60">
        <v>45098</v>
      </c>
      <c r="N94" s="58"/>
    </row>
    <row r="95" spans="1:14" ht="32.25" customHeight="1">
      <c r="A95" s="135" t="s">
        <v>149</v>
      </c>
      <c r="B95" s="136"/>
      <c r="C95" s="136"/>
      <c r="D95" s="136"/>
      <c r="E95" s="137"/>
      <c r="F95" s="101">
        <v>9000</v>
      </c>
      <c r="G95" s="101"/>
      <c r="H95" s="101"/>
      <c r="J95" s="18"/>
      <c r="K95" s="18"/>
    </row>
    <row r="96" spans="1:14" ht="32.25" customHeight="1">
      <c r="A96" s="135" t="s">
        <v>150</v>
      </c>
      <c r="B96" s="136"/>
      <c r="C96" s="136"/>
      <c r="D96" s="136"/>
      <c r="E96" s="137"/>
      <c r="F96" s="101">
        <v>11000</v>
      </c>
      <c r="G96" s="101"/>
      <c r="H96" s="101"/>
      <c r="J96" s="18"/>
      <c r="K96" s="18"/>
    </row>
    <row r="97" spans="1:11" s="18" customFormat="1" hidden="1">
      <c r="A97" s="82" t="s">
        <v>151</v>
      </c>
      <c r="B97" s="82"/>
      <c r="C97" s="82"/>
      <c r="D97" s="82"/>
      <c r="E97" s="82"/>
      <c r="F97" s="101" t="s">
        <v>59</v>
      </c>
      <c r="G97" s="101"/>
      <c r="H97" s="101"/>
    </row>
    <row r="98" spans="1:11" s="18" customFormat="1">
      <c r="A98" s="82" t="s">
        <v>152</v>
      </c>
      <c r="B98" s="82"/>
      <c r="C98" s="82"/>
      <c r="D98" s="82"/>
      <c r="E98" s="82"/>
      <c r="F98" s="99" t="s">
        <v>153</v>
      </c>
      <c r="G98" s="101"/>
      <c r="H98" s="101"/>
    </row>
    <row r="99" spans="1:11" s="18" customFormat="1" hidden="1">
      <c r="A99" s="82" t="s">
        <v>154</v>
      </c>
      <c r="B99" s="82"/>
      <c r="C99" s="82"/>
      <c r="D99" s="82"/>
      <c r="E99" s="82"/>
      <c r="F99" s="101" t="s">
        <v>59</v>
      </c>
      <c r="G99" s="101"/>
      <c r="H99" s="101"/>
    </row>
    <row r="100" spans="1:11" s="18" customFormat="1" hidden="1">
      <c r="A100" s="82" t="s">
        <v>155</v>
      </c>
      <c r="B100" s="82"/>
      <c r="C100" s="82"/>
      <c r="D100" s="82"/>
      <c r="E100" s="82"/>
      <c r="F100" s="101" t="s">
        <v>59</v>
      </c>
      <c r="G100" s="101"/>
      <c r="H100" s="101"/>
    </row>
    <row r="101" spans="1:11" s="18" customFormat="1" hidden="1">
      <c r="A101" s="82" t="s">
        <v>156</v>
      </c>
      <c r="B101" s="82"/>
      <c r="C101" s="82"/>
      <c r="D101" s="82"/>
      <c r="E101" s="82"/>
      <c r="F101" s="101" t="s">
        <v>59</v>
      </c>
      <c r="G101" s="101"/>
      <c r="H101" s="101"/>
    </row>
    <row r="102" spans="1:11" s="18" customFormat="1" hidden="1">
      <c r="A102" s="82" t="s">
        <v>157</v>
      </c>
      <c r="B102" s="82"/>
      <c r="C102" s="82"/>
      <c r="D102" s="82"/>
      <c r="E102" s="82"/>
      <c r="F102" s="101" t="s">
        <v>59</v>
      </c>
      <c r="G102" s="101"/>
      <c r="H102" s="101"/>
      <c r="J102" s="24"/>
      <c r="K102" s="24"/>
    </row>
    <row r="103" spans="1:11" s="18" customFormat="1" hidden="1">
      <c r="A103" s="82" t="s">
        <v>158</v>
      </c>
      <c r="B103" s="82"/>
      <c r="C103" s="82"/>
      <c r="D103" s="82"/>
      <c r="E103" s="82"/>
      <c r="F103" s="101" t="s">
        <v>59</v>
      </c>
      <c r="G103" s="101"/>
      <c r="H103" s="101"/>
      <c r="J103" s="19"/>
      <c r="K103" s="19"/>
    </row>
    <row r="104" spans="1:11" s="18" customFormat="1" hidden="1">
      <c r="A104" s="82" t="s">
        <v>159</v>
      </c>
      <c r="B104" s="82"/>
      <c r="C104" s="82"/>
      <c r="D104" s="82"/>
      <c r="E104" s="82"/>
      <c r="F104" s="101" t="s">
        <v>59</v>
      </c>
      <c r="G104" s="101"/>
      <c r="H104" s="101"/>
      <c r="J104" s="20"/>
      <c r="K104" s="20"/>
    </row>
    <row r="105" spans="1:11">
      <c r="A105" s="82" t="s">
        <v>160</v>
      </c>
      <c r="B105" s="82"/>
      <c r="C105" s="82"/>
      <c r="D105" s="82"/>
      <c r="E105" s="82"/>
      <c r="F105" s="99" t="s">
        <v>153</v>
      </c>
      <c r="G105" s="99"/>
      <c r="H105" s="99"/>
      <c r="J105" s="20"/>
      <c r="K105" s="20"/>
    </row>
    <row r="106" spans="1:11" s="19" customFormat="1">
      <c r="A106" s="95" t="s">
        <v>161</v>
      </c>
      <c r="B106" s="95"/>
      <c r="C106" s="95"/>
      <c r="D106" s="95"/>
      <c r="E106" s="95"/>
      <c r="F106" s="101">
        <f>F94*0.8</f>
        <v>4720</v>
      </c>
      <c r="G106" s="101"/>
      <c r="H106" s="101"/>
      <c r="J106" s="20"/>
      <c r="K106" s="20"/>
    </row>
    <row r="107" spans="1:11" s="20" customFormat="1" ht="15.75" customHeight="1">
      <c r="A107" s="138" t="s">
        <v>162</v>
      </c>
      <c r="B107" s="138"/>
      <c r="C107" s="138"/>
      <c r="D107" s="138"/>
      <c r="E107" s="138"/>
      <c r="F107" s="138"/>
      <c r="G107" s="138"/>
      <c r="H107" s="138"/>
    </row>
    <row r="108" spans="1:11" s="20" customFormat="1" ht="15.75" customHeight="1">
      <c r="A108" s="139" t="s">
        <v>163</v>
      </c>
      <c r="B108" s="139"/>
      <c r="C108" s="46" t="s">
        <v>164</v>
      </c>
      <c r="D108" s="140" t="s">
        <v>165</v>
      </c>
      <c r="E108" s="140"/>
      <c r="F108" s="139" t="s">
        <v>166</v>
      </c>
      <c r="G108" s="139"/>
      <c r="H108" s="139"/>
    </row>
    <row r="109" spans="1:11" s="20" customFormat="1">
      <c r="A109" s="141" t="s">
        <v>167</v>
      </c>
      <c r="B109" s="141"/>
      <c r="C109" s="47">
        <f>COUNT(D121:D128)+COUNT(D130:D133)*2</f>
        <v>16</v>
      </c>
      <c r="D109" s="142">
        <f>SUM(D121:D128)+SUM(D130:D133)*2</f>
        <v>5665.1373324000006</v>
      </c>
      <c r="E109" s="142"/>
      <c r="F109" s="143">
        <f>SUM(F121:F128)+SUM(F130:F133)*2</f>
        <v>9064.2197318400013</v>
      </c>
      <c r="G109" s="144"/>
      <c r="H109" s="145"/>
    </row>
    <row r="110" spans="1:11" s="20" customFormat="1">
      <c r="A110" s="138" t="s">
        <v>168</v>
      </c>
      <c r="B110" s="138"/>
      <c r="C110" s="138"/>
      <c r="D110" s="138"/>
      <c r="E110" s="138"/>
      <c r="F110" s="138"/>
      <c r="G110" s="138"/>
      <c r="H110" s="138"/>
    </row>
    <row r="111" spans="1:11" s="20" customFormat="1">
      <c r="A111" s="139" t="s">
        <v>163</v>
      </c>
      <c r="B111" s="139"/>
      <c r="C111" s="46" t="s">
        <v>164</v>
      </c>
      <c r="D111" s="140" t="s">
        <v>165</v>
      </c>
      <c r="E111" s="140"/>
      <c r="F111" s="139" t="s">
        <v>166</v>
      </c>
      <c r="G111" s="139"/>
      <c r="H111" s="139"/>
    </row>
    <row r="112" spans="1:11" s="20" customFormat="1">
      <c r="A112" s="141" t="s">
        <v>167</v>
      </c>
      <c r="B112" s="141"/>
      <c r="C112" s="47">
        <f>COUNT(D134:D139)*2+COUNT(D141:D148)+COUNT(D150:D157)*2+COUNT(D159:D166)+COUNT(D168:D175)+COUNT(D178:D184)*2+COUNT(D186:D193)*4</f>
        <v>98</v>
      </c>
      <c r="D112" s="142">
        <f>SUM(D134:D139)*2+SUM(D141:D148)+SUM(D150:D157)*2+SUM(D159:D166)+SUM(D168:D175)+SUM(D178:D184)*2+SUM(D186:D193)*4</f>
        <v>36645.241463999999</v>
      </c>
      <c r="E112" s="142"/>
      <c r="F112" s="143">
        <f>SUM(F134:F139)*2+SUM(F141:F148)+SUM(F150:F157)*2+SUM(F159:F166)+SUM(F168:F175)+SUM(F178:F184)*2+SUM(F186:F193)*4</f>
        <v>57326.464179328003</v>
      </c>
      <c r="G112" s="144"/>
      <c r="H112" s="145"/>
      <c r="J112" s="19"/>
      <c r="K112" s="19"/>
    </row>
    <row r="113" spans="1:11" s="20" customFormat="1">
      <c r="A113" s="141" t="s">
        <v>169</v>
      </c>
      <c r="B113" s="141"/>
      <c r="C113" s="47">
        <f>COUNT(D197:D205)*2+COUNT(D207:D215)+COUNT(D217:D225)+COUNT(D227:D235)*2+COUNT(D237:D245)+COUNT(D247,D249:D255)*2+COUNT(D257:D265)*4</f>
        <v>115</v>
      </c>
      <c r="D113" s="142">
        <f>SUM(D197:D205)*2+SUM(D207:D215)+SUM(D217:D225)+SUM(D227:D235)*2+SUM(D237:D245)+SUM(D247,D249:D255)*2+SUM(D257:D265)*4</f>
        <v>38789.723957999995</v>
      </c>
      <c r="E113" s="142"/>
      <c r="F113" s="143">
        <f>SUM(F197:F205)*2+SUM(F207:F215)+SUM(F217:F225)+SUM(F227:F235)*2+SUM(F237:F245)+SUM(F247,F249:F255)*2+SUM(F257:F265)*4</f>
        <v>60750</v>
      </c>
      <c r="G113" s="144"/>
      <c r="H113" s="145"/>
      <c r="J113" s="24"/>
      <c r="K113" s="24"/>
    </row>
    <row r="114" spans="1:11" s="20" customFormat="1">
      <c r="A114" s="138" t="s">
        <v>170</v>
      </c>
      <c r="B114" s="138"/>
      <c r="C114" s="48">
        <f>SUM(C112:C113)</f>
        <v>213</v>
      </c>
      <c r="D114" s="146">
        <f>SUM(D112:D113)</f>
        <v>75434.965421999994</v>
      </c>
      <c r="E114" s="146"/>
      <c r="F114" s="139">
        <f>SUM(F112:F113)</f>
        <v>118076.464179328</v>
      </c>
      <c r="G114" s="139"/>
      <c r="H114" s="139"/>
      <c r="J114" s="24"/>
      <c r="K114" s="24"/>
    </row>
    <row r="115" spans="1:11" s="20" customFormat="1">
      <c r="A115" s="138" t="s">
        <v>171</v>
      </c>
      <c r="B115" s="138"/>
      <c r="C115" s="48">
        <f>C109+C114</f>
        <v>229</v>
      </c>
      <c r="D115" s="146">
        <f>D109+D114</f>
        <v>81100.102754399995</v>
      </c>
      <c r="E115" s="146"/>
      <c r="F115" s="139">
        <f>F109+F114</f>
        <v>127140.683911168</v>
      </c>
      <c r="G115" s="139"/>
      <c r="H115" s="139"/>
      <c r="J115" s="24"/>
      <c r="K115" s="24"/>
    </row>
    <row r="116" spans="1:11" s="19" customFormat="1">
      <c r="A116" s="147" t="s">
        <v>172</v>
      </c>
      <c r="B116" s="147"/>
      <c r="C116" s="147"/>
      <c r="D116" s="147"/>
      <c r="E116" s="147"/>
      <c r="F116" s="147"/>
      <c r="G116" s="147"/>
      <c r="H116" s="147"/>
      <c r="J116" s="21"/>
      <c r="K116" s="21"/>
    </row>
    <row r="117" spans="1:11">
      <c r="A117" s="147" t="s">
        <v>173</v>
      </c>
      <c r="B117" s="147"/>
      <c r="C117" s="147"/>
      <c r="D117" s="147"/>
      <c r="E117" s="147"/>
      <c r="F117" s="147"/>
      <c r="G117" s="147"/>
      <c r="H117" s="147"/>
      <c r="J117" s="21"/>
      <c r="K117" s="21"/>
    </row>
    <row r="118" spans="1:11" ht="47.25" customHeight="1">
      <c r="A118" s="148" t="s">
        <v>174</v>
      </c>
      <c r="B118" s="148"/>
      <c r="C118" s="49" t="s">
        <v>175</v>
      </c>
      <c r="D118" s="49" t="s">
        <v>176</v>
      </c>
      <c r="E118" s="50" t="s">
        <v>177</v>
      </c>
      <c r="F118" s="49" t="s">
        <v>178</v>
      </c>
      <c r="G118" s="148" t="s">
        <v>179</v>
      </c>
      <c r="H118" s="148"/>
      <c r="J118" s="21"/>
      <c r="K118" s="21"/>
    </row>
    <row r="119" spans="1:11" s="21" customFormat="1">
      <c r="A119" s="149" t="s">
        <v>167</v>
      </c>
      <c r="B119" s="149"/>
      <c r="C119" s="149"/>
      <c r="D119" s="149"/>
      <c r="E119" s="149"/>
      <c r="F119" s="149"/>
      <c r="G119" s="149"/>
      <c r="H119" s="149"/>
    </row>
    <row r="120" spans="1:11" s="21" customFormat="1">
      <c r="A120" s="149" t="s">
        <v>180</v>
      </c>
      <c r="B120" s="149"/>
      <c r="C120" s="149"/>
      <c r="D120" s="149"/>
      <c r="E120" s="149"/>
      <c r="F120" s="149"/>
      <c r="G120" s="149"/>
      <c r="H120" s="149"/>
    </row>
    <row r="121" spans="1:11" s="21" customFormat="1">
      <c r="A121" s="150" t="s">
        <v>181</v>
      </c>
      <c r="B121" s="151"/>
      <c r="C121" s="51" t="s">
        <v>182</v>
      </c>
      <c r="D121" s="51">
        <f>(2.75*6.9+1.1*1.35+1.5*1.2)*10.764</f>
        <v>239.60664</v>
      </c>
      <c r="E121" s="51">
        <v>0</v>
      </c>
      <c r="F121" s="51">
        <f>D121*1.6</f>
        <v>383.37062400000002</v>
      </c>
      <c r="G121" s="154" t="s">
        <v>183</v>
      </c>
      <c r="H121" s="155"/>
      <c r="J121" s="21">
        <f>F121/D121</f>
        <v>1.6</v>
      </c>
    </row>
    <row r="122" spans="1:11" s="21" customFormat="1">
      <c r="A122" s="150" t="s">
        <v>184</v>
      </c>
      <c r="B122" s="151"/>
      <c r="C122" s="51" t="s">
        <v>182</v>
      </c>
      <c r="D122" s="51">
        <f>(2.75*6.85+1.5*1.2+1.1*1.35)*10.764</f>
        <v>238.12658999999996</v>
      </c>
      <c r="E122" s="51">
        <v>0</v>
      </c>
      <c r="F122" s="51">
        <f t="shared" ref="F122:F128" si="0">D122*1.6</f>
        <v>381.00254399999994</v>
      </c>
      <c r="G122" s="156"/>
      <c r="H122" s="157"/>
      <c r="J122" s="21">
        <f t="shared" ref="J122:J134" si="1">F122/D122</f>
        <v>1.6</v>
      </c>
    </row>
    <row r="123" spans="1:11" s="21" customFormat="1">
      <c r="A123" s="150" t="s">
        <v>185</v>
      </c>
      <c r="B123" s="151"/>
      <c r="C123" s="51" t="s">
        <v>182</v>
      </c>
      <c r="D123" s="51">
        <f>(2.31*6.9+1.5*1.2)*10.764</f>
        <v>190.94259600000001</v>
      </c>
      <c r="E123" s="51">
        <v>0</v>
      </c>
      <c r="F123" s="51">
        <f t="shared" si="0"/>
        <v>305.50815360000001</v>
      </c>
      <c r="G123" s="156"/>
      <c r="H123" s="157"/>
      <c r="J123" s="21">
        <f t="shared" si="1"/>
        <v>1.6</v>
      </c>
    </row>
    <row r="124" spans="1:11" s="21" customFormat="1">
      <c r="A124" s="150" t="s">
        <v>186</v>
      </c>
      <c r="B124" s="151"/>
      <c r="C124" s="51" t="s">
        <v>182</v>
      </c>
      <c r="D124" s="51">
        <f>(2.9*6.9+1.5*1.2+1.25*1.35)*10.764</f>
        <v>252.92709000000002</v>
      </c>
      <c r="E124" s="51">
        <v>0</v>
      </c>
      <c r="F124" s="51">
        <f t="shared" si="0"/>
        <v>404.68334400000003</v>
      </c>
      <c r="G124" s="156"/>
      <c r="H124" s="157"/>
      <c r="J124" s="21">
        <f t="shared" si="1"/>
        <v>1.6</v>
      </c>
    </row>
    <row r="125" spans="1:11" s="21" customFormat="1">
      <c r="A125" s="150" t="s">
        <v>187</v>
      </c>
      <c r="B125" s="151"/>
      <c r="C125" s="51" t="s">
        <v>182</v>
      </c>
      <c r="D125" s="51">
        <f>(2.9*6.9+1.5*1.2+1.25*1.35)*10.764</f>
        <v>252.92709000000002</v>
      </c>
      <c r="E125" s="51">
        <v>0</v>
      </c>
      <c r="F125" s="51">
        <f t="shared" si="0"/>
        <v>404.68334400000003</v>
      </c>
      <c r="G125" s="156"/>
      <c r="H125" s="157"/>
      <c r="J125" s="21">
        <f t="shared" si="1"/>
        <v>1.6</v>
      </c>
    </row>
    <row r="126" spans="1:11" s="21" customFormat="1">
      <c r="A126" s="150" t="s">
        <v>188</v>
      </c>
      <c r="B126" s="151"/>
      <c r="C126" s="51" t="s">
        <v>182</v>
      </c>
      <c r="D126" s="51">
        <f>(2.13*6.9+1.5*1.2)*10.764</f>
        <v>177.57370799999998</v>
      </c>
      <c r="E126" s="51">
        <v>0</v>
      </c>
      <c r="F126" s="51">
        <f t="shared" si="0"/>
        <v>284.11793280000001</v>
      </c>
      <c r="G126" s="156"/>
      <c r="H126" s="157"/>
      <c r="J126" s="21">
        <f t="shared" si="1"/>
        <v>1.6</v>
      </c>
    </row>
    <row r="127" spans="1:11" s="21" customFormat="1">
      <c r="A127" s="150" t="s">
        <v>189</v>
      </c>
      <c r="B127" s="151"/>
      <c r="C127" s="51" t="s">
        <v>182</v>
      </c>
      <c r="D127" s="51">
        <f>(2.75*6.9+1.5*1.2+1.1*1.35)*10.764</f>
        <v>239.60664</v>
      </c>
      <c r="E127" s="51">
        <v>0</v>
      </c>
      <c r="F127" s="51">
        <f t="shared" si="0"/>
        <v>383.37062400000002</v>
      </c>
      <c r="G127" s="156"/>
      <c r="H127" s="157"/>
      <c r="J127" s="21">
        <f t="shared" si="1"/>
        <v>1.6</v>
      </c>
    </row>
    <row r="128" spans="1:11" s="21" customFormat="1">
      <c r="A128" s="150" t="s">
        <v>190</v>
      </c>
      <c r="B128" s="151"/>
      <c r="C128" s="51" t="s">
        <v>182</v>
      </c>
      <c r="D128" s="51">
        <f>(2.74*6.9+1.5*1.2+1.1*1.35)*10.764</f>
        <v>238.86392400000003</v>
      </c>
      <c r="E128" s="51">
        <v>0</v>
      </c>
      <c r="F128" s="51">
        <f t="shared" si="0"/>
        <v>382.18227840000009</v>
      </c>
      <c r="G128" s="158"/>
      <c r="H128" s="159"/>
      <c r="J128" s="21">
        <f t="shared" si="1"/>
        <v>1.6</v>
      </c>
    </row>
    <row r="129" spans="1:10" s="21" customFormat="1">
      <c r="A129" s="149" t="s">
        <v>191</v>
      </c>
      <c r="B129" s="149"/>
      <c r="C129" s="149"/>
      <c r="D129" s="149"/>
      <c r="E129" s="149"/>
      <c r="F129" s="149"/>
      <c r="G129" s="149"/>
      <c r="H129" s="149"/>
      <c r="J129" s="21" t="e">
        <f t="shared" si="1"/>
        <v>#DIV/0!</v>
      </c>
    </row>
    <row r="130" spans="1:10" s="21" customFormat="1">
      <c r="A130" s="150" t="s">
        <v>181</v>
      </c>
      <c r="B130" s="151"/>
      <c r="C130" s="51" t="s">
        <v>182</v>
      </c>
      <c r="D130" s="51">
        <f>(7.86*8.24)*10.764</f>
        <v>697.14552960000003</v>
      </c>
      <c r="E130" s="51">
        <v>0</v>
      </c>
      <c r="F130" s="51">
        <f>D130*1.6</f>
        <v>1115.4328473600001</v>
      </c>
      <c r="G130" s="154" t="str">
        <f>A129</f>
        <v>1st &amp; 2nd Floor For Residential &amp; Commercial</v>
      </c>
      <c r="H130" s="155"/>
      <c r="J130" s="21">
        <f t="shared" si="1"/>
        <v>1.6</v>
      </c>
    </row>
    <row r="131" spans="1:10" s="21" customFormat="1">
      <c r="A131" s="150" t="s">
        <v>184</v>
      </c>
      <c r="B131" s="151"/>
      <c r="C131" s="51" t="s">
        <v>182</v>
      </c>
      <c r="D131" s="51">
        <f>(6.03*8.24)*10.764</f>
        <v>534.83302079999999</v>
      </c>
      <c r="E131" s="51">
        <v>0</v>
      </c>
      <c r="F131" s="51">
        <f t="shared" ref="F131:F133" si="2">D131*1.6</f>
        <v>855.73283328000002</v>
      </c>
      <c r="G131" s="156"/>
      <c r="H131" s="157"/>
      <c r="J131" s="21">
        <f t="shared" si="1"/>
        <v>1.6</v>
      </c>
    </row>
    <row r="132" spans="1:10" s="21" customFormat="1">
      <c r="A132" s="150" t="s">
        <v>185</v>
      </c>
      <c r="B132" s="151"/>
      <c r="C132" s="51" t="s">
        <v>182</v>
      </c>
      <c r="D132" s="51">
        <f>(4.94*8.24)*10.764</f>
        <v>438.15507840000004</v>
      </c>
      <c r="E132" s="51">
        <v>0</v>
      </c>
      <c r="F132" s="51">
        <f t="shared" si="2"/>
        <v>701.04812544000015</v>
      </c>
      <c r="G132" s="156"/>
      <c r="H132" s="157"/>
      <c r="J132" s="21">
        <f t="shared" si="1"/>
        <v>1.6000000000000003</v>
      </c>
    </row>
    <row r="133" spans="1:10" s="21" customFormat="1">
      <c r="A133" s="150" t="s">
        <v>186</v>
      </c>
      <c r="B133" s="151"/>
      <c r="C133" s="51" t="s">
        <v>182</v>
      </c>
      <c r="D133" s="51">
        <f>(2.84*6.89+1.18*1.35+1.5*1.2)*10.764</f>
        <v>247.14789839999997</v>
      </c>
      <c r="E133" s="51">
        <v>0</v>
      </c>
      <c r="F133" s="51">
        <f t="shared" si="2"/>
        <v>395.43663743999997</v>
      </c>
      <c r="G133" s="156"/>
      <c r="H133" s="157"/>
      <c r="J133" s="21">
        <f t="shared" si="1"/>
        <v>1.6</v>
      </c>
    </row>
    <row r="134" spans="1:10" s="21" customFormat="1">
      <c r="A134" s="151" t="s">
        <v>192</v>
      </c>
      <c r="B134" s="151"/>
      <c r="C134" s="51" t="s">
        <v>193</v>
      </c>
      <c r="D134" s="51">
        <f>(3.25*2.75+2.52*2.15+1.5*1.2+1.2*0.9+1*1.5+2.15*0.9+2.75*0.75+2.75*0.6)*10.764</f>
        <v>262.45861199999996</v>
      </c>
      <c r="E134" s="51">
        <v>0</v>
      </c>
      <c r="F134" s="51">
        <v>410</v>
      </c>
      <c r="G134" s="156"/>
      <c r="H134" s="157"/>
      <c r="I134" s="21">
        <f>2200000/F134</f>
        <v>5365.8536585365855</v>
      </c>
      <c r="J134" s="21">
        <f t="shared" si="1"/>
        <v>1.5621510640313836</v>
      </c>
    </row>
    <row r="135" spans="1:10" s="21" customFormat="1">
      <c r="A135" s="152" t="s">
        <v>194</v>
      </c>
      <c r="B135" s="153"/>
      <c r="C135" s="51" t="s">
        <v>193</v>
      </c>
      <c r="D135" s="51">
        <f>(3.25*2.75+2.52*2.15+1.5*1.2+1.2*0.9+1*1.5+2.15*0.9+2.75*0.75+2.75*0.6)*10.764</f>
        <v>262.45861199999996</v>
      </c>
      <c r="E135" s="51">
        <v>0</v>
      </c>
      <c r="F135" s="51">
        <v>410</v>
      </c>
      <c r="G135" s="156"/>
      <c r="H135" s="157"/>
      <c r="J135" s="21">
        <f t="shared" ref="J135:J198" si="3">F135/D135</f>
        <v>1.5621510640313836</v>
      </c>
    </row>
    <row r="136" spans="1:10" s="21" customFormat="1">
      <c r="A136" s="152" t="s">
        <v>195</v>
      </c>
      <c r="B136" s="153"/>
      <c r="C136" s="51" t="s">
        <v>193</v>
      </c>
      <c r="D136" s="51">
        <f>(3.25*2.75+2.52*2.15+1.5*1.2+1.2*0.9+1*1.5+2.15*0.9+2.75*0.75+2.75*0.6)*10.764</f>
        <v>262.45861199999996</v>
      </c>
      <c r="E136" s="51">
        <v>0</v>
      </c>
      <c r="F136" s="51">
        <v>410</v>
      </c>
      <c r="G136" s="156"/>
      <c r="H136" s="157"/>
      <c r="J136" s="21">
        <f t="shared" si="3"/>
        <v>1.5621510640313836</v>
      </c>
    </row>
    <row r="137" spans="1:10" s="21" customFormat="1">
      <c r="A137" s="152" t="s">
        <v>196</v>
      </c>
      <c r="B137" s="153"/>
      <c r="C137" s="51" t="s">
        <v>197</v>
      </c>
      <c r="D137" s="51">
        <f>(3.25*2.75+1.75*0.6+1*0.6+2.55*2.1+2.55*2.1+2.74*2.74+2.32*0.6+1.25*1.2+1.52*1.22+0.9*2.1+1.22*0.64+0.75*(2.75+2.74)+0.9*2.1)*10.764</f>
        <v>454.56156719999996</v>
      </c>
      <c r="E137" s="51">
        <v>0</v>
      </c>
      <c r="F137" s="51">
        <f>1.56*D137</f>
        <v>709.11604483199994</v>
      </c>
      <c r="G137" s="156"/>
      <c r="H137" s="157"/>
      <c r="I137" s="21">
        <f>(3.25*2.75+1.75*0.6+1*0.6+2.55*2.1+2.55*2.1+2.74*2.74+2.32*0.6+1.25*1.2+1.52*1.22+0.9*2.1+1.22*0.64+0.75*(2.75+2.74)+0.9*2.1)*10.764</f>
        <v>454.56156719999996</v>
      </c>
      <c r="J137" s="21">
        <f t="shared" si="3"/>
        <v>1.56</v>
      </c>
    </row>
    <row r="138" spans="1:10" s="21" customFormat="1">
      <c r="A138" s="152" t="s">
        <v>198</v>
      </c>
      <c r="B138" s="153"/>
      <c r="C138" s="51" t="s">
        <v>197</v>
      </c>
      <c r="D138" s="51">
        <f>(3.25*2.75+1.75*0.6+1*0.6+2.55*2.1+2.55*2.1+2.74*2.74+2.32*0.6+1.25*1.2+1.52*1.22+0.9*2.1+1.22*0.64+0.75*(2.75+2.74)+0.9*2.1)*10.764</f>
        <v>454.56156719999996</v>
      </c>
      <c r="E138" s="51">
        <v>0</v>
      </c>
      <c r="F138" s="51">
        <f>1.56*D138</f>
        <v>709.11604483199994</v>
      </c>
      <c r="G138" s="156"/>
      <c r="H138" s="157"/>
      <c r="J138" s="21">
        <f t="shared" si="3"/>
        <v>1.56</v>
      </c>
    </row>
    <row r="139" spans="1:10" s="21" customFormat="1">
      <c r="A139" s="152" t="s">
        <v>199</v>
      </c>
      <c r="B139" s="153"/>
      <c r="C139" s="51" t="s">
        <v>193</v>
      </c>
      <c r="D139" s="51">
        <f>(3.25*2.75+2.52*2.15+1.5*1.2+1.2*0.9+1*1.5+2.15*0.9+2.75*0.75+2.75*0.6)*10.764</f>
        <v>262.45861199999996</v>
      </c>
      <c r="E139" s="51">
        <v>0</v>
      </c>
      <c r="F139" s="51">
        <v>410</v>
      </c>
      <c r="G139" s="158"/>
      <c r="H139" s="159"/>
      <c r="I139" s="21">
        <f>(3.25*2.75+1.75*0.6+1*0.6+2.52*2.15+1.5*1.2+1.2*0.9+1.5*0.9+0.75*2.75+0.9*2.15)*10.764</f>
        <v>260.84401199999996</v>
      </c>
      <c r="J139" s="21">
        <f t="shared" si="3"/>
        <v>1.5621510640313836</v>
      </c>
    </row>
    <row r="140" spans="1:10" s="21" customFormat="1">
      <c r="A140" s="149" t="s">
        <v>200</v>
      </c>
      <c r="B140" s="149"/>
      <c r="C140" s="149"/>
      <c r="D140" s="149"/>
      <c r="E140" s="149"/>
      <c r="F140" s="149"/>
      <c r="G140" s="149"/>
      <c r="H140" s="149"/>
      <c r="J140" s="21" t="e">
        <f t="shared" si="3"/>
        <v>#DIV/0!</v>
      </c>
    </row>
    <row r="141" spans="1:10" s="21" customFormat="1">
      <c r="A141" s="151">
        <v>301</v>
      </c>
      <c r="B141" s="151"/>
      <c r="C141" s="51" t="s">
        <v>193</v>
      </c>
      <c r="D141" s="51">
        <f>(3.7*2.75+2.52*2.15+1.2*0.9+1.5*1.2+1.5*0.9+2.75*0.75+2.15*0.9)*10.764</f>
        <v>256.403862</v>
      </c>
      <c r="E141" s="51">
        <v>0</v>
      </c>
      <c r="F141" s="51">
        <v>410</v>
      </c>
      <c r="G141" s="154" t="str">
        <f>A140</f>
        <v>3rd Floor</v>
      </c>
      <c r="H141" s="155"/>
      <c r="J141" s="21">
        <f t="shared" si="3"/>
        <v>1.5990398771762651</v>
      </c>
    </row>
    <row r="142" spans="1:10" s="21" customFormat="1">
      <c r="A142" s="151">
        <v>302</v>
      </c>
      <c r="B142" s="151"/>
      <c r="C142" s="51" t="s">
        <v>201</v>
      </c>
      <c r="D142" s="51">
        <f>(2.9*4.04+2.73*1.68+2.4*0.6+0.6*2.06+2.13*2.74+2.75*2.74+2.75*2.9+0.6*2.4+2.13*1.3+1.3*2.13+0.9*4.8)*10.764</f>
        <v>555.66566639999985</v>
      </c>
      <c r="E142" s="51">
        <f>(11.86*2.08+2.9*1.44+2.9*1)*10.764</f>
        <v>341.70102719999994</v>
      </c>
      <c r="F142" s="51">
        <v>935</v>
      </c>
      <c r="G142" s="156"/>
      <c r="H142" s="157"/>
      <c r="I142" s="21">
        <f>(2.9*4.04+2.73*1.68+2.4*0.6+0.6*2.06+2.13*2.74+2.75*2.74+2.75*2.9+0.6*2.4+2.13*1.3+1.3*2.13+0.9*4.8)*10.764</f>
        <v>555.66566639999985</v>
      </c>
      <c r="J142" s="21">
        <f t="shared" si="3"/>
        <v>1.6826664963081122</v>
      </c>
    </row>
    <row r="143" spans="1:10" s="21" customFormat="1">
      <c r="A143" s="151">
        <v>303</v>
      </c>
      <c r="B143" s="151"/>
      <c r="C143" s="51" t="s">
        <v>201</v>
      </c>
      <c r="D143" s="51">
        <f>(2.9*4.04+2.73*1.68+2.4*0.6+0.6*2.06+2.13*2.74+2.75*2.74+2.75*2.9+0.6*2.4+2.13*1.3+1.3*2.13+0.9*4.8)*10.764</f>
        <v>555.66566639999985</v>
      </c>
      <c r="E143" s="51">
        <f>(11.86*2.08+2.9*1.44+2.9*1+2.9*1.44+2.88*3.68+2.4*3.04)*10.764</f>
        <v>579.26681279999991</v>
      </c>
      <c r="F143" s="51">
        <v>935</v>
      </c>
      <c r="G143" s="156"/>
      <c r="H143" s="157"/>
      <c r="J143" s="21">
        <f t="shared" si="3"/>
        <v>1.6826664963081122</v>
      </c>
    </row>
    <row r="144" spans="1:10" s="21" customFormat="1">
      <c r="A144" s="151">
        <v>304</v>
      </c>
      <c r="B144" s="151"/>
      <c r="C144" s="51" t="s">
        <v>193</v>
      </c>
      <c r="D144" s="51">
        <f>(3.7*2.75+2.52*2.15+1.5*1.2+1.2*0.9+0.9*1.5+2.75*0.75+2.15*0.9)*10.764</f>
        <v>256.40386199999995</v>
      </c>
      <c r="E144" s="51">
        <v>0</v>
      </c>
      <c r="F144" s="51">
        <v>410</v>
      </c>
      <c r="G144" s="156"/>
      <c r="H144" s="157"/>
      <c r="J144" s="21">
        <f t="shared" si="3"/>
        <v>1.5990398771762653</v>
      </c>
    </row>
    <row r="145" spans="1:10" s="21" customFormat="1">
      <c r="A145" s="151">
        <v>305</v>
      </c>
      <c r="B145" s="151"/>
      <c r="C145" s="51" t="s">
        <v>193</v>
      </c>
      <c r="D145" s="51">
        <f>(3.7*2.75+2.52*2.15+1.5*1.2+1.2*0.9+0.9*1.5+2.75*0.75+2.15*0.9)*10.764</f>
        <v>256.40386199999995</v>
      </c>
      <c r="E145" s="51">
        <v>0</v>
      </c>
      <c r="F145" s="51">
        <v>410</v>
      </c>
      <c r="G145" s="156"/>
      <c r="H145" s="157"/>
      <c r="J145" s="21">
        <f t="shared" si="3"/>
        <v>1.5990398771762653</v>
      </c>
    </row>
    <row r="146" spans="1:10" s="21" customFormat="1">
      <c r="A146" s="151">
        <v>306</v>
      </c>
      <c r="B146" s="151"/>
      <c r="C146" s="51" t="s">
        <v>197</v>
      </c>
      <c r="D146" s="51">
        <f>(3.25*2.75+1.75*0.6+1*0.6+2.56*2.1+2.74*2.74+0.6*2.33+1.25*1.22+1.52*1.22+2.1*0.9+0.96*1.22+0.75*(2.75+2.74)+0.9*2.1)*10.764</f>
        <v>401.68234079999996</v>
      </c>
      <c r="E146" s="51">
        <v>0</v>
      </c>
      <c r="F146" s="51">
        <v>610</v>
      </c>
      <c r="G146" s="156"/>
      <c r="H146" s="157"/>
      <c r="I146" s="21">
        <f>(3.25*2.75+1.75*0.6+1*0.6+2.56*2.1+2.74*2.74+0.6*2.33+1.25*1.22+1.52*1.22+2.1*0.9+0.96*1.22+0.75*(2.75+2.74)+0.9*2.1)*10.764</f>
        <v>401.68234079999996</v>
      </c>
      <c r="J146" s="21">
        <f t="shared" si="3"/>
        <v>1.5186129387343983</v>
      </c>
    </row>
    <row r="147" spans="1:10" s="21" customFormat="1">
      <c r="A147" s="151">
        <v>307</v>
      </c>
      <c r="B147" s="151"/>
      <c r="C147" s="51" t="s">
        <v>197</v>
      </c>
      <c r="D147" s="51">
        <f>(3.25*2.75+1.75*0.6+1*0.6+2.56*2.1+2.74*2.74+0.6*2.33+1.25*1.22+1.52*1.22+2.1*0.9+0.96*1.22+0.75*(2.75+2.74)+0.9*2.1)*10.764</f>
        <v>401.68234079999996</v>
      </c>
      <c r="E147" s="51">
        <v>0</v>
      </c>
      <c r="F147" s="51">
        <v>610</v>
      </c>
      <c r="G147" s="156"/>
      <c r="H147" s="157"/>
      <c r="J147" s="21">
        <f t="shared" si="3"/>
        <v>1.5186129387343983</v>
      </c>
    </row>
    <row r="148" spans="1:10" s="21" customFormat="1">
      <c r="A148" s="151">
        <v>308</v>
      </c>
      <c r="B148" s="151"/>
      <c r="C148" s="51" t="s">
        <v>193</v>
      </c>
      <c r="D148" s="51">
        <f>(3.7*2.75+2.52*2.15+1.5*1.2+1.2*0.9+0.9*1.5+2.75*0.75+2.15*0.9)*10.764</f>
        <v>256.40386199999995</v>
      </c>
      <c r="E148" s="51">
        <v>0</v>
      </c>
      <c r="F148" s="51">
        <v>410</v>
      </c>
      <c r="G148" s="156"/>
      <c r="H148" s="157"/>
      <c r="J148" s="21">
        <f t="shared" si="3"/>
        <v>1.5990398771762653</v>
      </c>
    </row>
    <row r="149" spans="1:10" s="21" customFormat="1">
      <c r="A149" s="149" t="s">
        <v>202</v>
      </c>
      <c r="B149" s="149"/>
      <c r="C149" s="149"/>
      <c r="D149" s="149"/>
      <c r="E149" s="149"/>
      <c r="F149" s="149"/>
      <c r="G149" s="149"/>
      <c r="H149" s="149"/>
      <c r="J149" s="21" t="e">
        <f t="shared" si="3"/>
        <v>#DIV/0!</v>
      </c>
    </row>
    <row r="150" spans="1:10" s="21" customFormat="1">
      <c r="A150" s="150" t="s">
        <v>203</v>
      </c>
      <c r="B150" s="151"/>
      <c r="C150" s="51" t="s">
        <v>193</v>
      </c>
      <c r="D150" s="51">
        <f>(3.7*2.75+2.52*2.15+1.2*0.9+1.5*1.2+1.5*0.9+2.75*0.75+2.15*0.9)*10.764</f>
        <v>256.403862</v>
      </c>
      <c r="E150" s="51">
        <v>0</v>
      </c>
      <c r="F150" s="51">
        <v>410</v>
      </c>
      <c r="G150" s="154" t="str">
        <f>A149</f>
        <v>4th &amp; 6th Floor</v>
      </c>
      <c r="H150" s="155"/>
      <c r="J150" s="21">
        <f t="shared" si="3"/>
        <v>1.5990398771762651</v>
      </c>
    </row>
    <row r="151" spans="1:10" s="21" customFormat="1">
      <c r="A151" s="150" t="s">
        <v>204</v>
      </c>
      <c r="B151" s="151"/>
      <c r="C151" s="51" t="s">
        <v>201</v>
      </c>
      <c r="D151" s="61">
        <f>(2.9*4.04+2.73*1.68+2.4*0.6+0.6*1.92+2.13*2.74+2.75*2.74+2.75*2.9+2.4*0.6+2.13*1.3+1.3*2.13+0.9*4+0.5*(2.9+2.13+2.75+2.75))*10.764</f>
        <v>603.68387040000005</v>
      </c>
      <c r="E151" s="51">
        <v>0</v>
      </c>
      <c r="F151" s="51">
        <v>935</v>
      </c>
      <c r="G151" s="156"/>
      <c r="H151" s="157"/>
      <c r="I151" s="21">
        <f>(2.9*4.04+2.73*1.68+2.4*0.6+0.6*1.92+2.13*2.74+2.75*2.74+2.75*2.9+2.4*0.6+2.13*1.3+1.3*2.13+0.9*4+0.5*(2.9+2.13+2.75+2.75))*10.764</f>
        <v>603.68387040000005</v>
      </c>
      <c r="J151" s="21">
        <f t="shared" si="3"/>
        <v>1.5488238891996078</v>
      </c>
    </row>
    <row r="152" spans="1:10" s="21" customFormat="1">
      <c r="A152" s="150" t="s">
        <v>205</v>
      </c>
      <c r="B152" s="151"/>
      <c r="C152" s="51" t="s">
        <v>201</v>
      </c>
      <c r="D152" s="62">
        <f>(2.9*4.04+2.73*1.68+2.4*0.6+0.6*1.92+2.13*2.74+2.75*2.74+2.75*2.9+2.4*0.6+2.13*1.3+1.3*2.13+0.9*4+0.5*(2.9+2.13+2.75+2.75))*10.764</f>
        <v>603.68387040000005</v>
      </c>
      <c r="E152" s="51">
        <v>0</v>
      </c>
      <c r="F152" s="51">
        <v>935</v>
      </c>
      <c r="G152" s="156"/>
      <c r="H152" s="157"/>
      <c r="J152" s="21">
        <f t="shared" si="3"/>
        <v>1.5488238891996078</v>
      </c>
    </row>
    <row r="153" spans="1:10" s="21" customFormat="1">
      <c r="A153" s="150" t="s">
        <v>206</v>
      </c>
      <c r="B153" s="151"/>
      <c r="C153" s="51" t="s">
        <v>193</v>
      </c>
      <c r="D153" s="51">
        <f>(3.7*2.75+2.52*2.15+1.5*1.2+1.2*0.9+0.9*1.5+2.75*0.75+2.15*0.9)*10.764</f>
        <v>256.40386199999995</v>
      </c>
      <c r="E153" s="51">
        <v>0</v>
      </c>
      <c r="F153" s="51">
        <v>410</v>
      </c>
      <c r="G153" s="156"/>
      <c r="H153" s="157"/>
      <c r="J153" s="21">
        <f t="shared" si="3"/>
        <v>1.5990398771762653</v>
      </c>
    </row>
    <row r="154" spans="1:10" s="21" customFormat="1">
      <c r="A154" s="150" t="s">
        <v>207</v>
      </c>
      <c r="B154" s="151"/>
      <c r="C154" s="51" t="s">
        <v>193</v>
      </c>
      <c r="D154" s="51">
        <f>(3.7*2.75+2.52*2.15+1.5*1.2+1.2*0.9+0.9*1.5+2.75*0.75+2.15*0.9)*10.764</f>
        <v>256.40386199999995</v>
      </c>
      <c r="E154" s="51">
        <v>0</v>
      </c>
      <c r="F154" s="51">
        <v>410</v>
      </c>
      <c r="G154" s="156"/>
      <c r="H154" s="157"/>
      <c r="J154" s="21">
        <f t="shared" si="3"/>
        <v>1.5990398771762653</v>
      </c>
    </row>
    <row r="155" spans="1:10" s="21" customFormat="1">
      <c r="A155" s="150" t="s">
        <v>208</v>
      </c>
      <c r="B155" s="151"/>
      <c r="C155" s="51" t="s">
        <v>197</v>
      </c>
      <c r="D155" s="51">
        <f>(3.25*2.75+1.75*0.6+1*0.6+2.56*2.1+2.74*2.74+0.6*2.33+1.25*1.22+1.52*1.22+2.1*0.9+0.96*1.22+0.75*(2.75+2.74)+0.9*2.1)*10.764</f>
        <v>401.68234079999996</v>
      </c>
      <c r="E155" s="51">
        <v>0</v>
      </c>
      <c r="F155" s="51">
        <v>610</v>
      </c>
      <c r="G155" s="156"/>
      <c r="H155" s="157"/>
      <c r="J155" s="21">
        <f t="shared" si="3"/>
        <v>1.5186129387343983</v>
      </c>
    </row>
    <row r="156" spans="1:10" s="21" customFormat="1">
      <c r="A156" s="150" t="s">
        <v>209</v>
      </c>
      <c r="B156" s="151"/>
      <c r="C156" s="51" t="s">
        <v>197</v>
      </c>
      <c r="D156" s="51">
        <f>(3.25*2.75+1.75*0.6+1*0.6+2.56*2.1+2.74*2.74+0.6*2.33+1.25*1.22+1.52*1.22+2.1*0.9+0.96*1.22+0.75*(2.75+2.74)+0.9*2.1)*10.764</f>
        <v>401.68234079999996</v>
      </c>
      <c r="E156" s="51">
        <v>0</v>
      </c>
      <c r="F156" s="51">
        <v>610</v>
      </c>
      <c r="G156" s="156"/>
      <c r="H156" s="157"/>
      <c r="J156" s="21">
        <f t="shared" si="3"/>
        <v>1.5186129387343983</v>
      </c>
    </row>
    <row r="157" spans="1:10" s="21" customFormat="1">
      <c r="A157" s="150" t="s">
        <v>210</v>
      </c>
      <c r="B157" s="151"/>
      <c r="C157" s="51" t="s">
        <v>193</v>
      </c>
      <c r="D157" s="51">
        <f>(3.7*2.75+2.52*2.15+1.5*1.2+1.2*0.9+0.9*1.5+2.75*0.75+2.15*0.9)*10.764</f>
        <v>256.40386199999995</v>
      </c>
      <c r="E157" s="51">
        <v>0</v>
      </c>
      <c r="F157" s="51">
        <v>410</v>
      </c>
      <c r="G157" s="156"/>
      <c r="H157" s="157"/>
      <c r="J157" s="21">
        <f t="shared" si="3"/>
        <v>1.5990398771762653</v>
      </c>
    </row>
    <row r="158" spans="1:10" s="21" customFormat="1">
      <c r="A158" s="149" t="s">
        <v>211</v>
      </c>
      <c r="B158" s="149"/>
      <c r="C158" s="149"/>
      <c r="D158" s="149"/>
      <c r="E158" s="149"/>
      <c r="F158" s="149"/>
      <c r="G158" s="149"/>
      <c r="H158" s="149"/>
      <c r="J158" s="21" t="e">
        <f t="shared" si="3"/>
        <v>#DIV/0!</v>
      </c>
    </row>
    <row r="159" spans="1:10" s="21" customFormat="1">
      <c r="A159" s="151">
        <v>501</v>
      </c>
      <c r="B159" s="151"/>
      <c r="C159" s="51" t="s">
        <v>193</v>
      </c>
      <c r="D159" s="51">
        <f>(3.7*2.75+2.52*2.15+1.5*1.2+1.2*0.9+0.9*1.5+2.75*0.75+2.15*0.9)*10.764</f>
        <v>256.40386199999995</v>
      </c>
      <c r="E159" s="51">
        <v>0</v>
      </c>
      <c r="F159" s="51">
        <v>410</v>
      </c>
      <c r="G159" s="154" t="str">
        <f>A158</f>
        <v>5th Floor</v>
      </c>
      <c r="H159" s="155"/>
      <c r="J159" s="21">
        <f t="shared" si="3"/>
        <v>1.5990398771762653</v>
      </c>
    </row>
    <row r="160" spans="1:10" s="21" customFormat="1">
      <c r="A160" s="151">
        <v>502</v>
      </c>
      <c r="B160" s="151"/>
      <c r="C160" s="51" t="s">
        <v>201</v>
      </c>
      <c r="D160" s="51">
        <f>(2.9*4.04+0.7*2.13+2.13*2.74+2.75*2.74+2.75*2.9+2.13*1.3+1.3*2.13+2.75*1+2.13*1+2.9*0.75+2.13*0.6+2.97*0.75+2.75*0.9)*10.764</f>
        <v>571.85579879999989</v>
      </c>
      <c r="E160" s="51">
        <v>0</v>
      </c>
      <c r="F160" s="51">
        <v>935</v>
      </c>
      <c r="G160" s="156"/>
      <c r="H160" s="157"/>
      <c r="J160" s="21">
        <f t="shared" si="3"/>
        <v>1.6350275750670593</v>
      </c>
    </row>
    <row r="161" spans="1:10" s="21" customFormat="1">
      <c r="A161" s="151">
        <v>503</v>
      </c>
      <c r="B161" s="151"/>
      <c r="C161" s="51" t="s">
        <v>201</v>
      </c>
      <c r="D161" s="51">
        <f>(2.9*4.04+0.7*2.13+2.13*2.74+2.75*2.74+2.75*2.9+2.13*1.3+1.3*2.13+2.75*1+2.13*1+2.9*0.75+2.13*0.6+2.97*0.75+2.75*0.9)*10.764</f>
        <v>571.85579879999989</v>
      </c>
      <c r="E161" s="51">
        <v>0</v>
      </c>
      <c r="F161" s="51">
        <v>935</v>
      </c>
      <c r="G161" s="156"/>
      <c r="H161" s="157"/>
      <c r="J161" s="21">
        <f t="shared" si="3"/>
        <v>1.6350275750670593</v>
      </c>
    </row>
    <row r="162" spans="1:10" s="21" customFormat="1">
      <c r="A162" s="151">
        <v>504</v>
      </c>
      <c r="B162" s="151"/>
      <c r="C162" s="51" t="s">
        <v>193</v>
      </c>
      <c r="D162" s="51">
        <f>(3.7*2.75+2.52*2.15+1.5*1.2+1.2*0.9+0.9*1.5+2.75*0.75+2.15*0.9)*10.764</f>
        <v>256.40386199999995</v>
      </c>
      <c r="E162" s="51">
        <v>0</v>
      </c>
      <c r="F162" s="51">
        <v>410</v>
      </c>
      <c r="G162" s="156"/>
      <c r="H162" s="157"/>
      <c r="J162" s="21">
        <f t="shared" si="3"/>
        <v>1.5990398771762653</v>
      </c>
    </row>
    <row r="163" spans="1:10" s="21" customFormat="1">
      <c r="A163" s="151">
        <v>505</v>
      </c>
      <c r="B163" s="151"/>
      <c r="C163" s="51" t="s">
        <v>193</v>
      </c>
      <c r="D163" s="51">
        <f>(3.7*2.75+2.52*2.15+1.5*1.2+1.2*0.9+0.9*1.5+2.75*0.75+2.15*0.9)*10.764</f>
        <v>256.40386199999995</v>
      </c>
      <c r="E163" s="51">
        <v>0</v>
      </c>
      <c r="F163" s="51">
        <v>410</v>
      </c>
      <c r="G163" s="156"/>
      <c r="H163" s="157"/>
      <c r="J163" s="21">
        <f t="shared" si="3"/>
        <v>1.5990398771762653</v>
      </c>
    </row>
    <row r="164" spans="1:10" s="21" customFormat="1">
      <c r="A164" s="151">
        <v>506</v>
      </c>
      <c r="B164" s="151"/>
      <c r="C164" s="51" t="s">
        <v>197</v>
      </c>
      <c r="D164" s="51">
        <f>(3.25*2.75+1.75*0.6+1*0.6+2.56*2.1+2.74*2.74+0.6*2.33+1.25*1.22+1.52*1.22+2.1*0.9+0.96*1.22+0.75*(2.75+2.74)+0.9*2.1)*10.764</f>
        <v>401.68234079999996</v>
      </c>
      <c r="E164" s="51">
        <v>0</v>
      </c>
      <c r="F164" s="51">
        <v>610</v>
      </c>
      <c r="G164" s="156"/>
      <c r="H164" s="157"/>
      <c r="J164" s="21">
        <f t="shared" si="3"/>
        <v>1.5186129387343983</v>
      </c>
    </row>
    <row r="165" spans="1:10" s="21" customFormat="1">
      <c r="A165" s="151">
        <v>507</v>
      </c>
      <c r="B165" s="151"/>
      <c r="C165" s="51" t="s">
        <v>197</v>
      </c>
      <c r="D165" s="51">
        <f>(3.25*2.75+1.75*0.6+1*0.6+2.56*2.1+2.74*2.74+0.6*2.33+1.25*1.22+1.52*1.22+2.1*0.9+0.96*1.22+0.75*(2.75+2.74)+0.9*2.1)*10.764</f>
        <v>401.68234079999996</v>
      </c>
      <c r="E165" s="51">
        <v>0</v>
      </c>
      <c r="F165" s="51">
        <v>610</v>
      </c>
      <c r="G165" s="156"/>
      <c r="H165" s="157"/>
      <c r="J165" s="21">
        <f t="shared" si="3"/>
        <v>1.5186129387343983</v>
      </c>
    </row>
    <row r="166" spans="1:10" s="21" customFormat="1">
      <c r="A166" s="151">
        <v>508</v>
      </c>
      <c r="B166" s="151"/>
      <c r="C166" s="51" t="s">
        <v>193</v>
      </c>
      <c r="D166" s="51">
        <f>(3.7*2.75+2.52*2.15+1.5*1.2+1.2*0.9+0.9*1.5+2.75*0.75+2.15*0.9)*10.764</f>
        <v>256.40386199999995</v>
      </c>
      <c r="E166" s="51">
        <v>0</v>
      </c>
      <c r="F166" s="51">
        <v>410</v>
      </c>
      <c r="G166" s="156"/>
      <c r="H166" s="157"/>
      <c r="J166" s="21">
        <f t="shared" si="3"/>
        <v>1.5990398771762653</v>
      </c>
    </row>
    <row r="167" spans="1:10" s="21" customFormat="1">
      <c r="A167" s="149" t="s">
        <v>212</v>
      </c>
      <c r="B167" s="149"/>
      <c r="C167" s="149"/>
      <c r="D167" s="149"/>
      <c r="E167" s="149"/>
      <c r="F167" s="149"/>
      <c r="G167" s="149"/>
      <c r="H167" s="149"/>
      <c r="J167" s="21" t="e">
        <f t="shared" si="3"/>
        <v>#DIV/0!</v>
      </c>
    </row>
    <row r="168" spans="1:10" s="21" customFormat="1">
      <c r="A168" s="151">
        <v>701</v>
      </c>
      <c r="B168" s="151"/>
      <c r="C168" s="51" t="s">
        <v>193</v>
      </c>
      <c r="D168" s="51">
        <f>(3.7*2.75+2.52*2.15+1.2*0.9+1.5*1.2+1.5*0.9+0.9*2.15+0.75*2.75)*10.764</f>
        <v>256.403862</v>
      </c>
      <c r="E168" s="51">
        <v>0</v>
      </c>
      <c r="F168" s="51">
        <v>410</v>
      </c>
      <c r="G168" s="154" t="str">
        <f>A167</f>
        <v>7th Floor</v>
      </c>
      <c r="H168" s="155"/>
      <c r="J168" s="21">
        <f t="shared" si="3"/>
        <v>1.5990398771762651</v>
      </c>
    </row>
    <row r="169" spans="1:10" s="21" customFormat="1">
      <c r="A169" s="151">
        <v>702</v>
      </c>
      <c r="B169" s="151"/>
      <c r="C169" s="51" t="s">
        <v>201</v>
      </c>
      <c r="D169" s="61">
        <f>(2.9*4.04+2.73*1.68+2.4*0.6+0.6*1.92+2.13*2.74+2.75*2.74+2.75*2.9+2.4*0.6+2.13*1.3+1.3*2.13+0.9*4+0.5*(2.9+2.13+2.75+2.75))*10.764</f>
        <v>603.68387040000005</v>
      </c>
      <c r="E169" s="51">
        <v>0</v>
      </c>
      <c r="F169" s="51">
        <v>935</v>
      </c>
      <c r="G169" s="156"/>
      <c r="H169" s="157"/>
      <c r="I169" s="63">
        <f>(2.9*4.04+0.7*2.13+2.13*2.74+2.13*1.16+2.75*2.74+2.75*1.16+2.75*2.9+2.13*1.3+1.3*2.13+2.75*1+2.13*1+2.9*0.75+2.13*0.75+2.75*0.75+2.75*0.75+2.4*0.6+2.4*0.6)*10.764</f>
        <v>661.01185799999985</v>
      </c>
      <c r="J169" s="21">
        <f t="shared" si="3"/>
        <v>1.5488238891996078</v>
      </c>
    </row>
    <row r="170" spans="1:10" s="21" customFormat="1">
      <c r="A170" s="151">
        <v>703</v>
      </c>
      <c r="B170" s="151"/>
      <c r="C170" s="51" t="s">
        <v>201</v>
      </c>
      <c r="D170" s="62">
        <f>(2.9*4.04+2.73*1.68+2.4*0.6+0.6*1.92+2.13*2.74+2.75*2.74+2.75*2.9+2.4*0.6+2.13*1.3+1.3*2.13+0.9*4+0.5*(2.9+2.13+2.75+2.75))*10.764</f>
        <v>603.68387040000005</v>
      </c>
      <c r="E170" s="51">
        <v>0</v>
      </c>
      <c r="F170" s="51">
        <v>935</v>
      </c>
      <c r="G170" s="156"/>
      <c r="H170" s="157"/>
      <c r="I170" s="63">
        <f>(2.9*4.04+0.7*2.13+2.13*2.74+2.13*1.16+2.75*2.74+2.75*1.16+2.75*2.9+2.13*1.3+1.3*2.13+2.75*1+2.13*1+2.9*0.75+2.13*0.75+2.75*0.75+2.75*0.75+2.4*0.6+2.4*0.6)*10.764</f>
        <v>661.01185799999985</v>
      </c>
      <c r="J170" s="21">
        <f t="shared" si="3"/>
        <v>1.5488238891996078</v>
      </c>
    </row>
    <row r="171" spans="1:10" s="21" customFormat="1">
      <c r="A171" s="151">
        <v>704</v>
      </c>
      <c r="B171" s="151"/>
      <c r="C171" s="51" t="s">
        <v>193</v>
      </c>
      <c r="D171" s="51">
        <f>(3.7*2.75+2.52*2.15+1.5*1.2+1.2*0.9+0.9*1.5+2.75*0.75+2.15*0.9)*10.764</f>
        <v>256.40386199999995</v>
      </c>
      <c r="E171" s="51">
        <v>0</v>
      </c>
      <c r="F171" s="51">
        <v>410</v>
      </c>
      <c r="G171" s="156"/>
      <c r="H171" s="157"/>
      <c r="J171" s="21">
        <f t="shared" si="3"/>
        <v>1.5990398771762653</v>
      </c>
    </row>
    <row r="172" spans="1:10" s="21" customFormat="1">
      <c r="A172" s="151">
        <v>705</v>
      </c>
      <c r="B172" s="151"/>
      <c r="C172" s="51" t="s">
        <v>193</v>
      </c>
      <c r="D172" s="51">
        <f>(3.7*2.75+2.52*2.15+1.5*1.2+1.2*0.9+0.9*1.5+2.75*0.75+2.15*0.9)*10.764</f>
        <v>256.40386199999995</v>
      </c>
      <c r="E172" s="51">
        <v>0</v>
      </c>
      <c r="F172" s="51">
        <v>410</v>
      </c>
      <c r="G172" s="156"/>
      <c r="H172" s="157"/>
      <c r="J172" s="21">
        <f t="shared" si="3"/>
        <v>1.5990398771762653</v>
      </c>
    </row>
    <row r="173" spans="1:10" s="21" customFormat="1">
      <c r="A173" s="151">
        <v>706</v>
      </c>
      <c r="B173" s="151"/>
      <c r="C173" s="51" t="s">
        <v>197</v>
      </c>
      <c r="D173" s="51">
        <f>(3.25*2.75+1.75*0.6+1*0.6+2.56*2.1+2.74*2.74+0.6*2.33+1.25*1.22+1.52*1.22+2.1*0.9+0.96*1.22+0.75*(2.75+2.74)+0.9*2.1)*10.764</f>
        <v>401.68234079999996</v>
      </c>
      <c r="E173" s="51">
        <v>0</v>
      </c>
      <c r="F173" s="51">
        <v>610</v>
      </c>
      <c r="G173" s="156"/>
      <c r="H173" s="157"/>
      <c r="J173" s="21">
        <f t="shared" si="3"/>
        <v>1.5186129387343983</v>
      </c>
    </row>
    <row r="174" spans="1:10" s="21" customFormat="1">
      <c r="A174" s="151">
        <v>707</v>
      </c>
      <c r="B174" s="151"/>
      <c r="C174" s="51" t="s">
        <v>197</v>
      </c>
      <c r="D174" s="51">
        <f>(3.25*2.75+1.75*0.6+1*0.6+2.56*2.1+2.74*2.74+0.6*2.33+1.25*1.22+1.52*1.22+2.1*0.9+0.96*1.22+0.75*(2.75+2.74)+0.9*2.1)*10.764</f>
        <v>401.68234079999996</v>
      </c>
      <c r="E174" s="51">
        <v>0</v>
      </c>
      <c r="F174" s="51">
        <v>610</v>
      </c>
      <c r="G174" s="156"/>
      <c r="H174" s="157"/>
      <c r="J174" s="21">
        <f t="shared" si="3"/>
        <v>1.5186129387343983</v>
      </c>
    </row>
    <row r="175" spans="1:10" s="21" customFormat="1">
      <c r="A175" s="151">
        <v>708</v>
      </c>
      <c r="B175" s="151"/>
      <c r="C175" s="51" t="s">
        <v>193</v>
      </c>
      <c r="D175" s="51">
        <f>(3.7*2.75+2.52*2.15+1.5*1.2+1.2*0.9+0.9*1.5+2.75*0.75+2.15*0.9)*10.764</f>
        <v>256.40386199999995</v>
      </c>
      <c r="E175" s="51">
        <v>0</v>
      </c>
      <c r="F175" s="51">
        <v>410</v>
      </c>
      <c r="G175" s="156"/>
      <c r="H175" s="157"/>
      <c r="J175" s="21">
        <f t="shared" si="3"/>
        <v>1.5990398771762653</v>
      </c>
    </row>
    <row r="176" spans="1:10" s="21" customFormat="1">
      <c r="A176" s="149" t="s">
        <v>213</v>
      </c>
      <c r="B176" s="149"/>
      <c r="C176" s="149"/>
      <c r="D176" s="149"/>
      <c r="E176" s="149"/>
      <c r="F176" s="149"/>
      <c r="G176" s="149"/>
      <c r="H176" s="149"/>
      <c r="J176" s="21" t="e">
        <f t="shared" si="3"/>
        <v>#DIV/0!</v>
      </c>
    </row>
    <row r="177" spans="1:10" s="21" customFormat="1">
      <c r="A177" s="150" t="s">
        <v>214</v>
      </c>
      <c r="B177" s="151"/>
      <c r="C177" s="152" t="s">
        <v>215</v>
      </c>
      <c r="D177" s="160"/>
      <c r="E177" s="160"/>
      <c r="F177" s="153"/>
      <c r="G177" s="154" t="str">
        <f>A176</f>
        <v>8th &amp; 13th Floor (Part Refuge Area)</v>
      </c>
      <c r="H177" s="155"/>
      <c r="J177" s="21" t="e">
        <f t="shared" si="3"/>
        <v>#DIV/0!</v>
      </c>
    </row>
    <row r="178" spans="1:10" s="21" customFormat="1">
      <c r="A178" s="150" t="s">
        <v>216</v>
      </c>
      <c r="B178" s="151"/>
      <c r="C178" s="51" t="s">
        <v>201</v>
      </c>
      <c r="D178" s="61">
        <f>(2.9*4.04+2.73*1.68+2.4*0.6+0.6*1.92+2.13*2.74+2.75*2.74+2.75*2.9+2.4*0.6+2.13*1.3+1.3*2.13+0.9*4+0.5*(2.9+2.13+2.75+2.75))*10.764</f>
        <v>603.68387040000005</v>
      </c>
      <c r="E178" s="51">
        <v>0</v>
      </c>
      <c r="F178" s="51">
        <v>935</v>
      </c>
      <c r="G178" s="156"/>
      <c r="H178" s="157"/>
      <c r="J178" s="21">
        <f t="shared" si="3"/>
        <v>1.5488238891996078</v>
      </c>
    </row>
    <row r="179" spans="1:10" s="21" customFormat="1">
      <c r="A179" s="150" t="s">
        <v>217</v>
      </c>
      <c r="B179" s="151"/>
      <c r="C179" s="51" t="s">
        <v>201</v>
      </c>
      <c r="D179" s="62">
        <f>(2.9*4.04+2.73*1.68+2.4*0.6+0.6*1.92+2.13*2.74+2.75*2.74+2.75*2.9+2.4*0.6+2.13*1.3+1.3*2.13+0.9*4+0.5*(2.9+2.13+2.75+2.75))*10.764</f>
        <v>603.68387040000005</v>
      </c>
      <c r="E179" s="51">
        <v>0</v>
      </c>
      <c r="F179" s="51">
        <v>935</v>
      </c>
      <c r="G179" s="156"/>
      <c r="H179" s="157"/>
      <c r="J179" s="21">
        <f t="shared" si="3"/>
        <v>1.5488238891996078</v>
      </c>
    </row>
    <row r="180" spans="1:10" s="21" customFormat="1">
      <c r="A180" s="150" t="s">
        <v>218</v>
      </c>
      <c r="B180" s="151"/>
      <c r="C180" s="51" t="s">
        <v>193</v>
      </c>
      <c r="D180" s="51">
        <f>(3.7*2.75+2.52*2.15+1.5*1.2+1.2*0.9+0.9*1.5+2.75*0.75+2.15*0.9)*10.764</f>
        <v>256.40386199999995</v>
      </c>
      <c r="E180" s="51">
        <v>0</v>
      </c>
      <c r="F180" s="51">
        <v>410</v>
      </c>
      <c r="G180" s="156"/>
      <c r="H180" s="157"/>
      <c r="J180" s="21">
        <f t="shared" si="3"/>
        <v>1.5990398771762653</v>
      </c>
    </row>
    <row r="181" spans="1:10" s="21" customFormat="1">
      <c r="A181" s="150" t="s">
        <v>219</v>
      </c>
      <c r="B181" s="151"/>
      <c r="C181" s="51" t="s">
        <v>193</v>
      </c>
      <c r="D181" s="51">
        <f>(3.7*2.75+2.52*2.15+1.5*1.2+1.2*0.9+0.9*1.5+2.75*0.75+2.15*0.9)*10.764</f>
        <v>256.40386199999995</v>
      </c>
      <c r="E181" s="51">
        <v>0</v>
      </c>
      <c r="F181" s="51">
        <v>410</v>
      </c>
      <c r="G181" s="156"/>
      <c r="H181" s="157"/>
      <c r="J181" s="21">
        <f t="shared" si="3"/>
        <v>1.5990398771762653</v>
      </c>
    </row>
    <row r="182" spans="1:10" s="21" customFormat="1">
      <c r="A182" s="150" t="s">
        <v>220</v>
      </c>
      <c r="B182" s="151"/>
      <c r="C182" s="51" t="s">
        <v>197</v>
      </c>
      <c r="D182" s="51">
        <f>(3.25*2.75+1.75*0.6+1*0.6+2.56*2.1+2.74*2.74+0.6*2.33+1.25*1.22+1.52*1.22+2.1*0.9+0.96*1.22+0.75*(2.75+2.74)+0.9*2.1)*10.764</f>
        <v>401.68234079999996</v>
      </c>
      <c r="E182" s="51">
        <v>0</v>
      </c>
      <c r="F182" s="51">
        <v>610</v>
      </c>
      <c r="G182" s="156"/>
      <c r="H182" s="157"/>
      <c r="J182" s="21">
        <f t="shared" si="3"/>
        <v>1.5186129387343983</v>
      </c>
    </row>
    <row r="183" spans="1:10" s="21" customFormat="1">
      <c r="A183" s="150" t="s">
        <v>221</v>
      </c>
      <c r="B183" s="151"/>
      <c r="C183" s="51" t="s">
        <v>197</v>
      </c>
      <c r="D183" s="51">
        <f>(3.25*2.75+1.75*0.6+1*0.6+2.56*2.1+2.74*2.74+0.6*2.33+1.25*1.22+1.52*1.22+2.1*0.9+0.96*1.22+0.75*(2.75+2.74)+0.9*2.1)*10.764</f>
        <v>401.68234079999996</v>
      </c>
      <c r="E183" s="51">
        <v>0</v>
      </c>
      <c r="F183" s="51">
        <v>610</v>
      </c>
      <c r="G183" s="156"/>
      <c r="H183" s="157"/>
      <c r="J183" s="21">
        <f t="shared" si="3"/>
        <v>1.5186129387343983</v>
      </c>
    </row>
    <row r="184" spans="1:10" s="21" customFormat="1">
      <c r="A184" s="150" t="s">
        <v>222</v>
      </c>
      <c r="B184" s="151"/>
      <c r="C184" s="51" t="s">
        <v>193</v>
      </c>
      <c r="D184" s="51">
        <f>(3.7*2.75+2.52*2.15+1.2*0.9+1.5*1.2+1.5*0.9+0.9*2.15+0.75*2.75)*10.764</f>
        <v>256.403862</v>
      </c>
      <c r="E184" s="51">
        <v>0</v>
      </c>
      <c r="F184" s="51">
        <v>410</v>
      </c>
      <c r="G184" s="156"/>
      <c r="H184" s="157"/>
      <c r="J184" s="21">
        <f t="shared" si="3"/>
        <v>1.5990398771762651</v>
      </c>
    </row>
    <row r="185" spans="1:10" s="21" customFormat="1">
      <c r="A185" s="149" t="s">
        <v>223</v>
      </c>
      <c r="B185" s="149"/>
      <c r="C185" s="149"/>
      <c r="D185" s="149"/>
      <c r="E185" s="149"/>
      <c r="F185" s="149"/>
      <c r="G185" s="149"/>
      <c r="H185" s="149"/>
      <c r="J185" s="21" t="e">
        <f t="shared" si="3"/>
        <v>#DIV/0!</v>
      </c>
    </row>
    <row r="186" spans="1:10" s="21" customFormat="1">
      <c r="A186" s="150" t="s">
        <v>224</v>
      </c>
      <c r="B186" s="151"/>
      <c r="C186" s="51" t="s">
        <v>193</v>
      </c>
      <c r="D186" s="51">
        <f>(3.7*2.75+2.52*2.15+1.2*0.9+1.5*1.2+1.5*0.9+0.9*2.15+0.75*2.75)*10.764</f>
        <v>256.403862</v>
      </c>
      <c r="E186" s="51">
        <v>0</v>
      </c>
      <c r="F186" s="51">
        <v>410</v>
      </c>
      <c r="G186" s="154" t="str">
        <f>A185</f>
        <v>9th to 12th Floor</v>
      </c>
      <c r="H186" s="155"/>
      <c r="J186" s="21">
        <f t="shared" si="3"/>
        <v>1.5990398771762651</v>
      </c>
    </row>
    <row r="187" spans="1:10" s="21" customFormat="1">
      <c r="A187" s="150" t="s">
        <v>225</v>
      </c>
      <c r="B187" s="151"/>
      <c r="C187" s="51" t="s">
        <v>201</v>
      </c>
      <c r="D187" s="61">
        <f>(2.9*4.04+2.73*1.68+2.4*0.6+0.6*1.92+2.13*2.74+2.75*2.74+2.75*2.9+2.4*0.6+2.13*1.3+1.3*2.13+0.9*4+0.5*(2.9+2.13+2.75+2.75))*10.764</f>
        <v>603.68387040000005</v>
      </c>
      <c r="E187" s="51">
        <v>0</v>
      </c>
      <c r="F187" s="51">
        <v>935</v>
      </c>
      <c r="G187" s="156"/>
      <c r="H187" s="157"/>
      <c r="J187" s="21">
        <f t="shared" si="3"/>
        <v>1.5488238891996078</v>
      </c>
    </row>
    <row r="188" spans="1:10" s="21" customFormat="1">
      <c r="A188" s="150" t="s">
        <v>226</v>
      </c>
      <c r="B188" s="151"/>
      <c r="C188" s="51" t="s">
        <v>201</v>
      </c>
      <c r="D188" s="62">
        <f>(2.9*4.04+2.73*1.68+2.4*0.6+0.6*1.92+2.13*2.74+2.75*2.74+2.75*2.9+2.4*0.6+2.13*1.3+1.3*2.13+0.9*4+0.5*(2.9+2.13+2.75+2.75))*10.764</f>
        <v>603.68387040000005</v>
      </c>
      <c r="E188" s="51">
        <v>0</v>
      </c>
      <c r="F188" s="51">
        <v>935</v>
      </c>
      <c r="G188" s="156"/>
      <c r="H188" s="157"/>
      <c r="J188" s="21">
        <f t="shared" si="3"/>
        <v>1.5488238891996078</v>
      </c>
    </row>
    <row r="189" spans="1:10" s="21" customFormat="1">
      <c r="A189" s="150" t="s">
        <v>227</v>
      </c>
      <c r="B189" s="151"/>
      <c r="C189" s="51" t="s">
        <v>193</v>
      </c>
      <c r="D189" s="51">
        <f>(3.7*2.75+2.52*2.15+1.5*1.2+1.2*0.9+0.9*1.5+2.75*0.75+2.15*0.9)*10.764</f>
        <v>256.40386199999995</v>
      </c>
      <c r="E189" s="51">
        <v>0</v>
      </c>
      <c r="F189" s="51">
        <v>410</v>
      </c>
      <c r="G189" s="156"/>
      <c r="H189" s="157"/>
      <c r="J189" s="21">
        <f t="shared" si="3"/>
        <v>1.5990398771762653</v>
      </c>
    </row>
    <row r="190" spans="1:10" s="21" customFormat="1">
      <c r="A190" s="150" t="s">
        <v>228</v>
      </c>
      <c r="B190" s="151"/>
      <c r="C190" s="51" t="s">
        <v>193</v>
      </c>
      <c r="D190" s="51">
        <f>(3.7*2.75+2.52*2.15+1.5*1.2+1.2*0.9+0.9*1.5+2.75*0.75+2.15*0.9)*10.764</f>
        <v>256.40386199999995</v>
      </c>
      <c r="E190" s="51">
        <v>0</v>
      </c>
      <c r="F190" s="51">
        <v>410</v>
      </c>
      <c r="G190" s="156"/>
      <c r="H190" s="157"/>
      <c r="J190" s="21">
        <f t="shared" si="3"/>
        <v>1.5990398771762653</v>
      </c>
    </row>
    <row r="191" spans="1:10" s="21" customFormat="1">
      <c r="A191" s="150" t="s">
        <v>229</v>
      </c>
      <c r="B191" s="151"/>
      <c r="C191" s="51" t="s">
        <v>197</v>
      </c>
      <c r="D191" s="51">
        <f>(3.25*2.75+1.75*0.6+1*0.6+2.56*2.1+2.74*2.74+0.6*2.33+1.25*1.22+1.52*1.22+2.1*0.9+0.96*1.22+0.75*(2.75+2.74)+0.9*2.1)*10.764</f>
        <v>401.68234079999996</v>
      </c>
      <c r="E191" s="51">
        <v>0</v>
      </c>
      <c r="F191" s="51">
        <v>610</v>
      </c>
      <c r="G191" s="156"/>
      <c r="H191" s="157"/>
      <c r="J191" s="21">
        <f t="shared" si="3"/>
        <v>1.5186129387343983</v>
      </c>
    </row>
    <row r="192" spans="1:10" s="21" customFormat="1">
      <c r="A192" s="150" t="s">
        <v>230</v>
      </c>
      <c r="B192" s="151"/>
      <c r="C192" s="51" t="s">
        <v>197</v>
      </c>
      <c r="D192" s="51">
        <f>(3.25*2.75+1.75*0.6+1*0.6+2.56*2.1+2.74*2.74+0.6*2.33+1.25*1.22+1.52*1.22+2.1*0.9+0.96*1.22+0.75*(2.75+2.74)+0.9*2.1)*10.764</f>
        <v>401.68234079999996</v>
      </c>
      <c r="E192" s="51">
        <v>0</v>
      </c>
      <c r="F192" s="51">
        <v>610</v>
      </c>
      <c r="G192" s="156"/>
      <c r="H192" s="157"/>
      <c r="J192" s="21">
        <f t="shared" si="3"/>
        <v>1.5186129387343983</v>
      </c>
    </row>
    <row r="193" spans="1:10" s="21" customFormat="1">
      <c r="A193" s="150" t="s">
        <v>231</v>
      </c>
      <c r="B193" s="151"/>
      <c r="C193" s="51" t="s">
        <v>193</v>
      </c>
      <c r="D193" s="51">
        <f>(3.7*2.75+2.52*2.15+1.2*0.9+1.5*1.2+1.5*0.9+0.9*2.15+0.75*2.75)*10.764</f>
        <v>256.403862</v>
      </c>
      <c r="E193" s="51">
        <v>0</v>
      </c>
      <c r="F193" s="51">
        <v>410</v>
      </c>
      <c r="G193" s="156"/>
      <c r="H193" s="157"/>
      <c r="J193" s="21">
        <f t="shared" si="3"/>
        <v>1.5990398771762651</v>
      </c>
    </row>
    <row r="194" spans="1:10" s="21" customFormat="1">
      <c r="A194" s="149" t="s">
        <v>169</v>
      </c>
      <c r="B194" s="149"/>
      <c r="C194" s="149"/>
      <c r="D194" s="149"/>
      <c r="E194" s="149"/>
      <c r="F194" s="149"/>
      <c r="G194" s="149"/>
      <c r="H194" s="149"/>
      <c r="J194" s="21" t="e">
        <f t="shared" si="3"/>
        <v>#DIV/0!</v>
      </c>
    </row>
    <row r="195" spans="1:10" s="21" customFormat="1">
      <c r="A195" s="149" t="s">
        <v>232</v>
      </c>
      <c r="B195" s="149"/>
      <c r="C195" s="149"/>
      <c r="D195" s="149"/>
      <c r="E195" s="149"/>
      <c r="F195" s="149"/>
      <c r="G195" s="149"/>
      <c r="H195" s="149"/>
      <c r="J195" s="21" t="e">
        <f t="shared" si="3"/>
        <v>#DIV/0!</v>
      </c>
    </row>
    <row r="196" spans="1:10" s="21" customFormat="1">
      <c r="A196" s="149" t="s">
        <v>191</v>
      </c>
      <c r="B196" s="149"/>
      <c r="C196" s="149"/>
      <c r="D196" s="149"/>
      <c r="E196" s="149"/>
      <c r="F196" s="149"/>
      <c r="G196" s="149"/>
      <c r="H196" s="149"/>
      <c r="J196" s="21" t="e">
        <f t="shared" si="3"/>
        <v>#DIV/0!</v>
      </c>
    </row>
    <row r="197" spans="1:10" s="21" customFormat="1">
      <c r="A197" s="151" t="s">
        <v>192</v>
      </c>
      <c r="B197" s="151"/>
      <c r="C197" s="51" t="s">
        <v>197</v>
      </c>
      <c r="D197" s="51">
        <f>(3.25*2.75+2.56*2.1+2.74*2.74+1.52*1.22+1.25*1.22+2.56*1+0.5*1.52+2.4*0.6+3.25*0.75+2.4*0.9+2.74*0.75)*10.764</f>
        <v>394.10233199999988</v>
      </c>
      <c r="E197" s="51">
        <v>0</v>
      </c>
      <c r="F197" s="51">
        <v>610</v>
      </c>
      <c r="G197" s="156" t="str">
        <f>A196</f>
        <v>1st &amp; 2nd Floor For Residential &amp; Commercial</v>
      </c>
      <c r="H197" s="157"/>
      <c r="I197" s="21">
        <f>(3.25*2.75+2.56*2.1+2.74*2.74+1.25*1.22+1.52*1.22+2.56*0.9+1.22*0.96+0.6*2.4+0.75*(3.25+2.74)+0.9*2.56)*10.764</f>
        <v>397.32292079999996</v>
      </c>
      <c r="J197" s="21">
        <f t="shared" si="3"/>
        <v>1.5478213409810531</v>
      </c>
    </row>
    <row r="198" spans="1:10" s="21" customFormat="1">
      <c r="A198" s="151" t="s">
        <v>233</v>
      </c>
      <c r="B198" s="151"/>
      <c r="C198" s="51" t="s">
        <v>193</v>
      </c>
      <c r="D198" s="51">
        <f>(3.7*2.75+2.52*2.15+1.2*0.9+1.5*1.2+1*1.5+2.75*0.75+2.15*0.9)*10.764</f>
        <v>258.018462</v>
      </c>
      <c r="E198" s="51">
        <v>0</v>
      </c>
      <c r="F198" s="51">
        <v>410</v>
      </c>
      <c r="G198" s="156"/>
      <c r="H198" s="157"/>
      <c r="I198" s="21">
        <f>(3.7*2.75+2.52*2.15+1.5*1.2+1.2*0.9+1.5*0.96+0.75*2.75+0.9*2.15)*10.764</f>
        <v>257.37262199999998</v>
      </c>
      <c r="J198" s="21">
        <f t="shared" si="3"/>
        <v>1.589033578535167</v>
      </c>
    </row>
    <row r="199" spans="1:10" s="21" customFormat="1">
      <c r="A199" s="151" t="s">
        <v>234</v>
      </c>
      <c r="B199" s="151"/>
      <c r="C199" s="51" t="s">
        <v>193</v>
      </c>
      <c r="D199" s="51">
        <f>(3.7*2.75+2.52*2.15+1.2*0.9+1.5*1.2+1*1.5+2.75*0.75+2.15*0.9)*10.764</f>
        <v>258.018462</v>
      </c>
      <c r="E199" s="51">
        <v>0</v>
      </c>
      <c r="F199" s="51">
        <v>410</v>
      </c>
      <c r="G199" s="156"/>
      <c r="H199" s="157"/>
      <c r="J199" s="21">
        <f t="shared" ref="J199:J263" si="4">F199/D199</f>
        <v>1.589033578535167</v>
      </c>
    </row>
    <row r="200" spans="1:10" s="21" customFormat="1">
      <c r="A200" s="151" t="s">
        <v>194</v>
      </c>
      <c r="B200" s="151"/>
      <c r="C200" s="51" t="s">
        <v>197</v>
      </c>
      <c r="D200" s="51">
        <f>(3.25*2.75+2.56*2.1+2.74*2.74+1.52*1.22+1.25*1.22+2.56*1+0.5*1.52+2.4*0.6+3.25*0.75+2.4*0.9+2.74*0.75)*10.764</f>
        <v>394.10233199999988</v>
      </c>
      <c r="E200" s="51">
        <v>0</v>
      </c>
      <c r="F200" s="51">
        <v>610</v>
      </c>
      <c r="G200" s="156"/>
      <c r="H200" s="157"/>
      <c r="J200" s="21">
        <f t="shared" si="4"/>
        <v>1.5478213409810531</v>
      </c>
    </row>
    <row r="201" spans="1:10" s="21" customFormat="1">
      <c r="A201" s="151" t="s">
        <v>195</v>
      </c>
      <c r="B201" s="151"/>
      <c r="C201" s="51" t="s">
        <v>197</v>
      </c>
      <c r="D201" s="51">
        <f>(3.25*2.75+2.56*2.1+2.74*2.74+1.52*1.22+1.25*1.22+2.56*1+0.5*1.52+2.4*0.6+3.25*0.75+2.4*0.9+2.74*0.75)*10.764</f>
        <v>394.10233199999988</v>
      </c>
      <c r="E201" s="51">
        <v>0</v>
      </c>
      <c r="F201" s="51">
        <v>610</v>
      </c>
      <c r="G201" s="156"/>
      <c r="H201" s="157"/>
      <c r="J201" s="21">
        <f t="shared" si="4"/>
        <v>1.5478213409810531</v>
      </c>
    </row>
    <row r="202" spans="1:10" s="21" customFormat="1">
      <c r="A202" s="151" t="s">
        <v>196</v>
      </c>
      <c r="B202" s="151"/>
      <c r="C202" s="51" t="s">
        <v>193</v>
      </c>
      <c r="D202" s="51">
        <f t="shared" ref="D202:D203" si="5">(3.7*2.75+2.52*2.15+1.2*0.9+1.5*1.2+1*1.5+2.75*0.75+2.15*0.9)*10.764</f>
        <v>258.018462</v>
      </c>
      <c r="E202" s="51">
        <v>0</v>
      </c>
      <c r="F202" s="51">
        <v>410</v>
      </c>
      <c r="G202" s="156"/>
      <c r="H202" s="157"/>
      <c r="J202" s="21">
        <f t="shared" si="4"/>
        <v>1.589033578535167</v>
      </c>
    </row>
    <row r="203" spans="1:10" s="21" customFormat="1">
      <c r="A203" s="151" t="s">
        <v>198</v>
      </c>
      <c r="B203" s="151"/>
      <c r="C203" s="51" t="s">
        <v>193</v>
      </c>
      <c r="D203" s="51">
        <f t="shared" si="5"/>
        <v>258.018462</v>
      </c>
      <c r="E203" s="51">
        <v>0</v>
      </c>
      <c r="F203" s="51">
        <v>410</v>
      </c>
      <c r="G203" s="156"/>
      <c r="H203" s="157"/>
      <c r="J203" s="21">
        <f t="shared" si="4"/>
        <v>1.589033578535167</v>
      </c>
    </row>
    <row r="204" spans="1:10" s="21" customFormat="1">
      <c r="A204" s="151" t="s">
        <v>199</v>
      </c>
      <c r="B204" s="151"/>
      <c r="C204" s="51" t="s">
        <v>197</v>
      </c>
      <c r="D204" s="51">
        <f t="shared" ref="D204:D205" si="6">(3.25*2.75+2.56*2.1+2.74*2.74+1.52*1.22+1.25*1.22+2.56*1+0.5*1.52+2.4*0.6+3.25*0.75+2.4*0.9+2.74*0.75)*10.764</f>
        <v>394.10233199999988</v>
      </c>
      <c r="E204" s="51">
        <v>0</v>
      </c>
      <c r="F204" s="51">
        <v>610</v>
      </c>
      <c r="G204" s="158"/>
      <c r="H204" s="159"/>
      <c r="J204" s="21">
        <f t="shared" si="4"/>
        <v>1.5478213409810531</v>
      </c>
    </row>
    <row r="205" spans="1:10" s="21" customFormat="1">
      <c r="A205" s="151" t="s">
        <v>235</v>
      </c>
      <c r="B205" s="151"/>
      <c r="C205" s="51" t="s">
        <v>197</v>
      </c>
      <c r="D205" s="51">
        <f t="shared" si="6"/>
        <v>394.10233199999988</v>
      </c>
      <c r="E205" s="51">
        <v>0</v>
      </c>
      <c r="F205" s="51">
        <v>610</v>
      </c>
      <c r="G205" s="151"/>
      <c r="H205" s="151"/>
      <c r="J205" s="21">
        <f t="shared" si="4"/>
        <v>1.5478213409810531</v>
      </c>
    </row>
    <row r="206" spans="1:10" s="21" customFormat="1" ht="15.6" customHeight="1">
      <c r="A206" s="149" t="s">
        <v>200</v>
      </c>
      <c r="B206" s="149"/>
      <c r="C206" s="149"/>
      <c r="D206" s="149"/>
      <c r="E206" s="149"/>
      <c r="F206" s="149"/>
      <c r="G206" s="149"/>
      <c r="H206" s="149"/>
      <c r="J206" s="21" t="e">
        <f t="shared" si="4"/>
        <v>#DIV/0!</v>
      </c>
    </row>
    <row r="207" spans="1:10" s="21" customFormat="1">
      <c r="A207" s="151">
        <v>301</v>
      </c>
      <c r="B207" s="151"/>
      <c r="C207" s="51" t="s">
        <v>197</v>
      </c>
      <c r="D207" s="51">
        <f>(3.25*2.75+2.56*2.1+2.74*2.74+1.52*1.22+1.25*1.22+2.56*1+0.5*1.52+2.4*0.6+3.25*0.75+2.4*0.9+2.74*0.75)*10.764</f>
        <v>394.10233199999988</v>
      </c>
      <c r="E207" s="51">
        <v>0</v>
      </c>
      <c r="F207" s="51">
        <v>610</v>
      </c>
      <c r="G207" s="154" t="str">
        <f>A206</f>
        <v>3rd Floor</v>
      </c>
      <c r="H207" s="155"/>
      <c r="J207" s="21">
        <f t="shared" si="4"/>
        <v>1.5478213409810531</v>
      </c>
    </row>
    <row r="208" spans="1:10" s="21" customFormat="1">
      <c r="A208" s="151">
        <v>302</v>
      </c>
      <c r="B208" s="151"/>
      <c r="C208" s="51" t="s">
        <v>193</v>
      </c>
      <c r="D208" s="51">
        <f>(3.7*2.75+2.52*2.15+1.2*0.9+1.5*1.2+1*1.5+2.75*0.75+2.15*0.9)*10.764</f>
        <v>258.018462</v>
      </c>
      <c r="E208" s="51">
        <v>0</v>
      </c>
      <c r="F208" s="51">
        <v>410</v>
      </c>
      <c r="G208" s="156"/>
      <c r="H208" s="157"/>
      <c r="J208" s="21">
        <f t="shared" si="4"/>
        <v>1.589033578535167</v>
      </c>
    </row>
    <row r="209" spans="1:10" s="21" customFormat="1">
      <c r="A209" s="151">
        <v>303</v>
      </c>
      <c r="B209" s="151"/>
      <c r="C209" s="51" t="s">
        <v>193</v>
      </c>
      <c r="D209" s="51">
        <f>(3.7*2.75+2.52*2.15+1.2*0.9+1.5*1.2+1*1.5+2.75*0.75+2.15*0.9)*10.764</f>
        <v>258.018462</v>
      </c>
      <c r="E209" s="51">
        <v>0</v>
      </c>
      <c r="F209" s="51">
        <v>410</v>
      </c>
      <c r="G209" s="156"/>
      <c r="H209" s="157"/>
      <c r="J209" s="21">
        <f t="shared" si="4"/>
        <v>1.589033578535167</v>
      </c>
    </row>
    <row r="210" spans="1:10" s="21" customFormat="1">
      <c r="A210" s="151">
        <v>304</v>
      </c>
      <c r="B210" s="151"/>
      <c r="C210" s="51" t="s">
        <v>197</v>
      </c>
      <c r="D210" s="51">
        <f>(3.25*2.75+2.56*2.1+2.74*2.74+1.52*1.22+1.25*1.22+2.56*1+0.5*1.52+2.4*0.6+3.25*0.75+2.4*0.9+2.74*0.75)*10.764</f>
        <v>394.10233199999988</v>
      </c>
      <c r="E210" s="51">
        <v>0</v>
      </c>
      <c r="F210" s="51">
        <v>610</v>
      </c>
      <c r="G210" s="156"/>
      <c r="H210" s="157"/>
      <c r="J210" s="21">
        <f t="shared" si="4"/>
        <v>1.5478213409810531</v>
      </c>
    </row>
    <row r="211" spans="1:10" s="21" customFormat="1">
      <c r="A211" s="151">
        <v>305</v>
      </c>
      <c r="B211" s="151"/>
      <c r="C211" s="51" t="s">
        <v>197</v>
      </c>
      <c r="D211" s="51">
        <f>(3.25*2.75+2.56*2.1+2.74*2.74+1.52*1.22+1.25*1.22+2.56*1+0.5*1.52+2.4*0.6+3.25*0.75+2.4*0.9+2.74*0.75)*10.764</f>
        <v>394.10233199999988</v>
      </c>
      <c r="E211" s="51">
        <v>0</v>
      </c>
      <c r="F211" s="51">
        <v>610</v>
      </c>
      <c r="G211" s="156"/>
      <c r="H211" s="157"/>
      <c r="J211" s="21">
        <f t="shared" si="4"/>
        <v>1.5478213409810531</v>
      </c>
    </row>
    <row r="212" spans="1:10" s="21" customFormat="1">
      <c r="A212" s="151">
        <v>306</v>
      </c>
      <c r="B212" s="151"/>
      <c r="C212" s="51" t="s">
        <v>193</v>
      </c>
      <c r="D212" s="51">
        <f>(3.7*2.75+2.52*2.15+1.2*0.9+1.5*1.2+1*1.5+2.75*0.75+2.15*0.9)*10.764</f>
        <v>258.018462</v>
      </c>
      <c r="E212" s="51">
        <v>0</v>
      </c>
      <c r="F212" s="51">
        <v>410</v>
      </c>
      <c r="G212" s="156"/>
      <c r="H212" s="157"/>
      <c r="J212" s="21">
        <f t="shared" si="4"/>
        <v>1.589033578535167</v>
      </c>
    </row>
    <row r="213" spans="1:10" s="21" customFormat="1">
      <c r="A213" s="151">
        <v>307</v>
      </c>
      <c r="B213" s="151"/>
      <c r="C213" s="51" t="s">
        <v>193</v>
      </c>
      <c r="D213" s="51">
        <v>258</v>
      </c>
      <c r="E213" s="51">
        <v>0</v>
      </c>
      <c r="F213" s="51">
        <v>410</v>
      </c>
      <c r="G213" s="156"/>
      <c r="H213" s="157"/>
      <c r="J213" s="21">
        <f t="shared" si="4"/>
        <v>1.5891472868217054</v>
      </c>
    </row>
    <row r="214" spans="1:10" s="21" customFormat="1">
      <c r="A214" s="151">
        <v>308</v>
      </c>
      <c r="B214" s="151"/>
      <c r="C214" s="51" t="s">
        <v>197</v>
      </c>
      <c r="D214" s="51">
        <f>(3.25*2.75+2.56*2.1+2.74*2.74+1.52*1.22+1.25*1.22+2.56*1+0.5*1.52+2.4*0.6+3.25*0.75+2.4*0.9+2.74*0.75)*10.764</f>
        <v>394.10233199999988</v>
      </c>
      <c r="E214" s="51">
        <v>0</v>
      </c>
      <c r="F214" s="51">
        <v>610</v>
      </c>
      <c r="G214" s="156"/>
      <c r="H214" s="157"/>
      <c r="J214" s="21">
        <f t="shared" si="4"/>
        <v>1.5478213409810531</v>
      </c>
    </row>
    <row r="215" spans="1:10" s="21" customFormat="1">
      <c r="A215" s="151">
        <v>309</v>
      </c>
      <c r="B215" s="151"/>
      <c r="C215" s="51" t="s">
        <v>197</v>
      </c>
      <c r="D215" s="51">
        <f t="shared" ref="D215" si="7">(3.25*2.75+2.56*2.1+2.74*2.74+1.52*1.22+1.25*1.22+2.56*1+0.5*1.52+2.4*0.6+3.25*0.75+2.4*0.9+2.74*0.75)*10.764</f>
        <v>394.10233199999988</v>
      </c>
      <c r="E215" s="51">
        <v>0</v>
      </c>
      <c r="F215" s="51">
        <v>610</v>
      </c>
      <c r="G215" s="158"/>
      <c r="H215" s="159"/>
      <c r="J215" s="21">
        <f t="shared" si="4"/>
        <v>1.5478213409810531</v>
      </c>
    </row>
    <row r="216" spans="1:10" s="21" customFormat="1" ht="15.6" customHeight="1">
      <c r="A216" s="161" t="s">
        <v>211</v>
      </c>
      <c r="B216" s="162"/>
      <c r="C216" s="162"/>
      <c r="D216" s="162"/>
      <c r="E216" s="162"/>
      <c r="F216" s="162"/>
      <c r="G216" s="162"/>
      <c r="H216" s="163"/>
      <c r="J216" s="21" t="e">
        <f t="shared" si="4"/>
        <v>#DIV/0!</v>
      </c>
    </row>
    <row r="217" spans="1:10" s="21" customFormat="1">
      <c r="A217" s="151">
        <v>501</v>
      </c>
      <c r="B217" s="151"/>
      <c r="C217" s="51" t="s">
        <v>197</v>
      </c>
      <c r="D217" s="51">
        <f>(3.25*2.75+2.56*2.1+2.74*2.74+1.52*1.22+1.25*1.22+2.56*1+0.5*1.52+2.4*0.6+3.25*0.75+2.4*0.9+2.74*0.75)*10.764</f>
        <v>394.10233199999988</v>
      </c>
      <c r="E217" s="51">
        <v>0</v>
      </c>
      <c r="F217" s="51">
        <v>610</v>
      </c>
      <c r="G217" s="156" t="str">
        <f>A216</f>
        <v>5th Floor</v>
      </c>
      <c r="H217" s="157"/>
      <c r="J217" s="21">
        <f t="shared" si="4"/>
        <v>1.5478213409810531</v>
      </c>
    </row>
    <row r="218" spans="1:10" s="21" customFormat="1">
      <c r="A218" s="151">
        <v>502</v>
      </c>
      <c r="B218" s="151"/>
      <c r="C218" s="51" t="s">
        <v>193</v>
      </c>
      <c r="D218" s="51">
        <f>(3.7*2.75+2.52*2.15+1.2*0.9+1.5*1.2+1*1.5+2.75*0.75+2.15*0.9)*10.764</f>
        <v>258.018462</v>
      </c>
      <c r="E218" s="51">
        <v>0</v>
      </c>
      <c r="F218" s="51">
        <v>410</v>
      </c>
      <c r="G218" s="156"/>
      <c r="H218" s="157"/>
      <c r="J218" s="21">
        <f t="shared" si="4"/>
        <v>1.589033578535167</v>
      </c>
    </row>
    <row r="219" spans="1:10" s="21" customFormat="1">
      <c r="A219" s="151">
        <v>503</v>
      </c>
      <c r="B219" s="151"/>
      <c r="C219" s="51" t="s">
        <v>193</v>
      </c>
      <c r="D219" s="51">
        <f>(3.7*2.75+2.52*2.15+1.2*0.9+1.5*1.2+1*1.5+2.75*0.75+2.15*0.9)*10.764</f>
        <v>258.018462</v>
      </c>
      <c r="E219" s="51">
        <v>0</v>
      </c>
      <c r="F219" s="51">
        <v>410</v>
      </c>
      <c r="G219" s="156"/>
      <c r="H219" s="157"/>
      <c r="J219" s="21">
        <f t="shared" si="4"/>
        <v>1.589033578535167</v>
      </c>
    </row>
    <row r="220" spans="1:10" s="21" customFormat="1">
      <c r="A220" s="151">
        <v>504</v>
      </c>
      <c r="B220" s="151"/>
      <c r="C220" s="51" t="s">
        <v>197</v>
      </c>
      <c r="D220" s="51">
        <f>(3.25*2.75+2.56*2.1+2.74*2.74+1.52*1.22+1.25*1.22+2.56*1+0.5*1.52+2.4*0.6+3.25*0.75+2.4*0.9+2.74*0.75)*10.764</f>
        <v>394.10233199999988</v>
      </c>
      <c r="E220" s="51">
        <v>0</v>
      </c>
      <c r="F220" s="51">
        <v>610</v>
      </c>
      <c r="G220" s="156"/>
      <c r="H220" s="157"/>
      <c r="J220" s="21">
        <f t="shared" si="4"/>
        <v>1.5478213409810531</v>
      </c>
    </row>
    <row r="221" spans="1:10" s="21" customFormat="1">
      <c r="A221" s="151">
        <v>505</v>
      </c>
      <c r="B221" s="151"/>
      <c r="C221" s="51" t="s">
        <v>197</v>
      </c>
      <c r="D221" s="51">
        <f>(3.25*2.75+2.56*2.1+2.74*2.74+1.52*1.22+1.25*1.22+2.56*1+0.5*1.52+2.4*0.6+3.25*0.75+2.4*0.9+2.74*0.75)*10.764</f>
        <v>394.10233199999988</v>
      </c>
      <c r="E221" s="51">
        <v>0</v>
      </c>
      <c r="F221" s="51">
        <v>610</v>
      </c>
      <c r="G221" s="156"/>
      <c r="H221" s="157"/>
      <c r="J221" s="21">
        <f t="shared" si="4"/>
        <v>1.5478213409810531</v>
      </c>
    </row>
    <row r="222" spans="1:10" s="21" customFormat="1">
      <c r="A222" s="151">
        <v>506</v>
      </c>
      <c r="B222" s="151"/>
      <c r="C222" s="51" t="s">
        <v>193</v>
      </c>
      <c r="D222" s="51">
        <f>(3.7*2.75+2.52*2.15+1.2*0.9+1.5*1.2+1*1.5+2.75*0.75+2.15*0.9)*10.764</f>
        <v>258.018462</v>
      </c>
      <c r="E222" s="51">
        <v>0</v>
      </c>
      <c r="F222" s="51">
        <v>410</v>
      </c>
      <c r="G222" s="156"/>
      <c r="H222" s="157"/>
      <c r="J222" s="21">
        <f t="shared" si="4"/>
        <v>1.589033578535167</v>
      </c>
    </row>
    <row r="223" spans="1:10" s="21" customFormat="1">
      <c r="A223" s="151">
        <v>507</v>
      </c>
      <c r="B223" s="151"/>
      <c r="C223" s="51" t="s">
        <v>193</v>
      </c>
      <c r="D223" s="51">
        <f>(3.7*2.75+2.52*2.15+1.2*0.9+1.5*1.2+1*1.5+2.75*0.75+2.15*0.9)*10.764</f>
        <v>258.018462</v>
      </c>
      <c r="E223" s="51">
        <v>0</v>
      </c>
      <c r="F223" s="51">
        <v>410</v>
      </c>
      <c r="G223" s="156"/>
      <c r="H223" s="157"/>
      <c r="J223" s="21">
        <f t="shared" si="4"/>
        <v>1.589033578535167</v>
      </c>
    </row>
    <row r="224" spans="1:10" s="21" customFormat="1">
      <c r="A224" s="151">
        <v>508</v>
      </c>
      <c r="B224" s="151"/>
      <c r="C224" s="51" t="s">
        <v>197</v>
      </c>
      <c r="D224" s="51">
        <f>(3.25*2.75+2.56*2.1+2.74*2.74+1.52*1.22+1.25*1.22+2.56*1+0.5*1.52+2.4*0.6+3.25*0.75+2.4*0.9+2.74*0.75)*10.764</f>
        <v>394.10233199999988</v>
      </c>
      <c r="E224" s="51">
        <v>0</v>
      </c>
      <c r="F224" s="51">
        <v>610</v>
      </c>
      <c r="G224" s="158"/>
      <c r="H224" s="159"/>
      <c r="J224" s="21">
        <f t="shared" si="4"/>
        <v>1.5478213409810531</v>
      </c>
    </row>
    <row r="225" spans="1:11" s="21" customFormat="1">
      <c r="A225" s="151">
        <v>509</v>
      </c>
      <c r="B225" s="151"/>
      <c r="C225" s="51" t="s">
        <v>197</v>
      </c>
      <c r="D225" s="51">
        <f>(3.25*2.75+2.56*2.1+2.74*2.74+1.52*1.22+1.25*1.22+2.56*1+0.5*1.52+2.4*0.6+3.25*0.75+2.4*0.9+2.74*0.75)*10.764</f>
        <v>394.10233199999988</v>
      </c>
      <c r="E225" s="51">
        <v>0</v>
      </c>
      <c r="F225" s="51">
        <v>610</v>
      </c>
      <c r="G225" s="64"/>
      <c r="H225" s="52"/>
      <c r="J225" s="21">
        <f t="shared" si="4"/>
        <v>1.5478213409810531</v>
      </c>
    </row>
    <row r="226" spans="1:11" s="21" customFormat="1" ht="15.6" customHeight="1">
      <c r="A226" s="161" t="s">
        <v>202</v>
      </c>
      <c r="B226" s="162"/>
      <c r="C226" s="162"/>
      <c r="D226" s="162"/>
      <c r="E226" s="162"/>
      <c r="F226" s="162"/>
      <c r="G226" s="162"/>
      <c r="H226" s="163"/>
      <c r="J226" s="21" t="e">
        <f t="shared" si="4"/>
        <v>#DIV/0!</v>
      </c>
    </row>
    <row r="227" spans="1:11" s="21" customFormat="1" ht="15.75" customHeight="1">
      <c r="A227" s="150" t="s">
        <v>203</v>
      </c>
      <c r="B227" s="151"/>
      <c r="C227" s="51" t="s">
        <v>197</v>
      </c>
      <c r="D227" s="51">
        <f>(3.25*2.75+2.56*2.1+2.74*2.74+1.52*1.22+1.25*1.22+2.56*1+0.5*1.52+2.4*0.6+3.25*0.75+2.4*0.9+2.74*0.75)*10.764</f>
        <v>394.10233199999988</v>
      </c>
      <c r="E227" s="51">
        <v>0</v>
      </c>
      <c r="F227" s="51">
        <v>610</v>
      </c>
      <c r="G227" s="182" t="str">
        <f>A226</f>
        <v>4th &amp; 6th Floor</v>
      </c>
      <c r="H227" s="155"/>
      <c r="J227" s="21">
        <f t="shared" si="4"/>
        <v>1.5478213409810531</v>
      </c>
    </row>
    <row r="228" spans="1:11" s="21" customFormat="1">
      <c r="A228" s="150" t="s">
        <v>204</v>
      </c>
      <c r="B228" s="151"/>
      <c r="C228" s="51" t="s">
        <v>193</v>
      </c>
      <c r="D228" s="51">
        <f>(3.7*2.75+2.52*2.15+1.2*0.9+1.5*1.2+1*1.5+2.75*0.75+2.15*0.9)*10.764</f>
        <v>258.018462</v>
      </c>
      <c r="E228" s="51">
        <v>0</v>
      </c>
      <c r="F228" s="51">
        <v>410</v>
      </c>
      <c r="G228" s="183"/>
      <c r="H228" s="157"/>
      <c r="J228" s="21">
        <f t="shared" si="4"/>
        <v>1.589033578535167</v>
      </c>
    </row>
    <row r="229" spans="1:11" s="21" customFormat="1">
      <c r="A229" s="150" t="s">
        <v>205</v>
      </c>
      <c r="B229" s="151"/>
      <c r="C229" s="51" t="s">
        <v>193</v>
      </c>
      <c r="D229" s="51">
        <f>(3.7*2.75+2.52*2.15+1.2*0.9+1.5*1.2+1*1.5+2.75*0.75+2.15*0.9)*10.764</f>
        <v>258.018462</v>
      </c>
      <c r="E229" s="51">
        <v>0</v>
      </c>
      <c r="F229" s="51">
        <v>410</v>
      </c>
      <c r="G229" s="183"/>
      <c r="H229" s="157"/>
      <c r="J229" s="21">
        <f t="shared" si="4"/>
        <v>1.589033578535167</v>
      </c>
    </row>
    <row r="230" spans="1:11" s="21" customFormat="1">
      <c r="A230" s="150" t="s">
        <v>206</v>
      </c>
      <c r="B230" s="151"/>
      <c r="C230" s="51" t="s">
        <v>197</v>
      </c>
      <c r="D230" s="51">
        <f>(3.25*2.75+2.56*2.1+2.74*2.74+1.52*1.22+1.25*1.22+2.56*1+0.5*1.52+2.4*0.6+3.25*0.75+2.4*0.9+2.74*0.75)*10.764</f>
        <v>394.10233199999988</v>
      </c>
      <c r="E230" s="51">
        <v>0</v>
      </c>
      <c r="F230" s="51">
        <v>610</v>
      </c>
      <c r="G230" s="183"/>
      <c r="H230" s="157"/>
      <c r="J230" s="21">
        <f t="shared" si="4"/>
        <v>1.5478213409810531</v>
      </c>
    </row>
    <row r="231" spans="1:11" s="21" customFormat="1">
      <c r="A231" s="150" t="s">
        <v>207</v>
      </c>
      <c r="B231" s="151"/>
      <c r="C231" s="51" t="s">
        <v>197</v>
      </c>
      <c r="D231" s="51">
        <f>(3.25*2.75+2.56*2.1+2.74*2.74+1.52*1.22+1.25*1.22+2.56*1+0.5*1.52+2.4*0.6+3.25*0.75+2.4*0.9+2.74*0.75)*10.764</f>
        <v>394.10233199999988</v>
      </c>
      <c r="E231" s="51">
        <v>0</v>
      </c>
      <c r="F231" s="51">
        <v>610</v>
      </c>
      <c r="G231" s="183"/>
      <c r="H231" s="157"/>
      <c r="J231" s="21">
        <f t="shared" si="4"/>
        <v>1.5478213409810531</v>
      </c>
    </row>
    <row r="232" spans="1:11" s="21" customFormat="1">
      <c r="A232" s="150" t="s">
        <v>208</v>
      </c>
      <c r="B232" s="151"/>
      <c r="C232" s="51" t="s">
        <v>193</v>
      </c>
      <c r="D232" s="51">
        <f>(3.7*2.75+2.52*2.15+1.2*0.9+1.5*1.2+1*1.5+2.75*0.75+2.15*0.9)*10.764</f>
        <v>258.018462</v>
      </c>
      <c r="E232" s="51">
        <v>0</v>
      </c>
      <c r="F232" s="51">
        <v>410</v>
      </c>
      <c r="G232" s="183"/>
      <c r="H232" s="157"/>
      <c r="J232" s="21">
        <f t="shared" si="4"/>
        <v>1.589033578535167</v>
      </c>
      <c r="K232" s="20"/>
    </row>
    <row r="233" spans="1:11" s="21" customFormat="1">
      <c r="A233" s="150" t="s">
        <v>209</v>
      </c>
      <c r="B233" s="151"/>
      <c r="C233" s="51" t="s">
        <v>197</v>
      </c>
      <c r="D233" s="51">
        <f>(3.25*2.75+2.56*2.1+2.74*2.74+1.52*1.22+1.25*1.22+2.56*1+0.5*1.52+2.4*0.6+3.25*0.75+2.4*0.9+2.74*0.75)*10.764</f>
        <v>394.10233199999988</v>
      </c>
      <c r="E233" s="51">
        <v>0</v>
      </c>
      <c r="F233" s="51">
        <v>610</v>
      </c>
      <c r="G233" s="183"/>
      <c r="H233" s="157"/>
      <c r="J233" s="21">
        <f t="shared" si="4"/>
        <v>1.5478213409810531</v>
      </c>
      <c r="K233" s="22"/>
    </row>
    <row r="234" spans="1:11" s="21" customFormat="1">
      <c r="A234" s="150" t="s">
        <v>210</v>
      </c>
      <c r="B234" s="151"/>
      <c r="C234" s="51" t="s">
        <v>197</v>
      </c>
      <c r="D234" s="51">
        <f t="shared" ref="D234:D235" si="8">(3.25*2.75+2.56*2.1+2.74*2.74+1.52*1.22+1.25*1.22+2.56*1+0.5*1.52+2.4*0.6+3.25*0.75+2.4*0.9+2.74*0.75)*10.764</f>
        <v>394.10233199999988</v>
      </c>
      <c r="E234" s="51">
        <v>0</v>
      </c>
      <c r="F234" s="51">
        <v>610</v>
      </c>
      <c r="G234" s="183"/>
      <c r="H234" s="157"/>
      <c r="J234" s="21">
        <f t="shared" si="4"/>
        <v>1.5478213409810531</v>
      </c>
      <c r="K234" s="24"/>
    </row>
    <row r="235" spans="1:11" s="21" customFormat="1">
      <c r="A235" s="150" t="s">
        <v>236</v>
      </c>
      <c r="B235" s="151"/>
      <c r="C235" s="51" t="s">
        <v>197</v>
      </c>
      <c r="D235" s="51">
        <f t="shared" si="8"/>
        <v>394.10233199999988</v>
      </c>
      <c r="E235" s="51">
        <v>0</v>
      </c>
      <c r="F235" s="51">
        <v>610</v>
      </c>
      <c r="G235" s="184"/>
      <c r="H235" s="159"/>
      <c r="K235" s="24"/>
    </row>
    <row r="236" spans="1:11" s="21" customFormat="1" ht="15.6" customHeight="1">
      <c r="A236" s="161" t="s">
        <v>212</v>
      </c>
      <c r="B236" s="162"/>
      <c r="C236" s="162"/>
      <c r="D236" s="162"/>
      <c r="E236" s="162"/>
      <c r="F236" s="162"/>
      <c r="G236" s="162"/>
      <c r="H236" s="163"/>
      <c r="J236" s="21" t="e">
        <f t="shared" si="4"/>
        <v>#DIV/0!</v>
      </c>
    </row>
    <row r="237" spans="1:11" s="21" customFormat="1">
      <c r="A237" s="151">
        <v>701</v>
      </c>
      <c r="B237" s="151"/>
      <c r="C237" s="51" t="s">
        <v>197</v>
      </c>
      <c r="D237" s="51">
        <f>(3.25*2.75+2.56*2.1+2.74*2.74+1.52*1.22+1.25*1.22+2.56*1+0.5*1.52+2.4*0.6+3.25*0.75+2.4*0.9+2.74*0.75)*10.764</f>
        <v>394.10233199999988</v>
      </c>
      <c r="E237" s="51">
        <v>0</v>
      </c>
      <c r="F237" s="51">
        <v>610</v>
      </c>
      <c r="G237" s="154" t="str">
        <f>A236</f>
        <v>7th Floor</v>
      </c>
      <c r="H237" s="155"/>
      <c r="I237" s="21">
        <f>(3.25*2.75+2.56*2.1+3.49*2.74+1.25*1.22+1.52*1.22+1.22*0.96+0.9*2.1+2.4*0.6+0.9*2.1+2.75*0.75)*10.764</f>
        <v>384.37382879999996</v>
      </c>
      <c r="J237" s="21">
        <f t="shared" si="4"/>
        <v>1.5478213409810531</v>
      </c>
    </row>
    <row r="238" spans="1:11" s="21" customFormat="1">
      <c r="A238" s="151">
        <v>702</v>
      </c>
      <c r="B238" s="151"/>
      <c r="C238" s="51" t="s">
        <v>193</v>
      </c>
      <c r="D238" s="51">
        <f>(3.7*2.75+2.52*2.15+1.2*0.9+1.5*1.2+1*1.5+2.75*0.75+2.15*0.9)*10.764</f>
        <v>258.018462</v>
      </c>
      <c r="E238" s="51">
        <v>0</v>
      </c>
      <c r="F238" s="51">
        <v>410</v>
      </c>
      <c r="G238" s="156"/>
      <c r="H238" s="157"/>
      <c r="J238" s="21">
        <f t="shared" si="4"/>
        <v>1.589033578535167</v>
      </c>
    </row>
    <row r="239" spans="1:11" s="21" customFormat="1">
      <c r="A239" s="151">
        <v>703</v>
      </c>
      <c r="B239" s="151"/>
      <c r="C239" s="51" t="s">
        <v>193</v>
      </c>
      <c r="D239" s="51">
        <f>(3.7*2.75+2.52*2.15+1.2*0.9+1.5*1.2+1*1.5+2.75*0.75+2.15*0.9)*10.764</f>
        <v>258.018462</v>
      </c>
      <c r="E239" s="51">
        <v>0</v>
      </c>
      <c r="F239" s="51">
        <v>410</v>
      </c>
      <c r="G239" s="156"/>
      <c r="H239" s="157"/>
      <c r="J239" s="21">
        <f t="shared" si="4"/>
        <v>1.589033578535167</v>
      </c>
    </row>
    <row r="240" spans="1:11" s="21" customFormat="1">
      <c r="A240" s="151">
        <v>704</v>
      </c>
      <c r="B240" s="151"/>
      <c r="C240" s="51" t="s">
        <v>197</v>
      </c>
      <c r="D240" s="51">
        <f t="shared" ref="D240:D241" si="9">(3.25*2.75+2.56*2.1+2.74*2.74+1.52*1.22+1.25*1.22+2.56*1+0.5*1.52+2.4*0.6+3.25*0.75+2.4*0.9+2.74*0.75)*10.764</f>
        <v>394.10233199999988</v>
      </c>
      <c r="E240" s="51">
        <v>0</v>
      </c>
      <c r="F240" s="51">
        <v>610</v>
      </c>
      <c r="G240" s="156"/>
      <c r="H240" s="157"/>
      <c r="J240" s="21">
        <f t="shared" si="4"/>
        <v>1.5478213409810531</v>
      </c>
    </row>
    <row r="241" spans="1:11" s="21" customFormat="1">
      <c r="A241" s="151">
        <v>705</v>
      </c>
      <c r="B241" s="151"/>
      <c r="C241" s="51" t="s">
        <v>197</v>
      </c>
      <c r="D241" s="51">
        <f t="shared" si="9"/>
        <v>394.10233199999988</v>
      </c>
      <c r="E241" s="51">
        <v>0</v>
      </c>
      <c r="F241" s="51">
        <v>610</v>
      </c>
      <c r="G241" s="156"/>
      <c r="H241" s="157"/>
      <c r="J241" s="21">
        <f t="shared" si="4"/>
        <v>1.5478213409810531</v>
      </c>
    </row>
    <row r="242" spans="1:11" s="21" customFormat="1">
      <c r="A242" s="151">
        <v>706</v>
      </c>
      <c r="B242" s="151"/>
      <c r="C242" s="51" t="s">
        <v>193</v>
      </c>
      <c r="D242" s="51">
        <f>(3.7*2.75+2.52*2.15+1.2*0.9+1.5*1.2+1*1.5+2.75*0.75+2.15*0.9)*10.764</f>
        <v>258.018462</v>
      </c>
      <c r="E242" s="51">
        <v>0</v>
      </c>
      <c r="F242" s="51">
        <v>410</v>
      </c>
      <c r="G242" s="156"/>
      <c r="H242" s="157"/>
      <c r="J242" s="21">
        <f t="shared" si="4"/>
        <v>1.589033578535167</v>
      </c>
      <c r="K242" s="20"/>
    </row>
    <row r="243" spans="1:11" s="21" customFormat="1">
      <c r="A243" s="151">
        <v>707</v>
      </c>
      <c r="B243" s="151"/>
      <c r="C243" s="51" t="s">
        <v>193</v>
      </c>
      <c r="D243" s="51">
        <f>(3.7*2.75+2.52*2.15+1.2*0.9+1.5*1.2+1*1.5+2.75*0.75+2.15*0.9)*10.764</f>
        <v>258.018462</v>
      </c>
      <c r="E243" s="51">
        <v>0</v>
      </c>
      <c r="F243" s="51">
        <v>610</v>
      </c>
      <c r="G243" s="156"/>
      <c r="H243" s="157"/>
      <c r="J243" s="21">
        <f t="shared" si="4"/>
        <v>2.3641719095279314</v>
      </c>
      <c r="K243" s="22"/>
    </row>
    <row r="244" spans="1:11" s="21" customFormat="1">
      <c r="A244" s="151">
        <v>708</v>
      </c>
      <c r="B244" s="151"/>
      <c r="C244" s="51" t="s">
        <v>197</v>
      </c>
      <c r="D244" s="51">
        <f>(3.25*2.75+2.56*2.1+2.74*2.74+1.52*1.22+1.25*1.22+2.56*1+0.5*1.52+2.4*0.6+3.25*0.75+2.4*0.9+2.74*0.75)*10.764</f>
        <v>394.10233199999988</v>
      </c>
      <c r="E244" s="51">
        <v>0</v>
      </c>
      <c r="F244" s="51">
        <v>610</v>
      </c>
      <c r="G244" s="156"/>
      <c r="H244" s="157"/>
      <c r="J244" s="21">
        <f t="shared" si="4"/>
        <v>1.5478213409810531</v>
      </c>
      <c r="K244" s="24"/>
    </row>
    <row r="245" spans="1:11" s="21" customFormat="1">
      <c r="A245" s="151">
        <v>709</v>
      </c>
      <c r="B245" s="151"/>
      <c r="C245" s="51" t="s">
        <v>197</v>
      </c>
      <c r="D245" s="51">
        <f>(3.25*2.75+2.56*2.1+2.74*2.74+1.52*1.22+1.25*1.22+2.56*1+0.5*1.52+2.4*0.6+3.25*0.75+2.4*0.9+2.74*0.75)*10.764</f>
        <v>394.10233199999988</v>
      </c>
      <c r="E245" s="51">
        <v>0</v>
      </c>
      <c r="F245" s="51">
        <v>610</v>
      </c>
      <c r="G245" s="158"/>
      <c r="H245" s="159"/>
      <c r="J245" s="21">
        <f t="shared" si="4"/>
        <v>1.5478213409810531</v>
      </c>
      <c r="K245" s="24"/>
    </row>
    <row r="246" spans="1:11" s="21" customFormat="1" ht="15.6" customHeight="1">
      <c r="A246" s="161" t="s">
        <v>213</v>
      </c>
      <c r="B246" s="162"/>
      <c r="C246" s="162"/>
      <c r="D246" s="162"/>
      <c r="E246" s="162"/>
      <c r="F246" s="162"/>
      <c r="G246" s="162"/>
      <c r="H246" s="163"/>
      <c r="J246" s="21" t="e">
        <f t="shared" si="4"/>
        <v>#DIV/0!</v>
      </c>
    </row>
    <row r="247" spans="1:11" s="21" customFormat="1">
      <c r="A247" s="150" t="s">
        <v>214</v>
      </c>
      <c r="B247" s="151"/>
      <c r="C247" s="51" t="s">
        <v>197</v>
      </c>
      <c r="D247" s="51">
        <f>(3.25*2.75+2.56*2.1+2.74*2.74+1.52*1.22+1.25*1.22+2.56*1+0.5*1.52+2.4*0.6+3.25*0.75+2.4*0.9+2.74*0.75)*10.764</f>
        <v>394.10233199999988</v>
      </c>
      <c r="E247" s="51">
        <v>0</v>
      </c>
      <c r="F247" s="51">
        <v>610</v>
      </c>
      <c r="G247" s="154" t="str">
        <f>A246</f>
        <v>8th &amp; 13th Floor (Part Refuge Area)</v>
      </c>
      <c r="H247" s="155"/>
      <c r="J247" s="21">
        <f t="shared" si="4"/>
        <v>1.5478213409810531</v>
      </c>
    </row>
    <row r="248" spans="1:11" s="21" customFormat="1">
      <c r="A248" s="150" t="s">
        <v>216</v>
      </c>
      <c r="B248" s="151"/>
      <c r="C248" s="152" t="s">
        <v>215</v>
      </c>
      <c r="D248" s="160"/>
      <c r="E248" s="160"/>
      <c r="F248" s="153"/>
      <c r="G248" s="156"/>
      <c r="H248" s="157"/>
      <c r="J248" s="21" t="e">
        <f t="shared" si="4"/>
        <v>#DIV/0!</v>
      </c>
    </row>
    <row r="249" spans="1:11" s="21" customFormat="1">
      <c r="A249" s="150" t="s">
        <v>217</v>
      </c>
      <c r="B249" s="151"/>
      <c r="C249" s="51" t="s">
        <v>193</v>
      </c>
      <c r="D249" s="51">
        <f>(3.7*2.75+2.52*2.15+1.2*0.9+1.5*1.2+1*1.5+2.75*0.75+2.15*0.9)*10.764</f>
        <v>258.018462</v>
      </c>
      <c r="E249" s="51">
        <v>0</v>
      </c>
      <c r="F249" s="51">
        <v>410</v>
      </c>
      <c r="G249" s="156"/>
      <c r="H249" s="157"/>
      <c r="J249" s="21">
        <f t="shared" si="4"/>
        <v>1.589033578535167</v>
      </c>
    </row>
    <row r="250" spans="1:11" s="21" customFormat="1">
      <c r="A250" s="150" t="s">
        <v>218</v>
      </c>
      <c r="B250" s="151"/>
      <c r="C250" s="51" t="s">
        <v>197</v>
      </c>
      <c r="D250" s="51">
        <f>(3.25*2.75+2.56*2.1+2.74*2.74+1.52*1.22+1.25*1.22+2.56*1+0.5*1.52+2.4*0.6+3.25*0.75+2.4*0.9+2.74*0.75)*10.764</f>
        <v>394.10233199999988</v>
      </c>
      <c r="E250" s="51">
        <v>0</v>
      </c>
      <c r="F250" s="51">
        <v>610</v>
      </c>
      <c r="G250" s="156"/>
      <c r="H250" s="157"/>
      <c r="J250" s="21">
        <f t="shared" si="4"/>
        <v>1.5478213409810531</v>
      </c>
    </row>
    <row r="251" spans="1:11" s="21" customFormat="1">
      <c r="A251" s="150" t="s">
        <v>219</v>
      </c>
      <c r="B251" s="151"/>
      <c r="C251" s="51" t="s">
        <v>197</v>
      </c>
      <c r="D251" s="51">
        <f>(3.25*2.75+2.56*2.1+2.74*2.74+1.52*1.22+1.25*1.22+2.56*1+0.5*1.52+2.4*0.6+3.25*0.75+2.4*0.9+2.74*0.75)*10.764</f>
        <v>394.10233199999988</v>
      </c>
      <c r="E251" s="51">
        <v>0</v>
      </c>
      <c r="F251" s="51">
        <v>610</v>
      </c>
      <c r="G251" s="156"/>
      <c r="H251" s="157"/>
      <c r="J251" s="21">
        <f t="shared" si="4"/>
        <v>1.5478213409810531</v>
      </c>
    </row>
    <row r="252" spans="1:11" s="21" customFormat="1">
      <c r="A252" s="150" t="s">
        <v>220</v>
      </c>
      <c r="B252" s="151"/>
      <c r="C252" s="51" t="s">
        <v>193</v>
      </c>
      <c r="D252" s="51">
        <f>(3.7*2.75+2.52*2.15+1.2*0.9+1.5*1.2+1*1.5+2.75*0.75+2.15*0.9)*10.764</f>
        <v>258.018462</v>
      </c>
      <c r="E252" s="51">
        <v>0</v>
      </c>
      <c r="F252" s="51">
        <v>410</v>
      </c>
      <c r="G252" s="156"/>
      <c r="H252" s="157"/>
      <c r="J252" s="21">
        <f t="shared" si="4"/>
        <v>1.589033578535167</v>
      </c>
      <c r="K252" s="20"/>
    </row>
    <row r="253" spans="1:11" s="21" customFormat="1">
      <c r="A253" s="150" t="s">
        <v>221</v>
      </c>
      <c r="B253" s="151"/>
      <c r="C253" s="51" t="s">
        <v>193</v>
      </c>
      <c r="D253" s="51">
        <f>(3.7*2.75+2.52*2.15+1.2*0.9+1.5*1.2+1*1.5+2.75*0.75+2.15*0.9)*10.764</f>
        <v>258.018462</v>
      </c>
      <c r="E253" s="51">
        <v>0</v>
      </c>
      <c r="F253" s="51">
        <v>410</v>
      </c>
      <c r="G253" s="156"/>
      <c r="H253" s="157"/>
      <c r="J253" s="21">
        <f t="shared" si="4"/>
        <v>1.589033578535167</v>
      </c>
      <c r="K253" s="22"/>
    </row>
    <row r="254" spans="1:11" s="21" customFormat="1">
      <c r="A254" s="150" t="s">
        <v>222</v>
      </c>
      <c r="B254" s="151"/>
      <c r="C254" s="51" t="s">
        <v>197</v>
      </c>
      <c r="D254" s="51">
        <f>(3.25*2.75+2.56*2.1+2.74*2.74+1.52*1.22+1.25*1.22+2.56*1+0.5*1.52+2.4*0.6+3.25*0.75+2.4*0.9+2.74*0.75)*10.764</f>
        <v>394.10233199999988</v>
      </c>
      <c r="E254" s="51">
        <v>0</v>
      </c>
      <c r="F254" s="51">
        <v>610</v>
      </c>
      <c r="G254" s="156"/>
      <c r="H254" s="157"/>
      <c r="J254" s="21">
        <f t="shared" si="4"/>
        <v>1.5478213409810531</v>
      </c>
      <c r="K254" s="24"/>
    </row>
    <row r="255" spans="1:11" s="21" customFormat="1">
      <c r="A255" s="150" t="s">
        <v>237</v>
      </c>
      <c r="B255" s="151"/>
      <c r="C255" s="51" t="s">
        <v>197</v>
      </c>
      <c r="D255" s="51">
        <f>(3.25*2.75+2.56*2.1+2.74*2.74+1.52*1.22+1.25*1.22+2.56*1+0.5*1.52+2.4*0.6+3.25*0.75+2.4*0.9+2.74*0.75)*10.764</f>
        <v>394.10233199999988</v>
      </c>
      <c r="E255" s="51">
        <v>0</v>
      </c>
      <c r="F255" s="51">
        <v>610</v>
      </c>
      <c r="G255" s="158"/>
      <c r="H255" s="159"/>
      <c r="J255" s="21">
        <f t="shared" si="4"/>
        <v>1.5478213409810531</v>
      </c>
      <c r="K255" s="24"/>
    </row>
    <row r="256" spans="1:11" s="21" customFormat="1" ht="15.6" customHeight="1">
      <c r="A256" s="161" t="s">
        <v>223</v>
      </c>
      <c r="B256" s="162"/>
      <c r="C256" s="162"/>
      <c r="D256" s="162"/>
      <c r="E256" s="162"/>
      <c r="F256" s="162"/>
      <c r="G256" s="162"/>
      <c r="H256" s="163"/>
      <c r="J256" s="21" t="e">
        <f t="shared" si="4"/>
        <v>#DIV/0!</v>
      </c>
    </row>
    <row r="257" spans="1:11" s="21" customFormat="1">
      <c r="A257" s="150" t="s">
        <v>224</v>
      </c>
      <c r="B257" s="151"/>
      <c r="C257" s="51" t="s">
        <v>197</v>
      </c>
      <c r="D257" s="51">
        <f>(3.25*2.75+2.56*2.1+2.74*2.74+1.52*1.22+1.25*1.22+2.56*1+0.5*1.52+2.4*0.6+3.25*0.75+2.4*0.9+2.74*0.75)*10.764</f>
        <v>394.10233199999988</v>
      </c>
      <c r="E257" s="51">
        <v>0</v>
      </c>
      <c r="F257" s="51">
        <v>610</v>
      </c>
      <c r="G257" s="154" t="str">
        <f>A256</f>
        <v>9th to 12th Floor</v>
      </c>
      <c r="H257" s="155"/>
      <c r="J257" s="21">
        <f t="shared" si="4"/>
        <v>1.5478213409810531</v>
      </c>
    </row>
    <row r="258" spans="1:11" s="21" customFormat="1">
      <c r="A258" s="150" t="s">
        <v>225</v>
      </c>
      <c r="B258" s="151"/>
      <c r="C258" s="51" t="s">
        <v>193</v>
      </c>
      <c r="D258" s="51">
        <f>(3.7*2.75+2.52*2.15+1.2*0.9+1.5*1.2+1*1.5+2.75*0.75+2.15*0.9)*10.764</f>
        <v>258.018462</v>
      </c>
      <c r="E258" s="51">
        <v>0</v>
      </c>
      <c r="F258" s="51">
        <v>410</v>
      </c>
      <c r="G258" s="156"/>
      <c r="H258" s="157"/>
      <c r="J258" s="21">
        <f t="shared" si="4"/>
        <v>1.589033578535167</v>
      </c>
    </row>
    <row r="259" spans="1:11" s="21" customFormat="1">
      <c r="A259" s="150" t="s">
        <v>226</v>
      </c>
      <c r="B259" s="151"/>
      <c r="C259" s="51" t="s">
        <v>193</v>
      </c>
      <c r="D259" s="51">
        <f>(3.7*2.75+2.52*2.15+1.2*0.9+1.5*1.2+1*1.5+2.75*0.75+2.15*0.9)*10.764</f>
        <v>258.018462</v>
      </c>
      <c r="E259" s="51">
        <v>0</v>
      </c>
      <c r="F259" s="51">
        <v>410</v>
      </c>
      <c r="G259" s="156"/>
      <c r="H259" s="157"/>
      <c r="J259" s="21">
        <f t="shared" si="4"/>
        <v>1.589033578535167</v>
      </c>
    </row>
    <row r="260" spans="1:11" s="21" customFormat="1">
      <c r="A260" s="150" t="s">
        <v>227</v>
      </c>
      <c r="B260" s="151"/>
      <c r="C260" s="51" t="s">
        <v>197</v>
      </c>
      <c r="D260" s="51">
        <f>(3.25*2.75+2.56*2.1+2.74*2.74+1.52*1.22+1.25*1.22+2.56*1+0.5*1.52+2.4*0.6+3.25*0.75+2.4*0.9+2.74*0.75)*10.764</f>
        <v>394.10233199999988</v>
      </c>
      <c r="E260" s="51">
        <v>0</v>
      </c>
      <c r="F260" s="51">
        <v>610</v>
      </c>
      <c r="G260" s="156"/>
      <c r="H260" s="157"/>
      <c r="J260" s="21">
        <f t="shared" si="4"/>
        <v>1.5478213409810531</v>
      </c>
    </row>
    <row r="261" spans="1:11" s="21" customFormat="1">
      <c r="A261" s="150" t="s">
        <v>228</v>
      </c>
      <c r="B261" s="151"/>
      <c r="C261" s="51" t="s">
        <v>197</v>
      </c>
      <c r="D261" s="51">
        <f>(3.25*2.75+2.56*2.1+2.74*2.74+1.52*1.22+1.25*1.22+2.56*1+0.5*1.52+2.4*0.6+3.25*0.75+2.4*0.9+2.74*0.75)*10.764</f>
        <v>394.10233199999988</v>
      </c>
      <c r="E261" s="51">
        <v>0</v>
      </c>
      <c r="F261" s="51">
        <v>610</v>
      </c>
      <c r="G261" s="156"/>
      <c r="H261" s="157"/>
      <c r="J261" s="21">
        <f t="shared" si="4"/>
        <v>1.5478213409810531</v>
      </c>
    </row>
    <row r="262" spans="1:11" s="21" customFormat="1">
      <c r="A262" s="150" t="s">
        <v>229</v>
      </c>
      <c r="B262" s="151"/>
      <c r="C262" s="51" t="s">
        <v>193</v>
      </c>
      <c r="D262" s="51">
        <f>(3.7*2.75+2.52*2.15+1.2*0.9+1.5*1.2+1*1.5+2.75*0.75+2.15*0.9)*10.764</f>
        <v>258.018462</v>
      </c>
      <c r="E262" s="51">
        <v>0</v>
      </c>
      <c r="F262" s="51">
        <v>410</v>
      </c>
      <c r="G262" s="156"/>
      <c r="H262" s="157"/>
      <c r="J262" s="21">
        <f t="shared" si="4"/>
        <v>1.589033578535167</v>
      </c>
      <c r="K262" s="20"/>
    </row>
    <row r="263" spans="1:11" s="21" customFormat="1">
      <c r="A263" s="150" t="s">
        <v>230</v>
      </c>
      <c r="B263" s="151"/>
      <c r="C263" s="51" t="s">
        <v>193</v>
      </c>
      <c r="D263" s="51">
        <f>(3.7*2.75+2.52*2.15+1.2*0.9+1.5*1.2+1*1.5+2.75*0.75+2.15*0.9)*10.764</f>
        <v>258.018462</v>
      </c>
      <c r="E263" s="51">
        <v>0</v>
      </c>
      <c r="F263" s="51">
        <v>410</v>
      </c>
      <c r="G263" s="156"/>
      <c r="H263" s="157"/>
      <c r="J263" s="21">
        <f t="shared" si="4"/>
        <v>1.589033578535167</v>
      </c>
      <c r="K263" s="22"/>
    </row>
    <row r="264" spans="1:11" s="21" customFormat="1">
      <c r="A264" s="150" t="s">
        <v>231</v>
      </c>
      <c r="B264" s="151"/>
      <c r="C264" s="51" t="s">
        <v>197</v>
      </c>
      <c r="D264" s="51">
        <f>(3.25*2.75+2.56*2.1+2.74*2.74+1.52*1.22+1.25*1.22+2.56*1+0.5*1.52+2.4*0.6+3.25*0.75+2.4*0.9+2.74*0.75)*10.764</f>
        <v>394.10233199999988</v>
      </c>
      <c r="E264" s="51">
        <v>0</v>
      </c>
      <c r="F264" s="51">
        <v>610</v>
      </c>
      <c r="G264" s="156"/>
      <c r="H264" s="157"/>
      <c r="J264" s="21">
        <f t="shared" ref="J264:J265" si="10">F264/D264</f>
        <v>1.5478213409810531</v>
      </c>
      <c r="K264" s="24"/>
    </row>
    <row r="265" spans="1:11" s="21" customFormat="1">
      <c r="A265" s="150" t="s">
        <v>238</v>
      </c>
      <c r="B265" s="151"/>
      <c r="C265" s="51" t="s">
        <v>197</v>
      </c>
      <c r="D265" s="51">
        <f>(3.25*2.75+2.56*2.1+2.74*2.74+1.52*1.22+1.25*1.22+2.56*1+0.5*1.52+2.4*0.6+3.25*0.75+2.4*0.9+2.74*0.75)*10.764</f>
        <v>394.10233199999988</v>
      </c>
      <c r="E265" s="51">
        <v>0</v>
      </c>
      <c r="F265" s="51">
        <v>610</v>
      </c>
      <c r="G265" s="158"/>
      <c r="H265" s="159"/>
      <c r="J265" s="21">
        <f t="shared" si="10"/>
        <v>1.5478213409810531</v>
      </c>
      <c r="K265" s="24"/>
    </row>
    <row r="266" spans="1:11" s="20" customFormat="1">
      <c r="A266" s="164" t="s">
        <v>239</v>
      </c>
      <c r="B266" s="165"/>
      <c r="C266" s="165"/>
      <c r="D266" s="165"/>
      <c r="E266" s="165"/>
      <c r="F266" s="165"/>
      <c r="G266" s="165"/>
      <c r="H266" s="166"/>
      <c r="J266" s="24"/>
      <c r="K266" s="24"/>
    </row>
    <row r="267" spans="1:11" s="22" customFormat="1" ht="158.25" customHeight="1">
      <c r="A267" s="167" t="s">
        <v>292</v>
      </c>
      <c r="B267" s="168"/>
      <c r="C267" s="168"/>
      <c r="D267" s="168"/>
      <c r="E267" s="168"/>
      <c r="F267" s="168"/>
      <c r="G267" s="168"/>
      <c r="H267" s="169"/>
      <c r="J267" s="24"/>
      <c r="K267" s="24"/>
    </row>
    <row r="268" spans="1:11">
      <c r="A268" s="170" t="s">
        <v>240</v>
      </c>
      <c r="B268" s="171"/>
      <c r="C268" s="171"/>
      <c r="D268" s="171"/>
      <c r="E268" s="171"/>
      <c r="F268" s="171"/>
      <c r="G268" s="171"/>
      <c r="H268" s="172"/>
    </row>
    <row r="269" spans="1:11">
      <c r="A269" s="185" t="s">
        <v>241</v>
      </c>
      <c r="B269" s="186"/>
      <c r="C269" s="186"/>
      <c r="D269" s="186"/>
      <c r="E269" s="186"/>
      <c r="F269" s="186"/>
      <c r="G269" s="186"/>
      <c r="H269" s="187"/>
    </row>
    <row r="270" spans="1:11" ht="15.75" customHeight="1">
      <c r="A270" s="170" t="s">
        <v>242</v>
      </c>
      <c r="B270" s="171"/>
      <c r="C270" s="171"/>
      <c r="D270" s="171"/>
      <c r="E270" s="171"/>
      <c r="F270" s="171"/>
      <c r="G270" s="171"/>
      <c r="H270" s="172"/>
    </row>
    <row r="271" spans="1:11">
      <c r="A271" s="185" t="s">
        <v>243</v>
      </c>
      <c r="B271" s="186"/>
      <c r="C271" s="186"/>
      <c r="D271" s="186"/>
      <c r="E271" s="186"/>
      <c r="F271" s="186"/>
      <c r="G271" s="186"/>
      <c r="H271" s="187"/>
    </row>
    <row r="272" spans="1:11">
      <c r="A272" s="185" t="s">
        <v>244</v>
      </c>
      <c r="B272" s="186"/>
      <c r="C272" s="186"/>
      <c r="D272" s="186"/>
      <c r="E272" s="186"/>
      <c r="F272" s="186"/>
      <c r="G272" s="186"/>
      <c r="H272" s="187"/>
    </row>
    <row r="273" spans="1:8">
      <c r="A273" s="185" t="s">
        <v>245</v>
      </c>
      <c r="B273" s="186"/>
      <c r="C273" s="186"/>
      <c r="D273" s="186"/>
      <c r="E273" s="186"/>
      <c r="F273" s="186"/>
      <c r="G273" s="186"/>
      <c r="H273" s="187"/>
    </row>
    <row r="274" spans="1:8" ht="35.25" customHeight="1">
      <c r="A274" s="188" t="s">
        <v>246</v>
      </c>
      <c r="B274" s="189"/>
      <c r="C274" s="189"/>
      <c r="D274" s="189"/>
      <c r="E274" s="189"/>
      <c r="F274" s="189"/>
      <c r="G274" s="189"/>
      <c r="H274" s="190"/>
    </row>
    <row r="275" spans="1:8">
      <c r="A275" s="191" t="s">
        <v>247</v>
      </c>
      <c r="B275" s="191"/>
      <c r="C275" s="192" t="s">
        <v>291</v>
      </c>
      <c r="D275" s="192"/>
      <c r="E275" s="191" t="s">
        <v>248</v>
      </c>
      <c r="F275" s="191"/>
      <c r="G275" s="191" t="s">
        <v>290</v>
      </c>
      <c r="H275" s="191"/>
    </row>
    <row r="276" spans="1:8" ht="15.75" customHeight="1">
      <c r="A276" s="173" t="s">
        <v>249</v>
      </c>
      <c r="B276" s="174"/>
      <c r="C276" s="174"/>
      <c r="D276" s="174"/>
      <c r="E276" s="174"/>
      <c r="F276" s="174"/>
      <c r="G276" s="174"/>
      <c r="H276" s="175"/>
    </row>
    <row r="277" spans="1:8">
      <c r="A277" s="176"/>
      <c r="B277" s="177"/>
      <c r="C277" s="177"/>
      <c r="D277" s="177"/>
      <c r="E277" s="177"/>
      <c r="F277" s="177"/>
      <c r="G277" s="177"/>
      <c r="H277" s="178"/>
    </row>
    <row r="278" spans="1:8">
      <c r="A278" s="176"/>
      <c r="B278" s="177"/>
      <c r="C278" s="177"/>
      <c r="D278" s="177"/>
      <c r="E278" s="177"/>
      <c r="F278" s="177"/>
      <c r="G278" s="177"/>
      <c r="H278" s="178"/>
    </row>
    <row r="279" spans="1:8">
      <c r="A279" s="179"/>
      <c r="B279" s="180"/>
      <c r="C279" s="180"/>
      <c r="D279" s="180"/>
      <c r="E279" s="180"/>
      <c r="F279" s="180"/>
      <c r="G279" s="180"/>
      <c r="H279" s="181"/>
    </row>
    <row r="280" spans="1:8">
      <c r="A280" s="65" t="s">
        <v>250</v>
      </c>
      <c r="B280" s="66"/>
      <c r="C280" s="66"/>
      <c r="D280" s="65" t="str">
        <f>E8</f>
        <v>Dream Home</v>
      </c>
      <c r="F280" s="66"/>
      <c r="G280" s="66"/>
      <c r="H280" s="66"/>
    </row>
    <row r="281" spans="1:8">
      <c r="A281" s="66"/>
      <c r="B281" s="66"/>
      <c r="C281" s="66"/>
      <c r="D281" s="66"/>
      <c r="E281" s="66"/>
      <c r="F281" s="66"/>
      <c r="G281" s="66"/>
      <c r="H281" s="66"/>
    </row>
    <row r="282" spans="1:8">
      <c r="A282" s="66"/>
      <c r="B282" s="66"/>
      <c r="C282" s="66"/>
      <c r="D282" s="66"/>
      <c r="E282" s="66"/>
      <c r="F282" s="66"/>
      <c r="G282" s="66"/>
      <c r="H282" s="66"/>
    </row>
    <row r="283" spans="1:8" ht="15" customHeight="1"/>
    <row r="290" spans="6:9">
      <c r="F290"/>
    </row>
    <row r="292" spans="6:9">
      <c r="H292"/>
    </row>
    <row r="293" spans="6:9">
      <c r="H293"/>
    </row>
    <row r="301" spans="6:9">
      <c r="I301"/>
    </row>
    <row r="306" spans="7:7">
      <c r="G306"/>
    </row>
    <row r="324" spans="1:1">
      <c r="A324" s="67" t="s">
        <v>251</v>
      </c>
    </row>
  </sheetData>
  <mergeCells count="412">
    <mergeCell ref="A20:D21"/>
    <mergeCell ref="E20:H21"/>
    <mergeCell ref="E80:F89"/>
    <mergeCell ref="G80:H89"/>
    <mergeCell ref="A276:H279"/>
    <mergeCell ref="G197:H204"/>
    <mergeCell ref="G227:H235"/>
    <mergeCell ref="G207:H215"/>
    <mergeCell ref="A269:H269"/>
    <mergeCell ref="A270:H270"/>
    <mergeCell ref="A271:H271"/>
    <mergeCell ref="A272:H272"/>
    <mergeCell ref="A273:H273"/>
    <mergeCell ref="A274:H274"/>
    <mergeCell ref="A275:B275"/>
    <mergeCell ref="C275:D275"/>
    <mergeCell ref="E275:F275"/>
    <mergeCell ref="G275:H275"/>
    <mergeCell ref="A260:B260"/>
    <mergeCell ref="A261:B261"/>
    <mergeCell ref="A262:B262"/>
    <mergeCell ref="A263:B263"/>
    <mergeCell ref="A264:B264"/>
    <mergeCell ref="A265:B265"/>
    <mergeCell ref="A266:H266"/>
    <mergeCell ref="A267:H267"/>
    <mergeCell ref="A268:H268"/>
    <mergeCell ref="G257:H265"/>
    <mergeCell ref="A251:B251"/>
    <mergeCell ref="A252:B252"/>
    <mergeCell ref="A253:B253"/>
    <mergeCell ref="A254:B254"/>
    <mergeCell ref="A255:B255"/>
    <mergeCell ref="A256:H256"/>
    <mergeCell ref="A257:B257"/>
    <mergeCell ref="A258:B258"/>
    <mergeCell ref="A259:B259"/>
    <mergeCell ref="G247:H255"/>
    <mergeCell ref="A243:B243"/>
    <mergeCell ref="A244:B244"/>
    <mergeCell ref="A245:B245"/>
    <mergeCell ref="A246:H246"/>
    <mergeCell ref="A247:B247"/>
    <mergeCell ref="A248:B248"/>
    <mergeCell ref="C248:F248"/>
    <mergeCell ref="A249:B249"/>
    <mergeCell ref="A250:B250"/>
    <mergeCell ref="G237:H245"/>
    <mergeCell ref="A234:B234"/>
    <mergeCell ref="A235:B235"/>
    <mergeCell ref="A236:H236"/>
    <mergeCell ref="A237:B237"/>
    <mergeCell ref="A238:B238"/>
    <mergeCell ref="A239:B239"/>
    <mergeCell ref="A240:B240"/>
    <mergeCell ref="A241:B241"/>
    <mergeCell ref="A242:B242"/>
    <mergeCell ref="A225:B225"/>
    <mergeCell ref="A226:H226"/>
    <mergeCell ref="A227:B227"/>
    <mergeCell ref="A228:B228"/>
    <mergeCell ref="A229:B229"/>
    <mergeCell ref="A230:B230"/>
    <mergeCell ref="A231:B231"/>
    <mergeCell ref="A232:B232"/>
    <mergeCell ref="A233:B233"/>
    <mergeCell ref="A216:H216"/>
    <mergeCell ref="A217:B217"/>
    <mergeCell ref="A218:B218"/>
    <mergeCell ref="A219:B219"/>
    <mergeCell ref="A220:B220"/>
    <mergeCell ref="A221:B221"/>
    <mergeCell ref="A222:B222"/>
    <mergeCell ref="A223:B223"/>
    <mergeCell ref="A224:B224"/>
    <mergeCell ref="G217:H224"/>
    <mergeCell ref="A207:B207"/>
    <mergeCell ref="A208:B208"/>
    <mergeCell ref="A209:B209"/>
    <mergeCell ref="A210:B210"/>
    <mergeCell ref="A211:B211"/>
    <mergeCell ref="A212:B212"/>
    <mergeCell ref="A213:B213"/>
    <mergeCell ref="A214:B214"/>
    <mergeCell ref="A215:B215"/>
    <mergeCell ref="A199:B199"/>
    <mergeCell ref="A200:B200"/>
    <mergeCell ref="A201:B201"/>
    <mergeCell ref="A202:B202"/>
    <mergeCell ref="A203:B203"/>
    <mergeCell ref="A204:B204"/>
    <mergeCell ref="A205:B205"/>
    <mergeCell ref="G205:H205"/>
    <mergeCell ref="A206:H206"/>
    <mergeCell ref="A190:B190"/>
    <mergeCell ref="A191:B191"/>
    <mergeCell ref="A192:B192"/>
    <mergeCell ref="A193:B193"/>
    <mergeCell ref="A194:H194"/>
    <mergeCell ref="A195:H195"/>
    <mergeCell ref="A196:H196"/>
    <mergeCell ref="A197:B197"/>
    <mergeCell ref="A198:B198"/>
    <mergeCell ref="G186:H193"/>
    <mergeCell ref="A181:B181"/>
    <mergeCell ref="A182:B182"/>
    <mergeCell ref="A183:B183"/>
    <mergeCell ref="A184:B184"/>
    <mergeCell ref="A185:H185"/>
    <mergeCell ref="A186:B186"/>
    <mergeCell ref="A187:B187"/>
    <mergeCell ref="A188:B188"/>
    <mergeCell ref="A189:B189"/>
    <mergeCell ref="G177:H184"/>
    <mergeCell ref="A173:B173"/>
    <mergeCell ref="A174:B174"/>
    <mergeCell ref="A175:B175"/>
    <mergeCell ref="A176:H176"/>
    <mergeCell ref="A177:B177"/>
    <mergeCell ref="C177:F177"/>
    <mergeCell ref="A178:B178"/>
    <mergeCell ref="A179:B179"/>
    <mergeCell ref="A180:B180"/>
    <mergeCell ref="G168:H175"/>
    <mergeCell ref="A164:B164"/>
    <mergeCell ref="A165:B165"/>
    <mergeCell ref="A166:B166"/>
    <mergeCell ref="A167:H167"/>
    <mergeCell ref="A168:B168"/>
    <mergeCell ref="A169:B169"/>
    <mergeCell ref="A170:B170"/>
    <mergeCell ref="A171:B171"/>
    <mergeCell ref="A172:B172"/>
    <mergeCell ref="G159:H166"/>
    <mergeCell ref="A155:B155"/>
    <mergeCell ref="A156:B156"/>
    <mergeCell ref="A157:B157"/>
    <mergeCell ref="A158:H158"/>
    <mergeCell ref="A159:B159"/>
    <mergeCell ref="A160:B160"/>
    <mergeCell ref="A161:B161"/>
    <mergeCell ref="A162:B162"/>
    <mergeCell ref="A163:B163"/>
    <mergeCell ref="G150:H157"/>
    <mergeCell ref="A146:B146"/>
    <mergeCell ref="A147:B147"/>
    <mergeCell ref="A148:B148"/>
    <mergeCell ref="A149:H149"/>
    <mergeCell ref="A150:B150"/>
    <mergeCell ref="A151:B151"/>
    <mergeCell ref="A152:B152"/>
    <mergeCell ref="A153:B153"/>
    <mergeCell ref="A154:B154"/>
    <mergeCell ref="G141:H148"/>
    <mergeCell ref="A137:B137"/>
    <mergeCell ref="A138:B138"/>
    <mergeCell ref="A139:B139"/>
    <mergeCell ref="A140:H140"/>
    <mergeCell ref="A141:B141"/>
    <mergeCell ref="A142:B142"/>
    <mergeCell ref="A143:B143"/>
    <mergeCell ref="A144:B144"/>
    <mergeCell ref="A145:B145"/>
    <mergeCell ref="G130:H139"/>
    <mergeCell ref="A128:B128"/>
    <mergeCell ref="A129:H129"/>
    <mergeCell ref="A130:B130"/>
    <mergeCell ref="A131:B131"/>
    <mergeCell ref="A132:B132"/>
    <mergeCell ref="A133:B133"/>
    <mergeCell ref="A134:B134"/>
    <mergeCell ref="A135:B135"/>
    <mergeCell ref="A136:B136"/>
    <mergeCell ref="G121:H128"/>
    <mergeCell ref="A119:H119"/>
    <mergeCell ref="A120:H120"/>
    <mergeCell ref="A121:B121"/>
    <mergeCell ref="A122:B122"/>
    <mergeCell ref="A123:B123"/>
    <mergeCell ref="A124:B124"/>
    <mergeCell ref="A125:B125"/>
    <mergeCell ref="A126:B126"/>
    <mergeCell ref="A127:B127"/>
    <mergeCell ref="A114:B114"/>
    <mergeCell ref="D114:E114"/>
    <mergeCell ref="F114:H114"/>
    <mergeCell ref="A115:B115"/>
    <mergeCell ref="D115:E115"/>
    <mergeCell ref="F115:H115"/>
    <mergeCell ref="A116:H116"/>
    <mergeCell ref="A117:H117"/>
    <mergeCell ref="A118:B118"/>
    <mergeCell ref="G118:H118"/>
    <mergeCell ref="A110:H110"/>
    <mergeCell ref="A111:B111"/>
    <mergeCell ref="D111:E111"/>
    <mergeCell ref="F111:H111"/>
    <mergeCell ref="A112:B112"/>
    <mergeCell ref="D112:E112"/>
    <mergeCell ref="F112:H112"/>
    <mergeCell ref="A113:B113"/>
    <mergeCell ref="D113:E113"/>
    <mergeCell ref="F113:H113"/>
    <mergeCell ref="A106:E106"/>
    <mergeCell ref="F106:H106"/>
    <mergeCell ref="A107:H107"/>
    <mergeCell ref="A108:B108"/>
    <mergeCell ref="D108:E108"/>
    <mergeCell ref="F108:H108"/>
    <mergeCell ref="A109:B109"/>
    <mergeCell ref="D109:E109"/>
    <mergeCell ref="F109:H109"/>
    <mergeCell ref="A101:E101"/>
    <mergeCell ref="F101:H101"/>
    <mergeCell ref="A102:E102"/>
    <mergeCell ref="F102:H102"/>
    <mergeCell ref="A103:E103"/>
    <mergeCell ref="F103:H103"/>
    <mergeCell ref="A104:E104"/>
    <mergeCell ref="F104:H104"/>
    <mergeCell ref="A105:E105"/>
    <mergeCell ref="F105:H105"/>
    <mergeCell ref="A96:E96"/>
    <mergeCell ref="F96:H96"/>
    <mergeCell ref="A97:E97"/>
    <mergeCell ref="F97:H97"/>
    <mergeCell ref="A98:E98"/>
    <mergeCell ref="F98:H98"/>
    <mergeCell ref="A99:E99"/>
    <mergeCell ref="F99:H99"/>
    <mergeCell ref="A100:E100"/>
    <mergeCell ref="F100:H100"/>
    <mergeCell ref="A89:B89"/>
    <mergeCell ref="A90:H90"/>
    <mergeCell ref="A91:H91"/>
    <mergeCell ref="A92:B92"/>
    <mergeCell ref="C92:H92"/>
    <mergeCell ref="A93:H93"/>
    <mergeCell ref="A94:E94"/>
    <mergeCell ref="F94:H94"/>
    <mergeCell ref="A95:E95"/>
    <mergeCell ref="F95:H95"/>
    <mergeCell ref="A80:B80"/>
    <mergeCell ref="A81:B81"/>
    <mergeCell ref="A82:B82"/>
    <mergeCell ref="A83:B83"/>
    <mergeCell ref="A84:B84"/>
    <mergeCell ref="A85:B85"/>
    <mergeCell ref="A86:B86"/>
    <mergeCell ref="A87:B87"/>
    <mergeCell ref="A88:B88"/>
    <mergeCell ref="A75:B75"/>
    <mergeCell ref="C75:H75"/>
    <mergeCell ref="A76:B76"/>
    <mergeCell ref="C76:D76"/>
    <mergeCell ref="A78:B78"/>
    <mergeCell ref="C78:H78"/>
    <mergeCell ref="A79:B79"/>
    <mergeCell ref="E79:F79"/>
    <mergeCell ref="G79:H79"/>
    <mergeCell ref="A77:B77"/>
    <mergeCell ref="C77:D77"/>
    <mergeCell ref="E77:F77"/>
    <mergeCell ref="G77:H77"/>
    <mergeCell ref="A62:B62"/>
    <mergeCell ref="C62:D62"/>
    <mergeCell ref="A63:B63"/>
    <mergeCell ref="C63:H63"/>
    <mergeCell ref="A64:B64"/>
    <mergeCell ref="E64:F64"/>
    <mergeCell ref="G64:H64"/>
    <mergeCell ref="A65:B65"/>
    <mergeCell ref="A66:B66"/>
    <mergeCell ref="E65:F74"/>
    <mergeCell ref="G65:H74"/>
    <mergeCell ref="A67:B67"/>
    <mergeCell ref="A68:B68"/>
    <mergeCell ref="A69:B69"/>
    <mergeCell ref="A70:B70"/>
    <mergeCell ref="A71:B71"/>
    <mergeCell ref="A72:B72"/>
    <mergeCell ref="A73:B73"/>
    <mergeCell ref="A74:B74"/>
    <mergeCell ref="A57:C57"/>
    <mergeCell ref="D57:H57"/>
    <mergeCell ref="A58:C58"/>
    <mergeCell ref="D58:H58"/>
    <mergeCell ref="A59:C59"/>
    <mergeCell ref="D59:H59"/>
    <mergeCell ref="A60:C60"/>
    <mergeCell ref="D60:H60"/>
    <mergeCell ref="A61:B61"/>
    <mergeCell ref="C61:H61"/>
    <mergeCell ref="A52:H52"/>
    <mergeCell ref="A53:C53"/>
    <mergeCell ref="D53:H53"/>
    <mergeCell ref="A54:C54"/>
    <mergeCell ref="D54:H54"/>
    <mergeCell ref="A55:C55"/>
    <mergeCell ref="D55:H55"/>
    <mergeCell ref="A56:C56"/>
    <mergeCell ref="D56:H56"/>
    <mergeCell ref="A48:B48"/>
    <mergeCell ref="C48:E48"/>
    <mergeCell ref="G48:H48"/>
    <mergeCell ref="C49:E49"/>
    <mergeCell ref="G49:H49"/>
    <mergeCell ref="C50:H50"/>
    <mergeCell ref="A51:B51"/>
    <mergeCell ref="C51:E51"/>
    <mergeCell ref="G51:H51"/>
    <mergeCell ref="A49:B50"/>
    <mergeCell ref="A44:D44"/>
    <mergeCell ref="E44:H44"/>
    <mergeCell ref="A45:H45"/>
    <mergeCell ref="A46:B46"/>
    <mergeCell ref="C46:E46"/>
    <mergeCell ref="G46:H46"/>
    <mergeCell ref="A47:B47"/>
    <mergeCell ref="C47:E47"/>
    <mergeCell ref="G47:H47"/>
    <mergeCell ref="A39:D39"/>
    <mergeCell ref="E39:H39"/>
    <mergeCell ref="A40:D40"/>
    <mergeCell ref="E40:H40"/>
    <mergeCell ref="A41:D41"/>
    <mergeCell ref="E41:H41"/>
    <mergeCell ref="A42:D42"/>
    <mergeCell ref="E42:H42"/>
    <mergeCell ref="A43:D43"/>
    <mergeCell ref="E43:H43"/>
    <mergeCell ref="A34:B34"/>
    <mergeCell ref="C34:E34"/>
    <mergeCell ref="F34:H34"/>
    <mergeCell ref="A35:H35"/>
    <mergeCell ref="A36:B36"/>
    <mergeCell ref="C36:H36"/>
    <mergeCell ref="A37:B37"/>
    <mergeCell ref="C37:H37"/>
    <mergeCell ref="A38:H38"/>
    <mergeCell ref="A31:B31"/>
    <mergeCell ref="C31:E31"/>
    <mergeCell ref="F31:H31"/>
    <mergeCell ref="A32:B32"/>
    <mergeCell ref="C32:E32"/>
    <mergeCell ref="F32:H32"/>
    <mergeCell ref="A33:B33"/>
    <mergeCell ref="C33:E33"/>
    <mergeCell ref="F33:H33"/>
    <mergeCell ref="A27:D27"/>
    <mergeCell ref="E27:H27"/>
    <mergeCell ref="A28:D28"/>
    <mergeCell ref="E28:H28"/>
    <mergeCell ref="A29:D29"/>
    <mergeCell ref="E29:H29"/>
    <mergeCell ref="A30:B30"/>
    <mergeCell ref="C30:E30"/>
    <mergeCell ref="F30:H30"/>
    <mergeCell ref="A22:D22"/>
    <mergeCell ref="E22:H22"/>
    <mergeCell ref="A23:D23"/>
    <mergeCell ref="E23:H23"/>
    <mergeCell ref="A24:D24"/>
    <mergeCell ref="E24:H24"/>
    <mergeCell ref="A25:D25"/>
    <mergeCell ref="E25:H25"/>
    <mergeCell ref="A26:D26"/>
    <mergeCell ref="E26:H26"/>
    <mergeCell ref="A17:B17"/>
    <mergeCell ref="C17:D17"/>
    <mergeCell ref="E17:F17"/>
    <mergeCell ref="G17:H17"/>
    <mergeCell ref="A18:B18"/>
    <mergeCell ref="C18:D18"/>
    <mergeCell ref="E18:F18"/>
    <mergeCell ref="G18:H18"/>
    <mergeCell ref="A19:B19"/>
    <mergeCell ref="C19:D19"/>
    <mergeCell ref="E19:F19"/>
    <mergeCell ref="G19:H19"/>
    <mergeCell ref="A12:D12"/>
    <mergeCell ref="E12:H12"/>
    <mergeCell ref="A13:D13"/>
    <mergeCell ref="E13:H13"/>
    <mergeCell ref="A14:B14"/>
    <mergeCell ref="C14:H14"/>
    <mergeCell ref="A15:B15"/>
    <mergeCell ref="C15:H15"/>
    <mergeCell ref="A16:B16"/>
    <mergeCell ref="C16:D16"/>
    <mergeCell ref="E16:F16"/>
    <mergeCell ref="G16:H16"/>
    <mergeCell ref="A7:D7"/>
    <mergeCell ref="E7:H7"/>
    <mergeCell ref="A8:D8"/>
    <mergeCell ref="E8:H8"/>
    <mergeCell ref="A9:D9"/>
    <mergeCell ref="E9:H9"/>
    <mergeCell ref="A10:D10"/>
    <mergeCell ref="E10:H10"/>
    <mergeCell ref="A11:D11"/>
    <mergeCell ref="E11:H11"/>
    <mergeCell ref="A1:H1"/>
    <mergeCell ref="A2:H2"/>
    <mergeCell ref="A3:D3"/>
    <mergeCell ref="E3:H3"/>
    <mergeCell ref="A4:D4"/>
    <mergeCell ref="E4:H4"/>
    <mergeCell ref="A5:D5"/>
    <mergeCell ref="E5:H5"/>
    <mergeCell ref="A6:D6"/>
    <mergeCell ref="E6:H6"/>
  </mergeCells>
  <hyperlinks>
    <hyperlink ref="C37" r:id="rId1" xr:uid="{00000000-0004-0000-0000-000000000000}"/>
  </hyperlinks>
  <printOptions horizontalCentered="1"/>
  <pageMargins left="0.39370078740157499" right="0.39370078740157499" top="0.78740157480314998" bottom="0.78740157480314998" header="0.196850393700787" footer="0.196850393700787"/>
  <pageSetup fitToHeight="0" orientation="portrait" r:id="rId2"/>
  <headerFooter>
    <oddHeader>&amp;C&amp;G</oddHeader>
    <oddFooter>&amp;L&amp;"Times New Roman,Bold"&amp;12Ref No: &amp;F&amp;C&amp;G&amp;R&amp;"Times New Roman,Bold"&amp;12                                                                    &amp;P</oddFooter>
  </headerFooter>
  <rowBreaks count="3" manualBreakCount="3">
    <brk id="74" max="7" man="1"/>
    <brk id="279" max="16383" man="1"/>
    <brk id="32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workbookViewId="0">
      <selection activeCell="M197" sqref="M197"/>
    </sheetView>
  </sheetViews>
  <sheetFormatPr defaultColWidth="9" defaultRowHeight="15"/>
  <cols>
    <col min="2" max="2" width="12.28515625" customWidth="1"/>
  </cols>
  <sheetData>
    <row r="2" spans="1:12">
      <c r="B2" s="11" t="s">
        <v>252</v>
      </c>
      <c r="C2" s="193"/>
      <c r="D2" s="193"/>
    </row>
    <row r="3" spans="1:12">
      <c r="D3" s="12"/>
      <c r="E3" s="12"/>
      <c r="F3" s="12"/>
      <c r="G3" s="12"/>
      <c r="H3" s="12"/>
      <c r="I3" s="12"/>
    </row>
    <row r="4" spans="1:12">
      <c r="A4" s="11" t="s">
        <v>253</v>
      </c>
      <c r="B4" s="13" t="s">
        <v>254</v>
      </c>
      <c r="C4" s="194" t="s">
        <v>255</v>
      </c>
      <c r="D4" s="194"/>
      <c r="E4" s="194"/>
      <c r="F4" s="14"/>
      <c r="G4" s="194" t="s">
        <v>256</v>
      </c>
      <c r="H4" s="194"/>
      <c r="I4" s="194"/>
      <c r="J4" s="194" t="s">
        <v>257</v>
      </c>
      <c r="K4" s="194"/>
      <c r="L4" s="194"/>
    </row>
    <row r="5" spans="1:12">
      <c r="A5" s="11">
        <v>202</v>
      </c>
      <c r="B5" s="13"/>
      <c r="C5" s="13" t="s">
        <v>258</v>
      </c>
      <c r="D5" s="13" t="s">
        <v>259</v>
      </c>
      <c r="E5" s="13" t="s">
        <v>260</v>
      </c>
      <c r="F5" s="13"/>
      <c r="G5" s="13" t="s">
        <v>258</v>
      </c>
      <c r="H5" s="13" t="s">
        <v>259</v>
      </c>
      <c r="I5" s="13" t="s">
        <v>260</v>
      </c>
      <c r="J5" s="13" t="s">
        <v>258</v>
      </c>
      <c r="K5" s="13" t="s">
        <v>259</v>
      </c>
      <c r="L5" s="13" t="s">
        <v>260</v>
      </c>
    </row>
    <row r="6" spans="1:12">
      <c r="B6" s="15" t="s">
        <v>261</v>
      </c>
      <c r="C6" s="15">
        <v>4.5</v>
      </c>
      <c r="D6" s="15">
        <v>2.9</v>
      </c>
      <c r="E6" s="15">
        <f>C6*D6</f>
        <v>13.049999999999999</v>
      </c>
      <c r="F6" s="15" t="s">
        <v>262</v>
      </c>
      <c r="G6" s="15"/>
      <c r="H6" s="15"/>
      <c r="I6" s="15">
        <f>G6*H6</f>
        <v>0</v>
      </c>
      <c r="J6" s="15"/>
      <c r="K6" s="15"/>
      <c r="L6" s="15">
        <f>J6*K6</f>
        <v>0</v>
      </c>
    </row>
    <row r="7" spans="1:12">
      <c r="B7" s="15"/>
      <c r="C7" s="15"/>
      <c r="D7" s="15"/>
      <c r="E7" s="15">
        <f t="shared" ref="E7:E33" si="0">C7*D7</f>
        <v>0</v>
      </c>
      <c r="F7" s="15" t="s">
        <v>263</v>
      </c>
      <c r="G7" s="15"/>
      <c r="H7" s="15"/>
      <c r="I7" s="15">
        <f t="shared" ref="I7:I33" si="1">G7*H7</f>
        <v>0</v>
      </c>
      <c r="J7" s="15"/>
      <c r="K7" s="15"/>
      <c r="L7" s="15">
        <f t="shared" ref="L7:L33" si="2">J7*K7</f>
        <v>0</v>
      </c>
    </row>
    <row r="8" spans="1:12">
      <c r="B8" s="15"/>
      <c r="C8" s="15"/>
      <c r="D8" s="15"/>
      <c r="E8" s="15">
        <f t="shared" si="0"/>
        <v>0</v>
      </c>
      <c r="F8" s="15"/>
      <c r="G8" s="15"/>
      <c r="H8" s="15"/>
      <c r="I8" s="15">
        <f t="shared" si="1"/>
        <v>0</v>
      </c>
      <c r="J8" s="15"/>
      <c r="K8" s="15"/>
      <c r="L8" s="15">
        <f t="shared" si="2"/>
        <v>0</v>
      </c>
    </row>
    <row r="9" spans="1:12">
      <c r="B9" s="15" t="s">
        <v>264</v>
      </c>
      <c r="C9" s="15">
        <v>1.88</v>
      </c>
      <c r="D9" s="15">
        <v>2.13</v>
      </c>
      <c r="E9" s="15">
        <f t="shared" si="0"/>
        <v>4.0043999999999995</v>
      </c>
      <c r="F9" s="15" t="s">
        <v>262</v>
      </c>
      <c r="G9" s="15"/>
      <c r="H9" s="15"/>
      <c r="I9" s="15">
        <f t="shared" si="1"/>
        <v>0</v>
      </c>
      <c r="J9" s="15"/>
      <c r="K9" s="15"/>
      <c r="L9" s="15">
        <f t="shared" si="2"/>
        <v>0</v>
      </c>
    </row>
    <row r="10" spans="1:12">
      <c r="B10" s="15"/>
      <c r="C10" s="15"/>
      <c r="D10" s="15"/>
      <c r="E10" s="15">
        <f t="shared" si="0"/>
        <v>0</v>
      </c>
      <c r="F10" s="15" t="s">
        <v>263</v>
      </c>
      <c r="G10" s="15"/>
      <c r="H10" s="15"/>
      <c r="I10" s="15">
        <f t="shared" si="1"/>
        <v>0</v>
      </c>
      <c r="J10" s="15"/>
      <c r="K10" s="15"/>
      <c r="L10" s="15">
        <f t="shared" si="2"/>
        <v>0</v>
      </c>
    </row>
    <row r="11" spans="1:12">
      <c r="B11" s="15"/>
      <c r="C11" s="15"/>
      <c r="D11" s="15"/>
      <c r="E11" s="15">
        <f t="shared" si="0"/>
        <v>0</v>
      </c>
      <c r="F11" s="15"/>
      <c r="G11" s="15"/>
      <c r="H11" s="15"/>
      <c r="I11" s="15">
        <f t="shared" si="1"/>
        <v>0</v>
      </c>
      <c r="J11" s="15"/>
      <c r="K11" s="15"/>
      <c r="L11" s="15">
        <f t="shared" si="2"/>
        <v>0</v>
      </c>
    </row>
    <row r="12" spans="1:12">
      <c r="B12" s="15"/>
      <c r="C12" s="15"/>
      <c r="D12" s="15"/>
      <c r="E12" s="15">
        <f t="shared" si="0"/>
        <v>0</v>
      </c>
      <c r="F12" s="15"/>
      <c r="G12" s="15"/>
      <c r="H12" s="15"/>
      <c r="I12" s="15">
        <f t="shared" si="1"/>
        <v>0</v>
      </c>
      <c r="J12" s="15"/>
      <c r="K12" s="15"/>
      <c r="L12" s="15">
        <f t="shared" si="2"/>
        <v>0</v>
      </c>
    </row>
    <row r="13" spans="1:12">
      <c r="B13" s="15" t="s">
        <v>265</v>
      </c>
      <c r="C13" s="15"/>
      <c r="D13" s="15"/>
      <c r="E13" s="15">
        <f t="shared" si="0"/>
        <v>0</v>
      </c>
      <c r="F13" s="15" t="s">
        <v>262</v>
      </c>
      <c r="G13" s="15"/>
      <c r="H13" s="15"/>
      <c r="I13" s="15">
        <f t="shared" si="1"/>
        <v>0</v>
      </c>
      <c r="J13" s="15"/>
      <c r="K13" s="15"/>
      <c r="L13" s="15">
        <f t="shared" si="2"/>
        <v>0</v>
      </c>
    </row>
    <row r="14" spans="1:12">
      <c r="B14" s="15"/>
      <c r="C14" s="15"/>
      <c r="D14" s="15"/>
      <c r="E14" s="15">
        <f t="shared" si="0"/>
        <v>0</v>
      </c>
      <c r="F14" s="15" t="s">
        <v>263</v>
      </c>
      <c r="G14" s="15"/>
      <c r="H14" s="15"/>
      <c r="I14" s="15">
        <f t="shared" si="1"/>
        <v>0</v>
      </c>
      <c r="J14" s="15"/>
      <c r="K14" s="15"/>
      <c r="L14" s="15">
        <f t="shared" si="2"/>
        <v>0</v>
      </c>
    </row>
    <row r="15" spans="1:12">
      <c r="B15" s="15"/>
      <c r="C15" s="15"/>
      <c r="D15" s="15"/>
      <c r="E15" s="15">
        <f t="shared" si="0"/>
        <v>0</v>
      </c>
      <c r="F15" s="15"/>
      <c r="G15" s="15"/>
      <c r="H15" s="15"/>
      <c r="I15" s="15">
        <f t="shared" si="1"/>
        <v>0</v>
      </c>
      <c r="J15" s="15"/>
      <c r="K15" s="15"/>
      <c r="L15" s="15">
        <f t="shared" si="2"/>
        <v>0</v>
      </c>
    </row>
    <row r="16" spans="1:12">
      <c r="B16" s="15"/>
      <c r="C16" s="15"/>
      <c r="D16" s="15"/>
      <c r="E16" s="15">
        <f t="shared" si="0"/>
        <v>0</v>
      </c>
      <c r="F16" s="15"/>
      <c r="G16" s="15"/>
      <c r="H16" s="15"/>
      <c r="I16" s="15">
        <f t="shared" si="1"/>
        <v>0</v>
      </c>
      <c r="J16" s="15"/>
      <c r="K16" s="15"/>
      <c r="L16" s="15">
        <f t="shared" si="2"/>
        <v>0</v>
      </c>
    </row>
    <row r="17" spans="2:12">
      <c r="B17" s="15" t="s">
        <v>266</v>
      </c>
      <c r="C17" s="15"/>
      <c r="D17" s="15"/>
      <c r="E17" s="15">
        <f t="shared" si="0"/>
        <v>0</v>
      </c>
      <c r="F17" s="15" t="s">
        <v>262</v>
      </c>
      <c r="G17" s="15"/>
      <c r="H17" s="15"/>
      <c r="I17" s="15">
        <f t="shared" si="1"/>
        <v>0</v>
      </c>
      <c r="J17" s="15"/>
      <c r="K17" s="15"/>
      <c r="L17" s="15">
        <f t="shared" si="2"/>
        <v>0</v>
      </c>
    </row>
    <row r="18" spans="2:12">
      <c r="B18" s="15"/>
      <c r="C18" s="15"/>
      <c r="D18" s="15"/>
      <c r="E18" s="15">
        <f t="shared" si="0"/>
        <v>0</v>
      </c>
      <c r="F18" s="15" t="s">
        <v>263</v>
      </c>
      <c r="G18" s="15"/>
      <c r="H18" s="15"/>
      <c r="I18" s="15">
        <f t="shared" si="1"/>
        <v>0</v>
      </c>
      <c r="J18" s="15"/>
      <c r="K18" s="15"/>
      <c r="L18" s="15">
        <f t="shared" si="2"/>
        <v>0</v>
      </c>
    </row>
    <row r="19" spans="2:12">
      <c r="B19" s="15"/>
      <c r="C19" s="15"/>
      <c r="D19" s="15"/>
      <c r="E19" s="15">
        <f t="shared" si="0"/>
        <v>0</v>
      </c>
      <c r="F19" s="15"/>
      <c r="G19" s="15"/>
      <c r="H19" s="15"/>
      <c r="I19" s="15">
        <f t="shared" si="1"/>
        <v>0</v>
      </c>
      <c r="J19" s="15"/>
      <c r="K19" s="15"/>
      <c r="L19" s="15">
        <f t="shared" si="2"/>
        <v>0</v>
      </c>
    </row>
    <row r="20" spans="2:12">
      <c r="B20" s="15" t="s">
        <v>266</v>
      </c>
      <c r="C20" s="15"/>
      <c r="D20" s="15"/>
      <c r="E20" s="15">
        <f t="shared" si="0"/>
        <v>0</v>
      </c>
      <c r="F20" s="15" t="s">
        <v>262</v>
      </c>
      <c r="G20" s="15"/>
      <c r="H20" s="15"/>
      <c r="I20" s="15">
        <f t="shared" si="1"/>
        <v>0</v>
      </c>
      <c r="J20" s="15"/>
      <c r="K20" s="15"/>
      <c r="L20" s="15">
        <f t="shared" si="2"/>
        <v>0</v>
      </c>
    </row>
    <row r="21" spans="2:12">
      <c r="B21" s="15"/>
      <c r="C21" s="15"/>
      <c r="D21" s="15"/>
      <c r="E21" s="15">
        <f t="shared" si="0"/>
        <v>0</v>
      </c>
      <c r="F21" s="15" t="s">
        <v>263</v>
      </c>
      <c r="G21" s="15"/>
      <c r="H21" s="15"/>
      <c r="I21" s="15">
        <f t="shared" si="1"/>
        <v>0</v>
      </c>
      <c r="J21" s="15"/>
      <c r="K21" s="15"/>
      <c r="L21" s="15">
        <f t="shared" si="2"/>
        <v>0</v>
      </c>
    </row>
    <row r="22" spans="2:12">
      <c r="B22" s="15"/>
      <c r="C22" s="15"/>
      <c r="D22" s="15"/>
      <c r="E22" s="15">
        <f t="shared" si="0"/>
        <v>0</v>
      </c>
      <c r="F22" s="15"/>
      <c r="G22" s="15"/>
      <c r="H22" s="15"/>
      <c r="I22" s="15">
        <f t="shared" si="1"/>
        <v>0</v>
      </c>
      <c r="J22" s="15"/>
      <c r="K22" s="15"/>
      <c r="L22" s="15">
        <f t="shared" si="2"/>
        <v>0</v>
      </c>
    </row>
    <row r="23" spans="2:12">
      <c r="B23" s="15" t="s">
        <v>267</v>
      </c>
      <c r="C23" s="15">
        <v>1.9</v>
      </c>
      <c r="D23" s="15">
        <v>1.07</v>
      </c>
      <c r="E23" s="15">
        <f t="shared" si="0"/>
        <v>2.0329999999999999</v>
      </c>
      <c r="F23" s="15" t="s">
        <v>268</v>
      </c>
      <c r="G23" s="15"/>
      <c r="H23" s="15"/>
      <c r="I23" s="15">
        <f t="shared" si="1"/>
        <v>0</v>
      </c>
      <c r="J23" s="15"/>
      <c r="K23" s="15"/>
      <c r="L23" s="15">
        <f t="shared" si="2"/>
        <v>0</v>
      </c>
    </row>
    <row r="24" spans="2:12">
      <c r="B24" s="15" t="s">
        <v>269</v>
      </c>
      <c r="C24" s="15"/>
      <c r="D24" s="15"/>
      <c r="E24" s="15">
        <f t="shared" si="0"/>
        <v>0</v>
      </c>
      <c r="F24" s="15" t="s">
        <v>268</v>
      </c>
      <c r="G24" s="15"/>
      <c r="H24" s="15"/>
      <c r="I24" s="15">
        <f t="shared" si="1"/>
        <v>0</v>
      </c>
      <c r="J24" s="15"/>
      <c r="K24" s="15"/>
      <c r="L24" s="15">
        <f t="shared" si="2"/>
        <v>0</v>
      </c>
    </row>
    <row r="25" spans="2:12">
      <c r="B25" s="15" t="s">
        <v>270</v>
      </c>
      <c r="C25" s="15"/>
      <c r="D25" s="15"/>
      <c r="E25" s="15">
        <f t="shared" si="0"/>
        <v>0</v>
      </c>
      <c r="F25" s="15" t="s">
        <v>268</v>
      </c>
      <c r="G25" s="15"/>
      <c r="H25" s="15"/>
      <c r="I25" s="15">
        <f t="shared" si="1"/>
        <v>0</v>
      </c>
      <c r="J25" s="15"/>
      <c r="K25" s="15"/>
      <c r="L25" s="15">
        <f t="shared" si="2"/>
        <v>0</v>
      </c>
    </row>
    <row r="26" spans="2:12">
      <c r="B26" s="15"/>
      <c r="C26" s="15"/>
      <c r="D26" s="15"/>
      <c r="E26" s="15">
        <f t="shared" si="0"/>
        <v>0</v>
      </c>
      <c r="F26" s="15"/>
      <c r="G26" s="15"/>
      <c r="H26" s="15"/>
      <c r="I26" s="15">
        <f t="shared" si="1"/>
        <v>0</v>
      </c>
      <c r="J26" s="15"/>
      <c r="K26" s="15"/>
      <c r="L26" s="15">
        <f t="shared" si="2"/>
        <v>0</v>
      </c>
    </row>
    <row r="27" spans="2:12">
      <c r="B27" s="15" t="s">
        <v>271</v>
      </c>
      <c r="C27" s="15"/>
      <c r="D27" s="15"/>
      <c r="E27" s="15">
        <f t="shared" si="0"/>
        <v>0</v>
      </c>
      <c r="F27" s="15"/>
      <c r="G27" s="15"/>
      <c r="H27" s="15"/>
      <c r="I27" s="15">
        <f t="shared" si="1"/>
        <v>0</v>
      </c>
      <c r="J27" s="15"/>
      <c r="K27" s="15"/>
      <c r="L27" s="15">
        <f t="shared" si="2"/>
        <v>0</v>
      </c>
    </row>
    <row r="28" spans="2:12">
      <c r="B28" s="15" t="s">
        <v>272</v>
      </c>
      <c r="C28" s="15"/>
      <c r="D28" s="15"/>
      <c r="E28" s="15">
        <f t="shared" si="0"/>
        <v>0</v>
      </c>
      <c r="F28" s="15"/>
      <c r="G28" s="15"/>
      <c r="H28" s="15"/>
      <c r="I28" s="15">
        <f t="shared" si="1"/>
        <v>0</v>
      </c>
      <c r="J28" s="15"/>
      <c r="K28" s="15"/>
      <c r="L28" s="15">
        <f t="shared" si="2"/>
        <v>0</v>
      </c>
    </row>
    <row r="29" spans="2:12">
      <c r="B29" s="15" t="s">
        <v>273</v>
      </c>
      <c r="C29" s="15"/>
      <c r="D29" s="15"/>
      <c r="E29" s="15">
        <f t="shared" si="0"/>
        <v>0</v>
      </c>
      <c r="F29" s="15"/>
      <c r="G29" s="15"/>
      <c r="H29" s="15"/>
      <c r="I29" s="15">
        <f t="shared" si="1"/>
        <v>0</v>
      </c>
      <c r="J29" s="15"/>
      <c r="K29" s="15"/>
      <c r="L29" s="15">
        <f t="shared" si="2"/>
        <v>0</v>
      </c>
    </row>
    <row r="30" spans="2:12">
      <c r="B30" s="15" t="s">
        <v>274</v>
      </c>
      <c r="C30" s="15"/>
      <c r="D30" s="15"/>
      <c r="E30" s="15">
        <f t="shared" si="0"/>
        <v>0</v>
      </c>
      <c r="F30" s="15"/>
      <c r="G30" s="15"/>
      <c r="H30" s="15"/>
      <c r="I30" s="15">
        <f t="shared" si="1"/>
        <v>0</v>
      </c>
      <c r="J30" s="15"/>
      <c r="K30" s="15"/>
      <c r="L30" s="15">
        <f t="shared" si="2"/>
        <v>0</v>
      </c>
    </row>
    <row r="31" spans="2:12">
      <c r="B31" s="15"/>
      <c r="C31" s="15"/>
      <c r="D31" s="15"/>
      <c r="E31" s="15">
        <f t="shared" si="0"/>
        <v>0</v>
      </c>
      <c r="F31" s="15"/>
      <c r="G31" s="15"/>
      <c r="H31" s="15"/>
      <c r="I31" s="15">
        <f t="shared" si="1"/>
        <v>0</v>
      </c>
      <c r="J31" s="15"/>
      <c r="K31" s="15"/>
      <c r="L31" s="15">
        <f t="shared" si="2"/>
        <v>0</v>
      </c>
    </row>
    <row r="32" spans="2:12">
      <c r="B32" s="15"/>
      <c r="C32" s="15"/>
      <c r="D32" s="15"/>
      <c r="E32" s="15">
        <f t="shared" si="0"/>
        <v>0</v>
      </c>
      <c r="F32" s="15"/>
      <c r="G32" s="15"/>
      <c r="H32" s="15"/>
      <c r="I32" s="15">
        <f t="shared" si="1"/>
        <v>0</v>
      </c>
      <c r="J32" s="15"/>
      <c r="K32" s="15"/>
      <c r="L32" s="15">
        <f t="shared" si="2"/>
        <v>0</v>
      </c>
    </row>
    <row r="33" spans="2:12">
      <c r="B33" s="15"/>
      <c r="C33" s="15"/>
      <c r="D33" s="15"/>
      <c r="E33" s="15">
        <f t="shared" si="0"/>
        <v>0</v>
      </c>
      <c r="F33" s="15"/>
      <c r="G33" s="15"/>
      <c r="H33" s="15"/>
      <c r="I33" s="15">
        <f t="shared" si="1"/>
        <v>0</v>
      </c>
      <c r="J33" s="15"/>
      <c r="K33" s="15"/>
      <c r="L33" s="15">
        <f t="shared" si="2"/>
        <v>0</v>
      </c>
    </row>
    <row r="34" spans="2:12">
      <c r="B34" s="15" t="s">
        <v>170</v>
      </c>
      <c r="C34" s="15"/>
      <c r="D34" s="15">
        <f>E34*10.764</f>
        <v>205.45677359999996</v>
      </c>
      <c r="E34" s="15">
        <f>SUM(E6:E33)</f>
        <v>19.087399999999999</v>
      </c>
      <c r="F34" s="15"/>
      <c r="G34" s="15"/>
      <c r="H34" s="15">
        <f>I34*10.764</f>
        <v>0</v>
      </c>
      <c r="I34" s="15">
        <f>SUM(I6:I33)</f>
        <v>0</v>
      </c>
      <c r="J34" s="15"/>
      <c r="K34" s="15">
        <f>L34*10.764</f>
        <v>0</v>
      </c>
      <c r="L34" s="15">
        <f>SUM(L6:L33)</f>
        <v>0</v>
      </c>
    </row>
    <row r="36" spans="2:12">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2"/>
  <sheetViews>
    <sheetView workbookViewId="0">
      <selection activeCell="I26" sqref="I26"/>
    </sheetView>
  </sheetViews>
  <sheetFormatPr defaultColWidth="9" defaultRowHeight="15"/>
  <cols>
    <col min="1" max="1" width="10.28515625" customWidth="1"/>
  </cols>
  <sheetData>
    <row r="2" spans="1:2">
      <c r="A2" s="10">
        <v>44105</v>
      </c>
      <c r="B2" t="s">
        <v>275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9"/>
  <sheetViews>
    <sheetView topLeftCell="E1" workbookViewId="0">
      <selection activeCell="I9" sqref="I9"/>
    </sheetView>
  </sheetViews>
  <sheetFormatPr defaultColWidth="9" defaultRowHeight="15"/>
  <cols>
    <col min="1" max="1" width="11.140625" customWidth="1"/>
    <col min="4" max="4" width="21.7109375" customWidth="1"/>
    <col min="5" max="5" width="20.7109375" customWidth="1"/>
    <col min="6" max="6" width="10.85546875" customWidth="1"/>
    <col min="7" max="7" width="13.5703125" customWidth="1"/>
    <col min="8" max="8" width="14.140625" customWidth="1"/>
    <col min="9" max="9" width="15.42578125" customWidth="1"/>
    <col min="10" max="10" width="12.42578125" customWidth="1"/>
  </cols>
  <sheetData>
    <row r="2" spans="1:10">
      <c r="A2" t="s">
        <v>276</v>
      </c>
      <c r="B2" t="s">
        <v>275</v>
      </c>
      <c r="D2" s="195" t="s">
        <v>277</v>
      </c>
      <c r="E2" s="195"/>
      <c r="F2" s="195"/>
      <c r="G2" s="195"/>
      <c r="H2" s="195"/>
      <c r="I2" s="195"/>
      <c r="J2" s="195"/>
    </row>
    <row r="3" spans="1:10" ht="36.6" customHeight="1">
      <c r="D3" s="1" t="s">
        <v>278</v>
      </c>
      <c r="E3" s="1" t="s">
        <v>279</v>
      </c>
      <c r="F3" s="1" t="s">
        <v>253</v>
      </c>
      <c r="G3" s="1" t="s">
        <v>280</v>
      </c>
      <c r="H3" s="1" t="s">
        <v>281</v>
      </c>
      <c r="I3" s="1" t="s">
        <v>282</v>
      </c>
      <c r="J3" s="1" t="s">
        <v>283</v>
      </c>
    </row>
    <row r="4" spans="1:10">
      <c r="D4" s="2" t="s">
        <v>284</v>
      </c>
      <c r="E4" s="3" t="s">
        <v>10</v>
      </c>
      <c r="F4" s="2" t="s">
        <v>197</v>
      </c>
      <c r="G4" s="4">
        <v>399</v>
      </c>
      <c r="H4" s="5">
        <f>G4*1.45</f>
        <v>578.54999999999995</v>
      </c>
      <c r="I4" s="5">
        <f>J4/H4</f>
        <v>5617.4920058767611</v>
      </c>
      <c r="J4" s="8">
        <v>3250000</v>
      </c>
    </row>
    <row r="5" spans="1:10">
      <c r="D5" s="2" t="s">
        <v>285</v>
      </c>
      <c r="E5" s="3" t="s">
        <v>10</v>
      </c>
      <c r="F5" s="2" t="s">
        <v>193</v>
      </c>
      <c r="G5" s="4">
        <v>265</v>
      </c>
      <c r="H5" s="5">
        <f t="shared" ref="H5:H7" si="0">G5*1.45</f>
        <v>384.25</v>
      </c>
      <c r="I5" s="5">
        <f t="shared" ref="I5:I7" si="1">J5/H5</f>
        <v>5725.4391672088486</v>
      </c>
      <c r="J5" s="8">
        <v>2200000</v>
      </c>
    </row>
    <row r="6" spans="1:10">
      <c r="D6" s="2" t="s">
        <v>285</v>
      </c>
      <c r="E6" s="3" t="s">
        <v>10</v>
      </c>
      <c r="F6" s="2" t="s">
        <v>197</v>
      </c>
      <c r="G6" s="4">
        <v>399</v>
      </c>
      <c r="H6" s="5">
        <f t="shared" si="0"/>
        <v>578.54999999999995</v>
      </c>
      <c r="I6" s="5">
        <f t="shared" si="1"/>
        <v>5617.4920058767611</v>
      </c>
      <c r="J6" s="8">
        <v>3250000</v>
      </c>
    </row>
    <row r="7" spans="1:10">
      <c r="D7" s="2" t="s">
        <v>285</v>
      </c>
      <c r="E7" s="3" t="s">
        <v>10</v>
      </c>
      <c r="F7" s="2" t="s">
        <v>201</v>
      </c>
      <c r="G7" s="4">
        <v>612</v>
      </c>
      <c r="H7" s="5">
        <f t="shared" si="0"/>
        <v>887.4</v>
      </c>
      <c r="I7" s="5">
        <f t="shared" si="1"/>
        <v>5549.9211178724363</v>
      </c>
      <c r="J7" s="8">
        <v>4925000</v>
      </c>
    </row>
    <row r="8" spans="1:10">
      <c r="D8" s="6" t="s">
        <v>286</v>
      </c>
      <c r="E8" s="4"/>
      <c r="F8" s="4"/>
      <c r="G8" s="4"/>
      <c r="H8" s="4"/>
      <c r="I8" s="9">
        <f>AVERAGE(I4:I7)</f>
        <v>5627.5860742087016</v>
      </c>
      <c r="J8" s="4"/>
    </row>
    <row r="9" spans="1:10">
      <c r="D9" s="6" t="s">
        <v>287</v>
      </c>
      <c r="E9" s="4"/>
      <c r="F9" s="4"/>
      <c r="G9" s="4"/>
      <c r="H9" s="7"/>
      <c r="I9" s="6">
        <v>5600</v>
      </c>
      <c r="J9" s="6"/>
    </row>
  </sheetData>
  <mergeCells count="1">
    <mergeCell ref="D2:J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2025-07-14T08:55:04Z</cp:lastPrinted>
  <dcterms:created xsi:type="dcterms:W3CDTF">2019-07-16T09:29:00Z</dcterms:created>
  <dcterms:modified xsi:type="dcterms:W3CDTF">2025-07-14T08:57:25Z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92A0582C7E84403D8B387B2227808C21_12</vt:lpwstr>
  </property>
  <property fmtid="{D5CDD505-2E9C-101B-9397-08002B2CF9AE}" pid="3" name="KSOProductBuildVer">
    <vt:lpwstr>1033-12.2.0.17562</vt:lpwstr>
  </property>
</Properties>
</file>