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9E16F0A6-C05D-4F8B-BA8E-C254FE51EBF0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6" i="1" l="1"/>
  <c r="A175" i="1"/>
  <c r="A176" i="1" s="1"/>
  <c r="A177" i="1" s="1"/>
  <c r="A178" i="1" s="1"/>
  <c r="A179" i="1" s="1"/>
  <c r="A180" i="1" s="1"/>
  <c r="A181" i="1" s="1"/>
  <c r="A182" i="1" s="1"/>
  <c r="D182" i="1"/>
  <c r="D181" i="1"/>
  <c r="D180" i="1"/>
  <c r="D179" i="1"/>
  <c r="D178" i="1"/>
  <c r="D177" i="1"/>
  <c r="D176" i="1"/>
  <c r="D175" i="1"/>
  <c r="S174" i="1"/>
  <c r="G174" i="1"/>
  <c r="D174" i="1"/>
  <c r="R123" i="1" l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22" i="1"/>
  <c r="S164" i="1"/>
  <c r="R185" i="1" l="1"/>
  <c r="R186" i="1"/>
  <c r="R187" i="1"/>
  <c r="R188" i="1"/>
  <c r="R189" i="1"/>
  <c r="R190" i="1"/>
  <c r="R191" i="1"/>
  <c r="R192" i="1"/>
  <c r="R156" i="1"/>
  <c r="R157" i="1"/>
  <c r="R158" i="1"/>
  <c r="R159" i="1"/>
  <c r="R160" i="1"/>
  <c r="R161" i="1"/>
  <c r="R184" i="1"/>
  <c r="R155" i="1"/>
  <c r="E159" i="1"/>
  <c r="K159" i="1"/>
  <c r="J159" i="1"/>
  <c r="J155" i="1"/>
  <c r="M159" i="1"/>
  <c r="O159" i="1" s="1"/>
  <c r="L159" i="1" l="1"/>
  <c r="N159" i="1" s="1"/>
  <c r="G110" i="1"/>
  <c r="G113" i="1"/>
  <c r="G114" i="1"/>
  <c r="Q259" i="1"/>
  <c r="Q253" i="1"/>
  <c r="Q243" i="1"/>
  <c r="Q225" i="1"/>
  <c r="G115" i="1" l="1"/>
  <c r="D264" i="1"/>
  <c r="D261" i="1"/>
  <c r="Q261" i="1" s="1"/>
  <c r="D260" i="1"/>
  <c r="Q260" i="1" s="1"/>
  <c r="D258" i="1"/>
  <c r="Q258" i="1" s="1"/>
  <c r="D257" i="1"/>
  <c r="Q257" i="1" s="1"/>
  <c r="D256" i="1"/>
  <c r="Q256" i="1" s="1"/>
  <c r="D254" i="1"/>
  <c r="E252" i="1"/>
  <c r="E249" i="1"/>
  <c r="D252" i="1"/>
  <c r="D251" i="1"/>
  <c r="Q251" i="1" s="1"/>
  <c r="D250" i="1"/>
  <c r="Q250" i="1" s="1"/>
  <c r="D249" i="1"/>
  <c r="Q249" i="1" s="1"/>
  <c r="D248" i="1"/>
  <c r="Q248" i="1" s="1"/>
  <c r="D247" i="1"/>
  <c r="Q247" i="1" s="1"/>
  <c r="D246" i="1"/>
  <c r="Q246" i="1" s="1"/>
  <c r="D244" i="1"/>
  <c r="Q244" i="1" s="1"/>
  <c r="D242" i="1"/>
  <c r="Q242" i="1" s="1"/>
  <c r="D241" i="1"/>
  <c r="Q241" i="1" s="1"/>
  <c r="D240" i="1"/>
  <c r="Q240" i="1" s="1"/>
  <c r="D239" i="1"/>
  <c r="Q239" i="1" s="1"/>
  <c r="D238" i="1"/>
  <c r="Q238" i="1" s="1"/>
  <c r="D237" i="1"/>
  <c r="Q237" i="1" s="1"/>
  <c r="D236" i="1"/>
  <c r="Q236" i="1" s="1"/>
  <c r="D234" i="1"/>
  <c r="Q234" i="1" s="1"/>
  <c r="D233" i="1"/>
  <c r="Q233" i="1" s="1"/>
  <c r="D232" i="1"/>
  <c r="Q232" i="1" s="1"/>
  <c r="D231" i="1"/>
  <c r="Q231" i="1" s="1"/>
  <c r="D230" i="1"/>
  <c r="Q230" i="1" s="1"/>
  <c r="D229" i="1"/>
  <c r="Q229" i="1" s="1"/>
  <c r="D228" i="1"/>
  <c r="Q228" i="1" s="1"/>
  <c r="D227" i="1"/>
  <c r="Q227" i="1" s="1"/>
  <c r="D226" i="1"/>
  <c r="Q226" i="1" s="1"/>
  <c r="E223" i="1"/>
  <c r="E222" i="1"/>
  <c r="E221" i="1"/>
  <c r="E220" i="1"/>
  <c r="E219" i="1"/>
  <c r="E218" i="1"/>
  <c r="E217" i="1"/>
  <c r="D223" i="1"/>
  <c r="D222" i="1"/>
  <c r="D221" i="1"/>
  <c r="D220" i="1"/>
  <c r="D219" i="1"/>
  <c r="D218" i="1"/>
  <c r="D217" i="1"/>
  <c r="D212" i="1"/>
  <c r="D211" i="1"/>
  <c r="D210" i="1"/>
  <c r="D208" i="1"/>
  <c r="D207" i="1"/>
  <c r="D204" i="1"/>
  <c r="D202" i="1"/>
  <c r="Q202" i="1" s="1"/>
  <c r="D201" i="1"/>
  <c r="Q201" i="1" s="1"/>
  <c r="D200" i="1"/>
  <c r="Q200" i="1" s="1"/>
  <c r="E199" i="1"/>
  <c r="D199" i="1"/>
  <c r="D198" i="1"/>
  <c r="Q198" i="1" s="1"/>
  <c r="D197" i="1"/>
  <c r="Q197" i="1" s="1"/>
  <c r="E196" i="1"/>
  <c r="D196" i="1"/>
  <c r="D194" i="1"/>
  <c r="D192" i="1"/>
  <c r="Q192" i="1" s="1"/>
  <c r="D191" i="1"/>
  <c r="Q191" i="1" s="1"/>
  <c r="D190" i="1"/>
  <c r="Q190" i="1" s="1"/>
  <c r="D189" i="1"/>
  <c r="Q189" i="1" s="1"/>
  <c r="D188" i="1"/>
  <c r="Q188" i="1" s="1"/>
  <c r="D187" i="1"/>
  <c r="Q187" i="1" s="1"/>
  <c r="D186" i="1"/>
  <c r="Q186" i="1" s="1"/>
  <c r="D184" i="1"/>
  <c r="D172" i="1"/>
  <c r="Q172" i="1" s="1"/>
  <c r="D171" i="1"/>
  <c r="Q171" i="1" s="1"/>
  <c r="D170" i="1"/>
  <c r="Q170" i="1" s="1"/>
  <c r="D169" i="1"/>
  <c r="Q169" i="1" s="1"/>
  <c r="D168" i="1"/>
  <c r="Q168" i="1" s="1"/>
  <c r="D167" i="1"/>
  <c r="Q167" i="1" s="1"/>
  <c r="D166" i="1"/>
  <c r="Q166" i="1" s="1"/>
  <c r="D165" i="1"/>
  <c r="Q165" i="1" s="1"/>
  <c r="D164" i="1"/>
  <c r="Q164" i="1" s="1"/>
  <c r="E161" i="1"/>
  <c r="D161" i="1"/>
  <c r="E160" i="1"/>
  <c r="D160" i="1"/>
  <c r="D159" i="1"/>
  <c r="E158" i="1"/>
  <c r="D158" i="1"/>
  <c r="Q158" i="1" s="1"/>
  <c r="E157" i="1"/>
  <c r="D157" i="1"/>
  <c r="E156" i="1"/>
  <c r="D156" i="1"/>
  <c r="Q156" i="1" s="1"/>
  <c r="E155" i="1"/>
  <c r="D155" i="1"/>
  <c r="P153" i="1"/>
  <c r="E147" i="1"/>
  <c r="M251" i="1"/>
  <c r="L251" i="1"/>
  <c r="K251" i="1"/>
  <c r="J251" i="1"/>
  <c r="J253" i="1"/>
  <c r="F263" i="1"/>
  <c r="F262" i="1"/>
  <c r="F259" i="1"/>
  <c r="G256" i="1"/>
  <c r="A256" i="1"/>
  <c r="A257" i="1" s="1"/>
  <c r="A258" i="1" s="1"/>
  <c r="A259" i="1" s="1"/>
  <c r="A260" i="1" s="1"/>
  <c r="A261" i="1" s="1"/>
  <c r="A262" i="1" s="1"/>
  <c r="A263" i="1" s="1"/>
  <c r="A264" i="1" s="1"/>
  <c r="G246" i="1"/>
  <c r="A246" i="1"/>
  <c r="A247" i="1" s="1"/>
  <c r="A248" i="1" s="1"/>
  <c r="A249" i="1" s="1"/>
  <c r="A250" i="1" s="1"/>
  <c r="A251" i="1" s="1"/>
  <c r="A252" i="1" s="1"/>
  <c r="A253" i="1" s="1"/>
  <c r="A254" i="1" s="1"/>
  <c r="G236" i="1"/>
  <c r="A236" i="1"/>
  <c r="A237" i="1" s="1"/>
  <c r="A238" i="1" s="1"/>
  <c r="A239" i="1" s="1"/>
  <c r="A240" i="1" s="1"/>
  <c r="A241" i="1" s="1"/>
  <c r="A242" i="1" s="1"/>
  <c r="A243" i="1" s="1"/>
  <c r="A244" i="1" s="1"/>
  <c r="G226" i="1"/>
  <c r="G216" i="1"/>
  <c r="A216" i="1"/>
  <c r="A217" i="1" s="1"/>
  <c r="A218" i="1" s="1"/>
  <c r="A219" i="1" s="1"/>
  <c r="A220" i="1" s="1"/>
  <c r="A221" i="1" s="1"/>
  <c r="A222" i="1" s="1"/>
  <c r="A223" i="1" s="1"/>
  <c r="A224" i="1" s="1"/>
  <c r="F209" i="1"/>
  <c r="F206" i="1"/>
  <c r="F205" i="1"/>
  <c r="G204" i="1"/>
  <c r="A204" i="1"/>
  <c r="A205" i="1" s="1"/>
  <c r="A206" i="1" s="1"/>
  <c r="A207" i="1" s="1"/>
  <c r="A208" i="1" s="1"/>
  <c r="A209" i="1" s="1"/>
  <c r="A210" i="1" s="1"/>
  <c r="A211" i="1" s="1"/>
  <c r="A212" i="1" s="1"/>
  <c r="J200" i="1"/>
  <c r="J199" i="1"/>
  <c r="J198" i="1"/>
  <c r="J197" i="1"/>
  <c r="J196" i="1"/>
  <c r="G194" i="1"/>
  <c r="A194" i="1"/>
  <c r="A195" i="1" s="1"/>
  <c r="A196" i="1" s="1"/>
  <c r="A197" i="1" s="1"/>
  <c r="A198" i="1" s="1"/>
  <c r="A199" i="1" s="1"/>
  <c r="A200" i="1" s="1"/>
  <c r="A201" i="1" s="1"/>
  <c r="A202" i="1" s="1"/>
  <c r="A226" i="1"/>
  <c r="Q160" i="1" l="1"/>
  <c r="C114" i="1"/>
  <c r="E114" i="1"/>
  <c r="C113" i="1"/>
  <c r="E113" i="1"/>
  <c r="Q157" i="1"/>
  <c r="Q161" i="1"/>
  <c r="Q219" i="1"/>
  <c r="Q223" i="1"/>
  <c r="Q220" i="1"/>
  <c r="Q217" i="1"/>
  <c r="Q221" i="1"/>
  <c r="Q218" i="1"/>
  <c r="Q222" i="1"/>
  <c r="Q252" i="1"/>
  <c r="Q155" i="1"/>
  <c r="Q159" i="1"/>
  <c r="Q196" i="1"/>
  <c r="Q199" i="1"/>
  <c r="G184" i="1"/>
  <c r="A184" i="1"/>
  <c r="A185" i="1" s="1"/>
  <c r="A186" i="1" s="1"/>
  <c r="A187" i="1" s="1"/>
  <c r="A188" i="1" s="1"/>
  <c r="A189" i="1" s="1"/>
  <c r="A190" i="1" s="1"/>
  <c r="A191" i="1" s="1"/>
  <c r="A192" i="1" s="1"/>
  <c r="G164" i="1"/>
  <c r="D147" i="1"/>
  <c r="Q147" i="1" s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J120" i="1"/>
  <c r="M161" i="1"/>
  <c r="J161" i="1"/>
  <c r="K161" i="1"/>
  <c r="G154" i="1"/>
  <c r="A154" i="1"/>
  <c r="A155" i="1" s="1"/>
  <c r="A156" i="1" s="1"/>
  <c r="A157" i="1" s="1"/>
  <c r="A158" i="1" s="1"/>
  <c r="A159" i="1" s="1"/>
  <c r="A160" i="1" s="1"/>
  <c r="A161" i="1" s="1"/>
  <c r="A162" i="1" s="1"/>
  <c r="J142" i="1"/>
  <c r="J137" i="1"/>
  <c r="J129" i="1"/>
  <c r="J122" i="1"/>
  <c r="A164" i="1"/>
  <c r="A227" i="1"/>
  <c r="E115" i="1" l="1"/>
  <c r="C115" i="1"/>
  <c r="L161" i="1"/>
  <c r="N161" i="1"/>
  <c r="O161" i="1" s="1"/>
  <c r="Q122" i="1"/>
  <c r="C110" i="1"/>
  <c r="E110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24" i="1"/>
  <c r="Q126" i="1"/>
  <c r="Q128" i="1"/>
  <c r="Q130" i="1"/>
  <c r="Q132" i="1"/>
  <c r="Q134" i="1"/>
  <c r="Q136" i="1"/>
  <c r="Q138" i="1"/>
  <c r="Q140" i="1"/>
  <c r="Q142" i="1"/>
  <c r="Q144" i="1"/>
  <c r="Q146" i="1"/>
  <c r="C14" i="1"/>
  <c r="A228" i="1"/>
  <c r="A165" i="1"/>
  <c r="E29" i="1" l="1"/>
  <c r="A166" i="1"/>
  <c r="A229" i="1"/>
  <c r="F267" i="1" l="1"/>
  <c r="F268" i="1"/>
  <c r="F269" i="1"/>
  <c r="F266" i="1"/>
  <c r="A267" i="1"/>
  <c r="A268" i="1" s="1"/>
  <c r="A269" i="1" s="1"/>
  <c r="G266" i="1"/>
  <c r="A167" i="1"/>
  <c r="A230" i="1"/>
  <c r="F107" i="1" l="1"/>
  <c r="A168" i="1"/>
  <c r="A231" i="1"/>
  <c r="B296" i="1" l="1"/>
  <c r="A232" i="1"/>
  <c r="A277" i="1"/>
  <c r="A169" i="1"/>
  <c r="A283" i="1"/>
  <c r="A289" i="1"/>
  <c r="F293" i="1" l="1"/>
  <c r="F292" i="1"/>
  <c r="F291" i="1"/>
  <c r="F290" i="1"/>
  <c r="F289" i="1"/>
  <c r="F287" i="1"/>
  <c r="F286" i="1"/>
  <c r="F285" i="1"/>
  <c r="F284" i="1"/>
  <c r="F283" i="1"/>
  <c r="F281" i="1"/>
  <c r="F280" i="1"/>
  <c r="F279" i="1"/>
  <c r="F278" i="1"/>
  <c r="F277" i="1"/>
  <c r="F275" i="1"/>
  <c r="F274" i="1"/>
  <c r="F272" i="1"/>
  <c r="F271" i="1"/>
  <c r="F273" i="1"/>
  <c r="A170" i="1"/>
  <c r="A233" i="1"/>
  <c r="A278" i="1"/>
  <c r="A284" i="1"/>
  <c r="A290" i="1"/>
  <c r="B297" i="1" l="1"/>
  <c r="A171" i="1"/>
  <c r="A291" i="1"/>
  <c r="A279" i="1"/>
  <c r="A234" i="1"/>
  <c r="A28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7" i="1"/>
  <c r="G289" i="1"/>
  <c r="G283" i="1"/>
  <c r="G277" i="1"/>
  <c r="G271" i="1"/>
  <c r="A271" i="1"/>
  <c r="A272" i="1" s="1"/>
  <c r="A273" i="1" s="1"/>
  <c r="A274" i="1" s="1"/>
  <c r="A275" i="1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22" i="1"/>
  <c r="J91" i="1"/>
  <c r="J90" i="1"/>
  <c r="J89" i="1"/>
  <c r="J88" i="1"/>
  <c r="C80" i="1"/>
  <c r="J77" i="1"/>
  <c r="J76" i="1"/>
  <c r="J75" i="1"/>
  <c r="J74" i="1"/>
  <c r="C66" i="1"/>
  <c r="D54" i="1"/>
  <c r="G49" i="1"/>
  <c r="G50" i="1" s="1"/>
  <c r="C49" i="1"/>
  <c r="E42" i="1"/>
  <c r="E43" i="1" s="1"/>
  <c r="E26" i="1"/>
  <c r="E24" i="1"/>
  <c r="E7" i="1"/>
  <c r="E3" i="1"/>
  <c r="H67" i="1"/>
  <c r="A172" i="1"/>
  <c r="A286" i="1"/>
  <c r="A280" i="1"/>
  <c r="A292" i="1"/>
  <c r="H81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J69" i="1"/>
  <c r="J72" i="1"/>
  <c r="J73" i="1" s="1"/>
  <c r="J78" i="1" s="1"/>
  <c r="J79" i="1" s="1"/>
  <c r="J86" i="1"/>
  <c r="J84" i="1"/>
  <c r="J85" i="1"/>
  <c r="C84" i="1" s="1"/>
  <c r="J83" i="1"/>
  <c r="A281" i="1"/>
  <c r="A287" i="1"/>
  <c r="A293" i="1"/>
  <c r="J87" i="1" l="1"/>
  <c r="J92" i="1" s="1"/>
  <c r="J93" i="1" s="1"/>
  <c r="D85" i="1"/>
  <c r="D86" i="1"/>
  <c r="D72" i="1"/>
  <c r="J68" i="1"/>
  <c r="E70" i="1"/>
  <c r="D71" i="1"/>
  <c r="G70" i="1"/>
  <c r="D70" i="1"/>
  <c r="D84" i="1"/>
  <c r="E84" i="1" l="1"/>
  <c r="J81" i="1"/>
  <c r="G84" i="1"/>
  <c r="D64" i="1" s="1"/>
  <c r="I67" i="1"/>
  <c r="J67" i="1"/>
  <c r="I81" i="1"/>
  <c r="F65" i="1" l="1"/>
  <c r="D65" i="1"/>
  <c r="I68" i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<sst xmlns="http://schemas.openxmlformats.org/spreadsheetml/2006/main" count="367" uniqueCount="247">
  <si>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</si>
  <si>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</si>
  <si>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</si>
  <si>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</si>
  <si>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</si>
  <si>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</si>
  <si>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</si>
  <si>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</si>
  <si>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</si>
  <si>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</si>
  <si>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</si>
  <si>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</si>
  <si>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</si>
  <si>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</si>
  <si>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</si>
  <si>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</si>
  <si>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</si>
  <si>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</si>
  <si>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</si>
  <si>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</si>
  <si>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</si>
  <si>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</si>
  <si>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</si>
  <si>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</si>
  <si>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</si>
  <si>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</si>
  <si>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</si>
  <si>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</si>
  <si>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</si>
  <si>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</si>
  <si>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</si>
  <si>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</si>
  <si>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</si>
  <si>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</si>
  <si>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</si>
  <si>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</si>
  <si>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</si>
  <si>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</si>
  <si>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</si>
  <si>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</si>
  <si>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</si>
  <si>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</si>
  <si>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</si>
  <si>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</si>
  <si>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</si>
  <si>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</si>
  <si>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</si>
  <si>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</si>
  <si>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</si>
  <si>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</si>
  <si>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</si>
  <si>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</si>
  <si>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</si>
  <si>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</si>
  <si>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</si>
  <si>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</si>
  <si>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</si>
  <si>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</si>
  <si>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</si>
  <si>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</si>
  <si>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</si>
  <si>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</si>
  <si>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</si>
  <si>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</si>
  <si>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</si>
  <si>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</si>
  <si>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</si>
  <si>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</si>
  <si>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</si>
  <si>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</si>
  <si>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</si>
  <si>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</si>
  <si>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</si>
  <si>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</si>
  <si>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</si>
  <si>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</si>
  <si>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</si>
  <si>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</si>
  <si>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</si>
  <si>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</si>
  <si>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</si>
  <si>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</si>
  <si>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</si>
  <si>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</si>
  <si>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</si>
  <si>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</si>
  <si>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</si>
  <si>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</si>
  <si>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</si>
  <si>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</si>
  <si>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</si>
  <si>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</si>
  <si>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</si>
  <si>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</si>
  <si>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</si>
  <si>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</si>
  <si>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</si>
  <si>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</si>
  <si>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</si>
  <si>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</si>
  <si>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</si>
  <si>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</si>
  <si>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</si>
  <si>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</si>
  <si>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</si>
  <si>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</si>
  <si>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</si>
  <si>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</si>
  <si>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</si>
  <si>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</si>
  <si>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</si>
  <si>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</si>
  <si>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</si>
  <si>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</si>
  <si>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</si>
  <si>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</si>
  <si>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</si>
  <si>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</si>
  <si>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</si>
  <si>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</si>
  <si>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</si>
  <si>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</si>
  <si>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</si>
  <si>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</si>
  <si>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</si>
  <si>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</si>
  <si>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</si>
  <si>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</si>
  <si>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</si>
  <si>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</si>
  <si>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</si>
  <si>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</si>
  <si>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</si>
  <si>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</si>
  <si>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</si>
  <si>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</si>
  <si>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</si>
  <si>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</si>
  <si>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</si>
  <si>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</si>
  <si>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</si>
  <si>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</si>
  <si>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</si>
  <si>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</si>
  <si>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</si>
  <si>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</si>
  <si>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</si>
  <si>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</si>
  <si>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</si>
  <si>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</si>
  <si>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</si>
  <si>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</si>
  <si>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</si>
  <si>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</si>
  <si>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</si>
  <si>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</si>
  <si>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</si>
  <si>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</si>
  <si>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</si>
  <si>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</si>
  <si>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</si>
  <si>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</si>
  <si>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</si>
  <si>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</si>
  <si>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</si>
  <si>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</si>
  <si>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</si>
  <si>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</si>
  <si>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</si>
  <si>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</si>
  <si>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</si>
  <si>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</si>
  <si>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</si>
  <si>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</si>
  <si>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</si>
  <si>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</si>
  <si>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</si>
  <si>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</si>
  <si>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</si>
  <si>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</si>
  <si>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Kalindi Realtors Private Limited</t>
  </si>
  <si>
    <t>Kalindi Elite</t>
  </si>
  <si>
    <t>Mr.Vishal Vithlani 9819061646</t>
  </si>
  <si>
    <t>P52000046799</t>
  </si>
  <si>
    <t>Survey No</t>
  </si>
  <si>
    <t>102/5/1</t>
  </si>
  <si>
    <t>Chinchpada</t>
  </si>
  <si>
    <t>Pen</t>
  </si>
  <si>
    <t>Raigad</t>
  </si>
  <si>
    <t>Kadu Marg</t>
  </si>
  <si>
    <t>0.800KM from Pen Railway Station</t>
  </si>
  <si>
    <t>Internal Road/ Lalita Niwas</t>
  </si>
  <si>
    <t>Internal Road</t>
  </si>
  <si>
    <t>Internal Road/ Matoshree Bunglow</t>
  </si>
  <si>
    <t>https://goo.gl/maps/8vzrmR7SqpAJXsvK8</t>
  </si>
  <si>
    <t>Pen Municipal Council</t>
  </si>
  <si>
    <t xml:space="preserve">Commencement-CC No
Valid Up to: </t>
  </si>
  <si>
    <t>As per RERA - 31/12/2026</t>
  </si>
  <si>
    <t>Construction work is in process at the time of Visit.</t>
  </si>
  <si>
    <t>PNP/KA-4/B.V3323/Building Permission/ 2022-2023/1341</t>
  </si>
  <si>
    <t>PNP/KA-4/B.V/Building Permission/ 3323/2022-2023/1341/2022</t>
  </si>
  <si>
    <t>Building No.1</t>
  </si>
  <si>
    <t>Wing A + B</t>
  </si>
  <si>
    <t>Ground Floor For Commercial &amp; Part Parking</t>
  </si>
  <si>
    <t>Shop</t>
  </si>
  <si>
    <t>Building No. 1</t>
  </si>
  <si>
    <t>Wing A</t>
  </si>
  <si>
    <t>2nd Floor For Residential &amp; Part Amenities</t>
  </si>
  <si>
    <t>Garden</t>
  </si>
  <si>
    <t>Gymmanasium</t>
  </si>
  <si>
    <t>3rd to 7th &amp; 9th to 12th Floor</t>
  </si>
  <si>
    <t>8th Floor (Part Refuge Area)</t>
  </si>
  <si>
    <t>Refuge Area</t>
  </si>
  <si>
    <t>13th Floor (Part Refuge Area)</t>
  </si>
  <si>
    <t>3BHK Duplex with 14th Floor</t>
  </si>
  <si>
    <t>14th Floor</t>
  </si>
  <si>
    <t>Fire Fighting Staircase</t>
  </si>
  <si>
    <t>Duplex With 13th Floor</t>
  </si>
  <si>
    <t>Wing B</t>
  </si>
  <si>
    <t>Indoor Play Area</t>
  </si>
  <si>
    <t>1st Podium Floor For Parking</t>
  </si>
  <si>
    <t>Garden &amp; Creche</t>
  </si>
  <si>
    <t>Builder Saleable area</t>
  </si>
  <si>
    <t>We considered Gross carpet area = Net carpet + Enclose balcony + Open Balcony</t>
  </si>
  <si>
    <t>Flats - 220, Shops - 26</t>
  </si>
  <si>
    <t>Unique Bhavan chs / Arcee Electronics</t>
  </si>
  <si>
    <t>Building No.1 (Wing A &amp; B)</t>
  </si>
  <si>
    <t>Pen (East)</t>
  </si>
  <si>
    <t>01 Building (Wings 2)</t>
  </si>
  <si>
    <t>200 Per sq.ft</t>
  </si>
  <si>
    <t>Latitude, Longitude</t>
  </si>
  <si>
    <t>18.7316836,73.0914497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</si>
  <si>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</si>
  <si>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Building No.1 (Wing A &amp; B) = G + 1P + 2nd to 14th Floor      </t>
  </si>
  <si>
    <t>Building No.1 (A Wing) = G + 1P + 2nd to 14th Floor</t>
  </si>
  <si>
    <t>Building No.1 (B Wing) = G + 1P + 2nd to 14th Floor</t>
  </si>
  <si>
    <t xml:space="preserve">Building No.1 (Wing A &amp; B) = G + 1P + 2nd to 14th Floor                      </t>
  </si>
  <si>
    <t>Nitesh</t>
  </si>
  <si>
    <t>Mr. Omkar : 8828825020</t>
  </si>
  <si>
    <t>5th Floor</t>
  </si>
  <si>
    <t>3rd, 4th, 6th &amp; 7th and 9th to 12th Floor</t>
  </si>
  <si>
    <t>salabale area change A503 =1000 to 1067</t>
  </si>
  <si>
    <t>Recommended Rates/Other Charges of the Property have been revised on 18/11/2024.</t>
  </si>
  <si>
    <t>4000 to 4500 salabale area change A503 =1000 to 1067 smith 18/11/2024</t>
  </si>
  <si>
    <t>Mr. Rohit 8698952361</t>
  </si>
  <si>
    <t>Mr. Arun 9619497366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</si>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</sst>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7" fontId="7" fillId="0" borderId="0" xfId="9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470652</xdr:colOff>
      <xdr:row>402</xdr:row>
      <xdr:rowOff>22412</xdr:rowOff>
    </xdr:from>
    <xdr:to>
      <xdr:col>7</xdr:col>
      <xdr:colOff>513234</xdr:colOff>
      <xdr:row>419</xdr:row>
      <xdr:rowOff>22413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52" y="78979059"/>
          <a:ext cx="6172200" cy="3429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470652</xdr:colOff>
      <xdr:row>419</xdr:row>
      <xdr:rowOff>174812</xdr:rowOff>
    </xdr:from>
    <xdr:to>
      <xdr:col>7</xdr:col>
      <xdr:colOff>513234</xdr:colOff>
      <xdr:row>440</xdr:row>
      <xdr:rowOff>53787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52" y="82560459"/>
          <a:ext cx="6172200" cy="4114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235326</xdr:colOff>
      <xdr:row>360</xdr:row>
      <xdr:rowOff>0</xdr:rowOff>
    </xdr:from>
    <xdr:to>
      <xdr:col>7</xdr:col>
      <xdr:colOff>688240</xdr:colOff>
      <xdr:row>384</xdr:row>
      <xdr:rowOff>19058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096592" y="69220322"/>
          <a:ext cx="4860000" cy="65825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493060</xdr:colOff>
      <xdr:row>384</xdr:row>
      <xdr:rowOff>156882</xdr:rowOff>
    </xdr:from>
    <xdr:to>
      <xdr:col>6</xdr:col>
      <xdr:colOff>341913</xdr:colOff>
      <xdr:row>399</xdr:row>
      <xdr:rowOff>45720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7920" y="71312442"/>
          <a:ext cx="4108433" cy="28606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762000</xdr:colOff>
      <xdr:row>429</xdr:row>
      <xdr:rowOff>133350</xdr:rowOff>
    </xdr:from>
    <xdr:to>
      <xdr:col>4</xdr:col>
      <xdr:colOff>742950</xdr:colOff>
      <xdr:row>433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71825" y="81753075"/>
          <a:ext cx="923925" cy="7334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16</xdr:col>
      <xdr:colOff>517269</xdr:colOff>
      <xdr:row>316</xdr:row>
      <xdr:rowOff>53975</xdr:rowOff>
    </xdr:from>
    <xdr:ext cx="303416" cy="342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937369" y="60880625"/>
          <a:ext cx="303416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</a:t>
          </a:r>
        </a:p>
      </xdr:txBody>
    </xdr:sp>
    <xdr:clientData/>
  </xdr:oneCellAnchor>
  <xdr:oneCellAnchor>
    <xdr:from>
      <xdr:col>20</xdr:col>
      <xdr:colOff>130185</xdr:colOff>
      <xdr:row>316</xdr:row>
      <xdr:rowOff>47625</xdr:rowOff>
    </xdr:from>
    <xdr:ext cx="303416" cy="342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255385" y="60874275"/>
          <a:ext cx="303416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</a:t>
          </a:r>
        </a:p>
      </xdr:txBody>
    </xdr:sp>
    <xdr:clientData/>
  </xdr:oneCellAnchor>
  <xdr:oneCellAnchor>
    <xdr:from>
      <xdr:col>8</xdr:col>
      <xdr:colOff>380478</xdr:colOff>
      <xdr:row>330</xdr:row>
      <xdr:rowOff>148637</xdr:rowOff>
    </xdr:from>
    <xdr:ext cx="303416" cy="342786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867003" y="63766112"/>
          <a:ext cx="303416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</a:t>
          </a:r>
        </a:p>
      </xdr:txBody>
    </xdr:sp>
    <xdr:clientData/>
  </xdr:oneCellAnchor>
  <xdr:oneCellAnchor>
    <xdr:from>
      <xdr:col>16</xdr:col>
      <xdr:colOff>517269</xdr:colOff>
      <xdr:row>330</xdr:row>
      <xdr:rowOff>148637</xdr:rowOff>
    </xdr:from>
    <xdr:ext cx="303416" cy="342786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937369" y="63766112"/>
          <a:ext cx="303416" cy="34278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</a:t>
          </a:r>
        </a:p>
      </xdr:txBody>
    </xdr:sp>
    <xdr:clientData/>
  </xdr:oneCellAnchor>
  <xdr:twoCellAnchor>
    <xdr:from>
      <xdr:col>15</xdr:col>
      <xdr:colOff>171450</xdr:colOff>
      <xdr:row>316</xdr:row>
      <xdr:rowOff>114300</xdr:rowOff>
    </xdr:from>
    <xdr:to>
      <xdr:col>24</xdr:col>
      <xdr:colOff>114300</xdr:colOff>
      <xdr:row>356</xdr:row>
      <xdr:rowOff>104775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7820025" y="60940950"/>
          <a:ext cx="5857875" cy="7981950"/>
          <a:chOff x="718786" y="879397"/>
          <a:chExt cx="5725048" cy="7889494"/>
        </a:xfrm>
      </xdr:grpSpPr>
      <xdr:pic>
        <xdr:nvPicPr>
          <xdr:cNvPr id="39" name="Picture 38" descr="https://vsjcllp.vsjadon.com/upload/insp-225905-1525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67919" y="6904653"/>
            <a:ext cx="1396262" cy="18642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25905-844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8786" y="879397"/>
            <a:ext cx="2794576" cy="37312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25905-847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82440" y="6885992"/>
            <a:ext cx="1396262" cy="18642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25905-862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9258" y="879397"/>
            <a:ext cx="2794576" cy="37312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25905-845.jp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49258" y="4757084"/>
            <a:ext cx="2639558" cy="19824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25905-849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8038" y="4757085"/>
            <a:ext cx="2639575" cy="19824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695325</xdr:colOff>
      <xdr:row>318</xdr:row>
      <xdr:rowOff>19050</xdr:rowOff>
    </xdr:from>
    <xdr:to>
      <xdr:col>7</xdr:col>
      <xdr:colOff>66908</xdr:colOff>
      <xdr:row>355</xdr:row>
      <xdr:rowOff>151104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A283F68-24F0-4DCF-A778-0EB1C0E64EF3}"/>
            </a:ext>
          </a:extLst>
        </xdr:cNvPr>
        <xdr:cNvGrpSpPr/>
      </xdr:nvGrpSpPr>
      <xdr:grpSpPr>
        <a:xfrm>
          <a:off x="695325" y="61245750"/>
          <a:ext cx="5029433" cy="7523454"/>
          <a:chOff x="826192" y="430306"/>
          <a:chExt cx="5029433" cy="7523454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A0873C5-5BD5-4267-B76A-9A19920DBA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7164" y="430306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9BD1550E-BBD8-402F-9A53-26223E8602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30306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E4C3E6BD-0742-4F99-9F52-47D575A8A4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6439" y="383203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380E115-D6F8-43FB-828B-5734088DF3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19400" y="3832033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27C8B2C5-2AD5-4BFA-B045-F6492A7D74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8370" y="615376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52ED62EF-9289-4B65-88A8-EFAF5884AC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15376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255">
            <a:extLst>
              <a:ext uri="{FF2B5EF4-FFF2-40B4-BE49-F238E27FC236}">
                <a16:creationId xmlns:a16="http://schemas.microsoft.com/office/drawing/2014/main" id="{5AA54619-72BE-4B85-A048-80D1D4053C8C}"/>
              </a:ext>
            </a:extLst>
          </xdr:cNvPr>
          <xdr:cNvSpPr txBox="1"/>
        </xdr:nvSpPr>
        <xdr:spPr>
          <a:xfrm>
            <a:off x="3444055" y="601900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8" name="TextBox 256">
            <a:extLst>
              <a:ext uri="{FF2B5EF4-FFF2-40B4-BE49-F238E27FC236}">
                <a16:creationId xmlns:a16="http://schemas.microsoft.com/office/drawing/2014/main" id="{591EC0AB-9A43-4C19-88F9-B0DE4C7268FB}"/>
              </a:ext>
            </a:extLst>
          </xdr:cNvPr>
          <xdr:cNvSpPr txBox="1"/>
        </xdr:nvSpPr>
        <xdr:spPr>
          <a:xfrm>
            <a:off x="2381619" y="52785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9" name="TextBox 257">
            <a:extLst>
              <a:ext uri="{FF2B5EF4-FFF2-40B4-BE49-F238E27FC236}">
                <a16:creationId xmlns:a16="http://schemas.microsoft.com/office/drawing/2014/main" id="{453C9A4C-34E9-4F8A-AF9C-50E468D96B66}"/>
              </a:ext>
            </a:extLst>
          </xdr:cNvPr>
          <xdr:cNvSpPr txBox="1"/>
        </xdr:nvSpPr>
        <xdr:spPr>
          <a:xfrm>
            <a:off x="826192" y="89718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vzrmR7SqpAJXsv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01"/>
  <sheetViews>
    <sheetView tabSelected="1" view="pageBreakPreview" zoomScaleNormal="100" zoomScaleSheetLayoutView="100" zoomScalePageLayoutView="85" workbookViewId="0">
      <selection activeCell="Q6" sqref="Q6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5703125" style="39" customWidth="1"/>
    <col min="4" max="4" width="14.140625" style="39" customWidth="1"/>
    <col min="5" max="7" width="11.5703125" style="39" customWidth="1"/>
    <col min="8" max="8" width="12.42578125" style="39" customWidth="1"/>
    <col min="9" max="9" width="17.42578125" style="20" customWidth="1"/>
    <col min="10" max="10" width="11.42578125" style="20" hidden="1" customWidth="1"/>
    <col min="11" max="12" width="10.5703125" style="20" hidden="1" customWidth="1"/>
    <col min="13" max="13" width="11.85546875" style="20" hidden="1" customWidth="1"/>
    <col min="14" max="14" width="12.5703125" style="20" hidden="1" customWidth="1"/>
    <col min="15" max="15" width="9.85546875" style="20" hidden="1" customWidth="1"/>
    <col min="16" max="16" width="11.5703125" style="20" customWidth="1"/>
    <col min="17" max="18" width="9.140625" style="20"/>
    <col min="19" max="19" width="13.140625" style="20" bestFit="1" customWidth="1"/>
    <col min="20" max="247" width="9.140625" style="20"/>
    <col min="248" max="248" width="8.5703125" style="20" customWidth="1"/>
    <col min="249" max="249" width="9.85546875" style="20" customWidth="1"/>
    <col min="250" max="250" width="14.42578125" style="20" customWidth="1"/>
    <col min="251" max="251" width="7.425781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5703125" style="20" customWidth="1"/>
    <col min="505" max="505" width="9.85546875" style="20" customWidth="1"/>
    <col min="506" max="506" width="14.42578125" style="20" customWidth="1"/>
    <col min="507" max="507" width="7.425781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5703125" style="20" customWidth="1"/>
    <col min="761" max="761" width="9.85546875" style="20" customWidth="1"/>
    <col min="762" max="762" width="14.42578125" style="20" customWidth="1"/>
    <col min="763" max="763" width="7.425781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5703125" style="20" customWidth="1"/>
    <col min="1017" max="1017" width="9.85546875" style="20" customWidth="1"/>
    <col min="1018" max="1018" width="14.42578125" style="20" customWidth="1"/>
    <col min="1019" max="1019" width="7.425781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5703125" style="20" customWidth="1"/>
    <col min="1273" max="1273" width="9.85546875" style="20" customWidth="1"/>
    <col min="1274" max="1274" width="14.42578125" style="20" customWidth="1"/>
    <col min="1275" max="1275" width="7.425781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5703125" style="20" customWidth="1"/>
    <col min="1529" max="1529" width="9.85546875" style="20" customWidth="1"/>
    <col min="1530" max="1530" width="14.42578125" style="20" customWidth="1"/>
    <col min="1531" max="1531" width="7.425781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5703125" style="20" customWidth="1"/>
    <col min="1785" max="1785" width="9.85546875" style="20" customWidth="1"/>
    <col min="1786" max="1786" width="14.42578125" style="20" customWidth="1"/>
    <col min="1787" max="1787" width="7.425781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5703125" style="20" customWidth="1"/>
    <col min="2041" max="2041" width="9.85546875" style="20" customWidth="1"/>
    <col min="2042" max="2042" width="14.42578125" style="20" customWidth="1"/>
    <col min="2043" max="2043" width="7.425781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5703125" style="20" customWidth="1"/>
    <col min="2297" max="2297" width="9.85546875" style="20" customWidth="1"/>
    <col min="2298" max="2298" width="14.42578125" style="20" customWidth="1"/>
    <col min="2299" max="2299" width="7.425781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5703125" style="20" customWidth="1"/>
    <col min="2553" max="2553" width="9.85546875" style="20" customWidth="1"/>
    <col min="2554" max="2554" width="14.42578125" style="20" customWidth="1"/>
    <col min="2555" max="2555" width="7.425781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5703125" style="20" customWidth="1"/>
    <col min="2809" max="2809" width="9.85546875" style="20" customWidth="1"/>
    <col min="2810" max="2810" width="14.42578125" style="20" customWidth="1"/>
    <col min="2811" max="2811" width="7.425781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5703125" style="20" customWidth="1"/>
    <col min="3065" max="3065" width="9.85546875" style="20" customWidth="1"/>
    <col min="3066" max="3066" width="14.42578125" style="20" customWidth="1"/>
    <col min="3067" max="3067" width="7.425781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5703125" style="20" customWidth="1"/>
    <col min="3321" max="3321" width="9.85546875" style="20" customWidth="1"/>
    <col min="3322" max="3322" width="14.42578125" style="20" customWidth="1"/>
    <col min="3323" max="3323" width="7.425781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5703125" style="20" customWidth="1"/>
    <col min="3577" max="3577" width="9.85546875" style="20" customWidth="1"/>
    <col min="3578" max="3578" width="14.42578125" style="20" customWidth="1"/>
    <col min="3579" max="3579" width="7.425781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5703125" style="20" customWidth="1"/>
    <col min="3833" max="3833" width="9.85546875" style="20" customWidth="1"/>
    <col min="3834" max="3834" width="14.42578125" style="20" customWidth="1"/>
    <col min="3835" max="3835" width="7.425781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5703125" style="20" customWidth="1"/>
    <col min="4089" max="4089" width="9.85546875" style="20" customWidth="1"/>
    <col min="4090" max="4090" width="14.42578125" style="20" customWidth="1"/>
    <col min="4091" max="4091" width="7.425781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5703125" style="20" customWidth="1"/>
    <col min="4345" max="4345" width="9.85546875" style="20" customWidth="1"/>
    <col min="4346" max="4346" width="14.42578125" style="20" customWidth="1"/>
    <col min="4347" max="4347" width="7.425781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5703125" style="20" customWidth="1"/>
    <col min="4601" max="4601" width="9.85546875" style="20" customWidth="1"/>
    <col min="4602" max="4602" width="14.42578125" style="20" customWidth="1"/>
    <col min="4603" max="4603" width="7.425781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5703125" style="20" customWidth="1"/>
    <col min="4857" max="4857" width="9.85546875" style="20" customWidth="1"/>
    <col min="4858" max="4858" width="14.42578125" style="20" customWidth="1"/>
    <col min="4859" max="4859" width="7.425781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5703125" style="20" customWidth="1"/>
    <col min="5113" max="5113" width="9.85546875" style="20" customWidth="1"/>
    <col min="5114" max="5114" width="14.42578125" style="20" customWidth="1"/>
    <col min="5115" max="5115" width="7.425781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5703125" style="20" customWidth="1"/>
    <col min="5369" max="5369" width="9.85546875" style="20" customWidth="1"/>
    <col min="5370" max="5370" width="14.42578125" style="20" customWidth="1"/>
    <col min="5371" max="5371" width="7.425781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5703125" style="20" customWidth="1"/>
    <col min="5625" max="5625" width="9.85546875" style="20" customWidth="1"/>
    <col min="5626" max="5626" width="14.42578125" style="20" customWidth="1"/>
    <col min="5627" max="5627" width="7.425781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5703125" style="20" customWidth="1"/>
    <col min="5881" max="5881" width="9.85546875" style="20" customWidth="1"/>
    <col min="5882" max="5882" width="14.42578125" style="20" customWidth="1"/>
    <col min="5883" max="5883" width="7.425781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5703125" style="20" customWidth="1"/>
    <col min="6137" max="6137" width="9.85546875" style="20" customWidth="1"/>
    <col min="6138" max="6138" width="14.42578125" style="20" customWidth="1"/>
    <col min="6139" max="6139" width="7.425781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5703125" style="20" customWidth="1"/>
    <col min="6393" max="6393" width="9.85546875" style="20" customWidth="1"/>
    <col min="6394" max="6394" width="14.42578125" style="20" customWidth="1"/>
    <col min="6395" max="6395" width="7.425781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5703125" style="20" customWidth="1"/>
    <col min="6649" max="6649" width="9.85546875" style="20" customWidth="1"/>
    <col min="6650" max="6650" width="14.42578125" style="20" customWidth="1"/>
    <col min="6651" max="6651" width="7.425781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5703125" style="20" customWidth="1"/>
    <col min="6905" max="6905" width="9.85546875" style="20" customWidth="1"/>
    <col min="6906" max="6906" width="14.42578125" style="20" customWidth="1"/>
    <col min="6907" max="6907" width="7.425781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5703125" style="20" customWidth="1"/>
    <col min="7161" max="7161" width="9.85546875" style="20" customWidth="1"/>
    <col min="7162" max="7162" width="14.42578125" style="20" customWidth="1"/>
    <col min="7163" max="7163" width="7.425781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5703125" style="20" customWidth="1"/>
    <col min="7417" max="7417" width="9.85546875" style="20" customWidth="1"/>
    <col min="7418" max="7418" width="14.42578125" style="20" customWidth="1"/>
    <col min="7419" max="7419" width="7.425781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5703125" style="20" customWidth="1"/>
    <col min="7673" max="7673" width="9.85546875" style="20" customWidth="1"/>
    <col min="7674" max="7674" width="14.42578125" style="20" customWidth="1"/>
    <col min="7675" max="7675" width="7.425781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5703125" style="20" customWidth="1"/>
    <col min="7929" max="7929" width="9.85546875" style="20" customWidth="1"/>
    <col min="7930" max="7930" width="14.42578125" style="20" customWidth="1"/>
    <col min="7931" max="7931" width="7.425781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5703125" style="20" customWidth="1"/>
    <col min="8185" max="8185" width="9.85546875" style="20" customWidth="1"/>
    <col min="8186" max="8186" width="14.42578125" style="20" customWidth="1"/>
    <col min="8187" max="8187" width="7.425781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5703125" style="20" customWidth="1"/>
    <col min="8441" max="8441" width="9.85546875" style="20" customWidth="1"/>
    <col min="8442" max="8442" width="14.42578125" style="20" customWidth="1"/>
    <col min="8443" max="8443" width="7.425781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5703125" style="20" customWidth="1"/>
    <col min="8697" max="8697" width="9.85546875" style="20" customWidth="1"/>
    <col min="8698" max="8698" width="14.42578125" style="20" customWidth="1"/>
    <col min="8699" max="8699" width="7.425781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5703125" style="20" customWidth="1"/>
    <col min="8953" max="8953" width="9.85546875" style="20" customWidth="1"/>
    <col min="8954" max="8954" width="14.42578125" style="20" customWidth="1"/>
    <col min="8955" max="8955" width="7.425781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5703125" style="20" customWidth="1"/>
    <col min="9209" max="9209" width="9.85546875" style="20" customWidth="1"/>
    <col min="9210" max="9210" width="14.42578125" style="20" customWidth="1"/>
    <col min="9211" max="9211" width="7.425781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5703125" style="20" customWidth="1"/>
    <col min="9465" max="9465" width="9.85546875" style="20" customWidth="1"/>
    <col min="9466" max="9466" width="14.42578125" style="20" customWidth="1"/>
    <col min="9467" max="9467" width="7.425781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5703125" style="20" customWidth="1"/>
    <col min="9721" max="9721" width="9.85546875" style="20" customWidth="1"/>
    <col min="9722" max="9722" width="14.42578125" style="20" customWidth="1"/>
    <col min="9723" max="9723" width="7.425781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5703125" style="20" customWidth="1"/>
    <col min="9977" max="9977" width="9.85546875" style="20" customWidth="1"/>
    <col min="9978" max="9978" width="14.42578125" style="20" customWidth="1"/>
    <col min="9979" max="9979" width="7.425781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5703125" style="20" customWidth="1"/>
    <col min="10233" max="10233" width="9.85546875" style="20" customWidth="1"/>
    <col min="10234" max="10234" width="14.42578125" style="20" customWidth="1"/>
    <col min="10235" max="10235" width="7.425781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5703125" style="20" customWidth="1"/>
    <col min="10489" max="10489" width="9.85546875" style="20" customWidth="1"/>
    <col min="10490" max="10490" width="14.42578125" style="20" customWidth="1"/>
    <col min="10491" max="10491" width="7.425781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5703125" style="20" customWidth="1"/>
    <col min="10745" max="10745" width="9.85546875" style="20" customWidth="1"/>
    <col min="10746" max="10746" width="14.42578125" style="20" customWidth="1"/>
    <col min="10747" max="10747" width="7.425781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5703125" style="20" customWidth="1"/>
    <col min="11001" max="11001" width="9.85546875" style="20" customWidth="1"/>
    <col min="11002" max="11002" width="14.42578125" style="20" customWidth="1"/>
    <col min="11003" max="11003" width="7.425781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5703125" style="20" customWidth="1"/>
    <col min="11257" max="11257" width="9.85546875" style="20" customWidth="1"/>
    <col min="11258" max="11258" width="14.42578125" style="20" customWidth="1"/>
    <col min="11259" max="11259" width="7.425781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5703125" style="20" customWidth="1"/>
    <col min="11513" max="11513" width="9.85546875" style="20" customWidth="1"/>
    <col min="11514" max="11514" width="14.42578125" style="20" customWidth="1"/>
    <col min="11515" max="11515" width="7.425781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5703125" style="20" customWidth="1"/>
    <col min="11769" max="11769" width="9.85546875" style="20" customWidth="1"/>
    <col min="11770" max="11770" width="14.42578125" style="20" customWidth="1"/>
    <col min="11771" max="11771" width="7.425781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5703125" style="20" customWidth="1"/>
    <col min="12025" max="12025" width="9.85546875" style="20" customWidth="1"/>
    <col min="12026" max="12026" width="14.42578125" style="20" customWidth="1"/>
    <col min="12027" max="12027" width="7.425781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5703125" style="20" customWidth="1"/>
    <col min="12281" max="12281" width="9.85546875" style="20" customWidth="1"/>
    <col min="12282" max="12282" width="14.42578125" style="20" customWidth="1"/>
    <col min="12283" max="12283" width="7.425781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5703125" style="20" customWidth="1"/>
    <col min="12537" max="12537" width="9.85546875" style="20" customWidth="1"/>
    <col min="12538" max="12538" width="14.42578125" style="20" customWidth="1"/>
    <col min="12539" max="12539" width="7.425781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5703125" style="20" customWidth="1"/>
    <col min="12793" max="12793" width="9.85546875" style="20" customWidth="1"/>
    <col min="12794" max="12794" width="14.42578125" style="20" customWidth="1"/>
    <col min="12795" max="12795" width="7.425781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5703125" style="20" customWidth="1"/>
    <col min="13049" max="13049" width="9.85546875" style="20" customWidth="1"/>
    <col min="13050" max="13050" width="14.42578125" style="20" customWidth="1"/>
    <col min="13051" max="13051" width="7.425781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5703125" style="20" customWidth="1"/>
    <col min="13305" max="13305" width="9.85546875" style="20" customWidth="1"/>
    <col min="13306" max="13306" width="14.42578125" style="20" customWidth="1"/>
    <col min="13307" max="13307" width="7.425781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5703125" style="20" customWidth="1"/>
    <col min="13561" max="13561" width="9.85546875" style="20" customWidth="1"/>
    <col min="13562" max="13562" width="14.42578125" style="20" customWidth="1"/>
    <col min="13563" max="13563" width="7.425781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5703125" style="20" customWidth="1"/>
    <col min="13817" max="13817" width="9.85546875" style="20" customWidth="1"/>
    <col min="13818" max="13818" width="14.42578125" style="20" customWidth="1"/>
    <col min="13819" max="13819" width="7.425781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5703125" style="20" customWidth="1"/>
    <col min="14073" max="14073" width="9.85546875" style="20" customWidth="1"/>
    <col min="14074" max="14074" width="14.42578125" style="20" customWidth="1"/>
    <col min="14075" max="14075" width="7.425781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5703125" style="20" customWidth="1"/>
    <col min="14329" max="14329" width="9.85546875" style="20" customWidth="1"/>
    <col min="14330" max="14330" width="14.42578125" style="20" customWidth="1"/>
    <col min="14331" max="14331" width="7.425781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5703125" style="20" customWidth="1"/>
    <col min="14585" max="14585" width="9.85546875" style="20" customWidth="1"/>
    <col min="14586" max="14586" width="14.42578125" style="20" customWidth="1"/>
    <col min="14587" max="14587" width="7.425781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5703125" style="20" customWidth="1"/>
    <col min="14841" max="14841" width="9.85546875" style="20" customWidth="1"/>
    <col min="14842" max="14842" width="14.42578125" style="20" customWidth="1"/>
    <col min="14843" max="14843" width="7.425781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5703125" style="20" customWidth="1"/>
    <col min="15097" max="15097" width="9.85546875" style="20" customWidth="1"/>
    <col min="15098" max="15098" width="14.42578125" style="20" customWidth="1"/>
    <col min="15099" max="15099" width="7.425781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5703125" style="20" customWidth="1"/>
    <col min="15353" max="15353" width="9.85546875" style="20" customWidth="1"/>
    <col min="15354" max="15354" width="14.42578125" style="20" customWidth="1"/>
    <col min="15355" max="15355" width="7.425781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5703125" style="20" customWidth="1"/>
    <col min="15609" max="15609" width="9.85546875" style="20" customWidth="1"/>
    <col min="15610" max="15610" width="14.42578125" style="20" customWidth="1"/>
    <col min="15611" max="15611" width="7.425781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5703125" style="20" customWidth="1"/>
    <col min="15865" max="15865" width="9.85546875" style="20" customWidth="1"/>
    <col min="15866" max="15866" width="14.42578125" style="20" customWidth="1"/>
    <col min="15867" max="15867" width="7.425781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5703125" style="20" customWidth="1"/>
    <col min="16121" max="16121" width="9.85546875" style="20" customWidth="1"/>
    <col min="16122" max="16122" width="14.42578125" style="20" customWidth="1"/>
    <col min="16123" max="16123" width="7.425781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61" t="s">
        <v>232</v>
      </c>
      <c r="B1" s="161"/>
      <c r="C1" s="161"/>
      <c r="D1" s="161"/>
      <c r="E1" s="161"/>
      <c r="F1" s="161"/>
      <c r="G1" s="161"/>
      <c r="H1" s="161"/>
    </row>
    <row r="2" spans="1:12" ht="16.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</row>
    <row r="3" spans="1:12" x14ac:dyDescent="0.25">
      <c r="A3" s="92" t="s">
        <v>1</v>
      </c>
      <c r="B3" s="92"/>
      <c r="C3" s="92"/>
      <c r="D3" s="92"/>
      <c r="E3" s="92" t="str">
        <f ca="1">TEXT(TODAY(),"DD/MM/YYYY")</f>
        <v>15/07/2025</v>
      </c>
      <c r="F3" s="92"/>
      <c r="G3" s="92"/>
      <c r="H3" s="92"/>
    </row>
    <row r="4" spans="1:12" ht="15" customHeight="1" x14ac:dyDescent="0.25">
      <c r="A4" s="92" t="s">
        <v>2</v>
      </c>
      <c r="B4" s="92"/>
      <c r="C4" s="92"/>
      <c r="D4" s="92"/>
      <c r="E4" s="92" t="s">
        <v>179</v>
      </c>
      <c r="F4" s="92"/>
      <c r="G4" s="92"/>
      <c r="H4" s="92"/>
    </row>
    <row r="5" spans="1:12" x14ac:dyDescent="0.25">
      <c r="A5" s="92" t="s">
        <v>3</v>
      </c>
      <c r="B5" s="92"/>
      <c r="C5" s="92"/>
      <c r="D5" s="92"/>
      <c r="E5" s="162">
        <v>45846</v>
      </c>
      <c r="F5" s="92"/>
      <c r="G5" s="92"/>
      <c r="H5" s="92"/>
    </row>
    <row r="6" spans="1:12" ht="16.5" customHeight="1" x14ac:dyDescent="0.25">
      <c r="A6" s="92" t="s">
        <v>4</v>
      </c>
      <c r="B6" s="92"/>
      <c r="C6" s="92"/>
      <c r="D6" s="92"/>
      <c r="E6" s="92" t="s">
        <v>180</v>
      </c>
      <c r="F6" s="92"/>
      <c r="G6" s="92"/>
      <c r="H6" s="92"/>
    </row>
    <row r="7" spans="1:12" ht="15" customHeight="1" x14ac:dyDescent="0.25">
      <c r="A7" s="92" t="s">
        <v>5</v>
      </c>
      <c r="B7" s="92"/>
      <c r="C7" s="92"/>
      <c r="D7" s="92"/>
      <c r="E7" s="92" t="str">
        <f>E6</f>
        <v>Kalindi Realtors Private Limited</v>
      </c>
      <c r="F7" s="92"/>
      <c r="G7" s="92"/>
      <c r="H7" s="92"/>
    </row>
    <row r="8" spans="1:12" x14ac:dyDescent="0.25">
      <c r="A8" s="92" t="s">
        <v>6</v>
      </c>
      <c r="B8" s="92"/>
      <c r="C8" s="92"/>
      <c r="D8" s="92"/>
      <c r="E8" s="94" t="s">
        <v>181</v>
      </c>
      <c r="F8" s="94"/>
      <c r="G8" s="94"/>
      <c r="H8" s="94"/>
    </row>
    <row r="9" spans="1:12" x14ac:dyDescent="0.25">
      <c r="A9" s="92" t="s">
        <v>176</v>
      </c>
      <c r="B9" s="92"/>
      <c r="C9" s="92"/>
      <c r="D9" s="92"/>
      <c r="E9" s="92" t="s">
        <v>182</v>
      </c>
      <c r="F9" s="92"/>
      <c r="G9" s="92"/>
      <c r="H9" s="92"/>
    </row>
    <row r="10" spans="1:12" x14ac:dyDescent="0.25">
      <c r="A10" s="92" t="s">
        <v>177</v>
      </c>
      <c r="B10" s="92"/>
      <c r="C10" s="92"/>
      <c r="D10" s="92"/>
      <c r="E10" s="92" t="s">
        <v>245</v>
      </c>
      <c r="F10" s="92"/>
      <c r="G10" s="92"/>
      <c r="H10" s="92"/>
      <c r="I10" s="92" t="s">
        <v>244</v>
      </c>
      <c r="J10" s="92"/>
      <c r="K10" s="92"/>
      <c r="L10" s="92"/>
    </row>
    <row r="11" spans="1:12" x14ac:dyDescent="0.25">
      <c r="A11" s="92" t="s">
        <v>7</v>
      </c>
      <c r="B11" s="92"/>
      <c r="C11" s="92"/>
      <c r="D11" s="92"/>
      <c r="E11" s="92" t="s">
        <v>226</v>
      </c>
      <c r="F11" s="92"/>
      <c r="G11" s="92"/>
      <c r="H11" s="92"/>
      <c r="I11" s="92" t="s">
        <v>238</v>
      </c>
      <c r="J11" s="92"/>
      <c r="K11" s="92"/>
      <c r="L11" s="92"/>
    </row>
    <row r="12" spans="1:12" ht="32.25" customHeight="1" x14ac:dyDescent="0.25">
      <c r="A12" s="92" t="s">
        <v>8</v>
      </c>
      <c r="B12" s="92"/>
      <c r="C12" s="92"/>
      <c r="D12" s="92"/>
      <c r="E12" s="138" t="s">
        <v>109</v>
      </c>
      <c r="F12" s="138"/>
      <c r="G12" s="138"/>
      <c r="H12" s="138"/>
    </row>
    <row r="13" spans="1:12" x14ac:dyDescent="0.25">
      <c r="A13" s="92" t="s">
        <v>9</v>
      </c>
      <c r="B13" s="92"/>
      <c r="C13" s="92"/>
      <c r="D13" s="92"/>
      <c r="E13" s="138" t="s">
        <v>183</v>
      </c>
      <c r="F13" s="92"/>
      <c r="G13" s="92"/>
      <c r="H13" s="92"/>
    </row>
    <row r="14" spans="1:12" ht="33.75" customHeight="1" x14ac:dyDescent="0.25">
      <c r="A14" s="138" t="s">
        <v>10</v>
      </c>
      <c r="B14" s="138"/>
      <c r="C14" s="13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Kalindi Elite, Survey No.102/5/1, near Unique Bhavan chs / Arcee Electronics, Kadu Marg, Chinchpada, Pen, Pen (East), Pen, Raigad - 402107.</v>
      </c>
      <c r="D14" s="138"/>
      <c r="E14" s="138"/>
      <c r="F14" s="138"/>
      <c r="G14" s="138"/>
      <c r="H14" s="138"/>
    </row>
    <row r="15" spans="1:12" x14ac:dyDescent="0.25">
      <c r="A15" s="138" t="s">
        <v>184</v>
      </c>
      <c r="B15" s="138"/>
      <c r="C15" s="138" t="s">
        <v>185</v>
      </c>
      <c r="D15" s="138"/>
      <c r="E15" s="138"/>
      <c r="F15" s="138"/>
      <c r="G15" s="138"/>
      <c r="H15" s="138"/>
    </row>
    <row r="16" spans="1:12" ht="15.75" customHeight="1" x14ac:dyDescent="0.25">
      <c r="A16" s="138" t="s">
        <v>175</v>
      </c>
      <c r="B16" s="138"/>
      <c r="C16" s="138" t="s">
        <v>186</v>
      </c>
      <c r="D16" s="138"/>
      <c r="E16" s="138"/>
      <c r="F16" s="138"/>
      <c r="G16" s="138"/>
      <c r="H16" s="138"/>
    </row>
    <row r="17" spans="1:8" ht="15.75" customHeight="1" x14ac:dyDescent="0.25">
      <c r="A17" s="130" t="s">
        <v>11</v>
      </c>
      <c r="B17" s="130"/>
      <c r="C17" s="92" t="s">
        <v>189</v>
      </c>
      <c r="D17" s="92"/>
      <c r="E17" s="130" t="s">
        <v>75</v>
      </c>
      <c r="F17" s="130"/>
      <c r="G17" s="138" t="s">
        <v>187</v>
      </c>
      <c r="H17" s="138"/>
    </row>
    <row r="18" spans="1:8" x14ac:dyDescent="0.25">
      <c r="A18" s="122" t="s">
        <v>13</v>
      </c>
      <c r="B18" s="122"/>
      <c r="C18" s="138" t="s">
        <v>227</v>
      </c>
      <c r="D18" s="138"/>
      <c r="E18" s="130" t="s">
        <v>12</v>
      </c>
      <c r="F18" s="130"/>
      <c r="G18" s="160" t="s">
        <v>188</v>
      </c>
      <c r="H18" s="160"/>
    </row>
    <row r="19" spans="1:8" x14ac:dyDescent="0.25">
      <c r="A19" s="122" t="s">
        <v>76</v>
      </c>
      <c r="B19" s="122"/>
      <c r="C19" s="138" t="s">
        <v>187</v>
      </c>
      <c r="D19" s="138"/>
      <c r="E19" s="130" t="s">
        <v>14</v>
      </c>
      <c r="F19" s="130"/>
      <c r="G19" s="138">
        <v>402107</v>
      </c>
      <c r="H19" s="138"/>
    </row>
    <row r="20" spans="1:8" ht="32.25" customHeight="1" x14ac:dyDescent="0.25">
      <c r="A20" s="122" t="s">
        <v>130</v>
      </c>
      <c r="B20" s="122"/>
      <c r="C20" s="138" t="s">
        <v>225</v>
      </c>
      <c r="D20" s="138"/>
      <c r="E20" s="130" t="s">
        <v>15</v>
      </c>
      <c r="F20" s="130"/>
      <c r="G20" s="138" t="s">
        <v>190</v>
      </c>
      <c r="H20" s="138"/>
    </row>
    <row r="21" spans="1:8" ht="15" customHeight="1" x14ac:dyDescent="0.25">
      <c r="A21" s="130" t="s">
        <v>79</v>
      </c>
      <c r="B21" s="130"/>
      <c r="C21" s="130"/>
      <c r="D21" s="130"/>
      <c r="E21" s="92" t="s">
        <v>16</v>
      </c>
      <c r="F21" s="92"/>
      <c r="G21" s="92"/>
      <c r="H21" s="92"/>
    </row>
    <row r="22" spans="1:8" ht="18.75" customHeight="1" x14ac:dyDescent="0.25">
      <c r="A22" s="130"/>
      <c r="B22" s="130"/>
      <c r="C22" s="130"/>
      <c r="D22" s="130"/>
      <c r="E22" s="92"/>
      <c r="F22" s="92"/>
      <c r="G22" s="92"/>
      <c r="H22" s="92"/>
    </row>
    <row r="23" spans="1:8" ht="15" customHeight="1" x14ac:dyDescent="0.25">
      <c r="A23" s="130" t="s">
        <v>17</v>
      </c>
      <c r="B23" s="130"/>
      <c r="C23" s="130"/>
      <c r="D23" s="130"/>
      <c r="E23" s="138" t="s">
        <v>18</v>
      </c>
      <c r="F23" s="138"/>
      <c r="G23" s="138"/>
      <c r="H23" s="138"/>
    </row>
    <row r="24" spans="1:8" ht="15" customHeight="1" x14ac:dyDescent="0.25">
      <c r="A24" s="122" t="s">
        <v>19</v>
      </c>
      <c r="B24" s="122"/>
      <c r="C24" s="122"/>
      <c r="D24" s="122"/>
      <c r="E24" s="138" t="str">
        <f>IF(AND(G18="Mumbai"),"Upper Class","Middle Class")</f>
        <v>Middle Class</v>
      </c>
      <c r="F24" s="138"/>
      <c r="G24" s="138"/>
      <c r="H24" s="138"/>
    </row>
    <row r="25" spans="1:8" x14ac:dyDescent="0.25">
      <c r="A25" s="122" t="s">
        <v>20</v>
      </c>
      <c r="B25" s="122"/>
      <c r="C25" s="122"/>
      <c r="D25" s="122"/>
      <c r="E25" s="138" t="s">
        <v>21</v>
      </c>
      <c r="F25" s="138"/>
      <c r="G25" s="138"/>
      <c r="H25" s="138"/>
    </row>
    <row r="26" spans="1:8" ht="15.75" customHeight="1" x14ac:dyDescent="0.25">
      <c r="A26" s="122" t="s">
        <v>22</v>
      </c>
      <c r="B26" s="122"/>
      <c r="C26" s="122"/>
      <c r="D26" s="122"/>
      <c r="E26" s="138" t="str">
        <f>IF(AND(G18="Mumbai"),"Developed","Developing")</f>
        <v>Developing</v>
      </c>
      <c r="F26" s="138"/>
      <c r="G26" s="138"/>
      <c r="H26" s="138"/>
    </row>
    <row r="27" spans="1:8" x14ac:dyDescent="0.25">
      <c r="A27" s="122" t="s">
        <v>23</v>
      </c>
      <c r="B27" s="122"/>
      <c r="C27" s="122"/>
      <c r="D27" s="122"/>
      <c r="E27" s="138" t="s">
        <v>24</v>
      </c>
      <c r="F27" s="138"/>
      <c r="G27" s="138"/>
      <c r="H27" s="138"/>
    </row>
    <row r="28" spans="1:8" ht="15.75" customHeight="1" x14ac:dyDescent="0.25">
      <c r="A28" s="122" t="s">
        <v>84</v>
      </c>
      <c r="B28" s="122"/>
      <c r="C28" s="122"/>
      <c r="D28" s="122"/>
      <c r="E28" s="138" t="s">
        <v>85</v>
      </c>
      <c r="F28" s="138"/>
      <c r="G28" s="138"/>
      <c r="H28" s="138"/>
    </row>
    <row r="29" spans="1:8" ht="15" customHeight="1" x14ac:dyDescent="0.25">
      <c r="A29" s="122" t="s">
        <v>33</v>
      </c>
      <c r="B29" s="122"/>
      <c r="C29" s="122"/>
      <c r="D29" s="122"/>
      <c r="E29" s="13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8"/>
      <c r="G29" s="138"/>
      <c r="H29" s="138"/>
    </row>
    <row r="30" spans="1:8" ht="15.75" customHeight="1" x14ac:dyDescent="0.25">
      <c r="A30" s="122" t="s">
        <v>96</v>
      </c>
      <c r="B30" s="122"/>
      <c r="C30" s="122"/>
      <c r="D30" s="122"/>
      <c r="E30" s="138" t="s">
        <v>34</v>
      </c>
      <c r="F30" s="138"/>
      <c r="G30" s="138"/>
      <c r="H30" s="138"/>
    </row>
    <row r="31" spans="1:8" s="21" customFormat="1" x14ac:dyDescent="0.25">
      <c r="A31" s="159" t="s">
        <v>97</v>
      </c>
      <c r="B31" s="159"/>
      <c r="C31" s="158" t="s">
        <v>29</v>
      </c>
      <c r="D31" s="158"/>
      <c r="E31" s="158"/>
      <c r="F31" s="158" t="s">
        <v>31</v>
      </c>
      <c r="G31" s="158"/>
      <c r="H31" s="158"/>
    </row>
    <row r="32" spans="1:8" s="21" customFormat="1" x14ac:dyDescent="0.25">
      <c r="A32" s="132" t="s">
        <v>25</v>
      </c>
      <c r="B32" s="132" t="s">
        <v>30</v>
      </c>
      <c r="C32" s="133" t="s">
        <v>30</v>
      </c>
      <c r="D32" s="133"/>
      <c r="E32" s="133"/>
      <c r="F32" s="133" t="s">
        <v>191</v>
      </c>
      <c r="G32" s="133"/>
      <c r="H32" s="133"/>
    </row>
    <row r="33" spans="1:8" x14ac:dyDescent="0.25">
      <c r="A33" s="132" t="s">
        <v>26</v>
      </c>
      <c r="B33" s="132" t="s">
        <v>30</v>
      </c>
      <c r="C33" s="133" t="s">
        <v>30</v>
      </c>
      <c r="D33" s="133"/>
      <c r="E33" s="133"/>
      <c r="F33" s="133" t="s">
        <v>192</v>
      </c>
      <c r="G33" s="133"/>
      <c r="H33" s="133"/>
    </row>
    <row r="34" spans="1:8" s="21" customFormat="1" x14ac:dyDescent="0.25">
      <c r="A34" s="132" t="s">
        <v>28</v>
      </c>
      <c r="B34" s="132" t="s">
        <v>30</v>
      </c>
      <c r="C34" s="133" t="s">
        <v>30</v>
      </c>
      <c r="D34" s="133"/>
      <c r="E34" s="133"/>
      <c r="F34" s="133" t="s">
        <v>189</v>
      </c>
      <c r="G34" s="133"/>
      <c r="H34" s="133"/>
    </row>
    <row r="35" spans="1:8" x14ac:dyDescent="0.25">
      <c r="A35" s="132" t="s">
        <v>27</v>
      </c>
      <c r="B35" s="132" t="s">
        <v>30</v>
      </c>
      <c r="C35" s="133" t="s">
        <v>30</v>
      </c>
      <c r="D35" s="133"/>
      <c r="E35" s="133"/>
      <c r="F35" s="133" t="s">
        <v>193</v>
      </c>
      <c r="G35" s="133"/>
      <c r="H35" s="133"/>
    </row>
    <row r="36" spans="1:8" x14ac:dyDescent="0.25">
      <c r="A36" s="122" t="s">
        <v>32</v>
      </c>
      <c r="B36" s="122"/>
      <c r="C36" s="122"/>
      <c r="D36" s="122"/>
      <c r="E36" s="122"/>
      <c r="F36" s="122"/>
      <c r="G36" s="122"/>
      <c r="H36" s="122"/>
    </row>
    <row r="37" spans="1:8" ht="15.75" customHeight="1" x14ac:dyDescent="0.25">
      <c r="A37" s="136" t="s">
        <v>230</v>
      </c>
      <c r="B37" s="136"/>
      <c r="C37" s="184" t="s">
        <v>231</v>
      </c>
      <c r="D37" s="185"/>
      <c r="E37" s="185"/>
      <c r="F37" s="185"/>
      <c r="G37" s="185"/>
      <c r="H37" s="186"/>
    </row>
    <row r="38" spans="1:8" x14ac:dyDescent="0.25">
      <c r="A38" s="136" t="s">
        <v>174</v>
      </c>
      <c r="B38" s="136"/>
      <c r="C38" s="137" t="s">
        <v>194</v>
      </c>
      <c r="D38" s="138"/>
      <c r="E38" s="138"/>
      <c r="F38" s="138"/>
      <c r="G38" s="138"/>
      <c r="H38" s="138"/>
    </row>
    <row r="39" spans="1:8" x14ac:dyDescent="0.25">
      <c r="A39" s="135" t="s">
        <v>35</v>
      </c>
      <c r="B39" s="135"/>
      <c r="C39" s="135"/>
      <c r="D39" s="135"/>
      <c r="E39" s="135"/>
      <c r="F39" s="135"/>
      <c r="G39" s="135"/>
      <c r="H39" s="135"/>
    </row>
    <row r="40" spans="1:8" x14ac:dyDescent="0.25">
      <c r="A40" s="122" t="s">
        <v>36</v>
      </c>
      <c r="B40" s="122"/>
      <c r="C40" s="122"/>
      <c r="D40" s="122"/>
      <c r="E40" s="134">
        <v>4500</v>
      </c>
      <c r="F40" s="134"/>
      <c r="G40" s="134"/>
      <c r="H40" s="134"/>
    </row>
    <row r="41" spans="1:8" x14ac:dyDescent="0.25">
      <c r="A41" s="122" t="s">
        <v>37</v>
      </c>
      <c r="B41" s="122"/>
      <c r="C41" s="122"/>
      <c r="D41" s="122"/>
      <c r="E41" s="123">
        <v>1.1000000000000001</v>
      </c>
      <c r="F41" s="123"/>
      <c r="G41" s="123"/>
      <c r="H41" s="123"/>
    </row>
    <row r="42" spans="1:8" x14ac:dyDescent="0.25">
      <c r="A42" s="122" t="s">
        <v>38</v>
      </c>
      <c r="B42" s="122"/>
      <c r="C42" s="122"/>
      <c r="D42" s="122"/>
      <c r="E42" s="123">
        <f>E44/E40-E41</f>
        <v>2.4427624444444445</v>
      </c>
      <c r="F42" s="123"/>
      <c r="G42" s="123"/>
      <c r="H42" s="123"/>
    </row>
    <row r="43" spans="1:8" x14ac:dyDescent="0.25">
      <c r="A43" s="122" t="s">
        <v>39</v>
      </c>
      <c r="B43" s="122"/>
      <c r="C43" s="122"/>
      <c r="D43" s="122"/>
      <c r="E43" s="123">
        <f>E41+E42</f>
        <v>3.5427624444444445</v>
      </c>
      <c r="F43" s="123"/>
      <c r="G43" s="123"/>
      <c r="H43" s="123"/>
    </row>
    <row r="44" spans="1:8" x14ac:dyDescent="0.25">
      <c r="A44" s="122" t="s">
        <v>95</v>
      </c>
      <c r="B44" s="122"/>
      <c r="C44" s="122"/>
      <c r="D44" s="122"/>
      <c r="E44" s="124">
        <v>15942.431</v>
      </c>
      <c r="F44" s="124"/>
      <c r="G44" s="124"/>
      <c r="H44" s="124"/>
    </row>
    <row r="45" spans="1:8" x14ac:dyDescent="0.25">
      <c r="A45" s="92" t="s">
        <v>40</v>
      </c>
      <c r="B45" s="92"/>
      <c r="C45" s="92"/>
      <c r="D45" s="92"/>
      <c r="E45" s="92" t="s">
        <v>228</v>
      </c>
      <c r="F45" s="92"/>
      <c r="G45" s="92"/>
      <c r="H45" s="92"/>
    </row>
    <row r="46" spans="1:8" x14ac:dyDescent="0.25">
      <c r="A46" s="94" t="s">
        <v>41</v>
      </c>
      <c r="B46" s="94"/>
      <c r="C46" s="94"/>
      <c r="D46" s="94"/>
      <c r="E46" s="94"/>
      <c r="F46" s="94"/>
      <c r="G46" s="94"/>
      <c r="H46" s="94"/>
    </row>
    <row r="47" spans="1:8" ht="33.75" customHeight="1" x14ac:dyDescent="0.25">
      <c r="A47" s="151" t="s">
        <v>162</v>
      </c>
      <c r="B47" s="152"/>
      <c r="C47" s="153" t="s">
        <v>195</v>
      </c>
      <c r="D47" s="154"/>
      <c r="E47" s="154"/>
      <c r="F47" s="154"/>
      <c r="G47" s="154"/>
      <c r="H47" s="155"/>
    </row>
    <row r="48" spans="1:8" ht="33.75" customHeight="1" x14ac:dyDescent="0.25">
      <c r="A48" s="156" t="s">
        <v>42</v>
      </c>
      <c r="B48" s="150"/>
      <c r="C48" s="156" t="s">
        <v>199</v>
      </c>
      <c r="D48" s="157"/>
      <c r="E48" s="150"/>
      <c r="F48" s="17" t="s">
        <v>43</v>
      </c>
      <c r="G48" s="144">
        <v>44743</v>
      </c>
      <c r="H48" s="150"/>
    </row>
    <row r="49" spans="1:14" ht="33.75" customHeight="1" x14ac:dyDescent="0.25">
      <c r="A49" s="156" t="s">
        <v>44</v>
      </c>
      <c r="B49" s="150"/>
      <c r="C49" s="156" t="str">
        <f>C48</f>
        <v>PNP/KA-4/B.V3323/Building Permission/ 2022-2023/1341</v>
      </c>
      <c r="D49" s="157"/>
      <c r="E49" s="150"/>
      <c r="F49" s="17" t="s">
        <v>43</v>
      </c>
      <c r="G49" s="144">
        <f>G48</f>
        <v>44743</v>
      </c>
      <c r="H49" s="145"/>
    </row>
    <row r="50" spans="1:14" s="22" customFormat="1" ht="33.75" customHeight="1" x14ac:dyDescent="0.25">
      <c r="A50" s="146" t="s">
        <v>196</v>
      </c>
      <c r="B50" s="147"/>
      <c r="C50" s="156" t="s">
        <v>200</v>
      </c>
      <c r="D50" s="157"/>
      <c r="E50" s="150"/>
      <c r="F50" s="17" t="s">
        <v>43</v>
      </c>
      <c r="G50" s="144">
        <f>G49</f>
        <v>44743</v>
      </c>
      <c r="H50" s="145"/>
    </row>
    <row r="51" spans="1:14" s="22" customFormat="1" x14ac:dyDescent="0.25">
      <c r="A51" s="148"/>
      <c r="B51" s="149"/>
      <c r="C51" s="156" t="s">
        <v>233</v>
      </c>
      <c r="D51" s="157"/>
      <c r="E51" s="157"/>
      <c r="F51" s="157"/>
      <c r="G51" s="157"/>
      <c r="H51" s="150"/>
    </row>
    <row r="52" spans="1:14" x14ac:dyDescent="0.25">
      <c r="A52" s="179" t="s">
        <v>45</v>
      </c>
      <c r="B52" s="180"/>
      <c r="C52" s="179" t="s">
        <v>110</v>
      </c>
      <c r="D52" s="181"/>
      <c r="E52" s="180"/>
      <c r="F52" s="45" t="s">
        <v>43</v>
      </c>
      <c r="G52" s="182" t="s">
        <v>30</v>
      </c>
      <c r="H52" s="183"/>
    </row>
    <row r="53" spans="1:14" x14ac:dyDescent="0.25">
      <c r="A53" s="165" t="s">
        <v>47</v>
      </c>
      <c r="B53" s="165"/>
      <c r="C53" s="165"/>
      <c r="D53" s="165"/>
      <c r="E53" s="165"/>
      <c r="F53" s="165"/>
      <c r="G53" s="165"/>
      <c r="H53" s="165"/>
    </row>
    <row r="54" spans="1:14" x14ac:dyDescent="0.25">
      <c r="A54" s="130" t="s">
        <v>94</v>
      </c>
      <c r="B54" s="130"/>
      <c r="C54" s="130"/>
      <c r="D54" s="122">
        <f>E44</f>
        <v>15942.431</v>
      </c>
      <c r="E54" s="122"/>
      <c r="F54" s="122"/>
      <c r="G54" s="122"/>
      <c r="H54" s="122"/>
    </row>
    <row r="55" spans="1:14" x14ac:dyDescent="0.25">
      <c r="A55" s="138" t="s">
        <v>48</v>
      </c>
      <c r="B55" s="92"/>
      <c r="C55" s="92"/>
      <c r="D55" s="92" t="s">
        <v>224</v>
      </c>
      <c r="E55" s="92"/>
      <c r="F55" s="92"/>
      <c r="G55" s="92"/>
      <c r="H55" s="92"/>
      <c r="I55" s="23"/>
    </row>
    <row r="56" spans="1:14" x14ac:dyDescent="0.25">
      <c r="A56" s="141" t="s">
        <v>49</v>
      </c>
      <c r="B56" s="142"/>
      <c r="C56" s="143"/>
      <c r="D56" s="139" t="s">
        <v>236</v>
      </c>
      <c r="E56" s="140"/>
      <c r="F56" s="140"/>
      <c r="G56" s="140"/>
      <c r="H56" s="140"/>
    </row>
    <row r="57" spans="1:14" ht="15.75" customHeight="1" x14ac:dyDescent="0.25">
      <c r="A57" s="141" t="s">
        <v>92</v>
      </c>
      <c r="B57" s="142"/>
      <c r="C57" s="142"/>
      <c r="D57" s="173" t="s">
        <v>234</v>
      </c>
      <c r="E57" s="174"/>
      <c r="F57" s="174"/>
      <c r="G57" s="174"/>
      <c r="H57" s="175"/>
    </row>
    <row r="58" spans="1:14" ht="15.75" customHeight="1" x14ac:dyDescent="0.25">
      <c r="A58" s="171"/>
      <c r="B58" s="172"/>
      <c r="C58" s="172"/>
      <c r="D58" s="176" t="s">
        <v>235</v>
      </c>
      <c r="E58" s="177"/>
      <c r="F58" s="177"/>
      <c r="G58" s="177"/>
      <c r="H58" s="178"/>
    </row>
    <row r="59" spans="1:14" ht="15.75" customHeight="1" x14ac:dyDescent="0.25">
      <c r="A59" s="122" t="s">
        <v>46</v>
      </c>
      <c r="B59" s="122"/>
      <c r="C59" s="122"/>
      <c r="D59" s="131" t="s">
        <v>197</v>
      </c>
      <c r="E59" s="131"/>
      <c r="F59" s="131"/>
      <c r="G59" s="131"/>
      <c r="H59" s="131"/>
      <c r="J59" s="24"/>
      <c r="K59" s="23"/>
      <c r="N59" s="23"/>
    </row>
    <row r="60" spans="1:14" ht="15.75" customHeight="1" x14ac:dyDescent="0.25">
      <c r="A60" s="122" t="s">
        <v>90</v>
      </c>
      <c r="B60" s="122"/>
      <c r="C60" s="122"/>
      <c r="D60" s="121" t="str">
        <f>(IF(G52="NA","60 Years After Completion",IF(G52&lt;&gt;"NA",""&amp;60-ROUNDDOWN((E3-G52)/360,0)&amp;" Years"," ")))</f>
        <v>60 Years After Completion</v>
      </c>
      <c r="E60" s="121"/>
      <c r="F60" s="121"/>
      <c r="G60" s="121"/>
      <c r="H60" s="121"/>
      <c r="N60" s="23"/>
    </row>
    <row r="61" spans="1:14" ht="15.75" customHeight="1" x14ac:dyDescent="0.25">
      <c r="A61" s="122" t="s">
        <v>91</v>
      </c>
      <c r="B61" s="122"/>
      <c r="C61" s="122"/>
      <c r="D61" s="130" t="s">
        <v>24</v>
      </c>
      <c r="E61" s="130"/>
      <c r="F61" s="130"/>
      <c r="G61" s="130"/>
      <c r="H61" s="130"/>
      <c r="J61" s="25"/>
      <c r="K61" s="25"/>
    </row>
    <row r="62" spans="1:14" ht="15" hidden="1" customHeight="1" x14ac:dyDescent="0.25">
      <c r="A62" s="122" t="s">
        <v>77</v>
      </c>
      <c r="B62" s="122"/>
      <c r="C62" s="122"/>
      <c r="D62" s="187" t="s">
        <v>158</v>
      </c>
      <c r="E62" s="187"/>
      <c r="F62" s="187"/>
      <c r="G62" s="187"/>
      <c r="H62" s="187"/>
    </row>
    <row r="63" spans="1:14" x14ac:dyDescent="0.25">
      <c r="A63" s="130" t="s">
        <v>159</v>
      </c>
      <c r="B63" s="130"/>
      <c r="C63" s="130"/>
      <c r="D63" s="130" t="s">
        <v>30</v>
      </c>
      <c r="E63" s="130"/>
      <c r="F63" s="130"/>
      <c r="G63" s="130"/>
      <c r="H63" s="130"/>
      <c r="I63" s="26"/>
      <c r="J63" s="26"/>
      <c r="K63" s="26"/>
      <c r="L63" s="26"/>
      <c r="M63" s="26"/>
      <c r="N63" s="26"/>
    </row>
    <row r="64" spans="1:14" ht="15.75" customHeight="1" x14ac:dyDescent="0.25">
      <c r="A64" s="189" t="s">
        <v>89</v>
      </c>
      <c r="B64" s="189"/>
      <c r="C64" s="189"/>
      <c r="D64" s="139" t="str">
        <f ca="1">(IF(G84&gt;95%,"Nothing",IF(G84&gt;0%,"Cement, Aggregate, Steel, etc",IF(G84=0%,"Work not yet Started"))))</f>
        <v>Cement, Aggregate, Steel, etc</v>
      </c>
      <c r="E64" s="139"/>
      <c r="F64" s="139"/>
      <c r="G64" s="139"/>
      <c r="H64" s="139"/>
      <c r="J64" s="25"/>
    </row>
    <row r="65" spans="1:10" ht="33.75" customHeight="1" thickBot="1" x14ac:dyDescent="0.3">
      <c r="A65" s="188" t="s">
        <v>123</v>
      </c>
      <c r="B65" s="188"/>
      <c r="C65" s="188"/>
      <c r="D65" s="139" t="str">
        <f ca="1">(IF(D64="Nothing","Yes",IF(D64="Cement, Aggregate, Steel, etc","Under Construction",IF(D64="Work not yet Started","Work not yet Started"))))</f>
        <v>Under Construction</v>
      </c>
      <c r="E65" s="139"/>
      <c r="F65" s="139" t="str">
        <f ca="1">(IF(D64="Nothing","Yes",IF(D64="Cement, Aggregate, Steel, etc","Under Construction",IF(D64="Work not yet Started","Work not yet Started"))))</f>
        <v>Under Construction</v>
      </c>
      <c r="G65" s="139"/>
      <c r="H65" s="139"/>
    </row>
    <row r="66" spans="1:10" ht="15.75" customHeight="1" x14ac:dyDescent="0.25">
      <c r="A66" s="125" t="s">
        <v>148</v>
      </c>
      <c r="B66" s="126"/>
      <c r="C66" s="127" t="str">
        <f>D57</f>
        <v>Building No.1 (A Wing) = G + 1P + 2nd to 14th Floor</v>
      </c>
      <c r="D66" s="128"/>
      <c r="E66" s="128"/>
      <c r="F66" s="128"/>
      <c r="G66" s="128"/>
      <c r="H66" s="129"/>
      <c r="I66" s="47" t="str">
        <f ca="1">IF(D79=100%,"All work Completed. Possession granted to the Building.",IF(D78=100%,"All work Completed, Waiting for OC",I67&amp;""&amp;I68&amp;""&amp;J67&amp;""&amp;J66&amp;" "&amp;J68))</f>
        <v>Excavation, Plinth Completed, RCC upto 12 Slab, Brickwork upto 8 Floor, Internal Plaster upto 5 Floor, External Plaster upto 4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12 Slab, Brickwork upto 8 Floor, Internal Plaster upto 5 Floor, External Plaster upto 4 Floor</v>
      </c>
    </row>
    <row r="67" spans="1:10" x14ac:dyDescent="0.25">
      <c r="A67" s="15" t="s">
        <v>150</v>
      </c>
      <c r="B67" s="52">
        <v>0</v>
      </c>
      <c r="C67" s="52" t="s">
        <v>74</v>
      </c>
      <c r="D67" s="52">
        <v>1</v>
      </c>
      <c r="E67" s="52" t="s">
        <v>73</v>
      </c>
      <c r="F67" s="52">
        <v>0</v>
      </c>
      <c r="G67" s="52" t="s">
        <v>83</v>
      </c>
      <c r="H67" s="16">
        <f ca="1">--TRIM(RIGHT(SUBSTITUTE(LEFT(C66,_xlfn.AGGREGATE(16,6,FIND({0,1,2,3,4,5,6,7,8,9},C66,ROW(INDIRECT("1:"&amp;LEN(C66)))),1))," ",REPT(" ",LEN(C66))),LEN(C66)))</f>
        <v>14</v>
      </c>
      <c r="I67" s="4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5" customHeight="1" x14ac:dyDescent="0.25">
      <c r="A68" s="93" t="s">
        <v>93</v>
      </c>
      <c r="B68" s="94"/>
      <c r="C68" s="87" t="str">
        <f ca="1">I66</f>
        <v>Excavation, Plinth Completed, RCC upto 12 Slab, Brickwork upto 8 Floor, Internal Plaster upto 5 Floor, External Plaster upto 4 Floor Completed</v>
      </c>
      <c r="D68" s="87"/>
      <c r="E68" s="87"/>
      <c r="F68" s="87"/>
      <c r="G68" s="87"/>
      <c r="H68" s="88"/>
      <c r="I68" s="49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0" ht="15.75" customHeight="1" x14ac:dyDescent="0.25">
      <c r="A69" s="89" t="s">
        <v>50</v>
      </c>
      <c r="B69" s="90"/>
      <c r="C69" s="43" t="s">
        <v>147</v>
      </c>
      <c r="D69" s="43" t="s">
        <v>86</v>
      </c>
      <c r="E69" s="90" t="s">
        <v>88</v>
      </c>
      <c r="F69" s="90"/>
      <c r="G69" s="90" t="s">
        <v>87</v>
      </c>
      <c r="H69" s="96"/>
      <c r="I69" s="13" t="s">
        <v>149</v>
      </c>
      <c r="J69" s="27">
        <f ca="1">H67*25%</f>
        <v>3.5</v>
      </c>
    </row>
    <row r="70" spans="1:10" x14ac:dyDescent="0.25">
      <c r="A70" s="89" t="s">
        <v>136</v>
      </c>
      <c r="B70" s="90"/>
      <c r="C70" s="43">
        <v>14</v>
      </c>
      <c r="D70" s="18">
        <f ca="1">((100/H67)*C70)/100</f>
        <v>1</v>
      </c>
      <c r="E70" s="106">
        <f ca="1">(((C71/H67*10)+(40/(D67+F67+H67)*C72)+(7.5/(H67)*C73)+(7.5/(H67)*C74)+(10/H67*C75)+(10/H67*C76)+(5/H67*C77)+(5/H67*C78)+(5/H67*C79))/100)</f>
        <v>0.51821428571428574</v>
      </c>
      <c r="F70" s="107"/>
      <c r="G70" s="106">
        <f ca="1">((((C70/H67)*20)+((C71/H67)*25)+(30/(H67+F67+D67)*C72)+(5/H67*C73)+(5/H67*C74)+(5/H67*C75)+(5/H67*C76)+(0/H67*C77)+(0/H67*C78)+(5/H67*C79))/100)</f>
        <v>0.75071428571428589</v>
      </c>
      <c r="H70" s="112"/>
      <c r="I70" s="13" t="s">
        <v>104</v>
      </c>
      <c r="J70" s="28">
        <f ca="1">H67*50%</f>
        <v>7</v>
      </c>
    </row>
    <row r="71" spans="1:10" x14ac:dyDescent="0.25">
      <c r="A71" s="89" t="s">
        <v>51</v>
      </c>
      <c r="B71" s="90"/>
      <c r="C71" s="54">
        <v>14</v>
      </c>
      <c r="D71" s="18">
        <f ca="1">((100/H67)*C71)/100</f>
        <v>1</v>
      </c>
      <c r="E71" s="108"/>
      <c r="F71" s="109"/>
      <c r="G71" s="108"/>
      <c r="H71" s="113"/>
      <c r="I71" s="13" t="s">
        <v>105</v>
      </c>
      <c r="J71" s="28">
        <f ca="1">H67</f>
        <v>14</v>
      </c>
    </row>
    <row r="72" spans="1:10" ht="15.75" customHeight="1" x14ac:dyDescent="0.25">
      <c r="A72" s="89" t="s">
        <v>137</v>
      </c>
      <c r="B72" s="90"/>
      <c r="C72" s="43">
        <v>12</v>
      </c>
      <c r="D72" s="18">
        <f ca="1">((100/(D67+F67+H67))*C72)/100</f>
        <v>0.8</v>
      </c>
      <c r="E72" s="108"/>
      <c r="F72" s="109"/>
      <c r="G72" s="108"/>
      <c r="H72" s="113"/>
      <c r="I72" s="13" t="s">
        <v>106</v>
      </c>
      <c r="J72" s="29">
        <f ca="1">(IF(B67&gt;1,(H67/(B67+2)),H67/4))</f>
        <v>3.5</v>
      </c>
    </row>
    <row r="73" spans="1:10" ht="15.75" customHeight="1" x14ac:dyDescent="0.25">
      <c r="A73" s="89" t="s">
        <v>144</v>
      </c>
      <c r="B73" s="90" t="s">
        <v>138</v>
      </c>
      <c r="C73" s="43">
        <v>8</v>
      </c>
      <c r="D73" s="18">
        <f ca="1">((100/H67)*C73)/100</f>
        <v>0.57142857142857151</v>
      </c>
      <c r="E73" s="108"/>
      <c r="F73" s="109"/>
      <c r="G73" s="108"/>
      <c r="H73" s="113"/>
      <c r="I73" s="13" t="s">
        <v>107</v>
      </c>
      <c r="J73" s="29">
        <f ca="1">(IF(B67&gt;1,(H67/(B67+2)+J72),H67/4+J72))</f>
        <v>7</v>
      </c>
    </row>
    <row r="74" spans="1:10" ht="15.75" customHeight="1" x14ac:dyDescent="0.25">
      <c r="A74" s="89" t="s">
        <v>145</v>
      </c>
      <c r="B74" s="90" t="s">
        <v>138</v>
      </c>
      <c r="C74" s="43">
        <v>5</v>
      </c>
      <c r="D74" s="18">
        <f ca="1">((100/H67)*C74)/100</f>
        <v>0.35714285714285715</v>
      </c>
      <c r="E74" s="108"/>
      <c r="F74" s="109"/>
      <c r="G74" s="108"/>
      <c r="H74" s="113"/>
      <c r="I74" s="13" t="s">
        <v>156</v>
      </c>
      <c r="J74" s="29">
        <f>(IF(B67&gt;1,(H67/(B67+2)+J73),0))</f>
        <v>0</v>
      </c>
    </row>
    <row r="75" spans="1:10" ht="15" customHeight="1" x14ac:dyDescent="0.25">
      <c r="A75" s="89" t="s">
        <v>143</v>
      </c>
      <c r="B75" s="90" t="s">
        <v>140</v>
      </c>
      <c r="C75" s="43">
        <v>4</v>
      </c>
      <c r="D75" s="18">
        <f ca="1">((100/(H67))*C75)/100</f>
        <v>0.28571428571428575</v>
      </c>
      <c r="E75" s="108"/>
      <c r="F75" s="109"/>
      <c r="G75" s="108"/>
      <c r="H75" s="113"/>
      <c r="I75" s="13" t="s">
        <v>151</v>
      </c>
      <c r="J75" s="29">
        <f>(IF(B67&gt;2,(H67/(B67+2)+J74),0))</f>
        <v>0</v>
      </c>
    </row>
    <row r="76" spans="1:10" ht="15.75" customHeight="1" x14ac:dyDescent="0.25">
      <c r="A76" s="89" t="s">
        <v>139</v>
      </c>
      <c r="B76" s="90" t="s">
        <v>139</v>
      </c>
      <c r="C76" s="43">
        <v>0</v>
      </c>
      <c r="D76" s="18">
        <f ca="1">((100/H67)*C76)/100</f>
        <v>0</v>
      </c>
      <c r="E76" s="108"/>
      <c r="F76" s="109"/>
      <c r="G76" s="108"/>
      <c r="H76" s="113"/>
      <c r="I76" s="13" t="s">
        <v>152</v>
      </c>
      <c r="J76" s="30">
        <f>(IF(B67&gt;3,(H67/(B67+2)+J75),0))</f>
        <v>0</v>
      </c>
    </row>
    <row r="77" spans="1:10" ht="15.75" customHeight="1" x14ac:dyDescent="0.25">
      <c r="A77" s="89" t="s">
        <v>146</v>
      </c>
      <c r="B77" s="90"/>
      <c r="C77" s="43">
        <v>0</v>
      </c>
      <c r="D77" s="18">
        <f ca="1">((100/H67)*C77)/100</f>
        <v>0</v>
      </c>
      <c r="E77" s="108"/>
      <c r="F77" s="109"/>
      <c r="G77" s="108"/>
      <c r="H77" s="113"/>
      <c r="I77" s="13" t="s">
        <v>153</v>
      </c>
      <c r="J77" s="29">
        <f>(IF(B67&gt;4,(H67/(B67+2)+J76),0))</f>
        <v>0</v>
      </c>
    </row>
    <row r="78" spans="1:10" ht="15.75" customHeight="1" x14ac:dyDescent="0.25">
      <c r="A78" s="89" t="s">
        <v>141</v>
      </c>
      <c r="B78" s="90" t="s">
        <v>141</v>
      </c>
      <c r="C78" s="43">
        <v>0</v>
      </c>
      <c r="D78" s="18">
        <f ca="1">((100/(H67))*C78)/100</f>
        <v>0</v>
      </c>
      <c r="E78" s="108"/>
      <c r="F78" s="109"/>
      <c r="G78" s="108"/>
      <c r="H78" s="113"/>
      <c r="I78" s="13" t="s">
        <v>157</v>
      </c>
      <c r="J78" s="29">
        <f ca="1">(IF(B67=1,(H67/(B67+3)+J73),IF(B67=0,(H67/4+J73),IF(B67&gt;1,0))))</f>
        <v>10.5</v>
      </c>
    </row>
    <row r="79" spans="1:10" ht="16.5" thickBot="1" x14ac:dyDescent="0.3">
      <c r="A79" s="103" t="s">
        <v>142</v>
      </c>
      <c r="B79" s="104"/>
      <c r="C79" s="44">
        <v>0</v>
      </c>
      <c r="D79" s="19">
        <f ca="1">((100/(H67))*C79)/100</f>
        <v>0</v>
      </c>
      <c r="E79" s="110"/>
      <c r="F79" s="111"/>
      <c r="G79" s="110"/>
      <c r="H79" s="114"/>
      <c r="I79" s="14" t="s">
        <v>108</v>
      </c>
      <c r="J79" s="31">
        <f ca="1">(IF(B67&gt;1.5,(H67/(B67+2)+J73+MAX(0,J74-J73)+MAX(0,J75-J74)+MAX(0,J76-J75)+MAX(0,J77-J76)+MAX(0,J78-J77)),IF(B67=1,(H67/(B67+3)+J78),IF(B67=0,H67/4+J78))))</f>
        <v>14</v>
      </c>
    </row>
    <row r="80" spans="1:10" ht="15.75" customHeight="1" x14ac:dyDescent="0.25">
      <c r="A80" s="125" t="s">
        <v>148</v>
      </c>
      <c r="B80" s="126"/>
      <c r="C80" s="127" t="str">
        <f>D58</f>
        <v>Building No.1 (B Wing) = G + 1P + 2nd to 14th Floor</v>
      </c>
      <c r="D80" s="128"/>
      <c r="E80" s="128"/>
      <c r="F80" s="128"/>
      <c r="G80" s="128"/>
      <c r="H80" s="129"/>
      <c r="I80" s="47" t="str">
        <f ca="1">IF(D93=100%,"All work Completed. Possession granted to the Building.",IF(D92=100%,"All work Completed, Waiting for OC",I81&amp;""&amp;I82&amp;""&amp;J81&amp;""&amp;J80&amp;" "&amp;J82))</f>
        <v>Excavation, Plinth Completed, RCC upto 12 Slab, Brickwork upto 7 Floor, Internal Plaster upto 4 Floor, External Plaster upto 2 Floor Completed</v>
      </c>
      <c r="J80" s="48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12 Slab, Brickwork upto 7 Floor, Internal Plaster upto 4 Floor, External Plaster upto 2 Floor</v>
      </c>
    </row>
    <row r="81" spans="1:18" x14ac:dyDescent="0.25">
      <c r="A81" s="15" t="s">
        <v>150</v>
      </c>
      <c r="B81" s="52">
        <v>0</v>
      </c>
      <c r="C81" s="52" t="s">
        <v>74</v>
      </c>
      <c r="D81" s="52">
        <v>1</v>
      </c>
      <c r="E81" s="52" t="s">
        <v>73</v>
      </c>
      <c r="F81" s="52">
        <v>0</v>
      </c>
      <c r="G81" s="52" t="s">
        <v>83</v>
      </c>
      <c r="H81" s="16">
        <f ca="1">--TRIM(RIGHT(SUBSTITUTE(LEFT(C80,_xlfn.AGGREGATE(16,6,FIND({0,1,2,3,4,5,6,7,8,9},C80,ROW(INDIRECT("1:"&amp;LEN(C80)))),1))," ",REPT(" ",LEN(C80))),LEN(C80)))</f>
        <v>14</v>
      </c>
      <c r="I81" s="49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0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8" ht="31.5" customHeight="1" x14ac:dyDescent="0.25">
      <c r="A82" s="93" t="s">
        <v>93</v>
      </c>
      <c r="B82" s="94"/>
      <c r="C82" s="87" t="str">
        <f ca="1">(IF($G$52="NA",I80,"All work Completed. OC Received."))</f>
        <v>Excavation, Plinth Completed, RCC upto 12 Slab, Brickwork upto 7 Floor, Internal Plaster upto 4 Floor, External Plaster upto 2 Floor Completed</v>
      </c>
      <c r="D82" s="87"/>
      <c r="E82" s="87"/>
      <c r="F82" s="87"/>
      <c r="G82" s="87"/>
      <c r="H82" s="88"/>
      <c r="I82" s="49" t="str">
        <f ca="1">IF(I81&lt;&gt;""," Completed","")</f>
        <v xml:space="preserve"> Completed</v>
      </c>
      <c r="J82" s="50" t="str">
        <f ca="1">IF(J80&lt;&gt;"","Completed","")</f>
        <v>Completed</v>
      </c>
    </row>
    <row r="83" spans="1:18" ht="15.75" customHeight="1" x14ac:dyDescent="0.25">
      <c r="A83" s="89" t="s">
        <v>50</v>
      </c>
      <c r="B83" s="90"/>
      <c r="C83" s="43" t="s">
        <v>147</v>
      </c>
      <c r="D83" s="43" t="s">
        <v>86</v>
      </c>
      <c r="E83" s="90" t="s">
        <v>88</v>
      </c>
      <c r="F83" s="90"/>
      <c r="G83" s="90" t="s">
        <v>87</v>
      </c>
      <c r="H83" s="96"/>
      <c r="I83" s="13" t="s">
        <v>149</v>
      </c>
      <c r="J83" s="27">
        <f ca="1">H81*25%</f>
        <v>3.5</v>
      </c>
    </row>
    <row r="84" spans="1:18" x14ac:dyDescent="0.25">
      <c r="A84" s="89" t="s">
        <v>136</v>
      </c>
      <c r="B84" s="90"/>
      <c r="C84" s="43">
        <f ca="1">J85</f>
        <v>14</v>
      </c>
      <c r="D84" s="18">
        <f ca="1">((100/H81)*C84)/100</f>
        <v>1</v>
      </c>
      <c r="E84" s="106">
        <f ca="1">(((C85/H81*10)+(40/(D81+F81+H81)*C86)+(7.5/(H81)*C87)+(7.5/(H81)*C88)+(10/H81*C89)+(10/H81*C90)+(5/H81*C91)+(5/H81*C92)+(5/H81*C93))/100)</f>
        <v>0.49321428571428577</v>
      </c>
      <c r="F84" s="107"/>
      <c r="G84" s="106">
        <f ca="1">((((C84/H81)*20)+((C85/H81)*25)+(30/(H81+F81+D81)*C86)+(5/H81*C87)+(5/H81*C88)+(5/H81*C89)+(5/H81*C90)+(0/H81*C91)+(0/H81*C92)+(5/H81*C93))/100)</f>
        <v>0.73642857142857143</v>
      </c>
      <c r="H84" s="112"/>
      <c r="I84" s="13" t="s">
        <v>104</v>
      </c>
      <c r="J84" s="28">
        <f ca="1">H81*50%</f>
        <v>7</v>
      </c>
    </row>
    <row r="85" spans="1:18" x14ac:dyDescent="0.25">
      <c r="A85" s="89" t="s">
        <v>51</v>
      </c>
      <c r="B85" s="90"/>
      <c r="C85" s="54">
        <v>14</v>
      </c>
      <c r="D85" s="18">
        <f ca="1">((100/H81)*C85)/100</f>
        <v>1</v>
      </c>
      <c r="E85" s="108"/>
      <c r="F85" s="109"/>
      <c r="G85" s="108"/>
      <c r="H85" s="113"/>
      <c r="I85" s="13" t="s">
        <v>105</v>
      </c>
      <c r="J85" s="28">
        <f ca="1">H81</f>
        <v>14</v>
      </c>
    </row>
    <row r="86" spans="1:18" ht="15.75" customHeight="1" x14ac:dyDescent="0.25">
      <c r="A86" s="89" t="s">
        <v>137</v>
      </c>
      <c r="B86" s="90"/>
      <c r="C86" s="43">
        <v>12</v>
      </c>
      <c r="D86" s="18">
        <f ca="1">((100/(D81+F81+H81))*C86)/100</f>
        <v>0.8</v>
      </c>
      <c r="E86" s="108"/>
      <c r="F86" s="109"/>
      <c r="G86" s="108"/>
      <c r="H86" s="113"/>
      <c r="I86" s="13" t="s">
        <v>106</v>
      </c>
      <c r="J86" s="29">
        <f ca="1">(IF(B81&gt;1,(H81/(B81+2)),H81/4))</f>
        <v>3.5</v>
      </c>
    </row>
    <row r="87" spans="1:18" ht="15.75" customHeight="1" x14ac:dyDescent="0.25">
      <c r="A87" s="89" t="s">
        <v>144</v>
      </c>
      <c r="B87" s="90" t="s">
        <v>138</v>
      </c>
      <c r="C87" s="43">
        <v>7</v>
      </c>
      <c r="D87" s="18">
        <f ca="1">((100/H81)*C87)/100</f>
        <v>0.5</v>
      </c>
      <c r="E87" s="108"/>
      <c r="F87" s="109"/>
      <c r="G87" s="108"/>
      <c r="H87" s="113"/>
      <c r="I87" s="13" t="s">
        <v>107</v>
      </c>
      <c r="J87" s="29">
        <f ca="1">(IF(B81&gt;1,(H81/(B81+2)+J86),H81/4+J86))</f>
        <v>7</v>
      </c>
    </row>
    <row r="88" spans="1:18" ht="15.75" customHeight="1" x14ac:dyDescent="0.25">
      <c r="A88" s="89" t="s">
        <v>145</v>
      </c>
      <c r="B88" s="90" t="s">
        <v>138</v>
      </c>
      <c r="C88" s="43">
        <v>4</v>
      </c>
      <c r="D88" s="18">
        <f ca="1">((100/H81)*C88)/100</f>
        <v>0.28571428571428575</v>
      </c>
      <c r="E88" s="108"/>
      <c r="F88" s="109"/>
      <c r="G88" s="108"/>
      <c r="H88" s="113"/>
      <c r="I88" s="13" t="s">
        <v>156</v>
      </c>
      <c r="J88" s="29">
        <f>(IF(B81&gt;1,(H81/(B81+2)+J87),0))</f>
        <v>0</v>
      </c>
    </row>
    <row r="89" spans="1:18" ht="15" customHeight="1" x14ac:dyDescent="0.25">
      <c r="A89" s="89" t="s">
        <v>143</v>
      </c>
      <c r="B89" s="90" t="s">
        <v>140</v>
      </c>
      <c r="C89" s="43">
        <v>2</v>
      </c>
      <c r="D89" s="18">
        <f ca="1">((100/(H81))*C89)/100</f>
        <v>0.14285714285714288</v>
      </c>
      <c r="E89" s="108"/>
      <c r="F89" s="109"/>
      <c r="G89" s="108"/>
      <c r="H89" s="113"/>
      <c r="I89" s="13" t="s">
        <v>151</v>
      </c>
      <c r="J89" s="29">
        <f>(IF(B81&gt;2,(H81/(B81+2)+J88),0))</f>
        <v>0</v>
      </c>
    </row>
    <row r="90" spans="1:18" ht="15.75" customHeight="1" x14ac:dyDescent="0.25">
      <c r="A90" s="89" t="s">
        <v>139</v>
      </c>
      <c r="B90" s="90" t="s">
        <v>139</v>
      </c>
      <c r="C90" s="43">
        <v>0</v>
      </c>
      <c r="D90" s="18">
        <f ca="1">((100/H81)*C90)/100</f>
        <v>0</v>
      </c>
      <c r="E90" s="108"/>
      <c r="F90" s="109"/>
      <c r="G90" s="108"/>
      <c r="H90" s="113"/>
      <c r="I90" s="13" t="s">
        <v>152</v>
      </c>
      <c r="J90" s="30">
        <f>(IF(B81&gt;3,(H81/(B81+2)+J89),0))</f>
        <v>0</v>
      </c>
    </row>
    <row r="91" spans="1:18" ht="15.75" customHeight="1" x14ac:dyDescent="0.25">
      <c r="A91" s="89" t="s">
        <v>146</v>
      </c>
      <c r="B91" s="90"/>
      <c r="C91" s="43">
        <v>0</v>
      </c>
      <c r="D91" s="18">
        <f ca="1">((100/H81)*C91)/100</f>
        <v>0</v>
      </c>
      <c r="E91" s="108"/>
      <c r="F91" s="109"/>
      <c r="G91" s="108"/>
      <c r="H91" s="113"/>
      <c r="I91" s="13" t="s">
        <v>153</v>
      </c>
      <c r="J91" s="29">
        <f>(IF(B81&gt;4,(H81/(B81+2)+J90),0))</f>
        <v>0</v>
      </c>
    </row>
    <row r="92" spans="1:18" ht="15.75" customHeight="1" x14ac:dyDescent="0.25">
      <c r="A92" s="89" t="s">
        <v>141</v>
      </c>
      <c r="B92" s="90" t="s">
        <v>141</v>
      </c>
      <c r="C92" s="43">
        <v>0</v>
      </c>
      <c r="D92" s="18">
        <f ca="1">((100/(H81))*C92)/100</f>
        <v>0</v>
      </c>
      <c r="E92" s="108"/>
      <c r="F92" s="109"/>
      <c r="G92" s="108"/>
      <c r="H92" s="113"/>
      <c r="I92" s="13" t="s">
        <v>157</v>
      </c>
      <c r="J92" s="29">
        <f ca="1">(IF(B81=1,(H81/(B81+3)+J87),IF(B81=0,(H81/4+J87),IF(B81&gt;1,0))))</f>
        <v>10.5</v>
      </c>
    </row>
    <row r="93" spans="1:18" ht="16.5" thickBot="1" x14ac:dyDescent="0.3">
      <c r="A93" s="103" t="s">
        <v>142</v>
      </c>
      <c r="B93" s="104"/>
      <c r="C93" s="44">
        <v>0</v>
      </c>
      <c r="D93" s="19">
        <f ca="1">((100/(H81))*C93)/100</f>
        <v>0</v>
      </c>
      <c r="E93" s="110"/>
      <c r="F93" s="111"/>
      <c r="G93" s="110"/>
      <c r="H93" s="114"/>
      <c r="I93" s="14" t="s">
        <v>108</v>
      </c>
      <c r="J93" s="31">
        <f ca="1">(IF(B81&gt;1.5,(H81/(B81+2)+J87+MAX(0,J88-J87)+MAX(0,J89-J88)+MAX(0,J90-J89)+MAX(0,J91-J90)+MAX(0,J92-J91)),IF(B81=1,(H81/(B81+3)+J92),IF(B81=0,H81/4+J92))))</f>
        <v>14</v>
      </c>
    </row>
    <row r="94" spans="1:18" x14ac:dyDescent="0.25">
      <c r="A94" s="102" t="s">
        <v>167</v>
      </c>
      <c r="B94" s="102"/>
      <c r="C94" s="102"/>
      <c r="D94" s="102"/>
      <c r="E94" s="102"/>
      <c r="F94" s="105" t="s">
        <v>172</v>
      </c>
      <c r="G94" s="105"/>
      <c r="H94" s="105"/>
      <c r="R94" s="36"/>
    </row>
    <row r="95" spans="1:18" x14ac:dyDescent="0.25">
      <c r="A95" s="92" t="s">
        <v>170</v>
      </c>
      <c r="B95" s="92"/>
      <c r="C95" s="92"/>
      <c r="D95" s="92"/>
      <c r="E95" s="92"/>
      <c r="F95" s="91">
        <v>4500</v>
      </c>
      <c r="G95" s="91"/>
      <c r="H95" s="91"/>
      <c r="I95" s="20" t="s">
        <v>243</v>
      </c>
      <c r="R95" s="36"/>
    </row>
    <row r="96" spans="1:18" x14ac:dyDescent="0.25">
      <c r="A96" s="92" t="s">
        <v>169</v>
      </c>
      <c r="B96" s="92"/>
      <c r="C96" s="92"/>
      <c r="D96" s="92"/>
      <c r="E96" s="92"/>
      <c r="F96" s="91">
        <v>6000</v>
      </c>
      <c r="G96" s="91"/>
      <c r="H96" s="91"/>
    </row>
    <row r="97" spans="1:18" hidden="1" x14ac:dyDescent="0.25">
      <c r="A97" s="92" t="s">
        <v>171</v>
      </c>
      <c r="B97" s="92"/>
      <c r="C97" s="92"/>
      <c r="D97" s="92"/>
      <c r="E97" s="92"/>
      <c r="F97" s="91"/>
      <c r="G97" s="91"/>
      <c r="H97" s="91"/>
    </row>
    <row r="98" spans="1:18" s="32" customFormat="1" hidden="1" x14ac:dyDescent="0.25">
      <c r="A98" s="92" t="s">
        <v>168</v>
      </c>
      <c r="B98" s="92"/>
      <c r="C98" s="92"/>
      <c r="D98" s="92"/>
      <c r="E98" s="92"/>
      <c r="F98" s="91"/>
      <c r="G98" s="91"/>
      <c r="H98" s="91"/>
    </row>
    <row r="99" spans="1:18" s="32" customFormat="1" x14ac:dyDescent="0.25">
      <c r="A99" s="92" t="s">
        <v>98</v>
      </c>
      <c r="B99" s="92"/>
      <c r="C99" s="92"/>
      <c r="D99" s="92"/>
      <c r="E99" s="92"/>
      <c r="F99" s="91">
        <v>200000</v>
      </c>
      <c r="G99" s="91"/>
      <c r="H99" s="91"/>
      <c r="I99" s="32" t="s">
        <v>229</v>
      </c>
      <c r="R99" s="20"/>
    </row>
    <row r="100" spans="1:18" s="32" customFormat="1" hidden="1" x14ac:dyDescent="0.25">
      <c r="A100" s="92" t="s">
        <v>99</v>
      </c>
      <c r="B100" s="92"/>
      <c r="C100" s="92"/>
      <c r="D100" s="92"/>
      <c r="E100" s="92"/>
      <c r="F100" s="91"/>
      <c r="G100" s="91"/>
      <c r="H100" s="91"/>
    </row>
    <row r="101" spans="1:18" s="32" customFormat="1" hidden="1" x14ac:dyDescent="0.25">
      <c r="A101" s="92" t="s">
        <v>173</v>
      </c>
      <c r="B101" s="92"/>
      <c r="C101" s="92"/>
      <c r="D101" s="92"/>
      <c r="E101" s="92"/>
      <c r="F101" s="91"/>
      <c r="G101" s="91"/>
      <c r="H101" s="91"/>
    </row>
    <row r="102" spans="1:18" s="32" customFormat="1" hidden="1" x14ac:dyDescent="0.25">
      <c r="A102" s="92" t="s">
        <v>100</v>
      </c>
      <c r="B102" s="92"/>
      <c r="C102" s="92"/>
      <c r="D102" s="92"/>
      <c r="E102" s="92"/>
      <c r="F102" s="91"/>
      <c r="G102" s="91"/>
      <c r="H102" s="91"/>
    </row>
    <row r="103" spans="1:18" s="32" customFormat="1" hidden="1" x14ac:dyDescent="0.25">
      <c r="A103" s="92" t="s">
        <v>101</v>
      </c>
      <c r="B103" s="92"/>
      <c r="C103" s="92"/>
      <c r="D103" s="92"/>
      <c r="E103" s="92"/>
      <c r="F103" s="91"/>
      <c r="G103" s="91"/>
      <c r="H103" s="91"/>
    </row>
    <row r="104" spans="1:18" s="32" customFormat="1" hidden="1" x14ac:dyDescent="0.25">
      <c r="A104" s="92" t="s">
        <v>102</v>
      </c>
      <c r="B104" s="92"/>
      <c r="C104" s="92"/>
      <c r="D104" s="92"/>
      <c r="E104" s="92"/>
      <c r="F104" s="91"/>
      <c r="G104" s="91"/>
      <c r="H104" s="91"/>
    </row>
    <row r="105" spans="1:18" s="32" customFormat="1" hidden="1" x14ac:dyDescent="0.25">
      <c r="A105" s="92" t="s">
        <v>103</v>
      </c>
      <c r="B105" s="92"/>
      <c r="C105" s="92"/>
      <c r="D105" s="92"/>
      <c r="E105" s="92"/>
      <c r="F105" s="91"/>
      <c r="G105" s="91"/>
      <c r="H105" s="91"/>
    </row>
    <row r="106" spans="1:18" x14ac:dyDescent="0.25">
      <c r="A106" s="92" t="s">
        <v>52</v>
      </c>
      <c r="B106" s="92"/>
      <c r="C106" s="92"/>
      <c r="D106" s="92"/>
      <c r="E106" s="92"/>
      <c r="F106" s="91">
        <v>150000</v>
      </c>
      <c r="G106" s="91"/>
      <c r="H106" s="91"/>
    </row>
    <row r="107" spans="1:18" s="33" customFormat="1" x14ac:dyDescent="0.25">
      <c r="A107" s="94" t="s">
        <v>53</v>
      </c>
      <c r="B107" s="94"/>
      <c r="C107" s="94"/>
      <c r="D107" s="94"/>
      <c r="E107" s="94"/>
      <c r="F107" s="91">
        <f>F95*0.8</f>
        <v>3600</v>
      </c>
      <c r="G107" s="91"/>
      <c r="H107" s="91"/>
    </row>
    <row r="108" spans="1:18" s="34" customFormat="1" ht="15.75" customHeight="1" x14ac:dyDescent="0.25">
      <c r="A108" s="117" t="s">
        <v>78</v>
      </c>
      <c r="B108" s="117"/>
      <c r="C108" s="117"/>
      <c r="D108" s="117"/>
      <c r="E108" s="117"/>
      <c r="F108" s="117"/>
      <c r="G108" s="117"/>
      <c r="H108" s="117"/>
    </row>
    <row r="109" spans="1:18" s="34" customFormat="1" ht="15.75" customHeight="1" x14ac:dyDescent="0.25">
      <c r="A109" s="95" t="s">
        <v>54</v>
      </c>
      <c r="B109" s="95"/>
      <c r="C109" s="97" t="s">
        <v>81</v>
      </c>
      <c r="D109" s="97"/>
      <c r="E109" s="166" t="s">
        <v>55</v>
      </c>
      <c r="F109" s="166"/>
      <c r="G109" s="95" t="s">
        <v>56</v>
      </c>
      <c r="H109" s="95"/>
    </row>
    <row r="110" spans="1:18" s="34" customFormat="1" x14ac:dyDescent="0.25">
      <c r="A110" s="116" t="s">
        <v>202</v>
      </c>
      <c r="B110" s="116"/>
      <c r="C110" s="98">
        <f>COUNT(D122:D147)</f>
        <v>26</v>
      </c>
      <c r="D110" s="99"/>
      <c r="E110" s="98">
        <f>SUM(D122:D147)</f>
        <v>7406.3208959999993</v>
      </c>
      <c r="F110" s="99"/>
      <c r="G110" s="98">
        <f>SUM(F122:F147)</f>
        <v>16030</v>
      </c>
      <c r="H110" s="99"/>
    </row>
    <row r="111" spans="1:18" s="34" customFormat="1" x14ac:dyDescent="0.25">
      <c r="A111" s="117" t="s">
        <v>72</v>
      </c>
      <c r="B111" s="117"/>
      <c r="C111" s="117"/>
      <c r="D111" s="117"/>
      <c r="E111" s="117"/>
      <c r="F111" s="117"/>
      <c r="G111" s="117"/>
      <c r="H111" s="117"/>
    </row>
    <row r="112" spans="1:18" s="34" customFormat="1" ht="15.75" customHeight="1" x14ac:dyDescent="0.25">
      <c r="A112" s="95" t="s">
        <v>54</v>
      </c>
      <c r="B112" s="95"/>
      <c r="C112" s="97" t="s">
        <v>81</v>
      </c>
      <c r="D112" s="97"/>
      <c r="E112" s="166" t="s">
        <v>55</v>
      </c>
      <c r="F112" s="166"/>
      <c r="G112" s="95" t="s">
        <v>56</v>
      </c>
      <c r="H112" s="95"/>
    </row>
    <row r="113" spans="1:18" s="34" customFormat="1" x14ac:dyDescent="0.25">
      <c r="A113" s="116" t="s">
        <v>206</v>
      </c>
      <c r="B113" s="116"/>
      <c r="C113" s="99">
        <f>COUNT(D155:D161)+COUNT(D164:D172)*9+COUNT(D184,D186:D192)+COUNT(D194,D196:D202)+COUNT(D204,D207:D208,D210:D212)</f>
        <v>110</v>
      </c>
      <c r="D113" s="99"/>
      <c r="E113" s="98">
        <f>SUM(D155:D161)+SUM(D164:D172)*9+SUM(D184,D186:D192)+SUM(D194,D196:D202)+SUM(D204,D207:D208,D210:D212)</f>
        <v>59963.628348000006</v>
      </c>
      <c r="F113" s="98"/>
      <c r="G113" s="99">
        <f>SUM(F155:F161)+SUM(F164:F172)*9+SUM(F184,F186:F192)+SUM(F194,F196:F202)+SUM(F204,F207:F208,F210:F212)</f>
        <v>89829</v>
      </c>
      <c r="H113" s="99"/>
    </row>
    <row r="114" spans="1:18" s="34" customFormat="1" x14ac:dyDescent="0.25">
      <c r="A114" s="116" t="s">
        <v>218</v>
      </c>
      <c r="B114" s="116"/>
      <c r="C114" s="99">
        <f>COUNT(D217:D223)+COUNT(D226:D234)*9+COUNT(D236:D242,D244)+COUNT(D246:D252,D254)+COUNT(D256:D258,D260:D261,D264)</f>
        <v>110</v>
      </c>
      <c r="D114" s="99"/>
      <c r="E114" s="98">
        <f>SUM(D217:D223)+SUM(D226:D234)*9+SUM(D236:D242,D244)+SUM(D246:D252,D254)+SUM(D256:D258,D260:D261,D264)</f>
        <v>60332.467572000001</v>
      </c>
      <c r="F114" s="98"/>
      <c r="G114" s="99">
        <f>SUM(F217:F223)+SUM(F226:F234)*9+SUM(F236:F242,F244)+SUM(F246:F252,F254)+SUM(F256:F258,F260:F261,F264)</f>
        <v>90346</v>
      </c>
      <c r="H114" s="99"/>
    </row>
    <row r="115" spans="1:18" s="34" customFormat="1" x14ac:dyDescent="0.25">
      <c r="A115" s="117" t="s">
        <v>161</v>
      </c>
      <c r="B115" s="117"/>
      <c r="C115" s="97">
        <f>SUM(C113:C114)</f>
        <v>220</v>
      </c>
      <c r="D115" s="97"/>
      <c r="E115" s="118">
        <f>SUM(E113:E114)</f>
        <v>120296.09592000001</v>
      </c>
      <c r="F115" s="118"/>
      <c r="G115" s="95">
        <f>SUM(G113:G114)</f>
        <v>180175</v>
      </c>
      <c r="H115" s="95"/>
    </row>
    <row r="116" spans="1:18" s="33" customFormat="1" x14ac:dyDescent="0.25">
      <c r="A116" s="136" t="s">
        <v>57</v>
      </c>
      <c r="B116" s="136"/>
      <c r="C116" s="136"/>
      <c r="D116" s="136"/>
      <c r="E116" s="136"/>
      <c r="F116" s="136"/>
      <c r="G116" s="136"/>
      <c r="H116" s="136"/>
    </row>
    <row r="117" spans="1:18" x14ac:dyDescent="0.25">
      <c r="A117" s="136" t="s">
        <v>58</v>
      </c>
      <c r="B117" s="136"/>
      <c r="C117" s="136"/>
      <c r="D117" s="136"/>
      <c r="E117" s="136"/>
      <c r="F117" s="136"/>
      <c r="G117" s="136"/>
      <c r="H117" s="136"/>
    </row>
    <row r="118" spans="1:18" ht="47.25" customHeight="1" x14ac:dyDescent="0.25">
      <c r="A118" s="42" t="s">
        <v>127</v>
      </c>
      <c r="B118" s="42" t="s">
        <v>126</v>
      </c>
      <c r="C118" s="42" t="s">
        <v>59</v>
      </c>
      <c r="D118" s="42" t="s">
        <v>60</v>
      </c>
      <c r="E118" s="53" t="s">
        <v>166</v>
      </c>
      <c r="F118" s="42" t="s">
        <v>222</v>
      </c>
      <c r="G118" s="119" t="s">
        <v>62</v>
      </c>
      <c r="H118" s="120"/>
    </row>
    <row r="119" spans="1:18" s="36" customFormat="1" x14ac:dyDescent="0.25">
      <c r="A119" s="80" t="s">
        <v>201</v>
      </c>
      <c r="B119" s="81"/>
      <c r="C119" s="81"/>
      <c r="D119" s="81"/>
      <c r="E119" s="81"/>
      <c r="F119" s="81"/>
      <c r="G119" s="81"/>
      <c r="H119" s="82"/>
      <c r="J119" s="35"/>
    </row>
    <row r="120" spans="1:18" s="36" customFormat="1" x14ac:dyDescent="0.25">
      <c r="A120" s="80" t="s">
        <v>202</v>
      </c>
      <c r="B120" s="81"/>
      <c r="C120" s="81"/>
      <c r="D120" s="81"/>
      <c r="E120" s="81"/>
      <c r="F120" s="81"/>
      <c r="G120" s="81"/>
      <c r="H120" s="82"/>
      <c r="J120" s="55">
        <f>10.764</f>
        <v>10.763999999999999</v>
      </c>
    </row>
    <row r="121" spans="1:18" s="36" customFormat="1" x14ac:dyDescent="0.25">
      <c r="A121" s="80" t="s">
        <v>203</v>
      </c>
      <c r="B121" s="81"/>
      <c r="C121" s="81"/>
      <c r="D121" s="81"/>
      <c r="E121" s="81"/>
      <c r="F121" s="81"/>
      <c r="G121" s="81"/>
      <c r="H121" s="82"/>
      <c r="J121" s="35"/>
    </row>
    <row r="122" spans="1:18" s="36" customFormat="1" ht="15.75" customHeight="1" x14ac:dyDescent="0.25">
      <c r="A122" s="77">
        <v>1</v>
      </c>
      <c r="B122" s="79"/>
      <c r="C122" s="41" t="s">
        <v>204</v>
      </c>
      <c r="D122" s="55">
        <f>(16.814)*(10.764)</f>
        <v>180.985896</v>
      </c>
      <c r="E122" s="55">
        <f>(2.453*2.3)*(10.764)</f>
        <v>60.729411599999985</v>
      </c>
      <c r="F122" s="41">
        <v>379</v>
      </c>
      <c r="G122" s="66" t="str">
        <f>A121</f>
        <v>Ground Floor For Commercial &amp; Part Parking</v>
      </c>
      <c r="H122" s="67"/>
      <c r="I122" s="35"/>
      <c r="J122" s="36">
        <f>7.33*2.3</f>
        <v>16.858999999999998</v>
      </c>
      <c r="L122" s="76"/>
      <c r="M122" s="76"/>
      <c r="N122" s="35"/>
      <c r="P122" s="36">
        <v>379</v>
      </c>
      <c r="Q122" s="36">
        <f>P122/(D122+E122)</f>
        <v>1.5679602742710201</v>
      </c>
      <c r="R122" s="36">
        <f>6000*F122</f>
        <v>2274000</v>
      </c>
    </row>
    <row r="123" spans="1:18" s="36" customFormat="1" ht="15.75" customHeight="1" x14ac:dyDescent="0.25">
      <c r="A123" s="77">
        <f t="shared" ref="A123:A147" si="0">A122+1</f>
        <v>2</v>
      </c>
      <c r="B123" s="79"/>
      <c r="C123" s="41" t="s">
        <v>204</v>
      </c>
      <c r="D123" s="55">
        <f>(16.448)*(10.764)</f>
        <v>177.04627199999999</v>
      </c>
      <c r="E123" s="55">
        <f>(2.395*2.25)*(10.764)</f>
        <v>58.004504999999995</v>
      </c>
      <c r="F123" s="41">
        <v>373</v>
      </c>
      <c r="G123" s="68"/>
      <c r="H123" s="69"/>
      <c r="I123" s="35"/>
      <c r="L123" s="76"/>
      <c r="M123" s="76"/>
      <c r="N123" s="35"/>
      <c r="P123" s="36">
        <v>373</v>
      </c>
      <c r="Q123" s="36">
        <f t="shared" ref="Q123:Q147" si="1">P123/(D123+E123)</f>
        <v>1.5868911592664083</v>
      </c>
      <c r="R123" s="36">
        <f t="shared" ref="R123:R147" si="2">6000*F123</f>
        <v>2238000</v>
      </c>
    </row>
    <row r="124" spans="1:18" s="36" customFormat="1" ht="15.75" customHeight="1" x14ac:dyDescent="0.25">
      <c r="A124" s="77">
        <f t="shared" si="0"/>
        <v>3</v>
      </c>
      <c r="B124" s="79"/>
      <c r="C124" s="41" t="s">
        <v>204</v>
      </c>
      <c r="D124" s="55">
        <f>(23.532)*(10.764)</f>
        <v>253.29844799999998</v>
      </c>
      <c r="E124" s="55">
        <f>(2.635*2.975)*(10.764)</f>
        <v>84.380341499999986</v>
      </c>
      <c r="F124" s="41">
        <v>529</v>
      </c>
      <c r="G124" s="68"/>
      <c r="H124" s="69"/>
      <c r="I124" s="35"/>
      <c r="L124" s="76"/>
      <c r="M124" s="76"/>
      <c r="N124" s="35"/>
      <c r="P124" s="36">
        <v>529</v>
      </c>
      <c r="Q124" s="36">
        <f t="shared" si="1"/>
        <v>1.5665775181890718</v>
      </c>
      <c r="R124" s="36">
        <f t="shared" si="2"/>
        <v>3174000</v>
      </c>
    </row>
    <row r="125" spans="1:18" s="36" customFormat="1" ht="15.75" customHeight="1" x14ac:dyDescent="0.25">
      <c r="A125" s="77">
        <f t="shared" si="0"/>
        <v>4</v>
      </c>
      <c r="B125" s="79"/>
      <c r="C125" s="41" t="s">
        <v>204</v>
      </c>
      <c r="D125" s="55">
        <f>(19.569)*(10.764)</f>
        <v>210.64071599999997</v>
      </c>
      <c r="E125" s="55">
        <f>(2.6*2.475)*(10.764)</f>
        <v>69.26634</v>
      </c>
      <c r="F125" s="41">
        <v>440</v>
      </c>
      <c r="G125" s="68"/>
      <c r="H125" s="69"/>
      <c r="I125" s="35"/>
      <c r="L125" s="76"/>
      <c r="M125" s="76"/>
      <c r="N125" s="35"/>
      <c r="P125" s="36">
        <v>440</v>
      </c>
      <c r="Q125" s="36">
        <f t="shared" si="1"/>
        <v>1.571950369125386</v>
      </c>
      <c r="R125" s="36">
        <f t="shared" si="2"/>
        <v>2640000</v>
      </c>
    </row>
    <row r="126" spans="1:18" s="36" customFormat="1" ht="15.75" customHeight="1" x14ac:dyDescent="0.25">
      <c r="A126" s="77">
        <f t="shared" si="0"/>
        <v>5</v>
      </c>
      <c r="B126" s="79"/>
      <c r="C126" s="41" t="s">
        <v>204</v>
      </c>
      <c r="D126" s="55">
        <f>(20.362)*(10.764)</f>
        <v>219.17656799999997</v>
      </c>
      <c r="E126" s="55">
        <f>(2.59*2.575)*(10.764)</f>
        <v>71.787807000000001</v>
      </c>
      <c r="F126" s="41">
        <v>455</v>
      </c>
      <c r="G126" s="68"/>
      <c r="H126" s="69"/>
      <c r="I126" s="35"/>
      <c r="L126" s="76"/>
      <c r="M126" s="76"/>
      <c r="N126" s="35"/>
      <c r="P126" s="36">
        <v>455</v>
      </c>
      <c r="Q126" s="36">
        <f t="shared" si="1"/>
        <v>1.5637653235039515</v>
      </c>
      <c r="R126" s="36">
        <f t="shared" si="2"/>
        <v>2730000</v>
      </c>
    </row>
    <row r="127" spans="1:18" s="36" customFormat="1" ht="15.75" customHeight="1" x14ac:dyDescent="0.25">
      <c r="A127" s="77">
        <f t="shared" si="0"/>
        <v>6</v>
      </c>
      <c r="B127" s="79"/>
      <c r="C127" s="41" t="s">
        <v>204</v>
      </c>
      <c r="D127" s="55">
        <f>(17.588)*(10.764)</f>
        <v>189.31723199999999</v>
      </c>
      <c r="E127" s="55">
        <f>(2.59*2.225)*(10.764)</f>
        <v>62.03024099999999</v>
      </c>
      <c r="F127" s="41">
        <v>393</v>
      </c>
      <c r="G127" s="68"/>
      <c r="H127" s="69"/>
      <c r="I127" s="35"/>
      <c r="L127" s="76"/>
      <c r="M127" s="76"/>
      <c r="N127" s="35"/>
      <c r="P127" s="36">
        <v>393</v>
      </c>
      <c r="Q127" s="36">
        <f t="shared" si="1"/>
        <v>1.5635725130206501</v>
      </c>
      <c r="R127" s="36">
        <f t="shared" si="2"/>
        <v>2358000</v>
      </c>
    </row>
    <row r="128" spans="1:18" s="36" customFormat="1" ht="15.75" customHeight="1" x14ac:dyDescent="0.25">
      <c r="A128" s="77">
        <f t="shared" si="0"/>
        <v>7</v>
      </c>
      <c r="B128" s="79"/>
      <c r="C128" s="41" t="s">
        <v>204</v>
      </c>
      <c r="D128" s="55">
        <f>(17.588)*(10.764)</f>
        <v>189.31723199999999</v>
      </c>
      <c r="E128" s="55">
        <f>(2.59*2.225)*(10.764)</f>
        <v>62.03024099999999</v>
      </c>
      <c r="F128" s="41">
        <v>393</v>
      </c>
      <c r="G128" s="68"/>
      <c r="H128" s="69"/>
      <c r="I128" s="35"/>
      <c r="L128" s="76"/>
      <c r="M128" s="76"/>
      <c r="N128" s="35"/>
      <c r="P128" s="36">
        <v>393</v>
      </c>
      <c r="Q128" s="36">
        <f t="shared" si="1"/>
        <v>1.5635725130206501</v>
      </c>
      <c r="R128" s="36">
        <f t="shared" si="2"/>
        <v>2358000</v>
      </c>
    </row>
    <row r="129" spans="1:18" s="36" customFormat="1" ht="15.75" customHeight="1" x14ac:dyDescent="0.25">
      <c r="A129" s="77">
        <f t="shared" si="0"/>
        <v>8</v>
      </c>
      <c r="B129" s="79"/>
      <c r="C129" s="41" t="s">
        <v>204</v>
      </c>
      <c r="D129" s="55">
        <f>(20.956)*(10.764)</f>
        <v>225.57038399999999</v>
      </c>
      <c r="E129" s="55">
        <f>(2.595*2.65)*(10.764)</f>
        <v>74.021337000000003</v>
      </c>
      <c r="F129" s="41">
        <v>471</v>
      </c>
      <c r="G129" s="68"/>
      <c r="H129" s="69"/>
      <c r="I129" s="35"/>
      <c r="J129" s="36">
        <f>7.925*2.65</f>
        <v>21.001249999999999</v>
      </c>
      <c r="L129" s="76"/>
      <c r="M129" s="76"/>
      <c r="N129" s="35"/>
      <c r="P129" s="36">
        <v>471</v>
      </c>
      <c r="Q129" s="36">
        <f t="shared" si="1"/>
        <v>1.5721395719075961</v>
      </c>
      <c r="R129" s="36">
        <f t="shared" si="2"/>
        <v>2826000</v>
      </c>
    </row>
    <row r="130" spans="1:18" s="36" customFormat="1" ht="15.75" customHeight="1" x14ac:dyDescent="0.25">
      <c r="A130" s="77">
        <f t="shared" si="0"/>
        <v>9</v>
      </c>
      <c r="B130" s="79"/>
      <c r="C130" s="41" t="s">
        <v>204</v>
      </c>
      <c r="D130" s="55">
        <f>(18.381)*(10.764)</f>
        <v>197.853084</v>
      </c>
      <c r="E130" s="55">
        <f>(2.605*2.325)*(10.764)</f>
        <v>65.1935115</v>
      </c>
      <c r="F130" s="41">
        <v>413</v>
      </c>
      <c r="G130" s="68"/>
      <c r="H130" s="69"/>
      <c r="I130" s="35"/>
      <c r="L130" s="76"/>
      <c r="M130" s="76"/>
      <c r="N130" s="35"/>
      <c r="P130" s="36">
        <v>413</v>
      </c>
      <c r="Q130" s="36">
        <f t="shared" si="1"/>
        <v>1.5700640383311864</v>
      </c>
      <c r="R130" s="36">
        <f t="shared" si="2"/>
        <v>2478000</v>
      </c>
    </row>
    <row r="131" spans="1:18" s="36" customFormat="1" ht="15.75" customHeight="1" x14ac:dyDescent="0.25">
      <c r="A131" s="77">
        <f t="shared" si="0"/>
        <v>10</v>
      </c>
      <c r="B131" s="79"/>
      <c r="C131" s="41" t="s">
        <v>204</v>
      </c>
      <c r="D131" s="55">
        <f>(14.906)*(10.764)</f>
        <v>160.448184</v>
      </c>
      <c r="E131" s="55">
        <f>(1.66*2.975)*(10.764)</f>
        <v>53.158014000000001</v>
      </c>
      <c r="F131" s="41">
        <v>343</v>
      </c>
      <c r="G131" s="68"/>
      <c r="H131" s="69"/>
      <c r="I131" s="35"/>
      <c r="L131" s="76"/>
      <c r="M131" s="76"/>
      <c r="N131" s="35"/>
      <c r="P131" s="36">
        <v>343</v>
      </c>
      <c r="Q131" s="36">
        <f t="shared" si="1"/>
        <v>1.6057586493815128</v>
      </c>
      <c r="R131" s="36">
        <f t="shared" si="2"/>
        <v>2058000</v>
      </c>
    </row>
    <row r="132" spans="1:18" s="36" customFormat="1" ht="15.75" customHeight="1" x14ac:dyDescent="0.25">
      <c r="A132" s="77">
        <f t="shared" si="0"/>
        <v>11</v>
      </c>
      <c r="B132" s="79"/>
      <c r="C132" s="41" t="s">
        <v>204</v>
      </c>
      <c r="D132" s="55">
        <f>(24.339)*(10.764)</f>
        <v>261.98499599999997</v>
      </c>
      <c r="E132" s="55">
        <f>(5.025*2.5)*(10.764)</f>
        <v>135.22274999999999</v>
      </c>
      <c r="F132" s="41">
        <v>659</v>
      </c>
      <c r="G132" s="68"/>
      <c r="H132" s="69"/>
      <c r="I132" s="35"/>
      <c r="L132" s="76"/>
      <c r="M132" s="76"/>
      <c r="N132" s="35"/>
      <c r="P132" s="36">
        <v>659</v>
      </c>
      <c r="Q132" s="36">
        <f t="shared" si="1"/>
        <v>1.6590814419817486</v>
      </c>
      <c r="R132" s="36">
        <f t="shared" si="2"/>
        <v>3954000</v>
      </c>
    </row>
    <row r="133" spans="1:18" s="36" customFormat="1" ht="15.75" customHeight="1" x14ac:dyDescent="0.25">
      <c r="A133" s="77">
        <f t="shared" si="0"/>
        <v>12</v>
      </c>
      <c r="B133" s="79"/>
      <c r="C133" s="41" t="s">
        <v>204</v>
      </c>
      <c r="D133" s="55">
        <f>(22.088)*(10.764)</f>
        <v>237.75523200000001</v>
      </c>
      <c r="E133" s="55">
        <f>(2.75*2.65)*(10.764)</f>
        <v>78.442649999999986</v>
      </c>
      <c r="F133" s="41">
        <v>497</v>
      </c>
      <c r="G133" s="68"/>
      <c r="H133" s="69"/>
      <c r="I133" s="35"/>
      <c r="L133" s="76"/>
      <c r="M133" s="76"/>
      <c r="N133" s="35"/>
      <c r="P133" s="36">
        <v>497</v>
      </c>
      <c r="Q133" s="36">
        <f t="shared" si="1"/>
        <v>1.571800534704404</v>
      </c>
      <c r="R133" s="36">
        <f t="shared" si="2"/>
        <v>2982000</v>
      </c>
    </row>
    <row r="134" spans="1:18" s="36" customFormat="1" ht="15.75" customHeight="1" x14ac:dyDescent="0.25">
      <c r="A134" s="77">
        <f t="shared" si="0"/>
        <v>13</v>
      </c>
      <c r="B134" s="79"/>
      <c r="C134" s="41" t="s">
        <v>204</v>
      </c>
      <c r="D134" s="55">
        <f>(31.004)*(10.764)</f>
        <v>333.727056</v>
      </c>
      <c r="E134" s="55">
        <f>(2.95*3.475)*(10.764)</f>
        <v>110.344455</v>
      </c>
      <c r="F134" s="41">
        <v>688</v>
      </c>
      <c r="G134" s="68"/>
      <c r="H134" s="69"/>
      <c r="I134" s="35"/>
      <c r="L134" s="76"/>
      <c r="M134" s="76"/>
      <c r="N134" s="35"/>
      <c r="P134" s="36">
        <v>688</v>
      </c>
      <c r="Q134" s="36">
        <f t="shared" si="1"/>
        <v>1.5493000180324561</v>
      </c>
      <c r="R134" s="36">
        <f t="shared" si="2"/>
        <v>4128000</v>
      </c>
    </row>
    <row r="135" spans="1:18" s="36" customFormat="1" ht="15.75" customHeight="1" x14ac:dyDescent="0.25">
      <c r="A135" s="77">
        <f t="shared" si="0"/>
        <v>14</v>
      </c>
      <c r="B135" s="79"/>
      <c r="C135" s="41" t="s">
        <v>204</v>
      </c>
      <c r="D135" s="55">
        <f>(23.564)*(10.764)</f>
        <v>253.64289599999998</v>
      </c>
      <c r="E135" s="55">
        <f>(2.525*3.1)*(10.764)</f>
        <v>84.255209999999991</v>
      </c>
      <c r="F135" s="41">
        <v>535</v>
      </c>
      <c r="G135" s="68"/>
      <c r="H135" s="69"/>
      <c r="I135" s="35"/>
      <c r="L135" s="76"/>
      <c r="M135" s="76"/>
      <c r="N135" s="35"/>
      <c r="P135" s="36">
        <v>535</v>
      </c>
      <c r="Q135" s="36">
        <f t="shared" si="1"/>
        <v>1.5833175460296898</v>
      </c>
      <c r="R135" s="36">
        <f t="shared" si="2"/>
        <v>3210000</v>
      </c>
    </row>
    <row r="136" spans="1:18" s="36" customFormat="1" ht="15.75" customHeight="1" x14ac:dyDescent="0.25">
      <c r="A136" s="77">
        <f t="shared" si="0"/>
        <v>15</v>
      </c>
      <c r="B136" s="79"/>
      <c r="C136" s="41" t="s">
        <v>204</v>
      </c>
      <c r="D136" s="55">
        <f>(29.988)*(10.764)</f>
        <v>322.79083199999997</v>
      </c>
      <c r="E136" s="55">
        <f>(2.975*3.325)*(10.764)</f>
        <v>106.47614249999999</v>
      </c>
      <c r="F136" s="41">
        <v>668</v>
      </c>
      <c r="G136" s="68"/>
      <c r="H136" s="69"/>
      <c r="I136" s="35"/>
      <c r="L136" s="76"/>
      <c r="M136" s="76"/>
      <c r="N136" s="35"/>
      <c r="P136" s="36">
        <v>668</v>
      </c>
      <c r="Q136" s="36">
        <f t="shared" si="1"/>
        <v>1.5561411421833014</v>
      </c>
      <c r="R136" s="36">
        <f t="shared" si="2"/>
        <v>4008000</v>
      </c>
    </row>
    <row r="137" spans="1:18" s="36" customFormat="1" ht="15.75" customHeight="1" x14ac:dyDescent="0.25">
      <c r="A137" s="77">
        <f t="shared" si="0"/>
        <v>16</v>
      </c>
      <c r="B137" s="79"/>
      <c r="C137" s="41" t="s">
        <v>204</v>
      </c>
      <c r="D137" s="55">
        <f>(50.014)*(10.764)</f>
        <v>538.35069599999997</v>
      </c>
      <c r="E137" s="55">
        <f>(4.6*4.65+1.575*2.3)*(10.764)</f>
        <v>269.23454999999996</v>
      </c>
      <c r="F137" s="41">
        <v>1261</v>
      </c>
      <c r="G137" s="68"/>
      <c r="H137" s="69"/>
      <c r="I137" s="35"/>
      <c r="J137" s="36">
        <f>6.225-4.65</f>
        <v>1.5749999999999993</v>
      </c>
      <c r="L137" s="76"/>
      <c r="M137" s="76"/>
      <c r="N137" s="35"/>
      <c r="P137" s="36">
        <v>1261</v>
      </c>
      <c r="Q137" s="36">
        <f t="shared" si="1"/>
        <v>1.5614450687971091</v>
      </c>
      <c r="R137" s="36">
        <f t="shared" si="2"/>
        <v>7566000</v>
      </c>
    </row>
    <row r="138" spans="1:18" s="36" customFormat="1" ht="15.75" customHeight="1" x14ac:dyDescent="0.25">
      <c r="A138" s="77">
        <f t="shared" si="0"/>
        <v>17</v>
      </c>
      <c r="B138" s="79"/>
      <c r="C138" s="41" t="s">
        <v>204</v>
      </c>
      <c r="D138" s="55">
        <f>(30.88)*(10.764)</f>
        <v>332.39231999999998</v>
      </c>
      <c r="E138" s="55">
        <f>(2.65*3.87)*(10.764)</f>
        <v>110.39020199999999</v>
      </c>
      <c r="F138" s="41">
        <v>687</v>
      </c>
      <c r="G138" s="68"/>
      <c r="H138" s="69"/>
      <c r="I138" s="35"/>
      <c r="L138" s="76"/>
      <c r="M138" s="76"/>
      <c r="N138" s="35"/>
      <c r="P138" s="36">
        <v>687</v>
      </c>
      <c r="Q138" s="36">
        <f t="shared" si="1"/>
        <v>1.5515517570497059</v>
      </c>
      <c r="R138" s="36">
        <f t="shared" si="2"/>
        <v>4122000</v>
      </c>
    </row>
    <row r="139" spans="1:18" s="36" customFormat="1" ht="15.75" customHeight="1" x14ac:dyDescent="0.25">
      <c r="A139" s="77">
        <f t="shared" si="0"/>
        <v>18</v>
      </c>
      <c r="B139" s="79"/>
      <c r="C139" s="41" t="s">
        <v>204</v>
      </c>
      <c r="D139" s="55">
        <f>(31.456)*(10.764)</f>
        <v>338.59238399999998</v>
      </c>
      <c r="E139" s="55">
        <f>(2.7*3.855)*(10.764)</f>
        <v>112.037094</v>
      </c>
      <c r="F139" s="41">
        <v>707</v>
      </c>
      <c r="G139" s="68"/>
      <c r="H139" s="69"/>
      <c r="I139" s="35"/>
      <c r="L139" s="76"/>
      <c r="M139" s="76"/>
      <c r="N139" s="35"/>
      <c r="P139" s="36">
        <v>707</v>
      </c>
      <c r="Q139" s="36">
        <f t="shared" si="1"/>
        <v>1.5689164480269533</v>
      </c>
      <c r="R139" s="36">
        <f t="shared" si="2"/>
        <v>4242000</v>
      </c>
    </row>
    <row r="140" spans="1:18" s="36" customFormat="1" ht="15.75" customHeight="1" x14ac:dyDescent="0.25">
      <c r="A140" s="77">
        <f t="shared" si="0"/>
        <v>19</v>
      </c>
      <c r="B140" s="79"/>
      <c r="C140" s="41" t="s">
        <v>204</v>
      </c>
      <c r="D140" s="55">
        <f>(31.456)*(10.764)</f>
        <v>338.59238399999998</v>
      </c>
      <c r="E140" s="55">
        <f>(2.7*3.856)*(10.764)</f>
        <v>112.0661568</v>
      </c>
      <c r="F140" s="41">
        <v>707</v>
      </c>
      <c r="G140" s="68"/>
      <c r="H140" s="69"/>
      <c r="I140" s="35"/>
      <c r="L140" s="76"/>
      <c r="M140" s="76"/>
      <c r="N140" s="35"/>
      <c r="P140" s="36">
        <v>707</v>
      </c>
      <c r="Q140" s="36">
        <f t="shared" si="1"/>
        <v>1.5688152691946053</v>
      </c>
      <c r="R140" s="36">
        <f t="shared" si="2"/>
        <v>4242000</v>
      </c>
    </row>
    <row r="141" spans="1:18" s="36" customFormat="1" ht="15.75" customHeight="1" x14ac:dyDescent="0.25">
      <c r="A141" s="77">
        <f t="shared" si="0"/>
        <v>20</v>
      </c>
      <c r="B141" s="79"/>
      <c r="C141" s="41" t="s">
        <v>204</v>
      </c>
      <c r="D141" s="55">
        <f>(30.88)*(10.764)</f>
        <v>332.39231999999998</v>
      </c>
      <c r="E141" s="55">
        <f>(2.65*3.865)*(10.764)</f>
        <v>110.247579</v>
      </c>
      <c r="F141" s="41">
        <v>686</v>
      </c>
      <c r="G141" s="68"/>
      <c r="H141" s="69"/>
      <c r="I141" s="35"/>
      <c r="L141" s="76"/>
      <c r="M141" s="76"/>
      <c r="N141" s="35"/>
      <c r="P141" s="36">
        <v>686</v>
      </c>
      <c r="Q141" s="36">
        <f t="shared" si="1"/>
        <v>1.5497925097800549</v>
      </c>
      <c r="R141" s="36">
        <f t="shared" si="2"/>
        <v>4116000</v>
      </c>
    </row>
    <row r="142" spans="1:18" s="36" customFormat="1" ht="15.75" customHeight="1" x14ac:dyDescent="0.25">
      <c r="A142" s="77">
        <f t="shared" si="0"/>
        <v>21</v>
      </c>
      <c r="B142" s="79"/>
      <c r="C142" s="41" t="s">
        <v>204</v>
      </c>
      <c r="D142" s="55">
        <f>(50.519)*(10.764)</f>
        <v>543.78651600000001</v>
      </c>
      <c r="E142" s="55">
        <f>(4.65*4.66+2.3*1.575)*(10.764)</f>
        <v>272.237706</v>
      </c>
      <c r="F142" s="41">
        <v>1276</v>
      </c>
      <c r="G142" s="68"/>
      <c r="H142" s="69"/>
      <c r="I142" s="35"/>
      <c r="J142" s="36">
        <f>6.235-4.66</f>
        <v>1.5750000000000002</v>
      </c>
      <c r="L142" s="76"/>
      <c r="M142" s="76"/>
      <c r="N142" s="35"/>
      <c r="P142" s="36">
        <v>1276</v>
      </c>
      <c r="Q142" s="36">
        <f t="shared" si="1"/>
        <v>1.5636790742223825</v>
      </c>
      <c r="R142" s="36">
        <f t="shared" si="2"/>
        <v>7656000</v>
      </c>
    </row>
    <row r="143" spans="1:18" s="36" customFormat="1" ht="15.75" customHeight="1" x14ac:dyDescent="0.25">
      <c r="A143" s="77">
        <f t="shared" si="0"/>
        <v>22</v>
      </c>
      <c r="B143" s="79"/>
      <c r="C143" s="41" t="s">
        <v>204</v>
      </c>
      <c r="D143" s="55">
        <f>(29.988)*(10.764)</f>
        <v>322.79083199999997</v>
      </c>
      <c r="E143" s="55">
        <f>(2.975*3.325)*(10.764)</f>
        <v>106.47614249999999</v>
      </c>
      <c r="F143" s="41">
        <v>658</v>
      </c>
      <c r="G143" s="68"/>
      <c r="H143" s="69"/>
      <c r="I143" s="35"/>
      <c r="L143" s="76"/>
      <c r="M143" s="76"/>
      <c r="N143" s="35"/>
      <c r="P143" s="36">
        <v>658</v>
      </c>
      <c r="Q143" s="36">
        <f t="shared" si="1"/>
        <v>1.5328456161027131</v>
      </c>
      <c r="R143" s="36">
        <f t="shared" si="2"/>
        <v>3948000</v>
      </c>
    </row>
    <row r="144" spans="1:18" s="36" customFormat="1" ht="15.75" customHeight="1" x14ac:dyDescent="0.25">
      <c r="A144" s="77">
        <f t="shared" si="0"/>
        <v>23</v>
      </c>
      <c r="B144" s="79"/>
      <c r="C144" s="41" t="s">
        <v>204</v>
      </c>
      <c r="D144" s="55">
        <f>(22.395)*(10.764)</f>
        <v>241.05977999999999</v>
      </c>
      <c r="E144" s="55">
        <f>(2.4*3.115)*(10.764)</f>
        <v>80.47166399999999</v>
      </c>
      <c r="F144" s="41">
        <v>519</v>
      </c>
      <c r="G144" s="68"/>
      <c r="H144" s="69"/>
      <c r="I144" s="35"/>
      <c r="L144" s="76"/>
      <c r="M144" s="76"/>
      <c r="N144" s="35"/>
      <c r="P144" s="36">
        <v>519</v>
      </c>
      <c r="Q144" s="36">
        <f t="shared" si="1"/>
        <v>1.6141500611678903</v>
      </c>
      <c r="R144" s="36">
        <f t="shared" si="2"/>
        <v>3114000</v>
      </c>
    </row>
    <row r="145" spans="1:19" s="36" customFormat="1" ht="15.75" customHeight="1" x14ac:dyDescent="0.25">
      <c r="A145" s="77">
        <f t="shared" si="0"/>
        <v>24</v>
      </c>
      <c r="B145" s="79"/>
      <c r="C145" s="41" t="s">
        <v>204</v>
      </c>
      <c r="D145" s="55">
        <f>(31.945)*(10.764)</f>
        <v>343.85597999999999</v>
      </c>
      <c r="E145" s="55">
        <f>(3.025*5.287)*(10.764)</f>
        <v>172.15053569999998</v>
      </c>
      <c r="F145" s="41">
        <v>798</v>
      </c>
      <c r="G145" s="68"/>
      <c r="H145" s="69"/>
      <c r="I145" s="35"/>
      <c r="L145" s="76"/>
      <c r="M145" s="76"/>
      <c r="N145" s="35"/>
      <c r="P145" s="36">
        <v>798</v>
      </c>
      <c r="Q145" s="36">
        <f t="shared" si="1"/>
        <v>1.5464920998477232</v>
      </c>
      <c r="R145" s="36">
        <f t="shared" si="2"/>
        <v>4788000</v>
      </c>
    </row>
    <row r="146" spans="1:19" s="36" customFormat="1" ht="15.75" customHeight="1" x14ac:dyDescent="0.25">
      <c r="A146" s="77">
        <f t="shared" si="0"/>
        <v>25</v>
      </c>
      <c r="B146" s="79"/>
      <c r="C146" s="41" t="s">
        <v>204</v>
      </c>
      <c r="D146" s="55">
        <f>(22.299)*(10.764)</f>
        <v>240.02643599999999</v>
      </c>
      <c r="E146" s="55">
        <f>(2.75*2.67)*(10.764)</f>
        <v>79.034669999999991</v>
      </c>
      <c r="F146" s="41">
        <v>502</v>
      </c>
      <c r="G146" s="68"/>
      <c r="H146" s="69"/>
      <c r="I146" s="35"/>
      <c r="L146" s="76"/>
      <c r="M146" s="76"/>
      <c r="N146" s="35"/>
      <c r="P146" s="36">
        <v>502</v>
      </c>
      <c r="Q146" s="36">
        <f t="shared" si="1"/>
        <v>1.5733663256341874</v>
      </c>
      <c r="R146" s="36">
        <f t="shared" si="2"/>
        <v>3012000</v>
      </c>
    </row>
    <row r="147" spans="1:19" s="36" customFormat="1" ht="15.75" customHeight="1" x14ac:dyDescent="0.25">
      <c r="A147" s="77">
        <f t="shared" si="0"/>
        <v>26</v>
      </c>
      <c r="B147" s="79"/>
      <c r="C147" s="41" t="s">
        <v>204</v>
      </c>
      <c r="D147" s="55">
        <f>(39.105)*(10.764)</f>
        <v>420.92621999999994</v>
      </c>
      <c r="E147" s="55">
        <f>(4.875*4)*(10.764)</f>
        <v>209.898</v>
      </c>
      <c r="F147" s="41">
        <v>993</v>
      </c>
      <c r="G147" s="70"/>
      <c r="H147" s="71"/>
      <c r="I147" s="35"/>
      <c r="L147" s="76"/>
      <c r="M147" s="76"/>
      <c r="N147" s="35"/>
      <c r="P147" s="36">
        <v>993</v>
      </c>
      <c r="Q147" s="36">
        <f t="shared" si="1"/>
        <v>1.5741310630083292</v>
      </c>
      <c r="R147" s="36">
        <f t="shared" si="2"/>
        <v>5958000</v>
      </c>
    </row>
    <row r="148" spans="1:19" s="36" customFormat="1" x14ac:dyDescent="0.25">
      <c r="A148" s="77"/>
      <c r="B148" s="78"/>
      <c r="C148" s="78"/>
      <c r="D148" s="78"/>
      <c r="E148" s="78"/>
      <c r="F148" s="78"/>
      <c r="G148" s="78"/>
      <c r="H148" s="79"/>
      <c r="I148" s="35"/>
      <c r="N148" s="35"/>
    </row>
    <row r="149" spans="1:19" ht="47.25" customHeight="1" x14ac:dyDescent="0.25">
      <c r="A149" s="42" t="s">
        <v>128</v>
      </c>
      <c r="B149" s="42" t="s">
        <v>129</v>
      </c>
      <c r="C149" s="42" t="s">
        <v>59</v>
      </c>
      <c r="D149" s="42" t="s">
        <v>60</v>
      </c>
      <c r="E149" s="53" t="s">
        <v>61</v>
      </c>
      <c r="F149" s="42" t="s">
        <v>222</v>
      </c>
      <c r="G149" s="119" t="s">
        <v>62</v>
      </c>
      <c r="H149" s="120"/>
      <c r="I149" s="35"/>
    </row>
    <row r="150" spans="1:19" s="36" customFormat="1" x14ac:dyDescent="0.25">
      <c r="A150" s="80" t="s">
        <v>205</v>
      </c>
      <c r="B150" s="81"/>
      <c r="C150" s="81"/>
      <c r="D150" s="81"/>
      <c r="E150" s="81"/>
      <c r="F150" s="81"/>
      <c r="G150" s="81"/>
      <c r="H150" s="82"/>
      <c r="J150" s="35"/>
    </row>
    <row r="151" spans="1:19" s="36" customFormat="1" x14ac:dyDescent="0.25">
      <c r="A151" s="80" t="s">
        <v>206</v>
      </c>
      <c r="B151" s="81"/>
      <c r="C151" s="81"/>
      <c r="D151" s="81"/>
      <c r="E151" s="81"/>
      <c r="F151" s="81"/>
      <c r="G151" s="81"/>
      <c r="H151" s="82"/>
      <c r="J151" s="35"/>
    </row>
    <row r="152" spans="1:19" s="36" customFormat="1" x14ac:dyDescent="0.25">
      <c r="A152" s="80" t="s">
        <v>220</v>
      </c>
      <c r="B152" s="81"/>
      <c r="C152" s="81"/>
      <c r="D152" s="81"/>
      <c r="E152" s="81"/>
      <c r="F152" s="81"/>
      <c r="G152" s="81"/>
      <c r="H152" s="82"/>
      <c r="J152" s="35"/>
    </row>
    <row r="153" spans="1:19" s="36" customFormat="1" x14ac:dyDescent="0.25">
      <c r="A153" s="115" t="s">
        <v>207</v>
      </c>
      <c r="B153" s="115"/>
      <c r="C153" s="115"/>
      <c r="D153" s="115"/>
      <c r="E153" s="115"/>
      <c r="F153" s="115"/>
      <c r="G153" s="115"/>
      <c r="H153" s="115"/>
      <c r="I153" s="35"/>
      <c r="L153" s="76"/>
      <c r="M153" s="76"/>
      <c r="P153" s="55">
        <f>10.764</f>
        <v>10.763999999999999</v>
      </c>
    </row>
    <row r="154" spans="1:19" s="36" customFormat="1" x14ac:dyDescent="0.25">
      <c r="A154" s="65">
        <f>LEFT(A153,SUM(LEN(A153)-LEN(SUBSTITUTE(A153,{"0","1","2","3","4","5","6","7","8","9"},""))))*100+1</f>
        <v>201</v>
      </c>
      <c r="B154" s="65"/>
      <c r="C154" s="77" t="s">
        <v>208</v>
      </c>
      <c r="D154" s="78"/>
      <c r="E154" s="78"/>
      <c r="F154" s="79"/>
      <c r="G154" s="66" t="str">
        <f>A153</f>
        <v>2nd Floor For Residential &amp; Part Amenities</v>
      </c>
      <c r="H154" s="67"/>
      <c r="I154" s="35"/>
      <c r="N154" s="35"/>
    </row>
    <row r="155" spans="1:19" s="36" customFormat="1" x14ac:dyDescent="0.25">
      <c r="A155" s="65">
        <f t="shared" ref="A155:A162" si="3">A154+1</f>
        <v>202</v>
      </c>
      <c r="B155" s="65"/>
      <c r="C155" s="51">
        <v>1</v>
      </c>
      <c r="D155" s="55">
        <f>(37.183)*(10.764)</f>
        <v>400.23781199999996</v>
      </c>
      <c r="E155" s="55">
        <f>(2.925*2.925+2.525*0.75)*(10.764)</f>
        <v>112.47707249999999</v>
      </c>
      <c r="F155" s="41">
        <v>672</v>
      </c>
      <c r="G155" s="68"/>
      <c r="H155" s="69"/>
      <c r="I155" s="35"/>
      <c r="J155" s="36">
        <f>2.925*4.275+2.4*3.2+3.025*3.35+1.35*1.1+2.4*1.2+0.92*0.92</f>
        <v>35.529525</v>
      </c>
      <c r="N155" s="35"/>
      <c r="P155" s="36">
        <v>672</v>
      </c>
      <c r="Q155" s="36">
        <f>P155/(D155+E155/2)</f>
        <v>1.4721463720437131</v>
      </c>
      <c r="R155" s="36">
        <f>4000*F155</f>
        <v>2688000</v>
      </c>
      <c r="S155" s="56"/>
    </row>
    <row r="156" spans="1:19" s="36" customFormat="1" x14ac:dyDescent="0.25">
      <c r="A156" s="65">
        <f t="shared" si="3"/>
        <v>203</v>
      </c>
      <c r="B156" s="65"/>
      <c r="C156" s="51">
        <v>2</v>
      </c>
      <c r="D156" s="55">
        <f>(50.378+3.28+4.892)*(10.764)</f>
        <v>630.23220000000003</v>
      </c>
      <c r="E156" s="55">
        <f>(3.575*2.975)*(10.764)</f>
        <v>114.48186750000001</v>
      </c>
      <c r="F156" s="41">
        <v>1026</v>
      </c>
      <c r="G156" s="68"/>
      <c r="H156" s="69"/>
      <c r="I156" s="35"/>
      <c r="N156" s="35"/>
      <c r="P156" s="36">
        <v>1026</v>
      </c>
      <c r="Q156" s="36">
        <f t="shared" ref="Q156:Q161" si="4">P156/(D156+E156/2)</f>
        <v>1.4924219575002411</v>
      </c>
      <c r="R156" s="36">
        <f t="shared" ref="R156:R161" si="5">4000*F156</f>
        <v>4104000</v>
      </c>
      <c r="S156" s="56"/>
    </row>
    <row r="157" spans="1:19" s="36" customFormat="1" x14ac:dyDescent="0.25">
      <c r="A157" s="65">
        <f t="shared" si="3"/>
        <v>204</v>
      </c>
      <c r="B157" s="65"/>
      <c r="C157" s="51">
        <v>2</v>
      </c>
      <c r="D157" s="55">
        <f>(53.001)*(10.764)</f>
        <v>570.50276399999996</v>
      </c>
      <c r="E157" s="55">
        <f>(4.15*2.4+1*0.6+1.95*2.075)*(10.764)</f>
        <v>157.221675</v>
      </c>
      <c r="F157" s="41">
        <v>946</v>
      </c>
      <c r="G157" s="68"/>
      <c r="H157" s="69"/>
      <c r="I157" s="35"/>
      <c r="N157" s="35"/>
      <c r="P157" s="36">
        <v>946</v>
      </c>
      <c r="Q157" s="36">
        <f t="shared" si="4"/>
        <v>1.4573720190332509</v>
      </c>
      <c r="R157" s="36">
        <f t="shared" si="5"/>
        <v>3784000</v>
      </c>
      <c r="S157" s="56"/>
    </row>
    <row r="158" spans="1:19" s="36" customFormat="1" x14ac:dyDescent="0.25">
      <c r="A158" s="65">
        <f t="shared" si="3"/>
        <v>205</v>
      </c>
      <c r="B158" s="65"/>
      <c r="C158" s="51">
        <v>2</v>
      </c>
      <c r="D158" s="55">
        <f>(52.81)*(10.764)</f>
        <v>568.44683999999995</v>
      </c>
      <c r="E158" s="55">
        <f>(4.15*2.4+1*0.6+1.95*2.075)*(10.764)</f>
        <v>157.221675</v>
      </c>
      <c r="F158" s="41">
        <v>938</v>
      </c>
      <c r="G158" s="68"/>
      <c r="H158" s="69"/>
      <c r="I158" s="35"/>
      <c r="N158" s="35"/>
      <c r="P158" s="36">
        <v>938</v>
      </c>
      <c r="Q158" s="36">
        <f t="shared" si="4"/>
        <v>1.4496389311445887</v>
      </c>
      <c r="R158" s="36">
        <f t="shared" si="5"/>
        <v>3752000</v>
      </c>
      <c r="S158" s="56"/>
    </row>
    <row r="159" spans="1:19" s="36" customFormat="1" x14ac:dyDescent="0.25">
      <c r="A159" s="65">
        <f t="shared" si="3"/>
        <v>206</v>
      </c>
      <c r="B159" s="65"/>
      <c r="C159" s="51">
        <v>2</v>
      </c>
      <c r="D159" s="55">
        <f>(54.08+3.425+6.179)*(10.764)</f>
        <v>685.49457599999994</v>
      </c>
      <c r="E159" s="55">
        <f>(3.575*2.975+(1.2+2.75)*0.75)*(10.764)</f>
        <v>146.3702175</v>
      </c>
      <c r="F159" s="41">
        <v>1122</v>
      </c>
      <c r="G159" s="68"/>
      <c r="H159" s="69"/>
      <c r="I159" s="35">
        <v>206</v>
      </c>
      <c r="J159" s="36">
        <f>5.025*3+4.975*2.4+3.125*2.35+1.2*2.025+2.75*3.35+2.15*1.375+0.5*1.375+1.2*1.2+1.2*0.4</f>
        <v>51.564999999999991</v>
      </c>
      <c r="K159" s="36">
        <f>2.55*0.95+2.45*1.475+3.125</f>
        <v>9.1612500000000008</v>
      </c>
      <c r="L159" s="36">
        <f>J159+K159</f>
        <v>60.726249999999993</v>
      </c>
      <c r="M159" s="36">
        <f>54.08+3.425+6.179</f>
        <v>63.683999999999997</v>
      </c>
      <c r="N159" s="35">
        <f>L159*10.764</f>
        <v>653.65735499999994</v>
      </c>
      <c r="O159" s="36">
        <f>M159*10.764</f>
        <v>685.49457599999994</v>
      </c>
      <c r="P159" s="36">
        <v>1122</v>
      </c>
      <c r="Q159" s="36">
        <f t="shared" si="4"/>
        <v>1.4788849926431353</v>
      </c>
      <c r="R159" s="36">
        <f t="shared" si="5"/>
        <v>4488000</v>
      </c>
      <c r="S159" s="56"/>
    </row>
    <row r="160" spans="1:19" s="36" customFormat="1" x14ac:dyDescent="0.25">
      <c r="A160" s="65">
        <f t="shared" si="3"/>
        <v>207</v>
      </c>
      <c r="B160" s="65"/>
      <c r="C160" s="51">
        <v>1</v>
      </c>
      <c r="D160" s="55">
        <f>(37.644)*(10.764)</f>
        <v>405.20001599999995</v>
      </c>
      <c r="E160" s="55">
        <f>(2.925*3.625+2.525*1.3+3.025*0.75)*(10.764)</f>
        <v>173.88569249999998</v>
      </c>
      <c r="F160" s="41">
        <v>731</v>
      </c>
      <c r="G160" s="68"/>
      <c r="H160" s="69"/>
      <c r="I160" s="35"/>
      <c r="N160" s="35"/>
      <c r="P160" s="36">
        <v>731</v>
      </c>
      <c r="Q160" s="36">
        <f t="shared" si="4"/>
        <v>1.4853410586064029</v>
      </c>
      <c r="R160" s="36">
        <f t="shared" si="5"/>
        <v>2924000</v>
      </c>
      <c r="S160" s="56"/>
    </row>
    <row r="161" spans="1:19" s="36" customFormat="1" x14ac:dyDescent="0.25">
      <c r="A161" s="65">
        <f t="shared" si="3"/>
        <v>208</v>
      </c>
      <c r="B161" s="65"/>
      <c r="C161" s="51">
        <v>1</v>
      </c>
      <c r="D161" s="55">
        <f>(33.207+5.757)*(10.764)</f>
        <v>419.40849599999996</v>
      </c>
      <c r="E161" s="55">
        <f>(4.65*3.35+1.8*1.925)*(10.764)</f>
        <v>204.97347000000002</v>
      </c>
      <c r="F161" s="41">
        <v>771</v>
      </c>
      <c r="G161" s="68"/>
      <c r="H161" s="69"/>
      <c r="I161" s="35">
        <v>208</v>
      </c>
      <c r="J161" s="36">
        <f>4.4*3+2.4*2+2.95*2.35+1.925*1.2+1.35*1.1+1.675*1.2</f>
        <v>30.737499999999997</v>
      </c>
      <c r="K161" s="36">
        <f>2.4+2.95</f>
        <v>5.35</v>
      </c>
      <c r="L161" s="36">
        <f>J161+K161+K162</f>
        <v>36.087499999999999</v>
      </c>
      <c r="M161" s="36">
        <f>33.207+5.757</f>
        <v>38.963999999999999</v>
      </c>
      <c r="N161" s="35">
        <f>M161*10.764</f>
        <v>419.40849599999996</v>
      </c>
      <c r="O161" s="36">
        <f>N161*1.6</f>
        <v>671.0535936</v>
      </c>
      <c r="P161" s="36">
        <v>771</v>
      </c>
      <c r="Q161" s="36">
        <f t="shared" si="4"/>
        <v>1.4773080001568362</v>
      </c>
      <c r="R161" s="36">
        <f t="shared" si="5"/>
        <v>3084000</v>
      </c>
      <c r="S161" s="56"/>
    </row>
    <row r="162" spans="1:19" s="36" customFormat="1" x14ac:dyDescent="0.25">
      <c r="A162" s="65">
        <f t="shared" si="3"/>
        <v>209</v>
      </c>
      <c r="B162" s="65"/>
      <c r="C162" s="77" t="s">
        <v>209</v>
      </c>
      <c r="D162" s="78"/>
      <c r="E162" s="78"/>
      <c r="F162" s="79"/>
      <c r="G162" s="70"/>
      <c r="H162" s="71"/>
      <c r="I162" s="35"/>
      <c r="N162" s="35"/>
    </row>
    <row r="163" spans="1:19" s="36" customFormat="1" ht="15.75" customHeight="1" x14ac:dyDescent="0.25">
      <c r="A163" s="80" t="s">
        <v>240</v>
      </c>
      <c r="B163" s="81"/>
      <c r="C163" s="81"/>
      <c r="D163" s="81"/>
      <c r="E163" s="81"/>
      <c r="F163" s="81"/>
      <c r="G163" s="81"/>
      <c r="H163" s="82"/>
      <c r="I163" s="35"/>
    </row>
    <row r="164" spans="1:19" s="36" customFormat="1" ht="15.75" customHeight="1" x14ac:dyDescent="0.25">
      <c r="A164" s="77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10^ROW(INDIRECT("1:"&amp;LEN((LEFT(A163,SUM(LEN(A163)-LEN(SUBSTITUTE(A163,{"0","1","2"},""))))))))/10))*100+1&amp;""&amp;"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",LEN(A163))),LEN(A163)))))))/10))*100+1</f>
        <v>301 ,.., 1201</v>
      </c>
      <c r="B164" s="79"/>
      <c r="C164" s="51">
        <v>1</v>
      </c>
      <c r="D164" s="55">
        <f>(37.381)*(10.764)</f>
        <v>402.36908399999999</v>
      </c>
      <c r="E164" s="41">
        <v>0</v>
      </c>
      <c r="F164" s="41">
        <v>585</v>
      </c>
      <c r="G164" s="66" t="str">
        <f>A163</f>
        <v>3rd, 4th, 6th &amp; 7th and 9th to 12th Floor</v>
      </c>
      <c r="H164" s="67"/>
      <c r="I164" s="35"/>
      <c r="P164" s="36">
        <v>585</v>
      </c>
      <c r="Q164" s="36">
        <f t="shared" ref="Q164:Q172" si="6">P164/D164</f>
        <v>1.4538890368624842</v>
      </c>
      <c r="S164" s="36">
        <f>4000*F164</f>
        <v>2340000</v>
      </c>
    </row>
    <row r="165" spans="1:19" s="36" customFormat="1" ht="15.75" customHeight="1" x14ac:dyDescent="0.25">
      <c r="A165" s="77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302 ,.., 1202</v>
      </c>
      <c r="B165" s="79"/>
      <c r="C165" s="51">
        <v>1</v>
      </c>
      <c r="D165" s="55">
        <f>(37.183+3.364)*(10.764)</f>
        <v>436.44790799999993</v>
      </c>
      <c r="E165" s="41">
        <v>0</v>
      </c>
      <c r="F165" s="41">
        <v>655</v>
      </c>
      <c r="G165" s="68"/>
      <c r="H165" s="69"/>
      <c r="I165" s="35"/>
      <c r="P165" s="36">
        <v>655</v>
      </c>
      <c r="Q165" s="36">
        <f t="shared" si="6"/>
        <v>1.500751837719887</v>
      </c>
    </row>
    <row r="166" spans="1:19" s="36" customFormat="1" ht="15.75" customHeight="1" x14ac:dyDescent="0.25">
      <c r="A166" s="77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303 ,.., 1203</v>
      </c>
      <c r="B166" s="79"/>
      <c r="C166" s="51">
        <v>2</v>
      </c>
      <c r="D166" s="55">
        <f>(50.78+3.28+10.322)*(10.764)</f>
        <v>693.00784799999997</v>
      </c>
      <c r="E166" s="41">
        <v>0</v>
      </c>
      <c r="F166" s="41">
        <v>1000</v>
      </c>
      <c r="G166" s="68"/>
      <c r="H166" s="69"/>
      <c r="I166" s="35"/>
      <c r="P166" s="36">
        <v>1000</v>
      </c>
      <c r="Q166" s="36">
        <f t="shared" si="6"/>
        <v>1.4429851016636683</v>
      </c>
    </row>
    <row r="167" spans="1:19" s="36" customFormat="1" ht="15.75" customHeight="1" x14ac:dyDescent="0.25">
      <c r="A167" s="77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304 ,.., 1204</v>
      </c>
      <c r="B167" s="79"/>
      <c r="C167" s="51">
        <v>2</v>
      </c>
      <c r="D167" s="55">
        <f>(53.001+3.36)*(10.764)</f>
        <v>606.66980399999989</v>
      </c>
      <c r="E167" s="41">
        <v>0</v>
      </c>
      <c r="F167" s="41">
        <v>880</v>
      </c>
      <c r="G167" s="68"/>
      <c r="H167" s="69"/>
      <c r="I167" s="35"/>
      <c r="P167" s="36">
        <v>880</v>
      </c>
      <c r="Q167" s="36">
        <f t="shared" si="6"/>
        <v>1.4505419491753708</v>
      </c>
    </row>
    <row r="168" spans="1:19" s="36" customFormat="1" ht="15.75" customHeight="1" x14ac:dyDescent="0.25">
      <c r="A168" s="77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,..,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305 ,.., 1205</v>
      </c>
      <c r="B168" s="79"/>
      <c r="C168" s="51">
        <v>2</v>
      </c>
      <c r="D168" s="55">
        <f>(52.81+3.36)*(10.764)</f>
        <v>604.61387999999999</v>
      </c>
      <c r="E168" s="41">
        <v>0</v>
      </c>
      <c r="F168" s="41">
        <v>875</v>
      </c>
      <c r="G168" s="68"/>
      <c r="H168" s="69"/>
      <c r="I168" s="35"/>
      <c r="P168" s="36">
        <v>875</v>
      </c>
      <c r="Q168" s="36">
        <f t="shared" si="6"/>
        <v>1.4472046192522077</v>
      </c>
    </row>
    <row r="169" spans="1:19" s="36" customFormat="1" ht="15.75" customHeight="1" x14ac:dyDescent="0.25">
      <c r="A169" s="77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,..,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306 ,.., 1206</v>
      </c>
      <c r="B169" s="79"/>
      <c r="C169" s="51">
        <v>2</v>
      </c>
      <c r="D169" s="55">
        <f>(54.08+3.425+11.608)*(10.764)</f>
        <v>743.93233199999997</v>
      </c>
      <c r="E169" s="41">
        <v>0</v>
      </c>
      <c r="F169" s="41">
        <v>1080</v>
      </c>
      <c r="G169" s="68"/>
      <c r="H169" s="69"/>
      <c r="I169" s="35"/>
      <c r="P169" s="36">
        <v>1080</v>
      </c>
      <c r="Q169" s="36">
        <f t="shared" si="6"/>
        <v>1.4517449417697845</v>
      </c>
    </row>
    <row r="170" spans="1:19" s="36" customFormat="1" ht="15.75" customHeight="1" x14ac:dyDescent="0.25">
      <c r="A170" s="77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307 ,.., 1207</v>
      </c>
      <c r="B170" s="79"/>
      <c r="C170" s="51">
        <v>1</v>
      </c>
      <c r="D170" s="55">
        <f>(37.644+3.921)*(10.764)</f>
        <v>447.40565999999995</v>
      </c>
      <c r="E170" s="41">
        <v>0</v>
      </c>
      <c r="F170" s="41">
        <v>675</v>
      </c>
      <c r="G170" s="68"/>
      <c r="H170" s="69"/>
      <c r="I170" s="35"/>
      <c r="P170" s="36">
        <v>675</v>
      </c>
      <c r="Q170" s="36">
        <f t="shared" si="6"/>
        <v>1.5086979453947902</v>
      </c>
    </row>
    <row r="171" spans="1:19" s="36" customFormat="1" ht="15.75" customHeight="1" x14ac:dyDescent="0.25">
      <c r="A171" s="77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308 ,.., 1208</v>
      </c>
      <c r="B171" s="79"/>
      <c r="C171" s="51">
        <v>1</v>
      </c>
      <c r="D171" s="55">
        <f>(33.207+5.757+2.85)*(10.764)</f>
        <v>450.08589599999999</v>
      </c>
      <c r="E171" s="41">
        <v>0</v>
      </c>
      <c r="F171" s="41">
        <v>680</v>
      </c>
      <c r="G171" s="68"/>
      <c r="H171" s="69"/>
      <c r="I171" s="35"/>
      <c r="P171" s="36">
        <v>680</v>
      </c>
      <c r="Q171" s="36">
        <f t="shared" si="6"/>
        <v>1.5108227252693118</v>
      </c>
    </row>
    <row r="172" spans="1:19" s="36" customFormat="1" ht="15.75" customHeight="1" x14ac:dyDescent="0.25">
      <c r="A172" s="77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309 ,.., 1209</v>
      </c>
      <c r="B172" s="79"/>
      <c r="C172" s="51">
        <v>1</v>
      </c>
      <c r="D172" s="55">
        <f>(36.204+5.206)*(10.764)</f>
        <v>445.73723999999999</v>
      </c>
      <c r="E172" s="41">
        <v>0</v>
      </c>
      <c r="F172" s="41">
        <v>670</v>
      </c>
      <c r="G172" s="70"/>
      <c r="H172" s="71"/>
      <c r="I172" s="35"/>
      <c r="P172" s="36">
        <v>670</v>
      </c>
      <c r="Q172" s="36">
        <f t="shared" si="6"/>
        <v>1.5031277171276962</v>
      </c>
    </row>
    <row r="173" spans="1:19" s="57" customFormat="1" ht="15.75" customHeight="1" x14ac:dyDescent="0.25">
      <c r="A173" s="80" t="s">
        <v>239</v>
      </c>
      <c r="B173" s="81"/>
      <c r="C173" s="81"/>
      <c r="D173" s="81"/>
      <c r="E173" s="81"/>
      <c r="F173" s="81"/>
      <c r="G173" s="81"/>
      <c r="H173" s="82"/>
      <c r="I173" s="35"/>
    </row>
    <row r="174" spans="1:19" s="57" customFormat="1" ht="15.75" customHeight="1" x14ac:dyDescent="0.25">
      <c r="A174" s="77">
        <v>501</v>
      </c>
      <c r="B174" s="79"/>
      <c r="C174" s="51">
        <v>1</v>
      </c>
      <c r="D174" s="55">
        <f>(37.381)*(10.764)</f>
        <v>402.36908399999999</v>
      </c>
      <c r="E174" s="58">
        <v>0</v>
      </c>
      <c r="F174" s="58">
        <v>585</v>
      </c>
      <c r="G174" s="66" t="str">
        <f>A173</f>
        <v>5th Floor</v>
      </c>
      <c r="H174" s="67"/>
      <c r="I174" s="35"/>
      <c r="S174" s="57">
        <f>4000*F174</f>
        <v>2340000</v>
      </c>
    </row>
    <row r="175" spans="1:19" s="57" customFormat="1" ht="15.75" customHeight="1" x14ac:dyDescent="0.25">
      <c r="A175" s="77">
        <f>A174+1</f>
        <v>502</v>
      </c>
      <c r="B175" s="79"/>
      <c r="C175" s="51">
        <v>1</v>
      </c>
      <c r="D175" s="55">
        <f>(37.183+3.364)*(10.764)</f>
        <v>436.44790799999993</v>
      </c>
      <c r="E175" s="58">
        <v>0</v>
      </c>
      <c r="F175" s="58">
        <v>655</v>
      </c>
      <c r="G175" s="68"/>
      <c r="H175" s="69"/>
      <c r="I175" s="35"/>
    </row>
    <row r="176" spans="1:19" s="64" customFormat="1" ht="15.75" customHeight="1" x14ac:dyDescent="0.25">
      <c r="A176" s="100">
        <f t="shared" ref="A176:A182" si="7">A175+1</f>
        <v>503</v>
      </c>
      <c r="B176" s="101"/>
      <c r="C176" s="60">
        <v>2</v>
      </c>
      <c r="D176" s="61">
        <f>(50.78+3.28+10.322)*(10.764)</f>
        <v>693.00784799999997</v>
      </c>
      <c r="E176" s="62">
        <v>0</v>
      </c>
      <c r="F176" s="62">
        <v>1067</v>
      </c>
      <c r="G176" s="68"/>
      <c r="H176" s="69"/>
      <c r="I176" s="63">
        <f>F176*4500+200000</f>
        <v>5001500</v>
      </c>
      <c r="P176" s="64" t="s">
        <v>241</v>
      </c>
    </row>
    <row r="177" spans="1:18" s="57" customFormat="1" ht="15.75" customHeight="1" x14ac:dyDescent="0.25">
      <c r="A177" s="77">
        <f t="shared" si="7"/>
        <v>504</v>
      </c>
      <c r="B177" s="79"/>
      <c r="C177" s="51">
        <v>2</v>
      </c>
      <c r="D177" s="55">
        <f>(53.001+3.36)*(10.764)</f>
        <v>606.66980399999989</v>
      </c>
      <c r="E177" s="58">
        <v>0</v>
      </c>
      <c r="F177" s="58">
        <v>880</v>
      </c>
      <c r="G177" s="68"/>
      <c r="H177" s="69"/>
      <c r="I177" s="35"/>
    </row>
    <row r="178" spans="1:18" s="57" customFormat="1" ht="15.75" customHeight="1" x14ac:dyDescent="0.25">
      <c r="A178" s="77">
        <f t="shared" si="7"/>
        <v>505</v>
      </c>
      <c r="B178" s="79"/>
      <c r="C178" s="51">
        <v>2</v>
      </c>
      <c r="D178" s="55">
        <f>(52.81+3.36)*(10.764)</f>
        <v>604.61387999999999</v>
      </c>
      <c r="E178" s="58">
        <v>0</v>
      </c>
      <c r="F178" s="58">
        <v>875</v>
      </c>
      <c r="G178" s="68"/>
      <c r="H178" s="69"/>
      <c r="I178" s="35"/>
    </row>
    <row r="179" spans="1:18" s="57" customFormat="1" ht="15.75" customHeight="1" x14ac:dyDescent="0.25">
      <c r="A179" s="77">
        <f t="shared" si="7"/>
        <v>506</v>
      </c>
      <c r="B179" s="79"/>
      <c r="C179" s="51">
        <v>2</v>
      </c>
      <c r="D179" s="55">
        <f>(54.08+3.425+11.608)*(10.764)</f>
        <v>743.93233199999997</v>
      </c>
      <c r="E179" s="58">
        <v>0</v>
      </c>
      <c r="F179" s="58">
        <v>1080</v>
      </c>
      <c r="G179" s="68"/>
      <c r="H179" s="69"/>
      <c r="I179" s="35"/>
    </row>
    <row r="180" spans="1:18" s="57" customFormat="1" ht="15.75" customHeight="1" x14ac:dyDescent="0.25">
      <c r="A180" s="77">
        <f t="shared" si="7"/>
        <v>507</v>
      </c>
      <c r="B180" s="79"/>
      <c r="C180" s="51">
        <v>1</v>
      </c>
      <c r="D180" s="55">
        <f>(37.644+3.921)*(10.764)</f>
        <v>447.40565999999995</v>
      </c>
      <c r="E180" s="58">
        <v>0</v>
      </c>
      <c r="F180" s="58">
        <v>675</v>
      </c>
      <c r="G180" s="68"/>
      <c r="H180" s="69"/>
      <c r="I180" s="35"/>
    </row>
    <row r="181" spans="1:18" s="57" customFormat="1" ht="15.75" customHeight="1" x14ac:dyDescent="0.25">
      <c r="A181" s="77">
        <f t="shared" si="7"/>
        <v>508</v>
      </c>
      <c r="B181" s="79"/>
      <c r="C181" s="51">
        <v>1</v>
      </c>
      <c r="D181" s="55">
        <f>(33.207+5.757+2.85)*(10.764)</f>
        <v>450.08589599999999</v>
      </c>
      <c r="E181" s="58">
        <v>0</v>
      </c>
      <c r="F181" s="58">
        <v>680</v>
      </c>
      <c r="G181" s="68"/>
      <c r="H181" s="69"/>
      <c r="I181" s="35"/>
    </row>
    <row r="182" spans="1:18" s="57" customFormat="1" ht="15.75" customHeight="1" x14ac:dyDescent="0.25">
      <c r="A182" s="77">
        <f t="shared" si="7"/>
        <v>509</v>
      </c>
      <c r="B182" s="79"/>
      <c r="C182" s="51">
        <v>1</v>
      </c>
      <c r="D182" s="55">
        <f>(36.204+5.206)*(10.764)</f>
        <v>445.73723999999999</v>
      </c>
      <c r="E182" s="58">
        <v>0</v>
      </c>
      <c r="F182" s="58">
        <v>670</v>
      </c>
      <c r="G182" s="70"/>
      <c r="H182" s="71"/>
      <c r="I182" s="35"/>
    </row>
    <row r="183" spans="1:18" s="36" customFormat="1" x14ac:dyDescent="0.25">
      <c r="A183" s="75" t="s">
        <v>211</v>
      </c>
      <c r="B183" s="75"/>
      <c r="C183" s="75"/>
      <c r="D183" s="75"/>
      <c r="E183" s="75"/>
      <c r="F183" s="75"/>
      <c r="G183" s="75"/>
      <c r="H183" s="75"/>
      <c r="I183" s="35"/>
      <c r="L183" s="76"/>
      <c r="M183" s="76"/>
    </row>
    <row r="184" spans="1:18" s="36" customFormat="1" ht="15.75" customHeight="1" x14ac:dyDescent="0.25">
      <c r="A184" s="65">
        <f>LEFT(A183,SUM(LEN(A183)-LEN(SUBSTITUTE(A183,{"0","1","2","3","4","5","6","7","8","9"},""))))*100+1</f>
        <v>801</v>
      </c>
      <c r="B184" s="65"/>
      <c r="C184" s="51">
        <v>1</v>
      </c>
      <c r="D184" s="55">
        <f>(37.381)*(10.764)</f>
        <v>402.36908399999999</v>
      </c>
      <c r="E184" s="41">
        <v>0</v>
      </c>
      <c r="F184" s="41">
        <v>585</v>
      </c>
      <c r="G184" s="66" t="str">
        <f>A183</f>
        <v>8th Floor (Part Refuge Area)</v>
      </c>
      <c r="H184" s="67"/>
      <c r="I184" s="35"/>
      <c r="N184" s="35"/>
      <c r="R184" s="36">
        <f>4000*F184</f>
        <v>2340000</v>
      </c>
    </row>
    <row r="185" spans="1:18" s="36" customFormat="1" x14ac:dyDescent="0.25">
      <c r="A185" s="65">
        <f t="shared" ref="A185:A192" si="8">A184+1</f>
        <v>802</v>
      </c>
      <c r="B185" s="65"/>
      <c r="C185" s="72" t="s">
        <v>212</v>
      </c>
      <c r="D185" s="73"/>
      <c r="E185" s="73"/>
      <c r="F185" s="74"/>
      <c r="G185" s="68"/>
      <c r="H185" s="69"/>
      <c r="I185" s="35"/>
      <c r="N185" s="35"/>
      <c r="R185" s="36">
        <f t="shared" ref="R185:R192" si="9">4000*F185</f>
        <v>0</v>
      </c>
    </row>
    <row r="186" spans="1:18" s="36" customFormat="1" x14ac:dyDescent="0.25">
      <c r="A186" s="65">
        <f t="shared" si="8"/>
        <v>803</v>
      </c>
      <c r="B186" s="65"/>
      <c r="C186" s="51">
        <v>3</v>
      </c>
      <c r="D186" s="55">
        <f>(61.04+3.28+10.322)*(10.764)</f>
        <v>803.44648799999993</v>
      </c>
      <c r="E186" s="41">
        <v>0</v>
      </c>
      <c r="F186" s="41">
        <v>1165</v>
      </c>
      <c r="G186" s="68"/>
      <c r="H186" s="69"/>
      <c r="I186" s="35"/>
      <c r="N186" s="35"/>
      <c r="P186" s="36">
        <v>1165</v>
      </c>
      <c r="Q186" s="36">
        <f t="shared" ref="Q186:Q192" si="10">P186/D186</f>
        <v>1.4500032265994547</v>
      </c>
      <c r="R186" s="36">
        <f t="shared" si="9"/>
        <v>4660000</v>
      </c>
    </row>
    <row r="187" spans="1:18" s="36" customFormat="1" x14ac:dyDescent="0.25">
      <c r="A187" s="65">
        <f t="shared" si="8"/>
        <v>804</v>
      </c>
      <c r="B187" s="65"/>
      <c r="C187" s="51">
        <v>2</v>
      </c>
      <c r="D187" s="55">
        <f>(53.001+3.36)*(10.764)</f>
        <v>606.66980399999989</v>
      </c>
      <c r="E187" s="41">
        <v>0</v>
      </c>
      <c r="F187" s="41">
        <v>880</v>
      </c>
      <c r="G187" s="68"/>
      <c r="H187" s="69"/>
      <c r="I187" s="35"/>
      <c r="N187" s="35"/>
      <c r="P187" s="36">
        <v>880</v>
      </c>
      <c r="Q187" s="36">
        <f t="shared" si="10"/>
        <v>1.4505419491753708</v>
      </c>
      <c r="R187" s="36">
        <f t="shared" si="9"/>
        <v>3520000</v>
      </c>
    </row>
    <row r="188" spans="1:18" s="36" customFormat="1" x14ac:dyDescent="0.25">
      <c r="A188" s="65">
        <f t="shared" si="8"/>
        <v>805</v>
      </c>
      <c r="B188" s="65"/>
      <c r="C188" s="51">
        <v>2</v>
      </c>
      <c r="D188" s="55">
        <f>(52.81+3.36)*(10.764)</f>
        <v>604.61387999999999</v>
      </c>
      <c r="E188" s="41">
        <v>0</v>
      </c>
      <c r="F188" s="41">
        <v>875</v>
      </c>
      <c r="G188" s="68"/>
      <c r="H188" s="69"/>
      <c r="I188" s="35"/>
      <c r="N188" s="35"/>
      <c r="P188" s="36">
        <v>875</v>
      </c>
      <c r="Q188" s="36">
        <f t="shared" si="10"/>
        <v>1.4472046192522077</v>
      </c>
      <c r="R188" s="36">
        <f t="shared" si="9"/>
        <v>3500000</v>
      </c>
    </row>
    <row r="189" spans="1:18" s="36" customFormat="1" x14ac:dyDescent="0.25">
      <c r="A189" s="65">
        <f t="shared" si="8"/>
        <v>806</v>
      </c>
      <c r="B189" s="65"/>
      <c r="C189" s="51">
        <v>2</v>
      </c>
      <c r="D189" s="55">
        <f>(54.08+3.425+11.608)*(10.764)</f>
        <v>743.93233199999997</v>
      </c>
      <c r="E189" s="41">
        <v>0</v>
      </c>
      <c r="F189" s="41">
        <v>1080</v>
      </c>
      <c r="G189" s="68"/>
      <c r="H189" s="69"/>
      <c r="I189" s="35"/>
      <c r="N189" s="35"/>
      <c r="P189" s="36">
        <v>1080</v>
      </c>
      <c r="Q189" s="36">
        <f t="shared" si="10"/>
        <v>1.4517449417697845</v>
      </c>
      <c r="R189" s="36">
        <f t="shared" si="9"/>
        <v>4320000</v>
      </c>
    </row>
    <row r="190" spans="1:18" s="36" customFormat="1" x14ac:dyDescent="0.25">
      <c r="A190" s="65">
        <f t="shared" si="8"/>
        <v>807</v>
      </c>
      <c r="B190" s="65"/>
      <c r="C190" s="51">
        <v>1</v>
      </c>
      <c r="D190" s="55">
        <f>(37.644+3.921)*(10.764)</f>
        <v>447.40565999999995</v>
      </c>
      <c r="E190" s="41">
        <v>0</v>
      </c>
      <c r="F190" s="41">
        <v>675</v>
      </c>
      <c r="G190" s="68"/>
      <c r="H190" s="69"/>
      <c r="I190" s="35"/>
      <c r="N190" s="35"/>
      <c r="P190" s="36">
        <v>675</v>
      </c>
      <c r="Q190" s="36">
        <f t="shared" si="10"/>
        <v>1.5086979453947902</v>
      </c>
      <c r="R190" s="36">
        <f t="shared" si="9"/>
        <v>2700000</v>
      </c>
    </row>
    <row r="191" spans="1:18" s="36" customFormat="1" x14ac:dyDescent="0.25">
      <c r="A191" s="65">
        <f t="shared" si="8"/>
        <v>808</v>
      </c>
      <c r="B191" s="65"/>
      <c r="C191" s="51">
        <v>1</v>
      </c>
      <c r="D191" s="55">
        <f>(33.207+5.757+2.85)*(10.764)</f>
        <v>450.08589599999999</v>
      </c>
      <c r="E191" s="41">
        <v>0</v>
      </c>
      <c r="F191" s="41">
        <v>680</v>
      </c>
      <c r="G191" s="68"/>
      <c r="H191" s="69"/>
      <c r="I191" s="35"/>
      <c r="N191" s="35"/>
      <c r="P191" s="36">
        <v>680</v>
      </c>
      <c r="Q191" s="36">
        <f t="shared" si="10"/>
        <v>1.5108227252693118</v>
      </c>
      <c r="R191" s="36">
        <f t="shared" si="9"/>
        <v>2720000</v>
      </c>
    </row>
    <row r="192" spans="1:18" s="36" customFormat="1" x14ac:dyDescent="0.25">
      <c r="A192" s="65">
        <f t="shared" si="8"/>
        <v>809</v>
      </c>
      <c r="B192" s="65"/>
      <c r="C192" s="51">
        <v>1</v>
      </c>
      <c r="D192" s="55">
        <f>(36.204+5.206)*(10.764)</f>
        <v>445.73723999999999</v>
      </c>
      <c r="E192" s="41">
        <v>0</v>
      </c>
      <c r="F192" s="41">
        <v>675</v>
      </c>
      <c r="G192" s="70"/>
      <c r="H192" s="71"/>
      <c r="I192" s="35"/>
      <c r="N192" s="35"/>
      <c r="P192" s="36">
        <v>675</v>
      </c>
      <c r="Q192" s="36">
        <f t="shared" si="10"/>
        <v>1.5143450881510372</v>
      </c>
      <c r="R192" s="36">
        <f t="shared" si="9"/>
        <v>2700000</v>
      </c>
    </row>
    <row r="193" spans="1:17" s="36" customFormat="1" x14ac:dyDescent="0.25">
      <c r="A193" s="75" t="s">
        <v>213</v>
      </c>
      <c r="B193" s="75"/>
      <c r="C193" s="75"/>
      <c r="D193" s="75"/>
      <c r="E193" s="75"/>
      <c r="F193" s="75"/>
      <c r="G193" s="75"/>
      <c r="H193" s="75"/>
      <c r="I193" s="35"/>
      <c r="L193" s="76"/>
      <c r="M193" s="76"/>
    </row>
    <row r="194" spans="1:17" s="36" customFormat="1" ht="15.75" customHeight="1" x14ac:dyDescent="0.25">
      <c r="A194" s="65">
        <f>LEFT(A193,SUM(LEN(A193)-LEN(SUBSTITUTE(A193,{"0","1","2","3","4","5","6","7","8","9"},""))))*100+1</f>
        <v>1301</v>
      </c>
      <c r="B194" s="65"/>
      <c r="C194" s="51">
        <v>1</v>
      </c>
      <c r="D194" s="55">
        <f>(37.381)*(10.764)</f>
        <v>402.36908399999999</v>
      </c>
      <c r="E194" s="41">
        <v>0</v>
      </c>
      <c r="F194" s="41">
        <v>585</v>
      </c>
      <c r="G194" s="66" t="str">
        <f>A193</f>
        <v>13th Floor (Part Refuge Area)</v>
      </c>
      <c r="H194" s="67"/>
      <c r="I194" s="35"/>
      <c r="N194" s="35"/>
    </row>
    <row r="195" spans="1:17" s="36" customFormat="1" x14ac:dyDescent="0.25">
      <c r="A195" s="65">
        <f t="shared" ref="A195:A202" si="11">A194+1</f>
        <v>1302</v>
      </c>
      <c r="B195" s="65"/>
      <c r="C195" s="72" t="s">
        <v>212</v>
      </c>
      <c r="D195" s="73"/>
      <c r="E195" s="73"/>
      <c r="F195" s="74"/>
      <c r="G195" s="68"/>
      <c r="H195" s="69"/>
      <c r="I195" s="35"/>
      <c r="N195" s="35"/>
    </row>
    <row r="196" spans="1:17" s="36" customFormat="1" ht="47.25" x14ac:dyDescent="0.25">
      <c r="A196" s="65">
        <f t="shared" si="11"/>
        <v>1303</v>
      </c>
      <c r="B196" s="65"/>
      <c r="C196" s="51" t="s">
        <v>214</v>
      </c>
      <c r="D196" s="55">
        <f>(82.627+9.873+11.295)*(10.764)</f>
        <v>1117.24938</v>
      </c>
      <c r="E196" s="55">
        <f>(3.025*3.35+6.25*4.475+1.95*1.325+2.95*1.1+2.198*1.413)*(10.764)</f>
        <v>506.30652633599982</v>
      </c>
      <c r="F196" s="36">
        <v>2102</v>
      </c>
      <c r="G196" s="68"/>
      <c r="H196" s="69"/>
      <c r="I196" s="35"/>
      <c r="J196" s="36">
        <f>2.525/1.6</f>
        <v>1.5781249999999998</v>
      </c>
      <c r="N196" s="35"/>
      <c r="P196" s="36">
        <v>2102</v>
      </c>
      <c r="Q196" s="36">
        <f>P196/(D196+E196)</f>
        <v>1.2946890167421097</v>
      </c>
    </row>
    <row r="197" spans="1:17" s="36" customFormat="1" x14ac:dyDescent="0.25">
      <c r="A197" s="65">
        <f t="shared" si="11"/>
        <v>1304</v>
      </c>
      <c r="B197" s="65"/>
      <c r="C197" s="51">
        <v>2</v>
      </c>
      <c r="D197" s="55">
        <f>(53.001+3.36)*(10.764)</f>
        <v>606.66980399999989</v>
      </c>
      <c r="E197" s="41">
        <v>0</v>
      </c>
      <c r="F197" s="41">
        <v>880</v>
      </c>
      <c r="G197" s="68"/>
      <c r="H197" s="69"/>
      <c r="I197" s="35"/>
      <c r="J197" s="36">
        <f>1.9*1.57</f>
        <v>2.9830000000000001</v>
      </c>
      <c r="N197" s="35"/>
      <c r="P197" s="36">
        <v>880</v>
      </c>
      <c r="Q197" s="36">
        <f t="shared" ref="Q197:Q202" si="12">P197/D197</f>
        <v>1.4505419491753708</v>
      </c>
    </row>
    <row r="198" spans="1:17" s="36" customFormat="1" x14ac:dyDescent="0.25">
      <c r="A198" s="65">
        <f t="shared" si="11"/>
        <v>1305</v>
      </c>
      <c r="B198" s="65"/>
      <c r="C198" s="51">
        <v>2</v>
      </c>
      <c r="D198" s="55">
        <f>(52.81+3.36)*(10.764)</f>
        <v>604.61387999999999</v>
      </c>
      <c r="E198" s="41">
        <v>0</v>
      </c>
      <c r="F198" s="41">
        <v>875</v>
      </c>
      <c r="G198" s="68"/>
      <c r="H198" s="69"/>
      <c r="I198" s="35"/>
      <c r="J198" s="36">
        <f>0.7*1.57</f>
        <v>1.099</v>
      </c>
      <c r="N198" s="35"/>
      <c r="P198" s="36">
        <v>875</v>
      </c>
      <c r="Q198" s="36">
        <f t="shared" si="12"/>
        <v>1.4472046192522077</v>
      </c>
    </row>
    <row r="199" spans="1:17" s="36" customFormat="1" ht="47.25" x14ac:dyDescent="0.25">
      <c r="A199" s="65">
        <f t="shared" si="11"/>
        <v>1306</v>
      </c>
      <c r="B199" s="65"/>
      <c r="C199" s="51" t="s">
        <v>214</v>
      </c>
      <c r="D199" s="55">
        <f>(97.413+10.65+10.518)*(10.764)</f>
        <v>1276.405884</v>
      </c>
      <c r="E199" s="55">
        <f>(2.725*3.35+3.25*2.975+1.225*1.5)*(10.764)</f>
        <v>222.11513999999997</v>
      </c>
      <c r="F199" s="36">
        <v>2276</v>
      </c>
      <c r="G199" s="68"/>
      <c r="H199" s="69"/>
      <c r="I199" s="35"/>
      <c r="J199" s="36">
        <f>1.4*1.57</f>
        <v>2.198</v>
      </c>
      <c r="N199" s="35"/>
      <c r="P199" s="36">
        <v>2276</v>
      </c>
      <c r="Q199" s="36">
        <f>P199/(D199+E199)</f>
        <v>1.5188308762760476</v>
      </c>
    </row>
    <row r="200" spans="1:17" s="36" customFormat="1" x14ac:dyDescent="0.25">
      <c r="A200" s="65">
        <f t="shared" si="11"/>
        <v>1307</v>
      </c>
      <c r="B200" s="65"/>
      <c r="C200" s="51">
        <v>1</v>
      </c>
      <c r="D200" s="55">
        <f>(37.644+3.921)*(10.764)</f>
        <v>447.40565999999995</v>
      </c>
      <c r="E200" s="41">
        <v>0</v>
      </c>
      <c r="F200" s="41">
        <v>675</v>
      </c>
      <c r="G200" s="68"/>
      <c r="H200" s="69"/>
      <c r="I200" s="35"/>
      <c r="J200" s="36">
        <f>0.9*1.57</f>
        <v>1.413</v>
      </c>
      <c r="N200" s="35"/>
      <c r="P200" s="36">
        <v>675</v>
      </c>
      <c r="Q200" s="36">
        <f t="shared" si="12"/>
        <v>1.5086979453947902</v>
      </c>
    </row>
    <row r="201" spans="1:17" s="36" customFormat="1" x14ac:dyDescent="0.25">
      <c r="A201" s="65">
        <f t="shared" si="11"/>
        <v>1308</v>
      </c>
      <c r="B201" s="65"/>
      <c r="C201" s="51">
        <v>1</v>
      </c>
      <c r="D201" s="55">
        <f>(33.207+5.757+2.85)*(10.764)</f>
        <v>450.08589599999999</v>
      </c>
      <c r="E201" s="41">
        <v>0</v>
      </c>
      <c r="F201" s="41">
        <v>680</v>
      </c>
      <c r="G201" s="68"/>
      <c r="H201" s="69"/>
      <c r="I201" s="35"/>
      <c r="N201" s="35"/>
      <c r="P201" s="36">
        <v>680</v>
      </c>
      <c r="Q201" s="36">
        <f t="shared" si="12"/>
        <v>1.5108227252693118</v>
      </c>
    </row>
    <row r="202" spans="1:17" s="36" customFormat="1" x14ac:dyDescent="0.25">
      <c r="A202" s="65">
        <f t="shared" si="11"/>
        <v>1309</v>
      </c>
      <c r="B202" s="65"/>
      <c r="C202" s="51">
        <v>1</v>
      </c>
      <c r="D202" s="55">
        <f>(36.204+5.206)*(10.764)</f>
        <v>445.73723999999999</v>
      </c>
      <c r="E202" s="41">
        <v>0</v>
      </c>
      <c r="F202" s="41">
        <v>670</v>
      </c>
      <c r="G202" s="70"/>
      <c r="H202" s="71"/>
      <c r="I202" s="35"/>
      <c r="N202" s="35"/>
      <c r="P202" s="36">
        <v>670</v>
      </c>
      <c r="Q202" s="36">
        <f t="shared" si="12"/>
        <v>1.5031277171276962</v>
      </c>
    </row>
    <row r="203" spans="1:17" s="36" customFormat="1" x14ac:dyDescent="0.25">
      <c r="A203" s="75" t="s">
        <v>215</v>
      </c>
      <c r="B203" s="75"/>
      <c r="C203" s="75"/>
      <c r="D203" s="75"/>
      <c r="E203" s="75"/>
      <c r="F203" s="75"/>
      <c r="G203" s="75"/>
      <c r="H203" s="75"/>
      <c r="I203" s="35"/>
      <c r="L203" s="76"/>
      <c r="M203" s="76"/>
    </row>
    <row r="204" spans="1:17" s="36" customFormat="1" x14ac:dyDescent="0.25">
      <c r="A204" s="65">
        <f>LEFT(A203,SUM(LEN(A203)-LEN(SUBSTITUTE(A203,{"0","1","2","3","4","5","6","7","8","9"},""))))*100+1</f>
        <v>1401</v>
      </c>
      <c r="B204" s="65"/>
      <c r="C204" s="51">
        <v>1</v>
      </c>
      <c r="D204" s="55">
        <f>(37.381)*(10.764)</f>
        <v>402.36908399999999</v>
      </c>
      <c r="E204" s="41">
        <v>0</v>
      </c>
      <c r="F204" s="41">
        <v>585</v>
      </c>
      <c r="G204" s="66" t="str">
        <f>A203</f>
        <v>14th Floor</v>
      </c>
      <c r="H204" s="67"/>
      <c r="I204" s="35"/>
      <c r="N204" s="35"/>
    </row>
    <row r="205" spans="1:17" s="36" customFormat="1" x14ac:dyDescent="0.25">
      <c r="A205" s="65">
        <f t="shared" ref="A205:A212" si="13">A204+1</f>
        <v>1402</v>
      </c>
      <c r="B205" s="65"/>
      <c r="C205" s="72" t="s">
        <v>216</v>
      </c>
      <c r="D205" s="73"/>
      <c r="E205" s="73">
        <v>0</v>
      </c>
      <c r="F205" s="74" t="e">
        <f>D205*((#REF!)+1)+(IF(E205&lt;101,E205,IF(E205&lt;201,E205/2,IF(E205&lt;=301,E205/3,E205/4))))</f>
        <v>#REF!</v>
      </c>
      <c r="G205" s="68"/>
      <c r="H205" s="69"/>
      <c r="I205" s="35"/>
      <c r="N205" s="35"/>
    </row>
    <row r="206" spans="1:17" s="36" customFormat="1" x14ac:dyDescent="0.25">
      <c r="A206" s="65">
        <f t="shared" si="13"/>
        <v>1403</v>
      </c>
      <c r="B206" s="65"/>
      <c r="C206" s="72" t="s">
        <v>217</v>
      </c>
      <c r="D206" s="73"/>
      <c r="E206" s="73">
        <v>0</v>
      </c>
      <c r="F206" s="74" t="e">
        <f>D206*((#REF!)+1)+(IF(E206&lt;101,E206,IF(E206&lt;201,E206/2,IF(E206&lt;=301,E206/3,E206/4))))</f>
        <v>#REF!</v>
      </c>
      <c r="G206" s="68"/>
      <c r="H206" s="69"/>
      <c r="I206" s="35"/>
      <c r="N206" s="35"/>
    </row>
    <row r="207" spans="1:17" s="36" customFormat="1" x14ac:dyDescent="0.25">
      <c r="A207" s="65">
        <f t="shared" si="13"/>
        <v>1404</v>
      </c>
      <c r="B207" s="65"/>
      <c r="C207" s="51">
        <v>2</v>
      </c>
      <c r="D207" s="55">
        <f>(53.001+3.36)*(10.764)</f>
        <v>606.66980399999989</v>
      </c>
      <c r="E207" s="41">
        <v>0</v>
      </c>
      <c r="F207" s="41">
        <v>880</v>
      </c>
      <c r="G207" s="68"/>
      <c r="H207" s="69"/>
      <c r="I207" s="35"/>
      <c r="N207" s="35"/>
    </row>
    <row r="208" spans="1:17" s="36" customFormat="1" x14ac:dyDescent="0.25">
      <c r="A208" s="65">
        <f t="shared" si="13"/>
        <v>1405</v>
      </c>
      <c r="B208" s="65"/>
      <c r="C208" s="51">
        <v>2</v>
      </c>
      <c r="D208" s="55">
        <f>(52.81+3.36)*(10.764)</f>
        <v>604.61387999999999</v>
      </c>
      <c r="E208" s="41">
        <v>0</v>
      </c>
      <c r="F208" s="41">
        <v>875</v>
      </c>
      <c r="G208" s="68"/>
      <c r="H208" s="69"/>
      <c r="I208" s="35"/>
      <c r="N208" s="35"/>
    </row>
    <row r="209" spans="1:17" s="36" customFormat="1" ht="15.75" customHeight="1" x14ac:dyDescent="0.25">
      <c r="A209" s="65">
        <f t="shared" si="13"/>
        <v>1406</v>
      </c>
      <c r="B209" s="65"/>
      <c r="C209" s="72" t="s">
        <v>217</v>
      </c>
      <c r="D209" s="73"/>
      <c r="E209" s="73">
        <v>0</v>
      </c>
      <c r="F209" s="74" t="e">
        <f>D209*((#REF!)+1)+(IF(E209&lt;101,E209,IF(E209&lt;201,E209/2,IF(E209&lt;=301,E209/3,E209/4))))</f>
        <v>#REF!</v>
      </c>
      <c r="G209" s="68"/>
      <c r="H209" s="69"/>
      <c r="I209" s="35"/>
      <c r="N209" s="35"/>
    </row>
    <row r="210" spans="1:17" s="36" customFormat="1" x14ac:dyDescent="0.25">
      <c r="A210" s="65">
        <f t="shared" si="13"/>
        <v>1407</v>
      </c>
      <c r="B210" s="65"/>
      <c r="C210" s="51">
        <v>1</v>
      </c>
      <c r="D210" s="55">
        <f>(37.644+3.921)*(10.764)</f>
        <v>447.40565999999995</v>
      </c>
      <c r="E210" s="41">
        <v>0</v>
      </c>
      <c r="F210" s="41">
        <v>675</v>
      </c>
      <c r="G210" s="68"/>
      <c r="H210" s="69"/>
      <c r="I210" s="35"/>
      <c r="N210" s="35"/>
    </row>
    <row r="211" spans="1:17" s="36" customFormat="1" x14ac:dyDescent="0.25">
      <c r="A211" s="65">
        <f t="shared" si="13"/>
        <v>1408</v>
      </c>
      <c r="B211" s="65"/>
      <c r="C211" s="51">
        <v>1</v>
      </c>
      <c r="D211" s="55">
        <f>(33.207+5.757+2.85)*(10.764)</f>
        <v>450.08589599999999</v>
      </c>
      <c r="E211" s="41">
        <v>0</v>
      </c>
      <c r="F211" s="41">
        <v>680</v>
      </c>
      <c r="G211" s="68"/>
      <c r="H211" s="69"/>
      <c r="I211" s="35"/>
      <c r="N211" s="35"/>
    </row>
    <row r="212" spans="1:17" s="36" customFormat="1" x14ac:dyDescent="0.25">
      <c r="A212" s="65">
        <f t="shared" si="13"/>
        <v>1409</v>
      </c>
      <c r="B212" s="65"/>
      <c r="C212" s="51">
        <v>1</v>
      </c>
      <c r="D212" s="55">
        <f>(36.204+5.206)*(10.764)</f>
        <v>445.73723999999999</v>
      </c>
      <c r="E212" s="41">
        <v>0</v>
      </c>
      <c r="F212" s="41">
        <v>670</v>
      </c>
      <c r="G212" s="70"/>
      <c r="H212" s="71"/>
      <c r="I212" s="35"/>
      <c r="N212" s="35"/>
    </row>
    <row r="213" spans="1:17" s="36" customFormat="1" x14ac:dyDescent="0.25">
      <c r="A213" s="80" t="s">
        <v>218</v>
      </c>
      <c r="B213" s="81"/>
      <c r="C213" s="81"/>
      <c r="D213" s="81"/>
      <c r="E213" s="81"/>
      <c r="F213" s="81"/>
      <c r="G213" s="81"/>
      <c r="H213" s="82"/>
      <c r="J213" s="35"/>
    </row>
    <row r="214" spans="1:17" s="36" customFormat="1" x14ac:dyDescent="0.25">
      <c r="A214" s="80" t="s">
        <v>220</v>
      </c>
      <c r="B214" s="81"/>
      <c r="C214" s="81"/>
      <c r="D214" s="81"/>
      <c r="E214" s="81"/>
      <c r="F214" s="81"/>
      <c r="G214" s="81"/>
      <c r="H214" s="82"/>
      <c r="J214" s="35"/>
    </row>
    <row r="215" spans="1:17" s="36" customFormat="1" x14ac:dyDescent="0.25">
      <c r="A215" s="75" t="s">
        <v>207</v>
      </c>
      <c r="B215" s="75"/>
      <c r="C215" s="75"/>
      <c r="D215" s="75"/>
      <c r="E215" s="75"/>
      <c r="F215" s="75"/>
      <c r="G215" s="75"/>
      <c r="H215" s="75"/>
      <c r="I215" s="35"/>
      <c r="L215" s="76"/>
      <c r="M215" s="76"/>
    </row>
    <row r="216" spans="1:17" s="36" customFormat="1" ht="15.75" customHeight="1" x14ac:dyDescent="0.25">
      <c r="A216" s="65">
        <f>LEFT(A215,SUM(LEN(A215)-LEN(SUBSTITUTE(A215,{"0","1","2","3","4","5","6","7","8","9"},""))))*100+1</f>
        <v>201</v>
      </c>
      <c r="B216" s="65"/>
      <c r="C216" s="77" t="s">
        <v>219</v>
      </c>
      <c r="D216" s="78"/>
      <c r="E216" s="78"/>
      <c r="F216" s="79"/>
      <c r="G216" s="66" t="str">
        <f>A215</f>
        <v>2nd Floor For Residential &amp; Part Amenities</v>
      </c>
      <c r="H216" s="67"/>
      <c r="I216" s="35"/>
      <c r="N216" s="35"/>
    </row>
    <row r="217" spans="1:17" s="36" customFormat="1" x14ac:dyDescent="0.25">
      <c r="A217" s="65">
        <f t="shared" ref="A217:A224" si="14">A216+1</f>
        <v>202</v>
      </c>
      <c r="B217" s="65"/>
      <c r="C217" s="51">
        <v>1</v>
      </c>
      <c r="D217" s="55">
        <f>(33.207+5.757)*(10.764)</f>
        <v>419.40849599999996</v>
      </c>
      <c r="E217" s="55">
        <f>(4.65*3.35+1.8*1.925)*(10.764)</f>
        <v>204.97347000000002</v>
      </c>
      <c r="F217" s="41">
        <v>770</v>
      </c>
      <c r="G217" s="68"/>
      <c r="H217" s="69"/>
      <c r="I217" s="35"/>
      <c r="N217" s="35"/>
      <c r="P217" s="36">
        <v>770</v>
      </c>
      <c r="Q217" s="36">
        <f>P217/(D217+E217/2)</f>
        <v>1.4753919067714187</v>
      </c>
    </row>
    <row r="218" spans="1:17" s="36" customFormat="1" x14ac:dyDescent="0.25">
      <c r="A218" s="65">
        <f t="shared" si="14"/>
        <v>203</v>
      </c>
      <c r="B218" s="65"/>
      <c r="C218" s="51">
        <v>1</v>
      </c>
      <c r="D218" s="55">
        <f>(37.644)*(10.764)</f>
        <v>405.20001599999995</v>
      </c>
      <c r="E218" s="55">
        <f>(2.925*3.625+2.525*1.3+3.025*0.75)*(10.764)</f>
        <v>173.88569249999998</v>
      </c>
      <c r="F218" s="41">
        <v>719</v>
      </c>
      <c r="G218" s="68"/>
      <c r="H218" s="69"/>
      <c r="I218" s="35"/>
      <c r="N218" s="35"/>
      <c r="P218" s="36">
        <v>719</v>
      </c>
      <c r="Q218" s="36">
        <f t="shared" ref="Q218:Q261" si="15">P218/(D218+E218/2)</f>
        <v>1.4609578948536301</v>
      </c>
    </row>
    <row r="219" spans="1:17" s="36" customFormat="1" x14ac:dyDescent="0.25">
      <c r="A219" s="65">
        <f t="shared" si="14"/>
        <v>204</v>
      </c>
      <c r="B219" s="65"/>
      <c r="C219" s="51">
        <v>2</v>
      </c>
      <c r="D219" s="55">
        <f>(54.08+3.425+6.179)*(10.764)</f>
        <v>685.49457599999994</v>
      </c>
      <c r="E219" s="55">
        <f>(2.675*2.975+2.75*0.75)*(10.764)</f>
        <v>107.86200749999998</v>
      </c>
      <c r="F219" s="41">
        <v>1113</v>
      </c>
      <c r="G219" s="68"/>
      <c r="H219" s="69"/>
      <c r="I219" s="35"/>
      <c r="N219" s="35"/>
      <c r="P219" s="36">
        <v>1113</v>
      </c>
      <c r="Q219" s="36">
        <f t="shared" si="15"/>
        <v>1.5052224733370811</v>
      </c>
    </row>
    <row r="220" spans="1:17" s="36" customFormat="1" x14ac:dyDescent="0.25">
      <c r="A220" s="65">
        <f t="shared" si="14"/>
        <v>205</v>
      </c>
      <c r="B220" s="65"/>
      <c r="C220" s="51">
        <v>2</v>
      </c>
      <c r="D220" s="55">
        <f>(50.16+2.95)*(10.764)</f>
        <v>571.67603999999994</v>
      </c>
      <c r="E220" s="55">
        <f>(3.4*2.4+1*0.6+1.2*2.075)*(10.764)</f>
        <v>121.095</v>
      </c>
      <c r="F220" s="41">
        <v>913</v>
      </c>
      <c r="G220" s="68"/>
      <c r="H220" s="69"/>
      <c r="I220" s="35"/>
      <c r="N220" s="35"/>
      <c r="P220" s="36">
        <v>913</v>
      </c>
      <c r="Q220" s="36">
        <f t="shared" si="15"/>
        <v>1.4441094679897557</v>
      </c>
    </row>
    <row r="221" spans="1:17" s="36" customFormat="1" x14ac:dyDescent="0.25">
      <c r="A221" s="65">
        <f t="shared" si="14"/>
        <v>206</v>
      </c>
      <c r="B221" s="65"/>
      <c r="C221" s="51">
        <v>2</v>
      </c>
      <c r="D221" s="55">
        <f>(50.304+2.95)*(10.764)</f>
        <v>573.22605599999997</v>
      </c>
      <c r="E221" s="55">
        <f>(3.4*2.4+1*0.6+1.2*2.075)*(10.764)</f>
        <v>121.095</v>
      </c>
      <c r="F221" s="41">
        <v>919</v>
      </c>
      <c r="G221" s="68"/>
      <c r="H221" s="69"/>
      <c r="I221" s="35"/>
      <c r="N221" s="35"/>
      <c r="P221" s="36">
        <v>919</v>
      </c>
      <c r="Q221" s="36">
        <f t="shared" si="15"/>
        <v>1.4500447222824804</v>
      </c>
    </row>
    <row r="222" spans="1:17" s="36" customFormat="1" x14ac:dyDescent="0.25">
      <c r="A222" s="65">
        <f t="shared" si="14"/>
        <v>207</v>
      </c>
      <c r="B222" s="65"/>
      <c r="C222" s="51">
        <v>2</v>
      </c>
      <c r="D222" s="55">
        <f>(51.316+3.28+5.536)*(10.764)</f>
        <v>647.26084800000001</v>
      </c>
      <c r="E222" s="55">
        <f>(2.525*2.975)*(10.764)</f>
        <v>80.857822499999997</v>
      </c>
      <c r="F222" s="41">
        <v>1032</v>
      </c>
      <c r="G222" s="68"/>
      <c r="H222" s="69"/>
      <c r="I222" s="35"/>
      <c r="N222" s="35"/>
      <c r="P222" s="36">
        <v>1032</v>
      </c>
      <c r="Q222" s="36">
        <f t="shared" si="15"/>
        <v>1.5006767021301983</v>
      </c>
    </row>
    <row r="223" spans="1:17" s="36" customFormat="1" x14ac:dyDescent="0.25">
      <c r="A223" s="65">
        <f t="shared" si="14"/>
        <v>208</v>
      </c>
      <c r="B223" s="65"/>
      <c r="C223" s="51">
        <v>1</v>
      </c>
      <c r="D223" s="55">
        <f>(38.022)*(10.764)</f>
        <v>409.26880799999998</v>
      </c>
      <c r="E223" s="55">
        <f>(2.925*3.025+2.6*0.6)*(10.764)</f>
        <v>112.0330575</v>
      </c>
      <c r="F223" s="41">
        <v>697</v>
      </c>
      <c r="G223" s="68"/>
      <c r="H223" s="69"/>
      <c r="I223" s="35"/>
      <c r="N223" s="35"/>
      <c r="P223" s="36">
        <v>697</v>
      </c>
      <c r="Q223" s="36">
        <f t="shared" si="15"/>
        <v>1.4980055139251065</v>
      </c>
    </row>
    <row r="224" spans="1:17" s="36" customFormat="1" x14ac:dyDescent="0.25">
      <c r="A224" s="65">
        <f t="shared" si="14"/>
        <v>209</v>
      </c>
      <c r="B224" s="65"/>
      <c r="C224" s="77" t="s">
        <v>221</v>
      </c>
      <c r="D224" s="78"/>
      <c r="E224" s="78"/>
      <c r="F224" s="79"/>
      <c r="G224" s="70"/>
      <c r="H224" s="71"/>
      <c r="I224" s="35"/>
      <c r="N224" s="35"/>
    </row>
    <row r="225" spans="1:17" s="36" customFormat="1" ht="15.75" customHeight="1" x14ac:dyDescent="0.25">
      <c r="A225" s="80" t="s">
        <v>210</v>
      </c>
      <c r="B225" s="81"/>
      <c r="C225" s="81"/>
      <c r="D225" s="81"/>
      <c r="E225" s="81"/>
      <c r="F225" s="81"/>
      <c r="G225" s="81"/>
      <c r="H225" s="82"/>
      <c r="I225" s="35"/>
      <c r="Q225" s="36" t="e">
        <f t="shared" si="15"/>
        <v>#DIV/0!</v>
      </c>
    </row>
    <row r="226" spans="1:17" s="36" customFormat="1" ht="15.75" customHeight="1" x14ac:dyDescent="0.25">
      <c r="A226" s="77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10^ROW(INDIRECT("1:"&amp;LEN((LEFT(A225,SUM(LEN(A225)-LEN(SUBSTITUTE(A225,{"0","1","2"},""))))))))/10))*100+1&amp;""&amp;"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",LEN(A225))),LEN(A225)))))))/10))*100+1</f>
        <v>301 ,.., 1201</v>
      </c>
      <c r="B226" s="79"/>
      <c r="C226" s="51">
        <v>1</v>
      </c>
      <c r="D226" s="55">
        <f>(36.204+5.206)*(10.764)</f>
        <v>445.73723999999999</v>
      </c>
      <c r="E226" s="41">
        <v>0</v>
      </c>
      <c r="F226" s="41">
        <v>675</v>
      </c>
      <c r="G226" s="66" t="str">
        <f>A225</f>
        <v>3rd to 7th &amp; 9th to 12th Floor</v>
      </c>
      <c r="H226" s="67"/>
      <c r="I226" s="35"/>
      <c r="P226" s="36">
        <v>675</v>
      </c>
      <c r="Q226" s="36">
        <f t="shared" si="15"/>
        <v>1.5143450881510372</v>
      </c>
    </row>
    <row r="227" spans="1:17" s="36" customFormat="1" ht="15.75" customHeight="1" x14ac:dyDescent="0.25">
      <c r="A227" s="77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,..,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302 ,.., 1202</v>
      </c>
      <c r="B227" s="79"/>
      <c r="C227" s="51">
        <v>1</v>
      </c>
      <c r="D227" s="55">
        <f>(33.207+5.757+2.85)*(10.764)</f>
        <v>450.08589599999999</v>
      </c>
      <c r="E227" s="41">
        <v>0</v>
      </c>
      <c r="F227" s="41">
        <v>680</v>
      </c>
      <c r="G227" s="68"/>
      <c r="H227" s="69"/>
      <c r="I227" s="35"/>
      <c r="P227" s="36">
        <v>680</v>
      </c>
      <c r="Q227" s="36">
        <f t="shared" si="15"/>
        <v>1.5108227252693118</v>
      </c>
    </row>
    <row r="228" spans="1:17" s="36" customFormat="1" ht="15.75" customHeight="1" x14ac:dyDescent="0.25">
      <c r="A228" s="77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,..,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303 ,.., 1203</v>
      </c>
      <c r="B228" s="79"/>
      <c r="C228" s="51">
        <v>1</v>
      </c>
      <c r="D228" s="55">
        <f>(37.642+3.921)*(10.764)</f>
        <v>447.38413200000002</v>
      </c>
      <c r="E228" s="41">
        <v>0</v>
      </c>
      <c r="F228" s="41">
        <v>675</v>
      </c>
      <c r="G228" s="68"/>
      <c r="H228" s="69"/>
      <c r="I228" s="35"/>
      <c r="P228" s="36">
        <v>675</v>
      </c>
      <c r="Q228" s="36">
        <f t="shared" si="15"/>
        <v>1.5087705435203052</v>
      </c>
    </row>
    <row r="229" spans="1:17" s="36" customFormat="1" ht="15.75" customHeight="1" x14ac:dyDescent="0.25">
      <c r="A229" s="77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,..,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304 ,.., 1204</v>
      </c>
      <c r="B229" s="79"/>
      <c r="C229" s="51">
        <v>2</v>
      </c>
      <c r="D229" s="55">
        <f>(54.08+3.425+11.608)*(10.764)</f>
        <v>743.93233199999997</v>
      </c>
      <c r="E229" s="41">
        <v>0</v>
      </c>
      <c r="F229" s="41">
        <v>1080</v>
      </c>
      <c r="G229" s="68"/>
      <c r="H229" s="69"/>
      <c r="I229" s="35"/>
      <c r="P229" s="36">
        <v>1080</v>
      </c>
      <c r="Q229" s="36">
        <f t="shared" si="15"/>
        <v>1.4517449417697845</v>
      </c>
    </row>
    <row r="230" spans="1:17" s="36" customFormat="1" ht="15.75" customHeight="1" x14ac:dyDescent="0.25">
      <c r="A230" s="77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,..,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305 ,.., 1205</v>
      </c>
      <c r="B230" s="79"/>
      <c r="C230" s="51">
        <v>2</v>
      </c>
      <c r="D230" s="55">
        <f>(50.16+2.95+3.36)*(10.764)</f>
        <v>607.84307999999999</v>
      </c>
      <c r="E230" s="41">
        <v>0</v>
      </c>
      <c r="F230" s="41">
        <v>880</v>
      </c>
      <c r="G230" s="68"/>
      <c r="H230" s="69"/>
      <c r="I230" s="35"/>
      <c r="P230" s="36">
        <v>880</v>
      </c>
      <c r="Q230" s="36">
        <f t="shared" si="15"/>
        <v>1.4477420718518339</v>
      </c>
    </row>
    <row r="231" spans="1:17" s="36" customFormat="1" ht="15.75" customHeight="1" x14ac:dyDescent="0.25">
      <c r="A231" s="77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,..,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306 ,.., 1206</v>
      </c>
      <c r="B231" s="79"/>
      <c r="C231" s="51">
        <v>2</v>
      </c>
      <c r="D231" s="55">
        <f>(50.304+2.95+2.76)*(10.764)</f>
        <v>602.93469600000003</v>
      </c>
      <c r="E231" s="41">
        <v>0</v>
      </c>
      <c r="F231" s="41">
        <v>875</v>
      </c>
      <c r="G231" s="68"/>
      <c r="H231" s="69"/>
      <c r="I231" s="35"/>
      <c r="P231" s="36">
        <v>875</v>
      </c>
      <c r="Q231" s="36">
        <f t="shared" si="15"/>
        <v>1.4512351102116703</v>
      </c>
    </row>
    <row r="232" spans="1:17" s="36" customFormat="1" ht="15.75" customHeight="1" x14ac:dyDescent="0.25">
      <c r="A232" s="77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,..,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307 ,.., 1207</v>
      </c>
      <c r="B232" s="79"/>
      <c r="C232" s="51">
        <v>2</v>
      </c>
      <c r="D232" s="55">
        <f>(51.316+3.28+10.965)*(10.764)</f>
        <v>705.69860400000005</v>
      </c>
      <c r="E232" s="41">
        <v>0</v>
      </c>
      <c r="F232" s="41">
        <v>1020</v>
      </c>
      <c r="G232" s="68"/>
      <c r="H232" s="69"/>
      <c r="I232" s="35"/>
      <c r="P232" s="36">
        <v>1020</v>
      </c>
      <c r="Q232" s="36">
        <f t="shared" si="15"/>
        <v>1.4453762473363203</v>
      </c>
    </row>
    <row r="233" spans="1:17" s="36" customFormat="1" ht="15.75" customHeight="1" x14ac:dyDescent="0.25">
      <c r="A233" s="77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308 ,.., 1208</v>
      </c>
      <c r="B233" s="79"/>
      <c r="C233" s="51">
        <v>1</v>
      </c>
      <c r="D233" s="55">
        <f>(38.022+4.461)*(10.764)</f>
        <v>457.28701199999995</v>
      </c>
      <c r="E233" s="41">
        <v>0</v>
      </c>
      <c r="F233" s="41">
        <v>685</v>
      </c>
      <c r="G233" s="68"/>
      <c r="H233" s="69"/>
      <c r="I233" s="35"/>
      <c r="P233" s="36">
        <v>685</v>
      </c>
      <c r="Q233" s="36">
        <f t="shared" si="15"/>
        <v>1.4979651335472437</v>
      </c>
    </row>
    <row r="234" spans="1:17" s="36" customFormat="1" ht="15.75" customHeight="1" x14ac:dyDescent="0.25">
      <c r="A234" s="77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309 ,.., 1209</v>
      </c>
      <c r="B234" s="79"/>
      <c r="C234" s="51">
        <v>1</v>
      </c>
      <c r="D234" s="55">
        <f>(37.381)*(10.764)</f>
        <v>402.36908399999999</v>
      </c>
      <c r="E234" s="41">
        <v>0</v>
      </c>
      <c r="F234" s="41">
        <v>585</v>
      </c>
      <c r="G234" s="70"/>
      <c r="H234" s="71"/>
      <c r="I234" s="35"/>
      <c r="P234" s="36">
        <v>585</v>
      </c>
      <c r="Q234" s="36">
        <f t="shared" si="15"/>
        <v>1.4538890368624842</v>
      </c>
    </row>
    <row r="235" spans="1:17" s="36" customFormat="1" x14ac:dyDescent="0.25">
      <c r="A235" s="75" t="s">
        <v>211</v>
      </c>
      <c r="B235" s="75"/>
      <c r="C235" s="75"/>
      <c r="D235" s="75"/>
      <c r="E235" s="75"/>
      <c r="F235" s="75"/>
      <c r="G235" s="75"/>
      <c r="H235" s="75"/>
      <c r="I235" s="35"/>
      <c r="L235" s="76"/>
      <c r="M235" s="76"/>
    </row>
    <row r="236" spans="1:17" s="36" customFormat="1" x14ac:dyDescent="0.25">
      <c r="A236" s="65">
        <f>LEFT(A235,SUM(LEN(A235)-LEN(SUBSTITUTE(A235,{"0","1","2","3","4","5","6","7","8","9"},""))))*100+1</f>
        <v>801</v>
      </c>
      <c r="B236" s="65"/>
      <c r="C236" s="51">
        <v>1</v>
      </c>
      <c r="D236" s="55">
        <f>(36.204+5.206)*(10.764)</f>
        <v>445.73723999999999</v>
      </c>
      <c r="E236" s="41">
        <v>0</v>
      </c>
      <c r="F236" s="41">
        <v>675</v>
      </c>
      <c r="G236" s="66" t="str">
        <f>A235</f>
        <v>8th Floor (Part Refuge Area)</v>
      </c>
      <c r="H236" s="67"/>
      <c r="I236" s="35"/>
      <c r="N236" s="35"/>
      <c r="P236" s="36">
        <v>675</v>
      </c>
      <c r="Q236" s="36">
        <f t="shared" si="15"/>
        <v>1.5143450881510372</v>
      </c>
    </row>
    <row r="237" spans="1:17" s="36" customFormat="1" x14ac:dyDescent="0.25">
      <c r="A237" s="65">
        <f t="shared" ref="A237:A244" si="16">A236+1</f>
        <v>802</v>
      </c>
      <c r="B237" s="65"/>
      <c r="C237" s="51">
        <v>1</v>
      </c>
      <c r="D237" s="55">
        <f>(33.207+5.757+2.85)*(10.764)</f>
        <v>450.08589599999999</v>
      </c>
      <c r="E237" s="41">
        <v>0</v>
      </c>
      <c r="F237" s="41">
        <v>680</v>
      </c>
      <c r="G237" s="68"/>
      <c r="H237" s="69"/>
      <c r="I237" s="35"/>
      <c r="N237" s="35"/>
      <c r="P237" s="36">
        <v>680</v>
      </c>
      <c r="Q237" s="36">
        <f t="shared" si="15"/>
        <v>1.5108227252693118</v>
      </c>
    </row>
    <row r="238" spans="1:17" s="36" customFormat="1" x14ac:dyDescent="0.25">
      <c r="A238" s="65">
        <f t="shared" si="16"/>
        <v>803</v>
      </c>
      <c r="B238" s="65"/>
      <c r="C238" s="51">
        <v>1</v>
      </c>
      <c r="D238" s="55">
        <f>(37.642+3.921)*(10.764)</f>
        <v>447.38413200000002</v>
      </c>
      <c r="E238" s="41">
        <v>0</v>
      </c>
      <c r="F238" s="41">
        <v>675</v>
      </c>
      <c r="G238" s="68"/>
      <c r="H238" s="69"/>
      <c r="I238" s="35"/>
      <c r="N238" s="35"/>
      <c r="P238" s="36">
        <v>675</v>
      </c>
      <c r="Q238" s="36">
        <f t="shared" si="15"/>
        <v>1.5087705435203052</v>
      </c>
    </row>
    <row r="239" spans="1:17" s="36" customFormat="1" x14ac:dyDescent="0.25">
      <c r="A239" s="65">
        <f t="shared" si="16"/>
        <v>804</v>
      </c>
      <c r="B239" s="65"/>
      <c r="C239" s="51">
        <v>2</v>
      </c>
      <c r="D239" s="55">
        <f>(54.08+3.425+11.608)*(10.764)</f>
        <v>743.93233199999997</v>
      </c>
      <c r="E239" s="41">
        <v>0</v>
      </c>
      <c r="F239" s="41">
        <v>1080</v>
      </c>
      <c r="G239" s="68"/>
      <c r="H239" s="69"/>
      <c r="I239" s="35"/>
      <c r="N239" s="35"/>
      <c r="P239" s="36">
        <v>1080</v>
      </c>
      <c r="Q239" s="36">
        <f t="shared" si="15"/>
        <v>1.4517449417697845</v>
      </c>
    </row>
    <row r="240" spans="1:17" s="36" customFormat="1" x14ac:dyDescent="0.25">
      <c r="A240" s="65">
        <f t="shared" si="16"/>
        <v>805</v>
      </c>
      <c r="B240" s="65"/>
      <c r="C240" s="51">
        <v>2</v>
      </c>
      <c r="D240" s="55">
        <f>(50.16+2.95+3.36)*(10.764)</f>
        <v>607.84307999999999</v>
      </c>
      <c r="E240" s="41">
        <v>0</v>
      </c>
      <c r="F240" s="41">
        <v>880</v>
      </c>
      <c r="G240" s="68"/>
      <c r="H240" s="69"/>
      <c r="I240" s="35"/>
      <c r="N240" s="35"/>
      <c r="P240" s="36">
        <v>880</v>
      </c>
      <c r="Q240" s="36">
        <f t="shared" si="15"/>
        <v>1.4477420718518339</v>
      </c>
    </row>
    <row r="241" spans="1:17" s="36" customFormat="1" x14ac:dyDescent="0.25">
      <c r="A241" s="65">
        <f t="shared" si="16"/>
        <v>806</v>
      </c>
      <c r="B241" s="65"/>
      <c r="C241" s="51">
        <v>2</v>
      </c>
      <c r="D241" s="55">
        <f>(50.304+2.95+2.76)*(10.764)</f>
        <v>602.93469600000003</v>
      </c>
      <c r="E241" s="41">
        <v>0</v>
      </c>
      <c r="F241" s="41">
        <v>875</v>
      </c>
      <c r="G241" s="68"/>
      <c r="H241" s="69"/>
      <c r="I241" s="35"/>
      <c r="N241" s="35"/>
      <c r="P241" s="36">
        <v>875</v>
      </c>
      <c r="Q241" s="36">
        <f t="shared" si="15"/>
        <v>1.4512351102116703</v>
      </c>
    </row>
    <row r="242" spans="1:17" s="36" customFormat="1" x14ac:dyDescent="0.25">
      <c r="A242" s="65">
        <f t="shared" si="16"/>
        <v>807</v>
      </c>
      <c r="B242" s="65"/>
      <c r="C242" s="51">
        <v>3</v>
      </c>
      <c r="D242" s="55">
        <f>(61.952+3.28+10.965)*(10.764)</f>
        <v>820.18450799999994</v>
      </c>
      <c r="E242" s="41">
        <v>0</v>
      </c>
      <c r="F242" s="41">
        <v>1190</v>
      </c>
      <c r="G242" s="68"/>
      <c r="H242" s="69"/>
      <c r="I242" s="35"/>
      <c r="N242" s="35"/>
      <c r="P242" s="36">
        <v>1190</v>
      </c>
      <c r="Q242" s="36">
        <f t="shared" si="15"/>
        <v>1.4508930471044694</v>
      </c>
    </row>
    <row r="243" spans="1:17" s="36" customFormat="1" x14ac:dyDescent="0.25">
      <c r="A243" s="65">
        <f t="shared" si="16"/>
        <v>808</v>
      </c>
      <c r="B243" s="65"/>
      <c r="C243" s="77" t="s">
        <v>212</v>
      </c>
      <c r="D243" s="78"/>
      <c r="E243" s="78"/>
      <c r="F243" s="79"/>
      <c r="G243" s="68"/>
      <c r="H243" s="69"/>
      <c r="I243" s="35"/>
      <c r="N243" s="35"/>
      <c r="Q243" s="36" t="e">
        <f t="shared" si="15"/>
        <v>#DIV/0!</v>
      </c>
    </row>
    <row r="244" spans="1:17" s="36" customFormat="1" x14ac:dyDescent="0.25">
      <c r="A244" s="65">
        <f t="shared" si="16"/>
        <v>809</v>
      </c>
      <c r="B244" s="65"/>
      <c r="C244" s="51">
        <v>1</v>
      </c>
      <c r="D244" s="55">
        <f>(37.381)*(10.764)</f>
        <v>402.36908399999999</v>
      </c>
      <c r="E244" s="41">
        <v>0</v>
      </c>
      <c r="F244" s="41">
        <v>585</v>
      </c>
      <c r="G244" s="70"/>
      <c r="H244" s="71"/>
      <c r="I244" s="35"/>
      <c r="N244" s="35"/>
      <c r="P244" s="36">
        <v>585</v>
      </c>
      <c r="Q244" s="36">
        <f t="shared" si="15"/>
        <v>1.4538890368624842</v>
      </c>
    </row>
    <row r="245" spans="1:17" s="36" customFormat="1" x14ac:dyDescent="0.25">
      <c r="A245" s="75" t="s">
        <v>213</v>
      </c>
      <c r="B245" s="75"/>
      <c r="C245" s="75"/>
      <c r="D245" s="75"/>
      <c r="E245" s="75"/>
      <c r="F245" s="75"/>
      <c r="G245" s="75"/>
      <c r="H245" s="75"/>
      <c r="I245" s="35"/>
      <c r="L245" s="76"/>
      <c r="M245" s="76"/>
    </row>
    <row r="246" spans="1:17" s="36" customFormat="1" x14ac:dyDescent="0.25">
      <c r="A246" s="65">
        <f>LEFT(A245,SUM(LEN(A245)-LEN(SUBSTITUTE(A245,{"0","1","2","3","4","5","6","7","8","9"},""))))*100+1</f>
        <v>1301</v>
      </c>
      <c r="B246" s="65"/>
      <c r="C246" s="51">
        <v>1</v>
      </c>
      <c r="D246" s="55">
        <f>(36.204+5.206)*(10.764)</f>
        <v>445.73723999999999</v>
      </c>
      <c r="E246" s="41">
        <v>0</v>
      </c>
      <c r="F246" s="41">
        <v>675</v>
      </c>
      <c r="G246" s="66" t="str">
        <f>A245</f>
        <v>13th Floor (Part Refuge Area)</v>
      </c>
      <c r="H246" s="67"/>
      <c r="I246" s="35"/>
      <c r="N246" s="35"/>
      <c r="P246" s="36">
        <v>675</v>
      </c>
      <c r="Q246" s="36">
        <f t="shared" si="15"/>
        <v>1.5143450881510372</v>
      </c>
    </row>
    <row r="247" spans="1:17" s="36" customFormat="1" x14ac:dyDescent="0.25">
      <c r="A247" s="65">
        <f t="shared" ref="A247:A254" si="17">A246+1</f>
        <v>1302</v>
      </c>
      <c r="B247" s="65"/>
      <c r="C247" s="51">
        <v>1</v>
      </c>
      <c r="D247" s="55">
        <f>(33.207+5.757+2.85)*(10.764)</f>
        <v>450.08589599999999</v>
      </c>
      <c r="E247" s="41">
        <v>0</v>
      </c>
      <c r="F247" s="41">
        <v>680</v>
      </c>
      <c r="G247" s="68"/>
      <c r="H247" s="69"/>
      <c r="I247" s="35"/>
      <c r="N247" s="35"/>
      <c r="P247" s="36">
        <v>680</v>
      </c>
      <c r="Q247" s="36">
        <f t="shared" si="15"/>
        <v>1.5108227252693118</v>
      </c>
    </row>
    <row r="248" spans="1:17" s="36" customFormat="1" x14ac:dyDescent="0.25">
      <c r="A248" s="65">
        <f t="shared" si="17"/>
        <v>1303</v>
      </c>
      <c r="B248" s="65"/>
      <c r="C248" s="51">
        <v>1</v>
      </c>
      <c r="D248" s="55">
        <f>(37.642+3.921)*(10.764)</f>
        <v>447.38413200000002</v>
      </c>
      <c r="E248" s="41">
        <v>0</v>
      </c>
      <c r="F248" s="41">
        <v>675</v>
      </c>
      <c r="G248" s="68"/>
      <c r="H248" s="69"/>
      <c r="I248" s="35"/>
      <c r="N248" s="35"/>
      <c r="P248" s="36">
        <v>675</v>
      </c>
      <c r="Q248" s="36">
        <f t="shared" si="15"/>
        <v>1.5087705435203052</v>
      </c>
    </row>
    <row r="249" spans="1:17" s="36" customFormat="1" ht="47.25" x14ac:dyDescent="0.25">
      <c r="A249" s="65">
        <f t="shared" si="17"/>
        <v>1304</v>
      </c>
      <c r="B249" s="65"/>
      <c r="C249" s="51" t="s">
        <v>214</v>
      </c>
      <c r="D249" s="55">
        <f>(97.413+10.65+10.518)*(10.764)</f>
        <v>1276.405884</v>
      </c>
      <c r="E249" s="55">
        <f>(2.725*3.35+3.25*2.975+1.225*1.5)*(10.764)</f>
        <v>222.11513999999997</v>
      </c>
      <c r="F249" s="41">
        <v>2267</v>
      </c>
      <c r="G249" s="68"/>
      <c r="H249" s="69"/>
      <c r="I249" s="35"/>
      <c r="N249" s="35"/>
      <c r="P249" s="36">
        <v>2267</v>
      </c>
      <c r="Q249" s="36">
        <f t="shared" si="15"/>
        <v>1.6339169103620945</v>
      </c>
    </row>
    <row r="250" spans="1:17" s="36" customFormat="1" x14ac:dyDescent="0.25">
      <c r="A250" s="65">
        <f t="shared" si="17"/>
        <v>1305</v>
      </c>
      <c r="B250" s="65"/>
      <c r="C250" s="51">
        <v>2</v>
      </c>
      <c r="D250" s="55">
        <f>(50.16+2.95+3.36)*(10.764)</f>
        <v>607.84307999999999</v>
      </c>
      <c r="E250" s="41">
        <v>0</v>
      </c>
      <c r="F250" s="41">
        <v>880</v>
      </c>
      <c r="G250" s="68"/>
      <c r="H250" s="69"/>
      <c r="I250" s="35"/>
      <c r="N250" s="35"/>
      <c r="P250" s="36">
        <v>880</v>
      </c>
      <c r="Q250" s="36">
        <f t="shared" si="15"/>
        <v>1.4477420718518339</v>
      </c>
    </row>
    <row r="251" spans="1:17" s="36" customFormat="1" x14ac:dyDescent="0.25">
      <c r="A251" s="65">
        <f t="shared" si="17"/>
        <v>1306</v>
      </c>
      <c r="B251" s="65"/>
      <c r="C251" s="51">
        <v>2</v>
      </c>
      <c r="D251" s="55">
        <f>(50.304+2.95+2.76)*(10.764)</f>
        <v>602.93469600000003</v>
      </c>
      <c r="E251" s="41">
        <v>0</v>
      </c>
      <c r="F251" s="41">
        <v>875</v>
      </c>
      <c r="G251" s="68"/>
      <c r="H251" s="69"/>
      <c r="I251" s="35"/>
      <c r="J251" s="36">
        <f>0.7*1.57</f>
        <v>1.099</v>
      </c>
      <c r="K251" s="36">
        <f>2.525-1.1</f>
        <v>1.4249999999999998</v>
      </c>
      <c r="L251" s="36">
        <f>0.9*1.57</f>
        <v>1.413</v>
      </c>
      <c r="M251" s="36">
        <f>1.2*1.57</f>
        <v>1.8839999999999999</v>
      </c>
      <c r="N251" s="35"/>
      <c r="P251" s="36">
        <v>2267</v>
      </c>
      <c r="Q251" s="36">
        <f t="shared" si="15"/>
        <v>3.7599428512569792</v>
      </c>
    </row>
    <row r="252" spans="1:17" s="36" customFormat="1" ht="47.25" x14ac:dyDescent="0.25">
      <c r="A252" s="65">
        <f t="shared" si="17"/>
        <v>1307</v>
      </c>
      <c r="B252" s="65"/>
      <c r="C252" s="51" t="s">
        <v>214</v>
      </c>
      <c r="D252" s="55">
        <f>(83.687+10.33+12.068)*(10.764)</f>
        <v>1141.8989399999998</v>
      </c>
      <c r="E252" s="55">
        <f>(3.025*3.35+6.55*4.475+1.95*1.325+3.075*1.1+1.42*1.88)*(10.764)</f>
        <v>517.5422693999999</v>
      </c>
      <c r="F252" s="41">
        <v>2141</v>
      </c>
      <c r="G252" s="68"/>
      <c r="H252" s="69"/>
      <c r="I252" s="35"/>
      <c r="N252" s="35"/>
      <c r="P252" s="36">
        <v>880</v>
      </c>
      <c r="Q252" s="36">
        <f t="shared" si="15"/>
        <v>0.62827072263143868</v>
      </c>
    </row>
    <row r="253" spans="1:17" s="36" customFormat="1" x14ac:dyDescent="0.25">
      <c r="A253" s="65">
        <f t="shared" si="17"/>
        <v>1308</v>
      </c>
      <c r="B253" s="65"/>
      <c r="C253" s="72" t="s">
        <v>212</v>
      </c>
      <c r="D253" s="73"/>
      <c r="E253" s="73"/>
      <c r="F253" s="74"/>
      <c r="G253" s="68"/>
      <c r="H253" s="69"/>
      <c r="I253" s="35"/>
      <c r="J253" s="36">
        <f>2.75*1.57</f>
        <v>4.3174999999999999</v>
      </c>
      <c r="N253" s="35"/>
      <c r="P253" s="36">
        <v>875</v>
      </c>
      <c r="Q253" s="36" t="e">
        <f t="shared" si="15"/>
        <v>#DIV/0!</v>
      </c>
    </row>
    <row r="254" spans="1:17" s="36" customFormat="1" x14ac:dyDescent="0.25">
      <c r="A254" s="65">
        <f t="shared" si="17"/>
        <v>1309</v>
      </c>
      <c r="B254" s="65"/>
      <c r="C254" s="51">
        <v>1</v>
      </c>
      <c r="D254" s="55">
        <f>(37.381)*(10.764)</f>
        <v>402.36908399999999</v>
      </c>
      <c r="E254" s="41">
        <v>0</v>
      </c>
      <c r="F254" s="41">
        <v>585</v>
      </c>
      <c r="G254" s="70"/>
      <c r="H254" s="71"/>
      <c r="I254" s="35"/>
      <c r="N254" s="35"/>
    </row>
    <row r="255" spans="1:17" s="36" customFormat="1" x14ac:dyDescent="0.25">
      <c r="A255" s="75" t="s">
        <v>215</v>
      </c>
      <c r="B255" s="75"/>
      <c r="C255" s="75"/>
      <c r="D255" s="75"/>
      <c r="E255" s="75"/>
      <c r="F255" s="75"/>
      <c r="G255" s="75"/>
      <c r="H255" s="75"/>
      <c r="I255" s="35"/>
      <c r="L255" s="76"/>
      <c r="M255" s="76"/>
    </row>
    <row r="256" spans="1:17" s="36" customFormat="1" x14ac:dyDescent="0.25">
      <c r="A256" s="65">
        <f>LEFT(A255,SUM(LEN(A255)-LEN(SUBSTITUTE(A255,{"0","1","2","3","4","5","6","7","8","9"},""))))*100+1</f>
        <v>1401</v>
      </c>
      <c r="B256" s="65"/>
      <c r="C256" s="51">
        <v>1</v>
      </c>
      <c r="D256" s="55">
        <f>(36.204+5.206)*(10.764)</f>
        <v>445.73723999999999</v>
      </c>
      <c r="E256" s="41">
        <v>0</v>
      </c>
      <c r="F256" s="41">
        <v>675</v>
      </c>
      <c r="G256" s="66" t="str">
        <f>A255</f>
        <v>14th Floor</v>
      </c>
      <c r="H256" s="67"/>
      <c r="I256" s="35"/>
      <c r="N256" s="35"/>
      <c r="P256" s="36">
        <v>675</v>
      </c>
      <c r="Q256" s="36">
        <f t="shared" si="15"/>
        <v>1.5143450881510372</v>
      </c>
    </row>
    <row r="257" spans="1:17" s="36" customFormat="1" x14ac:dyDescent="0.25">
      <c r="A257" s="65">
        <f t="shared" ref="A257:A264" si="18">A256+1</f>
        <v>1402</v>
      </c>
      <c r="B257" s="65"/>
      <c r="C257" s="51">
        <v>1</v>
      </c>
      <c r="D257" s="55">
        <f>(33.207+5.757+2.85)*(10.764)</f>
        <v>450.08589599999999</v>
      </c>
      <c r="E257" s="41">
        <v>0</v>
      </c>
      <c r="F257" s="41">
        <v>680</v>
      </c>
      <c r="G257" s="68"/>
      <c r="H257" s="69"/>
      <c r="I257" s="35"/>
      <c r="N257" s="35"/>
      <c r="P257" s="36">
        <v>680</v>
      </c>
      <c r="Q257" s="36">
        <f t="shared" si="15"/>
        <v>1.5108227252693118</v>
      </c>
    </row>
    <row r="258" spans="1:17" s="36" customFormat="1" x14ac:dyDescent="0.25">
      <c r="A258" s="65">
        <f t="shared" si="18"/>
        <v>1403</v>
      </c>
      <c r="B258" s="65"/>
      <c r="C258" s="51">
        <v>1</v>
      </c>
      <c r="D258" s="55">
        <f>(37.642+3.921)*(10.764)</f>
        <v>447.38413200000002</v>
      </c>
      <c r="E258" s="41">
        <v>0</v>
      </c>
      <c r="F258" s="41">
        <v>675</v>
      </c>
      <c r="G258" s="68"/>
      <c r="H258" s="69"/>
      <c r="I258" s="35"/>
      <c r="N258" s="35"/>
      <c r="P258" s="36">
        <v>675</v>
      </c>
      <c r="Q258" s="36">
        <f t="shared" si="15"/>
        <v>1.5087705435203052</v>
      </c>
    </row>
    <row r="259" spans="1:17" s="36" customFormat="1" x14ac:dyDescent="0.25">
      <c r="A259" s="65">
        <f t="shared" si="18"/>
        <v>1404</v>
      </c>
      <c r="B259" s="65"/>
      <c r="C259" s="72" t="s">
        <v>217</v>
      </c>
      <c r="D259" s="73"/>
      <c r="E259" s="73">
        <v>0</v>
      </c>
      <c r="F259" s="74" t="e">
        <f>D259*((#REF!)+1)+(IF(E259&lt;101,E259,IF(E259&lt;201,E259/2,IF(E259&lt;=301,E259/3,E259/4))))</f>
        <v>#REF!</v>
      </c>
      <c r="G259" s="68"/>
      <c r="H259" s="69"/>
      <c r="I259" s="35"/>
      <c r="N259" s="35"/>
      <c r="Q259" s="36" t="e">
        <f t="shared" si="15"/>
        <v>#DIV/0!</v>
      </c>
    </row>
    <row r="260" spans="1:17" s="36" customFormat="1" x14ac:dyDescent="0.25">
      <c r="A260" s="65">
        <f t="shared" si="18"/>
        <v>1405</v>
      </c>
      <c r="B260" s="65"/>
      <c r="C260" s="51">
        <v>2</v>
      </c>
      <c r="D260" s="55">
        <f>(50.16+2.95+3.36)*(10.764)</f>
        <v>607.84307999999999</v>
      </c>
      <c r="E260" s="41">
        <v>0</v>
      </c>
      <c r="F260" s="41">
        <v>880</v>
      </c>
      <c r="G260" s="68"/>
      <c r="H260" s="69"/>
      <c r="I260" s="35"/>
      <c r="N260" s="35"/>
      <c r="P260" s="36">
        <v>880</v>
      </c>
      <c r="Q260" s="36">
        <f t="shared" si="15"/>
        <v>1.4477420718518339</v>
      </c>
    </row>
    <row r="261" spans="1:17" s="36" customFormat="1" x14ac:dyDescent="0.25">
      <c r="A261" s="65">
        <f t="shared" si="18"/>
        <v>1406</v>
      </c>
      <c r="B261" s="65"/>
      <c r="C261" s="51">
        <v>2</v>
      </c>
      <c r="D261" s="55">
        <f>(50.304+2.95+2.76)*(10.764)</f>
        <v>602.93469600000003</v>
      </c>
      <c r="E261" s="41">
        <v>0</v>
      </c>
      <c r="F261" s="41">
        <v>875</v>
      </c>
      <c r="G261" s="68"/>
      <c r="H261" s="69"/>
      <c r="I261" s="35"/>
      <c r="N261" s="35"/>
      <c r="P261" s="36">
        <v>875</v>
      </c>
      <c r="Q261" s="36">
        <f t="shared" si="15"/>
        <v>1.4512351102116703</v>
      </c>
    </row>
    <row r="262" spans="1:17" s="36" customFormat="1" ht="15.75" customHeight="1" x14ac:dyDescent="0.25">
      <c r="A262" s="65">
        <f t="shared" si="18"/>
        <v>1407</v>
      </c>
      <c r="B262" s="65"/>
      <c r="C262" s="72" t="s">
        <v>217</v>
      </c>
      <c r="D262" s="73"/>
      <c r="E262" s="73">
        <v>0</v>
      </c>
      <c r="F262" s="74" t="e">
        <f>D262*((#REF!)+1)+(IF(E262&lt;101,E262,IF(E262&lt;201,E262/2,IF(E262&lt;=301,E262/3,E262/4))))</f>
        <v>#REF!</v>
      </c>
      <c r="G262" s="68"/>
      <c r="H262" s="69"/>
      <c r="I262" s="35"/>
      <c r="N262" s="35"/>
    </row>
    <row r="263" spans="1:17" s="36" customFormat="1" ht="15.75" customHeight="1" x14ac:dyDescent="0.25">
      <c r="A263" s="65">
        <f t="shared" si="18"/>
        <v>1408</v>
      </c>
      <c r="B263" s="65"/>
      <c r="C263" s="72" t="s">
        <v>216</v>
      </c>
      <c r="D263" s="73"/>
      <c r="E263" s="73">
        <v>0</v>
      </c>
      <c r="F263" s="74" t="e">
        <f>D263*((#REF!)+1)+(IF(E263&lt;101,E263,IF(E263&lt;201,E263/2,IF(E263&lt;=301,E263/3,E263/4))))</f>
        <v>#REF!</v>
      </c>
      <c r="G263" s="68"/>
      <c r="H263" s="69"/>
      <c r="I263" s="35"/>
      <c r="N263" s="35"/>
    </row>
    <row r="264" spans="1:17" s="36" customFormat="1" x14ac:dyDescent="0.25">
      <c r="A264" s="65">
        <f t="shared" si="18"/>
        <v>1409</v>
      </c>
      <c r="B264" s="65"/>
      <c r="C264" s="51">
        <v>1</v>
      </c>
      <c r="D264" s="55">
        <f>(37.381)*(10.764)</f>
        <v>402.36908399999999</v>
      </c>
      <c r="E264" s="41">
        <v>0</v>
      </c>
      <c r="F264" s="41">
        <v>585</v>
      </c>
      <c r="G264" s="70"/>
      <c r="H264" s="71"/>
      <c r="I264" s="35"/>
      <c r="N264" s="35"/>
      <c r="Q264" s="36">
        <v>585</v>
      </c>
    </row>
    <row r="265" spans="1:17" s="36" customFormat="1" hidden="1" x14ac:dyDescent="0.25">
      <c r="A265" s="80" t="s">
        <v>124</v>
      </c>
      <c r="B265" s="81"/>
      <c r="C265" s="81"/>
      <c r="D265" s="81"/>
      <c r="E265" s="81"/>
      <c r="F265" s="81"/>
      <c r="G265" s="81"/>
      <c r="H265" s="82"/>
      <c r="J265" s="35"/>
    </row>
    <row r="266" spans="1:17" s="36" customFormat="1" ht="15.75" hidden="1" customHeight="1" x14ac:dyDescent="0.25">
      <c r="A266" s="77">
        <v>1</v>
      </c>
      <c r="B266" s="79"/>
      <c r="C266" s="51"/>
      <c r="D266" s="41"/>
      <c r="E266" s="41">
        <v>0</v>
      </c>
      <c r="F266" s="41" t="e">
        <f>D266*((#REF!)+1)+(IF(E266&lt;101,E266,IF(E266&lt;201,E266/2,IF(E266&lt;=301,E266/3,E266/4))))</f>
        <v>#REF!</v>
      </c>
      <c r="G266" s="66" t="str">
        <f>A265</f>
        <v>Ground Floor</v>
      </c>
      <c r="H266" s="67"/>
      <c r="I266" s="35"/>
      <c r="L266" s="76"/>
      <c r="M266" s="76"/>
      <c r="N266" s="35"/>
    </row>
    <row r="267" spans="1:17" s="36" customFormat="1" ht="15.75" hidden="1" customHeight="1" x14ac:dyDescent="0.25">
      <c r="A267" s="77">
        <f t="shared" ref="A267:A269" si="19">A266+1</f>
        <v>2</v>
      </c>
      <c r="B267" s="79"/>
      <c r="C267" s="51"/>
      <c r="D267" s="41"/>
      <c r="E267" s="41">
        <v>0</v>
      </c>
      <c r="F267" s="41" t="e">
        <f>D267*((#REF!)+1)+(IF(E267&lt;101,E267,IF(E267&lt;201,E267/2,IF(E267&lt;=301,E267/3,E267/4))))</f>
        <v>#REF!</v>
      </c>
      <c r="G267" s="68"/>
      <c r="H267" s="69"/>
      <c r="I267" s="35"/>
      <c r="L267" s="76"/>
      <c r="M267" s="76"/>
      <c r="N267" s="35"/>
    </row>
    <row r="268" spans="1:17" s="36" customFormat="1" ht="15.75" hidden="1" customHeight="1" x14ac:dyDescent="0.25">
      <c r="A268" s="77">
        <f t="shared" si="19"/>
        <v>3</v>
      </c>
      <c r="B268" s="79"/>
      <c r="C268" s="51"/>
      <c r="D268" s="41"/>
      <c r="E268" s="41">
        <v>0</v>
      </c>
      <c r="F268" s="41" t="e">
        <f>D268*((#REF!)+1)+(IF(E268&lt;101,E268,IF(E268&lt;201,E268/2,IF(E268&lt;=301,E268/3,E268/4))))</f>
        <v>#REF!</v>
      </c>
      <c r="G268" s="68"/>
      <c r="H268" s="69"/>
      <c r="I268" s="35"/>
      <c r="L268" s="76"/>
      <c r="M268" s="76"/>
      <c r="N268" s="35"/>
    </row>
    <row r="269" spans="1:17" s="36" customFormat="1" ht="15.75" hidden="1" customHeight="1" x14ac:dyDescent="0.25">
      <c r="A269" s="77">
        <f t="shared" si="19"/>
        <v>4</v>
      </c>
      <c r="B269" s="79"/>
      <c r="C269" s="51"/>
      <c r="D269" s="41"/>
      <c r="E269" s="41">
        <v>0</v>
      </c>
      <c r="F269" s="41" t="e">
        <f>D269*((#REF!)+1)+(IF(E269&lt;101,E269,IF(E269&lt;201,E269/2,IF(E269&lt;=301,E269/3,E269/4))))</f>
        <v>#REF!</v>
      </c>
      <c r="G269" s="70"/>
      <c r="H269" s="71"/>
      <c r="I269" s="35"/>
      <c r="L269" s="76"/>
      <c r="M269" s="76"/>
      <c r="N269" s="35"/>
    </row>
    <row r="270" spans="1:17" s="36" customFormat="1" hidden="1" x14ac:dyDescent="0.25">
      <c r="A270" s="75" t="s">
        <v>125</v>
      </c>
      <c r="B270" s="75"/>
      <c r="C270" s="75"/>
      <c r="D270" s="75"/>
      <c r="E270" s="75"/>
      <c r="F270" s="75"/>
      <c r="G270" s="75"/>
      <c r="H270" s="75"/>
      <c r="I270" s="35"/>
      <c r="L270" s="76"/>
      <c r="M270" s="76"/>
    </row>
    <row r="271" spans="1:17" s="36" customFormat="1" hidden="1" x14ac:dyDescent="0.25">
      <c r="A271" s="65">
        <f>LEFT(A270,SUM(LEN(A270)-LEN(SUBSTITUTE(A270,{"0","1","2","3","4","5","6","7","8","9"},""))))*100+1</f>
        <v>201</v>
      </c>
      <c r="B271" s="65"/>
      <c r="C271" s="51"/>
      <c r="D271" s="41"/>
      <c r="E271" s="41">
        <v>0</v>
      </c>
      <c r="F271" s="41" t="e">
        <f>D271*((#REF!)+1)+(IF(E271&lt;101,E271,IF(E271&lt;201,E271/2,IF(E271&lt;=301,E271/3,E271/4))))</f>
        <v>#REF!</v>
      </c>
      <c r="G271" s="66" t="str">
        <f>A270</f>
        <v>2nd Floor</v>
      </c>
      <c r="H271" s="67"/>
      <c r="I271" s="35"/>
      <c r="N271" s="35"/>
    </row>
    <row r="272" spans="1:17" s="36" customFormat="1" hidden="1" x14ac:dyDescent="0.25">
      <c r="A272" s="65">
        <f>A271+1</f>
        <v>202</v>
      </c>
      <c r="B272" s="65"/>
      <c r="C272" s="51"/>
      <c r="D272" s="41"/>
      <c r="E272" s="41">
        <v>0</v>
      </c>
      <c r="F272" s="41" t="e">
        <f>D272*((#REF!)+1)+(IF(E272&lt;101,E272,IF(E272&lt;201,E272/2,IF(E272&lt;=301,E272/3,E272/4))))</f>
        <v>#REF!</v>
      </c>
      <c r="G272" s="68"/>
      <c r="H272" s="69"/>
      <c r="I272" s="35"/>
      <c r="N272" s="35"/>
    </row>
    <row r="273" spans="1:14" s="36" customFormat="1" hidden="1" x14ac:dyDescent="0.25">
      <c r="A273" s="65">
        <f>A272+1</f>
        <v>203</v>
      </c>
      <c r="B273" s="65"/>
      <c r="C273" s="51"/>
      <c r="D273" s="41"/>
      <c r="E273" s="41">
        <v>0</v>
      </c>
      <c r="F273" s="41" t="e">
        <f>D273*((#REF!)+1)+(IF(E273&lt;101,E273,IF(E273&lt;201,E273/2,IF(E273&lt;=301,E273/3,E273/4))))</f>
        <v>#REF!</v>
      </c>
      <c r="G273" s="68"/>
      <c r="H273" s="69"/>
      <c r="I273" s="35"/>
      <c r="N273" s="35"/>
    </row>
    <row r="274" spans="1:14" s="36" customFormat="1" hidden="1" x14ac:dyDescent="0.25">
      <c r="A274" s="65">
        <f>A273+1</f>
        <v>204</v>
      </c>
      <c r="B274" s="65"/>
      <c r="C274" s="51"/>
      <c r="D274" s="41"/>
      <c r="E274" s="41">
        <v>0</v>
      </c>
      <c r="F274" s="41" t="e">
        <f>D274*((#REF!)+1)+(IF(E274&lt;101,E274,IF(E274&lt;201,E274/2,IF(E274&lt;=301,E274/3,E274/4))))</f>
        <v>#REF!</v>
      </c>
      <c r="G274" s="68"/>
      <c r="H274" s="69"/>
      <c r="I274" s="35"/>
      <c r="N274" s="35"/>
    </row>
    <row r="275" spans="1:14" s="36" customFormat="1" hidden="1" x14ac:dyDescent="0.25">
      <c r="A275" s="65">
        <f>A274+1</f>
        <v>205</v>
      </c>
      <c r="B275" s="65"/>
      <c r="C275" s="51"/>
      <c r="D275" s="41"/>
      <c r="E275" s="41">
        <v>0</v>
      </c>
      <c r="F275" s="41" t="e">
        <f>D275*((#REF!)+1)+(IF(E275&lt;101,E275,IF(E275&lt;201,E275/2,IF(E275&lt;=301,E275/3,E275/4))))</f>
        <v>#REF!</v>
      </c>
      <c r="G275" s="70"/>
      <c r="H275" s="71"/>
      <c r="I275" s="35"/>
      <c r="N275" s="35"/>
    </row>
    <row r="276" spans="1:14" s="36" customFormat="1" ht="15.75" hidden="1" customHeight="1" x14ac:dyDescent="0.25">
      <c r="A276" s="80" t="s">
        <v>160</v>
      </c>
      <c r="B276" s="81"/>
      <c r="C276" s="81"/>
      <c r="D276" s="81"/>
      <c r="E276" s="81"/>
      <c r="F276" s="81"/>
      <c r="G276" s="81"/>
      <c r="H276" s="82"/>
      <c r="I276" s="35"/>
    </row>
    <row r="277" spans="1:14" s="36" customFormat="1" ht="15.75" hidden="1" customHeight="1" x14ac:dyDescent="0.25">
      <c r="A277" s="77" t="str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10^ROW(INDIRECT("1:"&amp;LEN((LEFT(A276,SUM(LEN(A276)-LEN(SUBSTITUTE(A276,{"0","1","2"},""))))))))/10))*100+1&amp;""&amp;" ,.., "&amp;""&amp;(SUMPRODUCT(MID(0&amp;(--TRIM(RIGHT(SUBSTITUTE(LEFT(A276,_xlfn.AGGREGATE(16,6,FIND({0,1,2,3,4,5,6,7,8,9},A276,ROW(INDIRECT("1:"&amp;LEN(A276)))),1)),"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301 ,.., 1501</v>
      </c>
      <c r="B277" s="79"/>
      <c r="C277" s="51"/>
      <c r="D277" s="41"/>
      <c r="E277" s="41">
        <v>0</v>
      </c>
      <c r="F277" s="41" t="e">
        <f>D277*((#REF!)+1)+(IF(E277&lt;101,E277,IF(E277&lt;201,E277/2,IF(E277&lt;=301,E277/3,E277/4))))</f>
        <v>#REF!</v>
      </c>
      <c r="G277" s="66" t="str">
        <f>A276</f>
        <v>3rd, 5th, 7th, 9th, 11th, 13th, 15th Floor</v>
      </c>
      <c r="H277" s="67"/>
      <c r="I277" s="35"/>
    </row>
    <row r="278" spans="1:14" s="36" customFormat="1" ht="15.75" hidden="1" customHeight="1" x14ac:dyDescent="0.25">
      <c r="A278" s="77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10^ROW(INDIRECT("1:"&amp;LEN((LEFT(A277,SUM(LEN(A277)-LEN(SUBSTITUTE(A277,{"0","1","2"},""))))))))/10))*1+1&amp;""&amp;" ,..,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",LEN(A277))),LEN(A277)))))))/10))*1+1</f>
        <v>302 ,.., 1502</v>
      </c>
      <c r="B278" s="79"/>
      <c r="C278" s="51"/>
      <c r="D278" s="41"/>
      <c r="E278" s="41">
        <v>0</v>
      </c>
      <c r="F278" s="41" t="e">
        <f>D278*((#REF!)+1)+(IF(E278&lt;101,E278,IF(E278&lt;201,E278/2,IF(E278&lt;=301,E278/3,E278/4))))</f>
        <v>#REF!</v>
      </c>
      <c r="G278" s="68"/>
      <c r="H278" s="69"/>
      <c r="I278" s="35"/>
    </row>
    <row r="279" spans="1:14" s="36" customFormat="1" ht="15.75" hidden="1" customHeight="1" x14ac:dyDescent="0.25">
      <c r="A279" s="77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,..,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303 ,.., 1503</v>
      </c>
      <c r="B279" s="79"/>
      <c r="C279" s="51"/>
      <c r="D279" s="41"/>
      <c r="E279" s="41">
        <v>0</v>
      </c>
      <c r="F279" s="41" t="e">
        <f>D279*((#REF!)+1)+(IF(E279&lt;101,E279,IF(E279&lt;201,E279/2,IF(E279&lt;=301,E279/3,E279/4))))</f>
        <v>#REF!</v>
      </c>
      <c r="G279" s="68"/>
      <c r="H279" s="69"/>
      <c r="I279" s="35"/>
    </row>
    <row r="280" spans="1:14" s="36" customFormat="1" ht="15.75" hidden="1" customHeight="1" x14ac:dyDescent="0.25">
      <c r="A280" s="77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,..,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304 ,.., 1504</v>
      </c>
      <c r="B280" s="79"/>
      <c r="C280" s="51"/>
      <c r="D280" s="41"/>
      <c r="E280" s="41">
        <v>0</v>
      </c>
      <c r="F280" s="41" t="e">
        <f>D280*((#REF!)+1)+(IF(E280&lt;101,E280,IF(E280&lt;201,E280/2,IF(E280&lt;=301,E280/3,E280/4))))</f>
        <v>#REF!</v>
      </c>
      <c r="G280" s="68"/>
      <c r="H280" s="69"/>
      <c r="I280" s="35"/>
    </row>
    <row r="281" spans="1:14" s="36" customFormat="1" ht="15.75" hidden="1" customHeight="1" x14ac:dyDescent="0.25">
      <c r="A281" s="77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10^ROW(INDIRECT("1:"&amp;LEN((LEFT(A280,SUM(LEN(A280)-LEN(SUBSTITUTE(A280,{"0","1","2"},""))))))))/10))*1+1&amp;""&amp;" ,..,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",LEN(A280))),LEN(A280)))))))/10))*1+1</f>
        <v>305 ,.., 1505</v>
      </c>
      <c r="B281" s="79"/>
      <c r="C281" s="51"/>
      <c r="D281" s="41"/>
      <c r="E281" s="41">
        <v>0</v>
      </c>
      <c r="F281" s="41" t="e">
        <f>D281*((#REF!)+1)+(IF(E281&lt;101,E281,IF(E281&lt;201,E281/2,IF(E281&lt;=301,E281/3,E281/4))))</f>
        <v>#REF!</v>
      </c>
      <c r="G281" s="70"/>
      <c r="H281" s="71"/>
      <c r="I281" s="35"/>
    </row>
    <row r="282" spans="1:14" s="36" customFormat="1" hidden="1" x14ac:dyDescent="0.25">
      <c r="A282" s="80" t="s">
        <v>154</v>
      </c>
      <c r="B282" s="81"/>
      <c r="C282" s="81"/>
      <c r="D282" s="81"/>
      <c r="E282" s="81"/>
      <c r="F282" s="81"/>
      <c r="G282" s="81"/>
      <c r="H282" s="82"/>
      <c r="I282" s="35"/>
    </row>
    <row r="283" spans="1:14" s="36" customFormat="1" ht="15.75" hidden="1" customHeight="1" x14ac:dyDescent="0.25">
      <c r="A283" s="77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10^ROW(INDIRECT("1:"&amp;LEN((LEFT(A282,SUM(LEN(A282)-LEN(SUBSTITUTE(A282,{"0","1","2"},""))))))))/10))*100+1&amp;""&amp;" to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",LEN(A282))),LEN(A282)))))))/10))*100+1</f>
        <v>201 to 501</v>
      </c>
      <c r="B283" s="79"/>
      <c r="C283" s="51"/>
      <c r="D283" s="41"/>
      <c r="E283" s="41">
        <v>0</v>
      </c>
      <c r="F283" s="41" t="e">
        <f>D283*((#REF!)+1)+(IF(E283&lt;101,E283,IF(E283&lt;201,E283/2,IF(E283&lt;=301,E283/3,E283/4))))</f>
        <v>#REF!</v>
      </c>
      <c r="G283" s="66" t="str">
        <f>A282</f>
        <v>2nd to 5th Floor</v>
      </c>
      <c r="H283" s="67"/>
      <c r="I283" s="35"/>
    </row>
    <row r="284" spans="1:14" s="36" customFormat="1" ht="15.75" hidden="1" customHeight="1" x14ac:dyDescent="0.25">
      <c r="A284" s="77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10^ROW(INDIRECT("1:"&amp;LEN((LEFT(A283,SUM(LEN(A283)-LEN(SUBSTITUTE(A283,{"0","1","2"},""))))))))/10))*1+1&amp;""&amp;" to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",LEN(A283))),LEN(A283)))))))/10))*1+1</f>
        <v>202 to 502</v>
      </c>
      <c r="B284" s="79"/>
      <c r="C284" s="51"/>
      <c r="D284" s="41"/>
      <c r="E284" s="41">
        <v>0</v>
      </c>
      <c r="F284" s="41" t="e">
        <f>D284*((#REF!)+1)+(IF(E284&lt;101,E284,IF(E284&lt;201,E284/2,IF(E284&lt;=301,E284/3,E284/4))))</f>
        <v>#REF!</v>
      </c>
      <c r="G284" s="68"/>
      <c r="H284" s="69"/>
      <c r="I284" s="35"/>
    </row>
    <row r="285" spans="1:14" s="36" customFormat="1" ht="15.75" hidden="1" customHeight="1" x14ac:dyDescent="0.25">
      <c r="A285" s="77" t="str">
        <f ca="1">(SUMPRODUCT(MID(0&amp;(LEFT(A284,SUM(LEN(A284)-LEN(SUBSTITUTE(A284,{"0","1","2"},""))))), LARGE(INDEX(ISNUMBER(--MID((LEFT(A284,SUM(LEN(A284)-LEN(SUBSTITUTE(A284,{"0","1","2"},""))))), ROW(INDIRECT("1:"&amp;LEN((LEFT(A284,SUM(LEN(A284)-LEN(SUBSTITUTE(A284,{"0","1","2"},"")))))))), 1)) * ROW(INDIRECT("1:"&amp;LEN((LEFT(A284,SUM(LEN(A284)-LEN(SUBSTITUTE(A284,{"0","1","2"},"")))))))), 0), ROW(INDIRECT("1:"&amp;LEN((LEFT(A284,SUM(LEN(A284)-LEN(SUBSTITUTE(A284,{"0","1","2"},"")))))))))+1, 1) * 10^ROW(INDIRECT("1:"&amp;LEN((LEFT(A284,SUM(LEN(A284)-LEN(SUBSTITUTE(A284,{"0","1","2"},""))))))))/10))*1+1&amp;""&amp;" to "&amp;""&amp;(SUMPRODUCT(MID(0&amp;(--TRIM(RIGHT(SUBSTITUTE(LEFT(A284,_xlfn.AGGREGATE(16,6,FIND({0,1,2,3,4,5,6,7,8,9},A284,ROW(INDIRECT("1:"&amp;LEN(A284)))),1))," ",REPT(" ",LEN(A284))),LEN(A284)))), LARGE(INDEX(ISNUMBER(--MID((--TRIM(RIGHT(SUBSTITUTE(LEFT(A284,_xlfn.AGGREGATE(16,6,FIND({0,1,2,3,4,5,6,7,8,9},A284,ROW(INDIRECT("1:"&amp;LEN(A284)))),1))," ",REPT(" ",LEN(A284))),LEN(A284)))), ROW(INDIRECT("1:"&amp;LEN((--TRIM(RIGHT(SUBSTITUTE(LEFT(A284,_xlfn.AGGREGATE(16,6,FIND({0,1,2,3,4,5,6,7,8,9},A284,ROW(INDIRECT("1:"&amp;LEN(A284)))),1))," ",REPT(" ",LEN(A284))),LEN(A284))))))), 1)) * ROW(INDIRECT("1:"&amp;LEN((--TRIM(RIGHT(SUBSTITUTE(LEFT(A284,_xlfn.AGGREGATE(16,6,FIND({0,1,2,3,4,5,6,7,8,9},A284,ROW(INDIRECT("1:"&amp;LEN(A284)))),1))," ",REPT(" ",LEN(A284))),LEN(A284))))))), 0), ROW(INDIRECT("1:"&amp;LEN((--TRIM(RIGHT(SUBSTITUTE(LEFT(A284,_xlfn.AGGREGATE(16,6,FIND({0,1,2,3,4,5,6,7,8,9},A284,ROW(INDIRECT("1:"&amp;LEN(A284)))),1))," ",REPT(" ",LEN(A284))),LEN(A284))))))))+1, 1) * 10^ROW(INDIRECT("1:"&amp;LEN((--TRIM(RIGHT(SUBSTITUTE(LEFT(A284,_xlfn.AGGREGATE(16,6,FIND({0,1,2,3,4,5,6,7,8,9},A284,ROW(INDIRECT("1:"&amp;LEN(A284)))),1))," ",REPT(" ",LEN(A284))),LEN(A284)))))))/10))*1+1</f>
        <v>203 to 503</v>
      </c>
      <c r="B285" s="79"/>
      <c r="C285" s="51"/>
      <c r="D285" s="41"/>
      <c r="E285" s="41">
        <v>0</v>
      </c>
      <c r="F285" s="41" t="e">
        <f>D285*((#REF!)+1)+(IF(E285&lt;101,E285,IF(E285&lt;201,E285/2,IF(E285&lt;=301,E285/3,E285/4))))</f>
        <v>#REF!</v>
      </c>
      <c r="G285" s="68"/>
      <c r="H285" s="69"/>
      <c r="I285" s="35"/>
    </row>
    <row r="286" spans="1:14" s="36" customFormat="1" ht="15.75" hidden="1" customHeight="1" x14ac:dyDescent="0.25">
      <c r="A286" s="77" t="str">
        <f ca="1">(SUMPRODUCT(MID(0&amp;(LEFT(A285,SUM(LEN(A285)-LEN(SUBSTITUTE(A285,{"0","1","2"},""))))), LARGE(INDEX(ISNUMBER(--MID((LEFT(A285,SUM(LEN(A285)-LEN(SUBSTITUTE(A285,{"0","1","2"},""))))), ROW(INDIRECT("1:"&amp;LEN((LEFT(A285,SUM(LEN(A285)-LEN(SUBSTITUTE(A285,{"0","1","2"},"")))))))), 1)) * ROW(INDIRECT("1:"&amp;LEN((LEFT(A285,SUM(LEN(A285)-LEN(SUBSTITUTE(A285,{"0","1","2"},"")))))))), 0), ROW(INDIRECT("1:"&amp;LEN((LEFT(A285,SUM(LEN(A285)-LEN(SUBSTITUTE(A285,{"0","1","2"},"")))))))))+1, 1) * 10^ROW(INDIRECT("1:"&amp;LEN((LEFT(A285,SUM(LEN(A285)-LEN(SUBSTITUTE(A285,{"0","1","2"},""))))))))/10))*1+1&amp;""&amp;" to "&amp;""&amp;(SUMPRODUCT(MID(0&amp;(--TRIM(RIGHT(SUBSTITUTE(LEFT(A285,_xlfn.AGGREGATE(16,6,FIND({0,1,2,3,4,5,6,7,8,9},A285,ROW(INDIRECT("1:"&amp;LEN(A285)))),1)),"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",LEN(A285))),LEN(A285)))))))/10))*1+1</f>
        <v>204 to 504</v>
      </c>
      <c r="B286" s="79"/>
      <c r="C286" s="51"/>
      <c r="D286" s="41"/>
      <c r="E286" s="41">
        <v>0</v>
      </c>
      <c r="F286" s="41" t="e">
        <f>D286*((#REF!)+1)+(IF(E286&lt;101,E286,IF(E286&lt;201,E286/2,IF(E286&lt;=301,E286/3,E286/4))))</f>
        <v>#REF!</v>
      </c>
      <c r="G286" s="68"/>
      <c r="H286" s="69"/>
      <c r="I286" s="35"/>
    </row>
    <row r="287" spans="1:14" s="36" customFormat="1" ht="15.75" hidden="1" customHeight="1" x14ac:dyDescent="0.25">
      <c r="A287" s="77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10^ROW(INDIRECT("1:"&amp;LEN((LEFT(A286,SUM(LEN(A286)-LEN(SUBSTITUTE(A286,{"0","1","2"},""))))))))/10))*1+1&amp;""&amp;" to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",LEN(A286))),LEN(A286)))))))/10))*1+1</f>
        <v>205 to 505</v>
      </c>
      <c r="B287" s="79"/>
      <c r="C287" s="51"/>
      <c r="D287" s="41"/>
      <c r="E287" s="41">
        <v>0</v>
      </c>
      <c r="F287" s="41" t="e">
        <f>D287*((#REF!)+1)+(IF(E287&lt;101,E287,IF(E287&lt;201,E287/2,IF(E287&lt;=301,E287/3,E287/4))))</f>
        <v>#REF!</v>
      </c>
      <c r="G287" s="70"/>
      <c r="H287" s="71"/>
      <c r="I287" s="35"/>
    </row>
    <row r="288" spans="1:14" s="36" customFormat="1" hidden="1" x14ac:dyDescent="0.25">
      <c r="A288" s="80" t="s">
        <v>155</v>
      </c>
      <c r="B288" s="81"/>
      <c r="C288" s="81"/>
      <c r="D288" s="81"/>
      <c r="E288" s="81"/>
      <c r="F288" s="81"/>
      <c r="G288" s="81"/>
      <c r="H288" s="82"/>
      <c r="I288" s="35"/>
    </row>
    <row r="289" spans="1:9" s="36" customFormat="1" ht="15.75" hidden="1" customHeight="1" x14ac:dyDescent="0.25">
      <c r="A289" s="77" t="str">
        <f ca="1">(SUMPRODUCT(MID(0&amp;(LEFT(A288,SUM(LEN(A288)-LEN(SUBSTITUTE(A288,{"0","1","2"},""))))), LARGE(INDEX(ISNUMBER(--MID((LEFT(A288,SUM(LEN(A288)-LEN(SUBSTITUTE(A288,{"0","1","2"},""))))), ROW(INDIRECT("1:"&amp;LEN((LEFT(A288,SUM(LEN(A288)-LEN(SUBSTITUTE(A288,{"0","1","2"},"")))))))), 1)) * ROW(INDIRECT("1:"&amp;LEN((LEFT(A288,SUM(LEN(A288)-LEN(SUBSTITUTE(A288,{"0","1","2"},"")))))))), 0), ROW(INDIRECT("1:"&amp;LEN((LEFT(A288,SUM(LEN(A288)-LEN(SUBSTITUTE(A288,{"0","1","2"},"")))))))))+1, 1) * 10^ROW(INDIRECT("1:"&amp;LEN((LEFT(A288,SUM(LEN(A288)-LEN(SUBSTITUTE(A288,{"0","1","2"},""))))))))/10))*100+1&amp;""&amp;" &amp; "&amp;""&amp;(SUMPRODUCT(MID(0&amp;(--TRIM(RIGHT(SUBSTITUTE(LEFT(A288,_xlfn.AGGREGATE(16,6,FIND({0,1,2,3,4,5,6,7,8,9},A288,ROW(INDIRECT("1:"&amp;LEN(A288)))),1))," ",REPT(" ",LEN(A288))),LEN(A288)))), LARGE(INDEX(ISNUMBER(--MID((--TRIM(RIGHT(SUBSTITUTE(LEFT(A288,_xlfn.AGGREGATE(16,6,FIND({0,1,2,3,4,5,6,7,8,9},A288,ROW(INDIRECT("1:"&amp;LEN(A288)))),1))," ",REPT(" ",LEN(A288))),LEN(A288)))), ROW(INDIRECT("1:"&amp;LEN((--TRIM(RIGHT(SUBSTITUTE(LEFT(A288,_xlfn.AGGREGATE(16,6,FIND({0,1,2,3,4,5,6,7,8,9},A288,ROW(INDIRECT("1:"&amp;LEN(A288)))),1))," ",REPT(" ",LEN(A288))),LEN(A288))))))), 1)) * ROW(INDIRECT("1:"&amp;LEN((--TRIM(RIGHT(SUBSTITUTE(LEFT(A288,_xlfn.AGGREGATE(16,6,FIND({0,1,2,3,4,5,6,7,8,9},A288,ROW(INDIRECT("1:"&amp;LEN(A288)))),1))," ",REPT(" ",LEN(A288))),LEN(A288))))))), 0), ROW(INDIRECT("1:"&amp;LEN((--TRIM(RIGHT(SUBSTITUTE(LEFT(A288,_xlfn.AGGREGATE(16,6,FIND({0,1,2,3,4,5,6,7,8,9},A288,ROW(INDIRECT("1:"&amp;LEN(A288)))),1))," ",REPT(" ",LEN(A288))),LEN(A288))))))))+1, 1) * 10^ROW(INDIRECT("1:"&amp;LEN((--TRIM(RIGHT(SUBSTITUTE(LEFT(A288,_xlfn.AGGREGATE(16,6,FIND({0,1,2,3,4,5,6,7,8,9},A288,ROW(INDIRECT("1:"&amp;LEN(A288)))),1))," ",REPT(" ",LEN(A288))),LEN(A288)))))))/10))*100+1</f>
        <v>201 &amp; 501</v>
      </c>
      <c r="B289" s="79"/>
      <c r="C289" s="51"/>
      <c r="D289" s="41"/>
      <c r="E289" s="41">
        <v>0</v>
      </c>
      <c r="F289" s="41" t="e">
        <f>D289*((#REF!)+1)+(IF(E289&lt;101,E289,IF(E289&lt;201,E289/2,IF(E289&lt;=301,E289/3,E289/4))))</f>
        <v>#REF!</v>
      </c>
      <c r="G289" s="66" t="str">
        <f>A288</f>
        <v>2nd &amp; 5th Floor</v>
      </c>
      <c r="H289" s="67"/>
      <c r="I289" s="35"/>
    </row>
    <row r="290" spans="1:9" s="36" customFormat="1" ht="15.75" hidden="1" customHeight="1" x14ac:dyDescent="0.25">
      <c r="A290" s="77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10^ROW(INDIRECT("1:"&amp;LEN((LEFT(A289,SUM(LEN(A289)-LEN(SUBSTITUTE(A289,{"0","1","2"},""))))))))/10))*1+1&amp;""&amp;" &amp;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",LEN(A289))),LEN(A289)))))))/10))*1+1</f>
        <v>202 &amp; 502</v>
      </c>
      <c r="B290" s="79"/>
      <c r="C290" s="51"/>
      <c r="D290" s="41"/>
      <c r="E290" s="41">
        <v>0</v>
      </c>
      <c r="F290" s="41" t="e">
        <f>D290*((#REF!)+1)+(IF(E290&lt;101,E290,IF(E290&lt;201,E290/2,IF(E290&lt;=301,E290/3,E290/4))))</f>
        <v>#REF!</v>
      </c>
      <c r="G290" s="68"/>
      <c r="H290" s="69"/>
      <c r="I290" s="35"/>
    </row>
    <row r="291" spans="1:9" s="36" customFormat="1" ht="15.75" hidden="1" customHeight="1" x14ac:dyDescent="0.25">
      <c r="A291" s="77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&amp;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203 &amp; 503</v>
      </c>
      <c r="B291" s="79"/>
      <c r="C291" s="51"/>
      <c r="D291" s="41"/>
      <c r="E291" s="41">
        <v>0</v>
      </c>
      <c r="F291" s="41" t="e">
        <f>D291*((#REF!)+1)+(IF(E291&lt;101,E291,IF(E291&lt;201,E291/2,IF(E291&lt;=301,E291/3,E291/4))))</f>
        <v>#REF!</v>
      </c>
      <c r="G291" s="68"/>
      <c r="H291" s="69"/>
      <c r="I291" s="35"/>
    </row>
    <row r="292" spans="1:9" s="36" customFormat="1" ht="15.75" hidden="1" customHeight="1" x14ac:dyDescent="0.25">
      <c r="A292" s="77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&amp;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204 &amp; 504</v>
      </c>
      <c r="B292" s="79"/>
      <c r="C292" s="51"/>
      <c r="D292" s="41"/>
      <c r="E292" s="41">
        <v>0</v>
      </c>
      <c r="F292" s="41" t="e">
        <f>D292*((#REF!)+1)+(IF(E292&lt;101,E292,IF(E292&lt;201,E292/2,IF(E292&lt;=301,E292/3,E292/4))))</f>
        <v>#REF!</v>
      </c>
      <c r="G292" s="68"/>
      <c r="H292" s="69"/>
      <c r="I292" s="35"/>
    </row>
    <row r="293" spans="1:9" s="36" customFormat="1" ht="15.75" hidden="1" customHeight="1" x14ac:dyDescent="0.25">
      <c r="A293" s="77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&amp;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205 &amp; 505</v>
      </c>
      <c r="B293" s="79"/>
      <c r="C293" s="51"/>
      <c r="D293" s="41"/>
      <c r="E293" s="41">
        <v>0</v>
      </c>
      <c r="F293" s="41" t="e">
        <f>D293*((#REF!)+1)+(IF(E293&lt;101,E293,IF(E293&lt;201,E293/2,IF(E293&lt;=301,E293/3,E293/4))))</f>
        <v>#REF!</v>
      </c>
      <c r="G293" s="70"/>
      <c r="H293" s="71"/>
      <c r="I293" s="35"/>
    </row>
    <row r="294" spans="1:9" s="34" customFormat="1" x14ac:dyDescent="0.25">
      <c r="A294" s="86" t="s">
        <v>70</v>
      </c>
      <c r="B294" s="86"/>
      <c r="C294" s="86"/>
      <c r="D294" s="86"/>
      <c r="E294" s="86"/>
      <c r="F294" s="86"/>
      <c r="G294" s="86"/>
      <c r="H294" s="86"/>
    </row>
    <row r="295" spans="1:9" s="34" customFormat="1" x14ac:dyDescent="0.25">
      <c r="A295" s="46" t="s">
        <v>164</v>
      </c>
      <c r="B295" s="167" t="s">
        <v>198</v>
      </c>
      <c r="C295" s="168"/>
      <c r="D295" s="168"/>
      <c r="E295" s="168"/>
      <c r="F295" s="168"/>
      <c r="G295" s="168"/>
      <c r="H295" s="169"/>
    </row>
    <row r="296" spans="1:9" s="34" customFormat="1" x14ac:dyDescent="0.25">
      <c r="A296" s="46" t="s">
        <v>164</v>
      </c>
      <c r="B296" s="167" t="str">
        <f>(IF(F149="Saleable area Loading :","We have considered Saleable area of Flats as per our Calculation.","We considered Saleable area of Flat as per Builder area Sheet."))</f>
        <v>We considered Saleable area of Flat as per Builder area Sheet.</v>
      </c>
      <c r="C296" s="168"/>
      <c r="D296" s="168"/>
      <c r="E296" s="168"/>
      <c r="F296" s="168"/>
      <c r="G296" s="168"/>
      <c r="H296" s="169"/>
    </row>
    <row r="297" spans="1:9" s="34" customFormat="1" x14ac:dyDescent="0.25">
      <c r="A297" s="46" t="s">
        <v>164</v>
      </c>
      <c r="B297" s="167" t="str">
        <f>(IF(F118="Saleable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97" s="168"/>
      <c r="D297" s="168"/>
      <c r="E297" s="168"/>
      <c r="F297" s="168"/>
      <c r="G297" s="168"/>
      <c r="H297" s="169"/>
    </row>
    <row r="298" spans="1:9" s="34" customFormat="1" x14ac:dyDescent="0.25">
      <c r="A298" s="46" t="s">
        <v>164</v>
      </c>
      <c r="B298" s="83" t="s">
        <v>131</v>
      </c>
      <c r="C298" s="84"/>
      <c r="D298" s="84"/>
      <c r="E298" s="84"/>
      <c r="F298" s="84"/>
      <c r="G298" s="84"/>
      <c r="H298" s="85"/>
    </row>
    <row r="299" spans="1:9" s="34" customFormat="1" x14ac:dyDescent="0.25">
      <c r="A299" s="46" t="s">
        <v>164</v>
      </c>
      <c r="B299" s="83" t="s">
        <v>223</v>
      </c>
      <c r="C299" s="84"/>
      <c r="D299" s="84"/>
      <c r="E299" s="84"/>
      <c r="F299" s="84"/>
      <c r="G299" s="84"/>
      <c r="H299" s="85"/>
    </row>
    <row r="300" spans="1:9" s="34" customFormat="1" x14ac:dyDescent="0.25">
      <c r="A300" s="46" t="s">
        <v>164</v>
      </c>
      <c r="B300" s="83" t="s">
        <v>163</v>
      </c>
      <c r="C300" s="84"/>
      <c r="D300" s="84"/>
      <c r="E300" s="84"/>
      <c r="F300" s="84"/>
      <c r="G300" s="84"/>
      <c r="H300" s="85"/>
    </row>
    <row r="301" spans="1:9" s="34" customFormat="1" x14ac:dyDescent="0.25">
      <c r="A301" s="46" t="s">
        <v>164</v>
      </c>
      <c r="B301" s="83" t="s">
        <v>132</v>
      </c>
      <c r="C301" s="84"/>
      <c r="D301" s="84"/>
      <c r="E301" s="84"/>
      <c r="F301" s="84"/>
      <c r="G301" s="84"/>
      <c r="H301" s="85"/>
    </row>
    <row r="302" spans="1:9" s="34" customFormat="1" ht="34.5" customHeight="1" x14ac:dyDescent="0.25">
      <c r="A302" s="46" t="s">
        <v>164</v>
      </c>
      <c r="B302" s="83" t="s">
        <v>165</v>
      </c>
      <c r="C302" s="84"/>
      <c r="D302" s="84"/>
      <c r="E302" s="84"/>
      <c r="F302" s="84"/>
      <c r="G302" s="84"/>
      <c r="H302" s="85"/>
    </row>
    <row r="303" spans="1:9" s="34" customFormat="1" x14ac:dyDescent="0.25">
      <c r="A303" s="59" t="s">
        <v>164</v>
      </c>
      <c r="B303" s="83" t="s">
        <v>133</v>
      </c>
      <c r="C303" s="84"/>
      <c r="D303" s="84"/>
      <c r="E303" s="84"/>
      <c r="F303" s="84"/>
      <c r="G303" s="84"/>
      <c r="H303" s="85"/>
    </row>
    <row r="304" spans="1:9" s="34" customFormat="1" x14ac:dyDescent="0.25">
      <c r="A304" s="46" t="s">
        <v>164</v>
      </c>
      <c r="B304" s="83" t="s">
        <v>242</v>
      </c>
      <c r="C304" s="84"/>
      <c r="D304" s="84"/>
      <c r="E304" s="84"/>
      <c r="F304" s="84"/>
      <c r="G304" s="84"/>
      <c r="H304" s="85"/>
    </row>
    <row r="305" spans="1:8" x14ac:dyDescent="0.25">
      <c r="A305" s="165" t="s">
        <v>63</v>
      </c>
      <c r="B305" s="165"/>
      <c r="C305" s="165"/>
      <c r="D305" s="165"/>
      <c r="E305" s="165"/>
      <c r="F305" s="165"/>
      <c r="G305" s="165"/>
      <c r="H305" s="165"/>
    </row>
    <row r="306" spans="1:8" x14ac:dyDescent="0.25">
      <c r="A306" s="122" t="s">
        <v>64</v>
      </c>
      <c r="B306" s="122"/>
      <c r="C306" s="122"/>
      <c r="D306" s="122"/>
      <c r="E306" s="122"/>
      <c r="F306" s="122"/>
      <c r="G306" s="122"/>
      <c r="H306" s="122"/>
    </row>
    <row r="307" spans="1:8" ht="15.75" customHeight="1" x14ac:dyDescent="0.25">
      <c r="A307" s="170" t="s">
        <v>65</v>
      </c>
      <c r="B307" s="170"/>
      <c r="C307" s="170"/>
      <c r="D307" s="170"/>
      <c r="E307" s="170"/>
      <c r="F307" s="170"/>
      <c r="G307" s="170"/>
      <c r="H307" s="170"/>
    </row>
    <row r="308" spans="1:8" x14ac:dyDescent="0.25">
      <c r="A308" s="122" t="s">
        <v>66</v>
      </c>
      <c r="B308" s="122"/>
      <c r="C308" s="122"/>
      <c r="D308" s="122"/>
      <c r="E308" s="122"/>
      <c r="F308" s="122"/>
      <c r="G308" s="122"/>
      <c r="H308" s="122"/>
    </row>
    <row r="309" spans="1:8" x14ac:dyDescent="0.25">
      <c r="A309" s="122" t="s">
        <v>67</v>
      </c>
      <c r="B309" s="122"/>
      <c r="C309" s="122"/>
      <c r="D309" s="122"/>
      <c r="E309" s="122"/>
      <c r="F309" s="122"/>
      <c r="G309" s="122"/>
      <c r="H309" s="122"/>
    </row>
    <row r="310" spans="1:8" x14ac:dyDescent="0.25">
      <c r="A310" s="122" t="s">
        <v>134</v>
      </c>
      <c r="B310" s="122"/>
      <c r="C310" s="122"/>
      <c r="D310" s="122"/>
      <c r="E310" s="122"/>
      <c r="F310" s="122"/>
      <c r="G310" s="122"/>
      <c r="H310" s="122"/>
    </row>
    <row r="311" spans="1:8" x14ac:dyDescent="0.25">
      <c r="A311" s="130" t="s">
        <v>135</v>
      </c>
      <c r="B311" s="130"/>
      <c r="C311" s="130"/>
      <c r="D311" s="130"/>
      <c r="E311" s="130"/>
      <c r="F311" s="130"/>
      <c r="G311" s="130"/>
      <c r="H311" s="130"/>
    </row>
    <row r="312" spans="1:8" x14ac:dyDescent="0.25">
      <c r="A312" s="164" t="s">
        <v>80</v>
      </c>
      <c r="B312" s="164"/>
      <c r="C312" s="164" t="s">
        <v>237</v>
      </c>
      <c r="D312" s="164"/>
      <c r="E312" s="164" t="s">
        <v>111</v>
      </c>
      <c r="F312" s="164"/>
      <c r="G312" s="164" t="s">
        <v>246</v>
      </c>
      <c r="H312" s="164"/>
    </row>
    <row r="313" spans="1:8" x14ac:dyDescent="0.25">
      <c r="A313" s="163" t="s">
        <v>82</v>
      </c>
      <c r="B313" s="163"/>
      <c r="C313" s="163"/>
      <c r="D313" s="163"/>
      <c r="E313" s="163"/>
      <c r="F313" s="163"/>
      <c r="G313" s="163"/>
      <c r="H313" s="163"/>
    </row>
    <row r="314" spans="1:8" x14ac:dyDescent="0.25">
      <c r="A314" s="163"/>
      <c r="B314" s="163"/>
      <c r="C314" s="163"/>
      <c r="D314" s="163"/>
      <c r="E314" s="163"/>
      <c r="F314" s="163"/>
      <c r="G314" s="163"/>
      <c r="H314" s="163"/>
    </row>
    <row r="315" spans="1:8" x14ac:dyDescent="0.25">
      <c r="A315" s="163"/>
      <c r="B315" s="163"/>
      <c r="C315" s="163"/>
      <c r="D315" s="163"/>
      <c r="E315" s="163"/>
      <c r="F315" s="163"/>
      <c r="G315" s="163"/>
      <c r="H315" s="163"/>
    </row>
    <row r="316" spans="1:8" x14ac:dyDescent="0.25">
      <c r="A316" s="163"/>
      <c r="B316" s="163"/>
      <c r="C316" s="163"/>
      <c r="D316" s="163"/>
      <c r="E316" s="163"/>
      <c r="F316" s="163"/>
      <c r="G316" s="163"/>
      <c r="H316" s="163"/>
    </row>
    <row r="317" spans="1:8" x14ac:dyDescent="0.25">
      <c r="A317" s="37" t="s">
        <v>68</v>
      </c>
      <c r="B317" s="38"/>
      <c r="C317" s="38"/>
      <c r="D317" s="37" t="str">
        <f>E8</f>
        <v>Kalindi Elite</v>
      </c>
      <c r="F317" s="38"/>
      <c r="G317" s="38"/>
      <c r="H317" s="38"/>
    </row>
    <row r="318" spans="1:8" x14ac:dyDescent="0.25">
      <c r="A318" s="38"/>
      <c r="B318" s="38"/>
      <c r="C318" s="38"/>
      <c r="D318" s="38"/>
      <c r="E318" s="38"/>
      <c r="F318" s="38"/>
      <c r="G318" s="38"/>
      <c r="H318" s="38"/>
    </row>
    <row r="319" spans="1:8" x14ac:dyDescent="0.25">
      <c r="A319" s="38"/>
      <c r="B319" s="38"/>
      <c r="C319" s="38"/>
      <c r="D319" s="38"/>
      <c r="E319" s="38"/>
      <c r="F319" s="38"/>
      <c r="G319" s="38"/>
      <c r="H319" s="38"/>
    </row>
    <row r="320" spans="1:8" ht="15" customHeight="1" x14ac:dyDescent="0.25"/>
    <row r="359" spans="1:1" x14ac:dyDescent="0.25">
      <c r="A359" s="40" t="s">
        <v>178</v>
      </c>
    </row>
    <row r="401" spans="1:1" x14ac:dyDescent="0.25">
      <c r="A401" s="40" t="s">
        <v>69</v>
      </c>
    </row>
  </sheetData>
  <mergeCells count="502">
    <mergeCell ref="I10:L10"/>
    <mergeCell ref="I11:L11"/>
    <mergeCell ref="B303:H303"/>
    <mergeCell ref="C37:H37"/>
    <mergeCell ref="L145:M145"/>
    <mergeCell ref="L138:M138"/>
    <mergeCell ref="A139:B139"/>
    <mergeCell ref="L139:M139"/>
    <mergeCell ref="A140:B140"/>
    <mergeCell ref="L140:M140"/>
    <mergeCell ref="A172:B172"/>
    <mergeCell ref="G164:H172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77:B77"/>
    <mergeCell ref="G113:H113"/>
    <mergeCell ref="F101:H101"/>
    <mergeCell ref="E41:H41"/>
    <mergeCell ref="A41:D41"/>
    <mergeCell ref="A75:B75"/>
    <mergeCell ref="A48:B48"/>
    <mergeCell ref="C48:E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73:B73"/>
    <mergeCell ref="E69:F69"/>
    <mergeCell ref="A60:C60"/>
    <mergeCell ref="A310:H310"/>
    <mergeCell ref="A307:H307"/>
    <mergeCell ref="A271:B271"/>
    <mergeCell ref="A112:B112"/>
    <mergeCell ref="G149:H149"/>
    <mergeCell ref="A88:B88"/>
    <mergeCell ref="A89:B89"/>
    <mergeCell ref="A90:B90"/>
    <mergeCell ref="A80:B80"/>
    <mergeCell ref="C80:H80"/>
    <mergeCell ref="F95:H95"/>
    <mergeCell ref="G110:H110"/>
    <mergeCell ref="A119:H119"/>
    <mergeCell ref="A222:B222"/>
    <mergeCell ref="A223:B223"/>
    <mergeCell ref="A224:B224"/>
    <mergeCell ref="C216:F216"/>
    <mergeCell ref="F104:H104"/>
    <mergeCell ref="E109:F109"/>
    <mergeCell ref="A109:B109"/>
    <mergeCell ref="G114:H114"/>
    <mergeCell ref="C112:D112"/>
    <mergeCell ref="G112:H112"/>
    <mergeCell ref="A121:H121"/>
    <mergeCell ref="A290:B290"/>
    <mergeCell ref="A293:B293"/>
    <mergeCell ref="A292:B292"/>
    <mergeCell ref="A116:H116"/>
    <mergeCell ref="B295:H295"/>
    <mergeCell ref="B296:H296"/>
    <mergeCell ref="A278:B278"/>
    <mergeCell ref="A117:H117"/>
    <mergeCell ref="A280:B280"/>
    <mergeCell ref="A277:B277"/>
    <mergeCell ref="A141:B141"/>
    <mergeCell ref="A146:B146"/>
    <mergeCell ref="A159:B159"/>
    <mergeCell ref="A160:B160"/>
    <mergeCell ref="A161:B161"/>
    <mergeCell ref="A162:B162"/>
    <mergeCell ref="A163:H163"/>
    <mergeCell ref="A164:B164"/>
    <mergeCell ref="A165:B165"/>
    <mergeCell ref="A166:B166"/>
    <mergeCell ref="A167:B167"/>
    <mergeCell ref="A168:B168"/>
    <mergeCell ref="A169:B169"/>
    <mergeCell ref="A284:B284"/>
    <mergeCell ref="A313:H316"/>
    <mergeCell ref="A312:B312"/>
    <mergeCell ref="E312:F312"/>
    <mergeCell ref="C312:D312"/>
    <mergeCell ref="G312:H312"/>
    <mergeCell ref="A108:H108"/>
    <mergeCell ref="A106:E106"/>
    <mergeCell ref="F106:H106"/>
    <mergeCell ref="A107:E107"/>
    <mergeCell ref="F107:H107"/>
    <mergeCell ref="A270:H270"/>
    <mergeCell ref="A113:B113"/>
    <mergeCell ref="A279:B279"/>
    <mergeCell ref="A110:B110"/>
    <mergeCell ref="A308:H308"/>
    <mergeCell ref="A111:H111"/>
    <mergeCell ref="A311:H311"/>
    <mergeCell ref="A309:H309"/>
    <mergeCell ref="A305:H305"/>
    <mergeCell ref="A306:H306"/>
    <mergeCell ref="E112:F112"/>
    <mergeCell ref="B304:H304"/>
    <mergeCell ref="B301:H301"/>
    <mergeCell ref="B297:H29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5:B15"/>
    <mergeCell ref="A12:D12"/>
    <mergeCell ref="E12:H12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A47:B47"/>
    <mergeCell ref="C47:H47"/>
    <mergeCell ref="C51:H51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D59:H59"/>
    <mergeCell ref="L269:M269"/>
    <mergeCell ref="L266:M266"/>
    <mergeCell ref="A267:B267"/>
    <mergeCell ref="L267:M267"/>
    <mergeCell ref="A268:B268"/>
    <mergeCell ref="L268:M268"/>
    <mergeCell ref="L270:M270"/>
    <mergeCell ref="A115:B115"/>
    <mergeCell ref="E115:F115"/>
    <mergeCell ref="G118:H118"/>
    <mergeCell ref="A184:B184"/>
    <mergeCell ref="A185:B185"/>
    <mergeCell ref="A186:B186"/>
    <mergeCell ref="A205:B205"/>
    <mergeCell ref="A189:B189"/>
    <mergeCell ref="A190:B190"/>
    <mergeCell ref="A191:B191"/>
    <mergeCell ref="A127:B127"/>
    <mergeCell ref="A128:B128"/>
    <mergeCell ref="A129:B129"/>
    <mergeCell ref="A130:B130"/>
    <mergeCell ref="A132:B132"/>
    <mergeCell ref="A133:B133"/>
    <mergeCell ref="A134:B134"/>
    <mergeCell ref="L130:M130"/>
    <mergeCell ref="L131:M131"/>
    <mergeCell ref="L132:M132"/>
    <mergeCell ref="L133:M133"/>
    <mergeCell ref="L134:M134"/>
    <mergeCell ref="L135:M135"/>
    <mergeCell ref="L136:M136"/>
    <mergeCell ref="A114:B114"/>
    <mergeCell ref="C114:D114"/>
    <mergeCell ref="A120:H120"/>
    <mergeCell ref="L203:M203"/>
    <mergeCell ref="A204:B204"/>
    <mergeCell ref="A194:B194"/>
    <mergeCell ref="G194:H202"/>
    <mergeCell ref="A195:B195"/>
    <mergeCell ref="C195:F195"/>
    <mergeCell ref="A196:B196"/>
    <mergeCell ref="A265:H265"/>
    <mergeCell ref="L123:M123"/>
    <mergeCell ref="A135:B135"/>
    <mergeCell ref="A137:B137"/>
    <mergeCell ref="A138:B138"/>
    <mergeCell ref="A197:B197"/>
    <mergeCell ref="A192:B192"/>
    <mergeCell ref="A126:B126"/>
    <mergeCell ref="A131:B131"/>
    <mergeCell ref="A183:H183"/>
    <mergeCell ref="L146:M146"/>
    <mergeCell ref="A147:B147"/>
    <mergeCell ref="L147:M147"/>
    <mergeCell ref="G122:H147"/>
    <mergeCell ref="A150:H150"/>
    <mergeCell ref="A151:H151"/>
    <mergeCell ref="A153:H153"/>
    <mergeCell ref="L193:M193"/>
    <mergeCell ref="A198:B198"/>
    <mergeCell ref="A199:B199"/>
    <mergeCell ref="L153:M153"/>
    <mergeCell ref="A154:B154"/>
    <mergeCell ref="G154:H162"/>
    <mergeCell ref="C154:F154"/>
    <mergeCell ref="C162:F162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A148:H148"/>
    <mergeCell ref="A152:H152"/>
    <mergeCell ref="A155:B155"/>
    <mergeCell ref="A156:B156"/>
    <mergeCell ref="A157:B157"/>
    <mergeCell ref="A173:H173"/>
    <mergeCell ref="A174:B174"/>
    <mergeCell ref="G174:H182"/>
    <mergeCell ref="F103:H103"/>
    <mergeCell ref="A84:B84"/>
    <mergeCell ref="E84:F93"/>
    <mergeCell ref="G84:H93"/>
    <mergeCell ref="A85:B85"/>
    <mergeCell ref="A86:B86"/>
    <mergeCell ref="L183:M183"/>
    <mergeCell ref="A187:B187"/>
    <mergeCell ref="A188:B188"/>
    <mergeCell ref="L125:M125"/>
    <mergeCell ref="L124:M124"/>
    <mergeCell ref="A158:B158"/>
    <mergeCell ref="L137:M137"/>
    <mergeCell ref="A124:B124"/>
    <mergeCell ref="L122:M122"/>
    <mergeCell ref="E114:F114"/>
    <mergeCell ref="G109:H109"/>
    <mergeCell ref="E110:F110"/>
    <mergeCell ref="C115:D115"/>
    <mergeCell ref="A136:B136"/>
    <mergeCell ref="L126:M126"/>
    <mergeCell ref="L127:M127"/>
    <mergeCell ref="L128:M128"/>
    <mergeCell ref="L129:M129"/>
    <mergeCell ref="A97:E97"/>
    <mergeCell ref="A94:E94"/>
    <mergeCell ref="F98:H98"/>
    <mergeCell ref="A91:B91"/>
    <mergeCell ref="A92:B92"/>
    <mergeCell ref="A93:B93"/>
    <mergeCell ref="F94:H94"/>
    <mergeCell ref="F99:H99"/>
    <mergeCell ref="F102:H102"/>
    <mergeCell ref="A95:E95"/>
    <mergeCell ref="A211:B211"/>
    <mergeCell ref="A212:B212"/>
    <mergeCell ref="C206:F206"/>
    <mergeCell ref="C209:F209"/>
    <mergeCell ref="A200:B200"/>
    <mergeCell ref="A201:B201"/>
    <mergeCell ref="A202:B202"/>
    <mergeCell ref="A203:H203"/>
    <mergeCell ref="C109:D109"/>
    <mergeCell ref="C110:D110"/>
    <mergeCell ref="C113:D113"/>
    <mergeCell ref="E113:F113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87:B87"/>
    <mergeCell ref="F96:H96"/>
    <mergeCell ref="A96:E96"/>
    <mergeCell ref="A98:E98"/>
    <mergeCell ref="A122:B122"/>
    <mergeCell ref="A123:B123"/>
    <mergeCell ref="A82:B82"/>
    <mergeCell ref="C185:F185"/>
    <mergeCell ref="A193:H193"/>
    <mergeCell ref="A125:B125"/>
    <mergeCell ref="A99:E99"/>
    <mergeCell ref="A105:E105"/>
    <mergeCell ref="G115:H115"/>
    <mergeCell ref="F105:H105"/>
    <mergeCell ref="A104:E104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02:E102"/>
    <mergeCell ref="A285:B285"/>
    <mergeCell ref="A221:B221"/>
    <mergeCell ref="C82:H82"/>
    <mergeCell ref="G216:H224"/>
    <mergeCell ref="A214:H214"/>
    <mergeCell ref="C224:F224"/>
    <mergeCell ref="G204:H212"/>
    <mergeCell ref="A213:H213"/>
    <mergeCell ref="A215:H215"/>
    <mergeCell ref="C205:F205"/>
    <mergeCell ref="A266:B266"/>
    <mergeCell ref="A226:B226"/>
    <mergeCell ref="G184:H192"/>
    <mergeCell ref="A170:B170"/>
    <mergeCell ref="A171:B171"/>
    <mergeCell ref="A235:H235"/>
    <mergeCell ref="A206:B206"/>
    <mergeCell ref="A207:B207"/>
    <mergeCell ref="A208:B208"/>
    <mergeCell ref="A209:B209"/>
    <mergeCell ref="A210:B210"/>
    <mergeCell ref="C263:F263"/>
    <mergeCell ref="A252:B252"/>
    <mergeCell ref="A253:B253"/>
    <mergeCell ref="B302:H302"/>
    <mergeCell ref="B298:H298"/>
    <mergeCell ref="B299:H299"/>
    <mergeCell ref="A294:H294"/>
    <mergeCell ref="A286:B286"/>
    <mergeCell ref="A287:B287"/>
    <mergeCell ref="A282:H282"/>
    <mergeCell ref="A276:H276"/>
    <mergeCell ref="A269:B269"/>
    <mergeCell ref="G266:H269"/>
    <mergeCell ref="G271:H275"/>
    <mergeCell ref="G277:H281"/>
    <mergeCell ref="G283:H287"/>
    <mergeCell ref="G289:H293"/>
    <mergeCell ref="A283:B283"/>
    <mergeCell ref="B300:H300"/>
    <mergeCell ref="A281:B281"/>
    <mergeCell ref="A291:B291"/>
    <mergeCell ref="A288:H288"/>
    <mergeCell ref="A289:B289"/>
    <mergeCell ref="A275:B275"/>
    <mergeCell ref="A272:B272"/>
    <mergeCell ref="A273:B273"/>
    <mergeCell ref="A274:B274"/>
    <mergeCell ref="L235:M235"/>
    <mergeCell ref="A236:B236"/>
    <mergeCell ref="A237:B237"/>
    <mergeCell ref="A238:B238"/>
    <mergeCell ref="L215:M215"/>
    <mergeCell ref="A216:B216"/>
    <mergeCell ref="A217:B217"/>
    <mergeCell ref="A218:B218"/>
    <mergeCell ref="A219:B219"/>
    <mergeCell ref="A220:B220"/>
    <mergeCell ref="A225:H225"/>
    <mergeCell ref="G226:H234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L255:M255"/>
    <mergeCell ref="A256:B256"/>
    <mergeCell ref="A257:B257"/>
    <mergeCell ref="A258:B258"/>
    <mergeCell ref="A259:B259"/>
    <mergeCell ref="A260:B260"/>
    <mergeCell ref="A242:B242"/>
    <mergeCell ref="A243:B243"/>
    <mergeCell ref="A244:B244"/>
    <mergeCell ref="G236:H244"/>
    <mergeCell ref="C243:F243"/>
    <mergeCell ref="A245:H245"/>
    <mergeCell ref="L245:M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C259:F259"/>
    <mergeCell ref="G256:H264"/>
    <mergeCell ref="A251:B251"/>
    <mergeCell ref="A254:B254"/>
    <mergeCell ref="G246:H254"/>
    <mergeCell ref="C253:F253"/>
    <mergeCell ref="A255:H255"/>
    <mergeCell ref="A261:B261"/>
    <mergeCell ref="A262:B262"/>
    <mergeCell ref="A263:B263"/>
    <mergeCell ref="A264:B264"/>
    <mergeCell ref="C262:F26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304" max="16383" man="1"/>
    <brk id="316" max="16383" man="1"/>
    <brk id="358" max="16383" man="1"/>
    <brk id="4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112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113</v>
      </c>
      <c r="C4" s="3" t="s">
        <v>114</v>
      </c>
      <c r="D4" s="3" t="s">
        <v>71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2025-07-15T09:48:13Z</cp:lastPrinted>
  <dcterms:created xsi:type="dcterms:W3CDTF">2019-07-16T09:29:46Z</dcterms:created>
  <dcterms:modified xsi:type="dcterms:W3CDTF">2025-07-15T09:55:54Z</dcterms:modified>
</cp:coreProperties>
</file>