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tabRatio="725"/>
  </bookViews>
  <sheets>
    <sheet name="Report" sheetId="1" r:id="rId1"/>
    <sheet name="valuation" sheetId="5" r:id="rId2"/>
    <sheet name="Research" sheetId="4" r:id="rId3"/>
    <sheet name="Remarks" sheetId="6" r:id="rId4"/>
  </sheets>
  <definedNames>
    <definedName name="_xlnm.Print_Area" localSheetId="0">Report!$A$1:$H$612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A425" i="1"/>
  <c r="A427" i="1" s="1"/>
  <c r="A415" i="1"/>
  <c r="H88" i="1"/>
  <c r="J92" i="1" l="1"/>
  <c r="C91" i="1" s="1"/>
  <c r="D91" i="1" s="1"/>
  <c r="J90" i="1"/>
  <c r="J87" i="1"/>
  <c r="J89" i="1" s="1"/>
  <c r="D100" i="1"/>
  <c r="D98" i="1"/>
  <c r="D96" i="1"/>
  <c r="D94" i="1"/>
  <c r="D99" i="1"/>
  <c r="D97" i="1"/>
  <c r="D95" i="1"/>
  <c r="D93" i="1"/>
  <c r="J91" i="1"/>
  <c r="J93" i="1"/>
  <c r="J94" i="1" s="1"/>
  <c r="J99" i="1" s="1"/>
  <c r="J95" i="1"/>
  <c r="J97" i="1"/>
  <c r="J96" i="1"/>
  <c r="J98" i="1"/>
  <c r="D181" i="1"/>
  <c r="F181" i="1" s="1"/>
  <c r="H181" i="1" s="1"/>
  <c r="D180" i="1"/>
  <c r="F180" i="1" s="1"/>
  <c r="H180" i="1" s="1"/>
  <c r="A180" i="1"/>
  <c r="A181" i="1" s="1"/>
  <c r="D179" i="1"/>
  <c r="F179" i="1" s="1"/>
  <c r="H179"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A172" i="1"/>
  <c r="A173" i="1" s="1"/>
  <c r="A174" i="1" s="1"/>
  <c r="A175" i="1" s="1"/>
  <c r="A176" i="1" s="1"/>
  <c r="A177" i="1" s="1"/>
  <c r="A178" i="1" s="1"/>
  <c r="D171" i="1"/>
  <c r="F171" i="1" s="1"/>
  <c r="H171" i="1" s="1"/>
  <c r="D170" i="1"/>
  <c r="F170" i="1" s="1"/>
  <c r="H170" i="1" s="1"/>
  <c r="D169" i="1"/>
  <c r="F169" i="1" s="1"/>
  <c r="H169" i="1" s="1"/>
  <c r="D168" i="1"/>
  <c r="F168" i="1" s="1"/>
  <c r="H168" i="1" s="1"/>
  <c r="A168" i="1"/>
  <c r="A169" i="1" s="1"/>
  <c r="A170" i="1" s="1"/>
  <c r="D167" i="1"/>
  <c r="F167" i="1" s="1"/>
  <c r="H167" i="1" s="1"/>
  <c r="D166" i="1"/>
  <c r="F166" i="1" s="1"/>
  <c r="H166" i="1" s="1"/>
  <c r="D165" i="1"/>
  <c r="F165" i="1" s="1"/>
  <c r="H165" i="1" s="1"/>
  <c r="D164" i="1"/>
  <c r="F164" i="1" s="1"/>
  <c r="H164" i="1" s="1"/>
  <c r="D163" i="1"/>
  <c r="F163" i="1" s="1"/>
  <c r="H163" i="1" s="1"/>
  <c r="D162" i="1"/>
  <c r="F162" i="1" s="1"/>
  <c r="H162" i="1" s="1"/>
  <c r="D161" i="1"/>
  <c r="F161" i="1" s="1"/>
  <c r="H161" i="1" s="1"/>
  <c r="D160" i="1"/>
  <c r="F160" i="1" s="1"/>
  <c r="H160" i="1" s="1"/>
  <c r="A160" i="1"/>
  <c r="A161" i="1" s="1"/>
  <c r="A162" i="1" s="1"/>
  <c r="A163" i="1" s="1"/>
  <c r="A164" i="1" s="1"/>
  <c r="A165" i="1" s="1"/>
  <c r="A166"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F152" i="1" s="1"/>
  <c r="H152" i="1" s="1"/>
  <c r="A152" i="1"/>
  <c r="A153" i="1" s="1"/>
  <c r="A154" i="1" s="1"/>
  <c r="A155" i="1" s="1"/>
  <c r="A156" i="1" s="1"/>
  <c r="A157" i="1" s="1"/>
  <c r="A158" i="1" s="1"/>
  <c r="D151" i="1"/>
  <c r="F151" i="1" s="1"/>
  <c r="H151" i="1" s="1"/>
  <c r="D150" i="1"/>
  <c r="F150" i="1" s="1"/>
  <c r="H150" i="1" s="1"/>
  <c r="D149" i="1"/>
  <c r="F149" i="1" s="1"/>
  <c r="H149" i="1" s="1"/>
  <c r="D148" i="1"/>
  <c r="F148" i="1" s="1"/>
  <c r="H148" i="1" s="1"/>
  <c r="D147" i="1"/>
  <c r="F147" i="1" s="1"/>
  <c r="H147" i="1" s="1"/>
  <c r="D146" i="1"/>
  <c r="F146" i="1" s="1"/>
  <c r="H146" i="1" s="1"/>
  <c r="A146" i="1"/>
  <c r="A147" i="1" s="1"/>
  <c r="A148" i="1" s="1"/>
  <c r="A149" i="1" s="1"/>
  <c r="A150" i="1" s="1"/>
  <c r="D145" i="1"/>
  <c r="F145" i="1" s="1"/>
  <c r="H145" i="1" s="1"/>
  <c r="D144" i="1"/>
  <c r="F144" i="1" s="1"/>
  <c r="H144" i="1" s="1"/>
  <c r="D143" i="1"/>
  <c r="F143" i="1" s="1"/>
  <c r="H143" i="1" s="1"/>
  <c r="A143" i="1"/>
  <c r="D142" i="1"/>
  <c r="F142" i="1" s="1"/>
  <c r="H142" i="1" s="1"/>
  <c r="D141" i="1"/>
  <c r="F141" i="1" s="1"/>
  <c r="H141" i="1" s="1"/>
  <c r="D140" i="1"/>
  <c r="F140" i="1" s="1"/>
  <c r="H140" i="1" s="1"/>
  <c r="D139" i="1"/>
  <c r="F139" i="1" s="1"/>
  <c r="H139" i="1" s="1"/>
  <c r="A139" i="1"/>
  <c r="A140" i="1" s="1"/>
  <c r="A141" i="1" s="1"/>
  <c r="D138" i="1"/>
  <c r="F138" i="1" s="1"/>
  <c r="H138" i="1" s="1"/>
  <c r="D137" i="1"/>
  <c r="F137" i="1" s="1"/>
  <c r="H137" i="1" s="1"/>
  <c r="D136" i="1"/>
  <c r="F136" i="1" s="1"/>
  <c r="H136" i="1" s="1"/>
  <c r="D135" i="1"/>
  <c r="F135" i="1" s="1"/>
  <c r="H135" i="1" s="1"/>
  <c r="A135" i="1"/>
  <c r="A136" i="1" s="1"/>
  <c r="A137" i="1" s="1"/>
  <c r="D134" i="1"/>
  <c r="F134" i="1" s="1"/>
  <c r="H134" i="1" s="1"/>
  <c r="J100" i="1" l="1"/>
  <c r="C92" i="1" s="1"/>
  <c r="G91" i="1" s="1"/>
  <c r="D331" i="1"/>
  <c r="D281" i="1"/>
  <c r="F281" i="1" s="1"/>
  <c r="H281" i="1" s="1"/>
  <c r="D329" i="1"/>
  <c r="F329" i="1" s="1"/>
  <c r="H329" i="1" s="1"/>
  <c r="A329" i="1"/>
  <c r="D328" i="1"/>
  <c r="F328" i="1" s="1"/>
  <c r="H328" i="1" s="1"/>
  <c r="D327" i="1"/>
  <c r="F327" i="1" s="1"/>
  <c r="H327" i="1" s="1"/>
  <c r="D326" i="1"/>
  <c r="F326" i="1" s="1"/>
  <c r="H326" i="1" s="1"/>
  <c r="D325" i="1"/>
  <c r="F325" i="1" s="1"/>
  <c r="H325" i="1" s="1"/>
  <c r="D324" i="1"/>
  <c r="F324" i="1" s="1"/>
  <c r="H324" i="1" s="1"/>
  <c r="D323" i="1"/>
  <c r="F323" i="1" s="1"/>
  <c r="H323" i="1" s="1"/>
  <c r="D322" i="1"/>
  <c r="F322" i="1" s="1"/>
  <c r="H322" i="1" s="1"/>
  <c r="D321" i="1"/>
  <c r="F321" i="1" s="1"/>
  <c r="H321" i="1" s="1"/>
  <c r="A321" i="1"/>
  <c r="A322" i="1" s="1"/>
  <c r="A323" i="1" s="1"/>
  <c r="A324" i="1" s="1"/>
  <c r="A325" i="1" s="1"/>
  <c r="A326" i="1" s="1"/>
  <c r="A327" i="1" s="1"/>
  <c r="D320" i="1"/>
  <c r="F320" i="1" s="1"/>
  <c r="H320" i="1" s="1"/>
  <c r="D319" i="1"/>
  <c r="F319" i="1" s="1"/>
  <c r="H319" i="1" s="1"/>
  <c r="D318" i="1"/>
  <c r="F318" i="1" s="1"/>
  <c r="H318" i="1" s="1"/>
  <c r="D317" i="1"/>
  <c r="F317" i="1" s="1"/>
  <c r="H317" i="1" s="1"/>
  <c r="A317" i="1"/>
  <c r="A318" i="1" s="1"/>
  <c r="A319" i="1" s="1"/>
  <c r="D316" i="1"/>
  <c r="F316" i="1" s="1"/>
  <c r="H316" i="1" s="1"/>
  <c r="D315" i="1"/>
  <c r="F315" i="1" s="1"/>
  <c r="H315" i="1" s="1"/>
  <c r="D314" i="1"/>
  <c r="F314" i="1" s="1"/>
  <c r="H314" i="1" s="1"/>
  <c r="D313" i="1"/>
  <c r="F313" i="1" s="1"/>
  <c r="H313" i="1" s="1"/>
  <c r="D312" i="1"/>
  <c r="F312" i="1" s="1"/>
  <c r="H312" i="1" s="1"/>
  <c r="D311" i="1"/>
  <c r="F311" i="1" s="1"/>
  <c r="H311" i="1" s="1"/>
  <c r="D310" i="1"/>
  <c r="F310" i="1" s="1"/>
  <c r="H310" i="1" s="1"/>
  <c r="D309" i="1"/>
  <c r="F309" i="1" s="1"/>
  <c r="H309" i="1" s="1"/>
  <c r="A309" i="1"/>
  <c r="A310" i="1" s="1"/>
  <c r="A311" i="1" s="1"/>
  <c r="A312" i="1" s="1"/>
  <c r="A313" i="1" s="1"/>
  <c r="A314" i="1" s="1"/>
  <c r="A315" i="1" s="1"/>
  <c r="D308" i="1"/>
  <c r="F308" i="1" s="1"/>
  <c r="H308" i="1" s="1"/>
  <c r="D307" i="1"/>
  <c r="F307" i="1" s="1"/>
  <c r="H307" i="1" s="1"/>
  <c r="D306" i="1"/>
  <c r="F306" i="1" s="1"/>
  <c r="H306" i="1" s="1"/>
  <c r="D305" i="1"/>
  <c r="F305" i="1" s="1"/>
  <c r="H305" i="1" s="1"/>
  <c r="D304" i="1"/>
  <c r="F304" i="1" s="1"/>
  <c r="H304" i="1" s="1"/>
  <c r="D303" i="1"/>
  <c r="F303" i="1" s="1"/>
  <c r="H303" i="1" s="1"/>
  <c r="D302" i="1"/>
  <c r="F302" i="1" s="1"/>
  <c r="H302" i="1" s="1"/>
  <c r="D301" i="1"/>
  <c r="F301" i="1" s="1"/>
  <c r="H301" i="1" s="1"/>
  <c r="A301" i="1"/>
  <c r="A302" i="1" s="1"/>
  <c r="A303" i="1" s="1"/>
  <c r="A304" i="1" s="1"/>
  <c r="A305" i="1" s="1"/>
  <c r="A306" i="1" s="1"/>
  <c r="A307" i="1" s="1"/>
  <c r="D300" i="1"/>
  <c r="F300" i="1" s="1"/>
  <c r="H300" i="1" s="1"/>
  <c r="D299" i="1"/>
  <c r="F299" i="1" s="1"/>
  <c r="H299" i="1" s="1"/>
  <c r="D298" i="1"/>
  <c r="F298" i="1" s="1"/>
  <c r="H298" i="1" s="1"/>
  <c r="D297" i="1"/>
  <c r="F297" i="1" s="1"/>
  <c r="H297" i="1" s="1"/>
  <c r="D296" i="1"/>
  <c r="F296" i="1" s="1"/>
  <c r="H296" i="1" s="1"/>
  <c r="A295" i="1"/>
  <c r="A296" i="1" s="1"/>
  <c r="A297" i="1" s="1"/>
  <c r="A298" i="1" s="1"/>
  <c r="A299" i="1" s="1"/>
  <c r="A292" i="1"/>
  <c r="A288" i="1"/>
  <c r="A289" i="1" s="1"/>
  <c r="A290" i="1" s="1"/>
  <c r="D287" i="1"/>
  <c r="F287" i="1" s="1"/>
  <c r="H287" i="1" s="1"/>
  <c r="D286" i="1"/>
  <c r="F286" i="1" s="1"/>
  <c r="H286" i="1" s="1"/>
  <c r="D285" i="1"/>
  <c r="F285" i="1" s="1"/>
  <c r="H285" i="1" s="1"/>
  <c r="D284" i="1"/>
  <c r="F284" i="1" s="1"/>
  <c r="H284" i="1" s="1"/>
  <c r="A284" i="1"/>
  <c r="A285" i="1" s="1"/>
  <c r="A286" i="1" s="1"/>
  <c r="D283" i="1"/>
  <c r="F283" i="1" s="1"/>
  <c r="H283" i="1" s="1"/>
  <c r="D282" i="1"/>
  <c r="F282" i="1" s="1"/>
  <c r="H282" i="1" s="1"/>
  <c r="J88" i="1" l="1"/>
  <c r="E91" i="1"/>
  <c r="D92" i="1"/>
  <c r="I88" i="1" s="1"/>
  <c r="F114" i="1"/>
  <c r="I89" i="1" l="1"/>
  <c r="I87" i="1" s="1"/>
  <c r="C89" i="1" s="1"/>
  <c r="D232" i="1"/>
  <c r="F232" i="1" s="1"/>
  <c r="H232" i="1" s="1"/>
  <c r="D279" i="1"/>
  <c r="F279" i="1" s="1"/>
  <c r="H279" i="1" s="1"/>
  <c r="A279" i="1"/>
  <c r="D278" i="1"/>
  <c r="F278" i="1" s="1"/>
  <c r="H278" i="1" s="1"/>
  <c r="D277" i="1"/>
  <c r="F277" i="1" s="1"/>
  <c r="H277" i="1" s="1"/>
  <c r="D276" i="1"/>
  <c r="F276" i="1" s="1"/>
  <c r="H276" i="1" s="1"/>
  <c r="D275" i="1"/>
  <c r="F275" i="1" s="1"/>
  <c r="H275" i="1" s="1"/>
  <c r="D274" i="1"/>
  <c r="F274" i="1" s="1"/>
  <c r="H274" i="1" s="1"/>
  <c r="D273" i="1"/>
  <c r="F273" i="1" s="1"/>
  <c r="H273" i="1" s="1"/>
  <c r="D272" i="1"/>
  <c r="F272" i="1" s="1"/>
  <c r="H272" i="1" s="1"/>
  <c r="D271" i="1"/>
  <c r="F271" i="1" s="1"/>
  <c r="H271" i="1" s="1"/>
  <c r="A271" i="1"/>
  <c r="A272" i="1" s="1"/>
  <c r="A273" i="1" s="1"/>
  <c r="A274" i="1" s="1"/>
  <c r="A275" i="1" s="1"/>
  <c r="A276" i="1" s="1"/>
  <c r="A277" i="1" s="1"/>
  <c r="D270" i="1"/>
  <c r="F270" i="1" s="1"/>
  <c r="H270" i="1" s="1"/>
  <c r="D269" i="1"/>
  <c r="F269" i="1" s="1"/>
  <c r="H269" i="1" s="1"/>
  <c r="D268" i="1"/>
  <c r="F268" i="1" s="1"/>
  <c r="H268" i="1" s="1"/>
  <c r="D267" i="1"/>
  <c r="F267" i="1" s="1"/>
  <c r="H267" i="1" s="1"/>
  <c r="A267" i="1"/>
  <c r="A268" i="1" s="1"/>
  <c r="A269" i="1" s="1"/>
  <c r="D266" i="1"/>
  <c r="F266" i="1" s="1"/>
  <c r="H266" i="1" s="1"/>
  <c r="D265" i="1"/>
  <c r="F265" i="1" s="1"/>
  <c r="H265" i="1" s="1"/>
  <c r="D264" i="1"/>
  <c r="F264" i="1" s="1"/>
  <c r="H264" i="1" s="1"/>
  <c r="D263" i="1"/>
  <c r="F263" i="1" s="1"/>
  <c r="H263" i="1" s="1"/>
  <c r="D262" i="1"/>
  <c r="F262" i="1" s="1"/>
  <c r="H262" i="1" s="1"/>
  <c r="D261" i="1"/>
  <c r="F261" i="1" s="1"/>
  <c r="H261" i="1" s="1"/>
  <c r="D260" i="1"/>
  <c r="F260" i="1" s="1"/>
  <c r="H260" i="1" s="1"/>
  <c r="D259" i="1"/>
  <c r="F259" i="1" s="1"/>
  <c r="H259" i="1" s="1"/>
  <c r="A259" i="1"/>
  <c r="A260" i="1" s="1"/>
  <c r="A261" i="1" s="1"/>
  <c r="A262" i="1" s="1"/>
  <c r="A263" i="1" s="1"/>
  <c r="A264" i="1" s="1"/>
  <c r="A265" i="1" s="1"/>
  <c r="D258" i="1"/>
  <c r="F258" i="1" s="1"/>
  <c r="H258" i="1" s="1"/>
  <c r="D257" i="1"/>
  <c r="F257" i="1" s="1"/>
  <c r="H257" i="1" s="1"/>
  <c r="D256" i="1"/>
  <c r="F256" i="1" s="1"/>
  <c r="H256" i="1" s="1"/>
  <c r="D255" i="1"/>
  <c r="F255" i="1" s="1"/>
  <c r="H255" i="1" s="1"/>
  <c r="D254" i="1"/>
  <c r="F254" i="1" s="1"/>
  <c r="H254" i="1" s="1"/>
  <c r="D253" i="1"/>
  <c r="F253" i="1" s="1"/>
  <c r="H253" i="1" s="1"/>
  <c r="D252" i="1"/>
  <c r="F252" i="1" s="1"/>
  <c r="H252" i="1" s="1"/>
  <c r="D251" i="1"/>
  <c r="F251" i="1" s="1"/>
  <c r="H251" i="1" s="1"/>
  <c r="A251" i="1"/>
  <c r="A252" i="1" s="1"/>
  <c r="A253" i="1" s="1"/>
  <c r="A254" i="1" s="1"/>
  <c r="A255" i="1" s="1"/>
  <c r="A256" i="1" s="1"/>
  <c r="A257" i="1" s="1"/>
  <c r="D250" i="1"/>
  <c r="F250" i="1" s="1"/>
  <c r="H250" i="1" s="1"/>
  <c r="D249" i="1"/>
  <c r="F249" i="1" s="1"/>
  <c r="H249" i="1" s="1"/>
  <c r="D248" i="1"/>
  <c r="F248" i="1" s="1"/>
  <c r="H248" i="1" s="1"/>
  <c r="D247" i="1"/>
  <c r="F247" i="1" s="1"/>
  <c r="H247" i="1" s="1"/>
  <c r="D246" i="1"/>
  <c r="F246" i="1" s="1"/>
  <c r="H246" i="1" s="1"/>
  <c r="D245" i="1"/>
  <c r="F245" i="1" s="1"/>
  <c r="H245" i="1" s="1"/>
  <c r="A245" i="1"/>
  <c r="A246" i="1" s="1"/>
  <c r="A247" i="1" s="1"/>
  <c r="A248" i="1" s="1"/>
  <c r="A249" i="1" s="1"/>
  <c r="D244" i="1"/>
  <c r="F244" i="1" s="1"/>
  <c r="H244" i="1" s="1"/>
  <c r="D243" i="1"/>
  <c r="F243" i="1" s="1"/>
  <c r="H243" i="1" s="1"/>
  <c r="D242" i="1"/>
  <c r="F242" i="1" s="1"/>
  <c r="H242" i="1" s="1"/>
  <c r="A242" i="1"/>
  <c r="D241" i="1"/>
  <c r="F241" i="1" s="1"/>
  <c r="H241" i="1" s="1"/>
  <c r="D240" i="1"/>
  <c r="F240" i="1" s="1"/>
  <c r="H240" i="1" s="1"/>
  <c r="D239" i="1"/>
  <c r="F239" i="1" s="1"/>
  <c r="H239" i="1" s="1"/>
  <c r="D238" i="1"/>
  <c r="F238" i="1" s="1"/>
  <c r="H238" i="1" s="1"/>
  <c r="A238" i="1"/>
  <c r="A239" i="1" s="1"/>
  <c r="A240" i="1" s="1"/>
  <c r="D237" i="1"/>
  <c r="F237" i="1" s="1"/>
  <c r="H237" i="1" s="1"/>
  <c r="D236" i="1"/>
  <c r="F236" i="1" s="1"/>
  <c r="H236" i="1" s="1"/>
  <c r="D235" i="1"/>
  <c r="F235" i="1" s="1"/>
  <c r="H235" i="1" s="1"/>
  <c r="D234" i="1"/>
  <c r="F234" i="1" s="1"/>
  <c r="H234" i="1" s="1"/>
  <c r="A234" i="1"/>
  <c r="A235" i="1" s="1"/>
  <c r="A236" i="1" s="1"/>
  <c r="D233" i="1"/>
  <c r="F233" i="1" s="1"/>
  <c r="H233" i="1" s="1"/>
  <c r="D377" i="1" l="1"/>
  <c r="F377" i="1" s="1"/>
  <c r="H377" i="1" s="1"/>
  <c r="D339" i="1"/>
  <c r="F339" i="1" s="1"/>
  <c r="H339" i="1" s="1"/>
  <c r="D340" i="1"/>
  <c r="F340" i="1" s="1"/>
  <c r="H340" i="1" s="1"/>
  <c r="D341" i="1"/>
  <c r="F341" i="1" s="1"/>
  <c r="H341" i="1" s="1"/>
  <c r="D338" i="1"/>
  <c r="F338" i="1" s="1"/>
  <c r="H338" i="1" s="1"/>
  <c r="D333" i="1"/>
  <c r="F333" i="1" s="1"/>
  <c r="H333" i="1" s="1"/>
  <c r="D332" i="1"/>
  <c r="F332" i="1" s="1"/>
  <c r="H332" i="1" s="1"/>
  <c r="F331" i="1"/>
  <c r="H331" i="1" s="1"/>
  <c r="D379" i="1"/>
  <c r="F379" i="1" s="1"/>
  <c r="H379" i="1" s="1"/>
  <c r="A379" i="1"/>
  <c r="D378" i="1"/>
  <c r="F378" i="1" s="1"/>
  <c r="H378" i="1" s="1"/>
  <c r="D376" i="1"/>
  <c r="F376" i="1" s="1"/>
  <c r="H376" i="1" s="1"/>
  <c r="D375" i="1"/>
  <c r="F375" i="1" s="1"/>
  <c r="H375" i="1" s="1"/>
  <c r="D374" i="1"/>
  <c r="F374" i="1" s="1"/>
  <c r="H374" i="1" s="1"/>
  <c r="D373" i="1"/>
  <c r="F373" i="1" s="1"/>
  <c r="H373" i="1" s="1"/>
  <c r="D372" i="1"/>
  <c r="F372" i="1" s="1"/>
  <c r="H372" i="1" s="1"/>
  <c r="D371" i="1"/>
  <c r="F371" i="1" s="1"/>
  <c r="H371" i="1" s="1"/>
  <c r="A371" i="1"/>
  <c r="A372" i="1" s="1"/>
  <c r="A373" i="1" s="1"/>
  <c r="A374" i="1" s="1"/>
  <c r="A375" i="1" s="1"/>
  <c r="A376" i="1" s="1"/>
  <c r="A377" i="1" s="1"/>
  <c r="D370" i="1"/>
  <c r="F370" i="1" s="1"/>
  <c r="H370" i="1" s="1"/>
  <c r="D369" i="1"/>
  <c r="F369" i="1" s="1"/>
  <c r="H369" i="1" s="1"/>
  <c r="D368" i="1"/>
  <c r="F368" i="1" s="1"/>
  <c r="H368" i="1" s="1"/>
  <c r="D367" i="1"/>
  <c r="F367" i="1" s="1"/>
  <c r="H367" i="1" s="1"/>
  <c r="A367" i="1"/>
  <c r="A368" i="1" s="1"/>
  <c r="A369" i="1" s="1"/>
  <c r="D366" i="1"/>
  <c r="F366" i="1" s="1"/>
  <c r="H366" i="1" s="1"/>
  <c r="D365" i="1"/>
  <c r="F365" i="1" s="1"/>
  <c r="H365" i="1" s="1"/>
  <c r="D364" i="1"/>
  <c r="F364" i="1" s="1"/>
  <c r="H364" i="1" s="1"/>
  <c r="D363" i="1"/>
  <c r="F363" i="1" s="1"/>
  <c r="H363" i="1" s="1"/>
  <c r="D362" i="1"/>
  <c r="F362" i="1" s="1"/>
  <c r="H362" i="1" s="1"/>
  <c r="D361" i="1"/>
  <c r="F361" i="1" s="1"/>
  <c r="H361" i="1" s="1"/>
  <c r="D360" i="1"/>
  <c r="F360" i="1" s="1"/>
  <c r="H360" i="1" s="1"/>
  <c r="D359" i="1"/>
  <c r="F359" i="1" s="1"/>
  <c r="H359" i="1" s="1"/>
  <c r="A359" i="1"/>
  <c r="A360" i="1" s="1"/>
  <c r="A361" i="1" s="1"/>
  <c r="A362" i="1" s="1"/>
  <c r="A363" i="1" s="1"/>
  <c r="A364" i="1" s="1"/>
  <c r="A365" i="1" s="1"/>
  <c r="D358" i="1"/>
  <c r="F358" i="1" s="1"/>
  <c r="H358" i="1" s="1"/>
  <c r="D357" i="1"/>
  <c r="F357" i="1" s="1"/>
  <c r="H357" i="1" s="1"/>
  <c r="D356" i="1"/>
  <c r="F356" i="1" s="1"/>
  <c r="H356" i="1" s="1"/>
  <c r="D355" i="1"/>
  <c r="F355" i="1" s="1"/>
  <c r="H355" i="1" s="1"/>
  <c r="D354" i="1"/>
  <c r="F354" i="1" s="1"/>
  <c r="H354" i="1" s="1"/>
  <c r="D353" i="1"/>
  <c r="F353" i="1" s="1"/>
  <c r="H353" i="1" s="1"/>
  <c r="D352" i="1"/>
  <c r="F352" i="1" s="1"/>
  <c r="H352" i="1" s="1"/>
  <c r="D351" i="1"/>
  <c r="F351" i="1" s="1"/>
  <c r="H351" i="1" s="1"/>
  <c r="A351" i="1"/>
  <c r="A352" i="1" s="1"/>
  <c r="A353" i="1" s="1"/>
  <c r="A354" i="1" s="1"/>
  <c r="A355" i="1" s="1"/>
  <c r="A356" i="1" s="1"/>
  <c r="A357" i="1" s="1"/>
  <c r="D350" i="1"/>
  <c r="F350" i="1" s="1"/>
  <c r="H350" i="1" s="1"/>
  <c r="D349" i="1"/>
  <c r="F349" i="1" s="1"/>
  <c r="H349" i="1" s="1"/>
  <c r="D348" i="1"/>
  <c r="F348" i="1" s="1"/>
  <c r="H348" i="1" s="1"/>
  <c r="D347" i="1"/>
  <c r="F347" i="1" s="1"/>
  <c r="H347" i="1" s="1"/>
  <c r="D346" i="1"/>
  <c r="F346" i="1" s="1"/>
  <c r="H346" i="1" s="1"/>
  <c r="D345" i="1"/>
  <c r="F345" i="1" s="1"/>
  <c r="H345" i="1" s="1"/>
  <c r="A345" i="1"/>
  <c r="A346" i="1" s="1"/>
  <c r="A347" i="1" s="1"/>
  <c r="A348" i="1" s="1"/>
  <c r="A349" i="1" s="1"/>
  <c r="D344" i="1"/>
  <c r="F344" i="1" s="1"/>
  <c r="H344" i="1" s="1"/>
  <c r="D343" i="1"/>
  <c r="F343" i="1" s="1"/>
  <c r="H343" i="1" s="1"/>
  <c r="D342" i="1"/>
  <c r="F342" i="1" s="1"/>
  <c r="H342" i="1" s="1"/>
  <c r="A342" i="1"/>
  <c r="A338" i="1"/>
  <c r="A339" i="1" s="1"/>
  <c r="A340" i="1" s="1"/>
  <c r="D337" i="1"/>
  <c r="F337" i="1" s="1"/>
  <c r="H337" i="1" s="1"/>
  <c r="D336" i="1"/>
  <c r="F336" i="1" s="1"/>
  <c r="H336" i="1" s="1"/>
  <c r="D335" i="1"/>
  <c r="F335" i="1" s="1"/>
  <c r="H335" i="1" s="1"/>
  <c r="D334" i="1"/>
  <c r="F334" i="1" s="1"/>
  <c r="H334" i="1" s="1"/>
  <c r="A334" i="1"/>
  <c r="A335" i="1" s="1"/>
  <c r="A336" i="1" s="1"/>
  <c r="D230" i="1" l="1"/>
  <c r="D229" i="1"/>
  <c r="D228" i="1"/>
  <c r="F228" i="1" s="1"/>
  <c r="H228" i="1" s="1"/>
  <c r="D227" i="1"/>
  <c r="F227" i="1" s="1"/>
  <c r="H227" i="1" s="1"/>
  <c r="D226" i="1"/>
  <c r="F226" i="1" s="1"/>
  <c r="H226" i="1" s="1"/>
  <c r="D225" i="1"/>
  <c r="F225" i="1" s="1"/>
  <c r="H225" i="1" s="1"/>
  <c r="D224" i="1"/>
  <c r="F224" i="1" s="1"/>
  <c r="H224" i="1" s="1"/>
  <c r="D223" i="1"/>
  <c r="F223" i="1" s="1"/>
  <c r="H223" i="1" s="1"/>
  <c r="D222" i="1"/>
  <c r="F222" i="1" s="1"/>
  <c r="H222" i="1" s="1"/>
  <c r="D221" i="1"/>
  <c r="F221" i="1" s="1"/>
  <c r="H221" i="1" s="1"/>
  <c r="D220" i="1"/>
  <c r="F220" i="1" s="1"/>
  <c r="H220" i="1" s="1"/>
  <c r="D219" i="1"/>
  <c r="F219" i="1" s="1"/>
  <c r="H219" i="1" s="1"/>
  <c r="D218" i="1"/>
  <c r="F218" i="1" s="1"/>
  <c r="H218" i="1" s="1"/>
  <c r="D217" i="1"/>
  <c r="F217" i="1" s="1"/>
  <c r="H217" i="1" s="1"/>
  <c r="D216" i="1"/>
  <c r="F216" i="1" s="1"/>
  <c r="H216" i="1" s="1"/>
  <c r="D215" i="1"/>
  <c r="F215" i="1" s="1"/>
  <c r="H215" i="1" s="1"/>
  <c r="D214" i="1"/>
  <c r="F214" i="1" s="1"/>
  <c r="H214" i="1" s="1"/>
  <c r="D213" i="1"/>
  <c r="F213" i="1" s="1"/>
  <c r="H213" i="1" s="1"/>
  <c r="D212" i="1"/>
  <c r="F212" i="1" s="1"/>
  <c r="H212" i="1" s="1"/>
  <c r="D211" i="1"/>
  <c r="F211" i="1" s="1"/>
  <c r="H211" i="1" s="1"/>
  <c r="D210" i="1"/>
  <c r="F210" i="1" s="1"/>
  <c r="H210" i="1" s="1"/>
  <c r="D209" i="1"/>
  <c r="F209" i="1" s="1"/>
  <c r="H209" i="1" s="1"/>
  <c r="D208" i="1"/>
  <c r="F208" i="1" s="1"/>
  <c r="H208" i="1" s="1"/>
  <c r="D207" i="1"/>
  <c r="F207" i="1" s="1"/>
  <c r="H207" i="1" s="1"/>
  <c r="D206" i="1"/>
  <c r="F206" i="1" s="1"/>
  <c r="H206" i="1" s="1"/>
  <c r="D205" i="1"/>
  <c r="F205" i="1" s="1"/>
  <c r="H205" i="1" s="1"/>
  <c r="D204" i="1"/>
  <c r="F204" i="1" s="1"/>
  <c r="H204" i="1" s="1"/>
  <c r="D203" i="1"/>
  <c r="F203" i="1" s="1"/>
  <c r="H203" i="1" s="1"/>
  <c r="D202" i="1"/>
  <c r="F202" i="1" s="1"/>
  <c r="H202" i="1" s="1"/>
  <c r="D201" i="1"/>
  <c r="F201" i="1" s="1"/>
  <c r="H201" i="1" s="1"/>
  <c r="D200" i="1"/>
  <c r="F200" i="1" s="1"/>
  <c r="H200" i="1" s="1"/>
  <c r="D199" i="1"/>
  <c r="F199" i="1" s="1"/>
  <c r="H199" i="1" s="1"/>
  <c r="D198" i="1"/>
  <c r="F198" i="1" s="1"/>
  <c r="H198" i="1" s="1"/>
  <c r="D197" i="1"/>
  <c r="F197" i="1" s="1"/>
  <c r="H197" i="1" s="1"/>
  <c r="D196" i="1"/>
  <c r="F196" i="1" s="1"/>
  <c r="H196" i="1" s="1"/>
  <c r="D195" i="1"/>
  <c r="F195" i="1" s="1"/>
  <c r="H195" i="1" s="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D185" i="1"/>
  <c r="D184" i="1"/>
  <c r="D183" i="1"/>
  <c r="F230" i="1"/>
  <c r="H230" i="1" s="1"/>
  <c r="F229" i="1"/>
  <c r="H229" i="1" s="1"/>
  <c r="A229" i="1"/>
  <c r="A230" i="1" s="1"/>
  <c r="A221" i="1"/>
  <c r="A222" i="1" s="1"/>
  <c r="A223" i="1" s="1"/>
  <c r="A224" i="1" s="1"/>
  <c r="A225" i="1" s="1"/>
  <c r="A226" i="1" s="1"/>
  <c r="A227" i="1" s="1"/>
  <c r="A217" i="1"/>
  <c r="A218" i="1" s="1"/>
  <c r="A219" i="1" s="1"/>
  <c r="A209" i="1"/>
  <c r="A210" i="1" s="1"/>
  <c r="A211" i="1" s="1"/>
  <c r="A212" i="1" s="1"/>
  <c r="A213" i="1" s="1"/>
  <c r="A214" i="1" s="1"/>
  <c r="A215" i="1" s="1"/>
  <c r="A201" i="1"/>
  <c r="A202" i="1" s="1"/>
  <c r="A203" i="1" s="1"/>
  <c r="A204" i="1" s="1"/>
  <c r="A205" i="1" s="1"/>
  <c r="A206" i="1" s="1"/>
  <c r="A207" i="1" s="1"/>
  <c r="A195" i="1"/>
  <c r="A196" i="1" s="1"/>
  <c r="A197" i="1" s="1"/>
  <c r="A198" i="1" s="1"/>
  <c r="A199" i="1" s="1"/>
  <c r="A192" i="1"/>
  <c r="A188" i="1"/>
  <c r="A189" i="1" s="1"/>
  <c r="A190" i="1" s="1"/>
  <c r="G51" i="1" l="1"/>
  <c r="G52" i="1" s="1"/>
  <c r="B414" i="1" l="1"/>
  <c r="F184" i="1" l="1"/>
  <c r="F185" i="1"/>
  <c r="H185" i="1" s="1"/>
  <c r="F186" i="1"/>
  <c r="H186" i="1" s="1"/>
  <c r="F183" i="1"/>
  <c r="C117" i="1" l="1"/>
  <c r="C118" i="1" s="1"/>
  <c r="E117" i="1"/>
  <c r="E118" i="1" s="1"/>
  <c r="H184" i="1"/>
  <c r="H183" i="1"/>
  <c r="G58" i="1"/>
  <c r="C58" i="1"/>
  <c r="C54" i="1"/>
  <c r="G117" i="1" l="1"/>
  <c r="G118" i="1" s="1"/>
  <c r="S33" i="1"/>
  <c r="F11" i="5" l="1"/>
  <c r="G11" i="5" s="1"/>
  <c r="F10" i="5"/>
  <c r="G10" i="5" s="1"/>
  <c r="F9" i="5"/>
  <c r="G9" i="5" s="1"/>
  <c r="F8" i="5"/>
  <c r="G8" i="5" s="1"/>
  <c r="F7" i="5"/>
  <c r="G7" i="5" s="1"/>
  <c r="F6" i="5"/>
  <c r="G6" i="5" s="1"/>
  <c r="F5" i="5"/>
  <c r="G5" i="5" s="1"/>
  <c r="G12" i="5" s="1"/>
  <c r="D441" i="1"/>
  <c r="B415" i="1"/>
  <c r="F411" i="1"/>
  <c r="H411" i="1" s="1"/>
  <c r="F410" i="1"/>
  <c r="H410" i="1" s="1"/>
  <c r="F409" i="1"/>
  <c r="H409" i="1" s="1"/>
  <c r="F408" i="1"/>
  <c r="H408" i="1" s="1"/>
  <c r="F407" i="1"/>
  <c r="H407" i="1" s="1"/>
  <c r="F405" i="1"/>
  <c r="H405" i="1" s="1"/>
  <c r="F404" i="1"/>
  <c r="H404" i="1" s="1"/>
  <c r="F403" i="1"/>
  <c r="H403" i="1" s="1"/>
  <c r="F402" i="1"/>
  <c r="H402" i="1" s="1"/>
  <c r="F401" i="1"/>
  <c r="H401" i="1" s="1"/>
  <c r="F399" i="1"/>
  <c r="H399" i="1" s="1"/>
  <c r="F398" i="1"/>
  <c r="H398" i="1" s="1"/>
  <c r="F397" i="1"/>
  <c r="H397" i="1" s="1"/>
  <c r="F396" i="1"/>
  <c r="H396" i="1" s="1"/>
  <c r="F395" i="1"/>
  <c r="H395" i="1" s="1"/>
  <c r="F393" i="1"/>
  <c r="H393" i="1" s="1"/>
  <c r="F392" i="1"/>
  <c r="H392" i="1" s="1"/>
  <c r="F391" i="1"/>
  <c r="H391" i="1" s="1"/>
  <c r="F390" i="1"/>
  <c r="H390" i="1" s="1"/>
  <c r="F389" i="1"/>
  <c r="H389" i="1" s="1"/>
  <c r="A389" i="1"/>
  <c r="A390" i="1" s="1"/>
  <c r="A391" i="1" s="1"/>
  <c r="A392" i="1" s="1"/>
  <c r="A393" i="1" s="1"/>
  <c r="F387" i="1"/>
  <c r="H387" i="1" s="1"/>
  <c r="F386" i="1"/>
  <c r="H386" i="1" s="1"/>
  <c r="F385" i="1"/>
  <c r="H385" i="1" s="1"/>
  <c r="A385" i="1"/>
  <c r="A386" i="1" s="1"/>
  <c r="A387" i="1" s="1"/>
  <c r="F384" i="1"/>
  <c r="H384" i="1" s="1"/>
  <c r="A184" i="1"/>
  <c r="A185" i="1" s="1"/>
  <c r="A186" i="1" s="1"/>
  <c r="G124" i="1"/>
  <c r="E124" i="1"/>
  <c r="C124" i="1"/>
  <c r="D67" i="1"/>
  <c r="C51" i="1"/>
  <c r="E44" i="1"/>
  <c r="E45" i="1" s="1"/>
  <c r="E31" i="1"/>
  <c r="E28" i="1"/>
  <c r="E26" i="1"/>
  <c r="C16" i="1"/>
  <c r="I15" i="1"/>
  <c r="Z13" i="1"/>
  <c r="E3" i="1"/>
  <c r="A407" i="1"/>
  <c r="H74" i="1"/>
  <c r="A395" i="1"/>
  <c r="A401" i="1"/>
  <c r="J73" i="1" l="1"/>
  <c r="J75" i="1" s="1"/>
  <c r="J76" i="1"/>
  <c r="J77" i="1"/>
  <c r="J78" i="1"/>
  <c r="C77" i="1" s="1"/>
  <c r="D81" i="1"/>
  <c r="D83" i="1"/>
  <c r="D82" i="1"/>
  <c r="D86" i="1"/>
  <c r="D80" i="1"/>
  <c r="D85" i="1"/>
  <c r="D79" i="1"/>
  <c r="D84" i="1"/>
  <c r="B74" i="1"/>
  <c r="J79" i="1" s="1"/>
  <c r="A408" i="1"/>
  <c r="A402" i="1"/>
  <c r="A396" i="1"/>
  <c r="D77" i="1" l="1"/>
  <c r="J83" i="1"/>
  <c r="J81" i="1"/>
  <c r="J82" i="1"/>
  <c r="J80" i="1"/>
  <c r="J84" i="1"/>
  <c r="A409" i="1"/>
  <c r="A397" i="1"/>
  <c r="A403" i="1"/>
  <c r="J85" i="1" l="1"/>
  <c r="J86" i="1" s="1"/>
  <c r="C78" i="1"/>
  <c r="J74" i="1" s="1"/>
  <c r="A404" i="1"/>
  <c r="A398" i="1"/>
  <c r="A410" i="1"/>
  <c r="E77" i="1" l="1"/>
  <c r="C101" i="1" s="1"/>
  <c r="D78" i="1"/>
  <c r="I74" i="1" s="1"/>
  <c r="I75" i="1" s="1"/>
  <c r="I73" i="1" s="1"/>
  <c r="C75" i="1" s="1"/>
  <c r="G77" i="1"/>
  <c r="G101" i="1" s="1"/>
  <c r="A399" i="1"/>
  <c r="A411" i="1"/>
  <c r="A405" i="1"/>
  <c r="D71" i="1" l="1"/>
  <c r="F72" i="1" s="1"/>
  <c r="D72"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8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<sst xmlns="http://schemas.openxmlformats.org/spreadsheetml/2006/main" count="807" uniqueCount="368">
  <si>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</si>
  <si>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</si>
  <si>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</si>
  <si>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</si>
  <si>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</si>
  <si>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</si>
  <si>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</si>
  <si>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</si>
  <si>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</si>
  <si>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</si>
  <si>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</si>
  <si>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</si>
  <si>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</si>
  <si>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</si>
  <si>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</si>
  <si>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</si>
  <si>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</si>
  <si>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</si>
  <si>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</si>
  <si>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</si>
  <si>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</si>
  <si>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</si>
  <si>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</si>
  <si>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</si>
  <si>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</si>
  <si>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</si>
  <si>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</si>
  <si>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</si>
  <si>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</si>
  <si>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</si>
  <si>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</si>
  <si>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</si>
  <si>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</si>
  <si>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</si>
  <si>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</si>
  <si>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</si>
  <si>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</si>
  <si>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</si>
  <si>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</si>
  <si>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</si>
  <si>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</si>
  <si>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</si>
  <si>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</si>
  <si>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</si>
  <si>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</si>
  <si>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</si>
  <si>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</si>
  <si>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</si>
  <si>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</si>
  <si>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</si>
  <si>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</si>
  <si>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</si>
  <si>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</si>
  <si>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</si>
  <si>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</si>
  <si>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</si>
  <si>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</si>
  <si>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</si>
  <si>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</si>
  <si>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</si>
  <si>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</si>
  <si>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</si>
  <si>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</si>
  <si>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</si>
  <si>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</si>
  <si>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</si>
  <si>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</si>
  <si>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</si>
  <si>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</si>
  <si>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</si>
  <si>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</si>
  <si>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</si>
  <si>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</si>
  <si>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</si>
  <si>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</si>
  <si>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</si>
  <si>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</si>
  <si>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</si>
  <si>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</si>
  <si>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</si>
  <si>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</si>
  <si>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</si>
  <si>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</si>
  <si>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</si>
  <si>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</si>
  <si>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</si>
  <si>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</si>
  <si>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</si>
  <si>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</si>
  <si>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</si>
  <si>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</si>
  <si>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</si>
  <si>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</si>
  <si>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</si>
  <si>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</si>
  <si>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</si>
  <si>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</si>
  <si>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</si>
  <si>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</si>
  <si>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</si>
  <si>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</si>
  <si>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</si>
  <si>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</si>
  <si>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</si>
  <si>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</si>
  <si>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</si>
  <si>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</si>
  <si>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</si>
  <si>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</si>
  <si>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</si>
  <si>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</si>
  <si>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</si>
  <si>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</si>
  <si>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</si>
  <si>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</si>
  <si>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</si>
  <si>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</si>
  <si>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</si>
  <si>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</si>
  <si>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</si>
  <si>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</si>
  <si>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</si>
  <si>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</si>
  <si>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</si>
  <si>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</si>
  <si>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</si>
  <si>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</si>
  <si>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</si>
  <si>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</si>
  <si>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</si>
  <si>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</si>
  <si>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</si>
  <si>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</si>
  <si>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</si>
  <si>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</si>
  <si>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</si>
  <si>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</si>
  <si>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</si>
  <si>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</si>
  <si>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</si>
  <si>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</si>
  <si>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</si>
  <si>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</si>
  <si>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</si>
  <si>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</si>
  <si>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</si>
  <si>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</si>
  <si>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</si>
  <si>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</si>
  <si>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</si>
  <si>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</si>
  <si>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</si>
  <si>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</si>
  <si>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</si>
  <si>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</si>
  <si>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</si>
  <si>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</si>
  <si>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</si>
  <si>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</si>
  <si>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</si>
  <si>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</si>
  <si>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</si>
  <si>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</si>
  <si>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</si>
  <si>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</si>
  <si>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</si>
  <si>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</si>
  <si>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</si>
  <si>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</si>
  <si>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</si>
  <si>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</si>
  <si>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</si>
  <si>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</si>
  <si>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</si>
  <si>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</si>
  <si>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</si>
  <si>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</si>
  <si>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</si>
  <si>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</si>
  <si>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</si>
  <si>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</si>
  <si>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</si>
  <si>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</si>
  <si>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</si>
  <si>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</si>
  <si>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</si>
  <si>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</si>
  <si>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</si>
  <si>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</si>
  <si>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</si>
  <si>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</si>
  <si>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</si>
  <si>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</si>
  <si>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</si>
  <si>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</si>
  <si>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</si>
  <si>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</si>
  <si>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</si>
  <si>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</si>
  <si>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</si>
  <si>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</si>
  <si>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</si>
  <si>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</si>
  <si>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</si>
  <si>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</si>
  <si>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</si>
  <si>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</si>
  <si>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</si>
  <si>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</si>
  <si>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</si>
  <si>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</si>
  <si>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</si>
  <si>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</si>
  <si>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</si>
  <si>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</si>
  <si>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</si>
  <si>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</si>
  <si>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</si>
  <si>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</si>
  <si>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</si>
  <si>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</si>
  <si>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</si>
  <si>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</si>
  <si>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</si>
  <si>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</si>
  <si>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</si>
  <si>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</si>
  <si>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</si>
  <si>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</si>
  <si>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</si>
  <si>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</si>
  <si>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</si>
  <si>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</si>
  <si>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</si>
  <si>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</si>
  <si>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</si>
  <si>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</si>
  <si>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</si>
  <si>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</si>
  <si>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</si>
  <si>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</si>
  <si>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</si>
  <si>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</si>
  <si>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</si>
  <si>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</si>
  <si>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</si>
  <si>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</si>
  <si>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</si>
  <si>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</si>
  <si>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</si>
  <si>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</si>
  <si>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</si>
  <si>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</si>
  <si>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</si>
  <si>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</si>
  <si>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</si>
  <si>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</si>
  <si>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</si>
  <si>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</si>
  <si>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</si>
  <si>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</si>
  <si>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</si>
  <si>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</si>
  <si>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</si>
  <si>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</si>
  <si>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</si>
  <si>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</si>
  <si>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</si>
  <si>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</si>
  <si>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</si>
  <si>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</si>
  <si>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</si>
  <si>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</si>
  <si>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</si>
  <si>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</si>
  <si>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</si>
  <si>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</si>
  <si>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</si>
  <si>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</si>
  <si>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</si>
  <si>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</si>
  <si>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</si>
  <si>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</si>
  <si>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</si>
  <si>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</si>
  <si>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</si>
  <si>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</si>
  <si>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</si>
  <si>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</si>
  <si>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</si>
  <si>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</si>
  <si>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</si>
  <si>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</si>
  <si>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</si>
  <si>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</si>
  <si>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</si>
  <si>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</si>
  <si>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</si>
  <si>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</si>
  <si>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</si>
  <si>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Building Details Floor Wise</t>
  </si>
  <si>
    <t>As Flat No. 201, 202, 203 &amp; 204 consists of large terrace area but dimension of that area is not mentioned. Therefore we have not considered terrace area for that flat.</t>
  </si>
  <si>
    <t>Nagar Rachana And Mulya Nirdharan Vibhag, Raigad -Alibag</t>
  </si>
  <si>
    <t>Macrotech Developers Limited</t>
  </si>
  <si>
    <t>Mr. Rajendra Giri 9820248856</t>
  </si>
  <si>
    <t>P51700054751</t>
  </si>
  <si>
    <t>Sector P (Commercial Bldg. Signet P2)</t>
  </si>
  <si>
    <t>4.9 KM from Dombivli Railway Station</t>
  </si>
  <si>
    <t>Dombivli East</t>
  </si>
  <si>
    <t>Gharivali &amp; Kole</t>
  </si>
  <si>
    <t>Kalyan Shilphata Road</t>
  </si>
  <si>
    <t>Premier Colony</t>
  </si>
  <si>
    <t>Premier Colony Ground</t>
  </si>
  <si>
    <t>as</t>
  </si>
  <si>
    <t>As per RERA Survey No</t>
  </si>
  <si>
    <t>Other Plot</t>
  </si>
  <si>
    <t>Open Plot</t>
  </si>
  <si>
    <t>Internal Road</t>
  </si>
  <si>
    <t>12.00 M Wide Int. Road</t>
  </si>
  <si>
    <t xml:space="preserve">Total Permissible Builtup area of the project (Sq.Mt) </t>
  </si>
  <si>
    <t>Approved Builtup Area of Sector P (Sq.Mt)</t>
  </si>
  <si>
    <t>As per RERA - 31/07/2027</t>
  </si>
  <si>
    <t>Ekatmikrut Nagarvasahat/Mauje Antarli, Khoni, Hedutane, Kole, Gharivali, Katai &amp; Mangaon Tal. Kalyan &amp; Mauje Umbroli, Tal. Ambernath SSThane/1188</t>
  </si>
  <si>
    <t>Ekatmikrut Nagarvasahat/Mau. Antarli, Khoni &amp; Other/Sector " B, D, E, I2, O, P, Q  &amp; R" SSThane/1188</t>
  </si>
  <si>
    <t>26(Pt), 27(Pt), 46(Pt), 53(Pt), 59/1(Pt) of Gharivali, 21(Pt), 76(Pt) of Kole</t>
  </si>
  <si>
    <t xml:space="preserve">Sector P (Commercial Building SIGNET P2) = Gr + 1st to 10th Floor </t>
  </si>
  <si>
    <t xml:space="preserve">Commercial Building Signet P2 = Gr + 1st to 10th Floor </t>
  </si>
  <si>
    <t>Sector P</t>
  </si>
  <si>
    <t>Commercial Building Signet P2</t>
  </si>
  <si>
    <t>Lodha Group</t>
  </si>
  <si>
    <t xml:space="preserve">Details of Commercials in Building   </t>
  </si>
  <si>
    <t>3rd &amp; 4th Floor For Commercial</t>
  </si>
  <si>
    <t xml:space="preserve">We considered Gross carpet area = Net carpet </t>
  </si>
  <si>
    <t>Flats -, Shops -,</t>
  </si>
  <si>
    <t>19.179194,73.088917</t>
  </si>
  <si>
    <t>https://maps.app.goo.gl/oeqUKBmqcqnrFQpu9</t>
  </si>
  <si>
    <r>
      <t xml:space="preserve">Proposed Amenities :                                                                                                                                                                                                                         </t>
    </r>
    <r>
      <rPr>
        <b/>
        <sz val="12"/>
        <rFont val="Times New Roman"/>
        <family val="1"/>
      </rPr>
      <t xml:space="preserve">                                               </t>
    </r>
  </si>
  <si>
    <t>AS PER RERA</t>
  </si>
  <si>
    <t>Approved Plans, CC, Sale Plan (3rd Floor)</t>
  </si>
  <si>
    <t>Provide sale plan for remaining floors</t>
  </si>
  <si>
    <t>Office</t>
  </si>
  <si>
    <t>Commercial Area Details : (Office)</t>
  </si>
  <si>
    <t>Internal Roads, Fire Protection, Recreational Open Space, Community Buildings, Open Parking, Sufficient Water Supply etc.</t>
  </si>
  <si>
    <t>Palava Signet 2</t>
  </si>
  <si>
    <t>Recommended rate of the Shop on ground Floor Per Sq. Ft.</t>
  </si>
  <si>
    <t>Recommended rate of the Shop on 1st floor Per Sq. Ft.</t>
  </si>
  <si>
    <t>Recommended rate of the Office Per Sq. Ft</t>
  </si>
  <si>
    <t>5th Floor For Commercial</t>
  </si>
  <si>
    <t>Recommended rate of the Office on 3rd, 4th, 5th  &amp; 8th Floor Per Sq. Ft.</t>
  </si>
  <si>
    <t>7th, 8th &amp; 9th Floor For Commercial</t>
  </si>
  <si>
    <t>7th, 8th &amp; 9th floor Area updated on 29/05/2024.</t>
  </si>
  <si>
    <t>Refuge Area</t>
  </si>
  <si>
    <t>6th Floor For Commercial (Part Refuge Area)</t>
  </si>
  <si>
    <t>Offices - 332</t>
  </si>
  <si>
    <t>6th floor Area updated on 14/08/2024.</t>
  </si>
  <si>
    <t xml:space="preserve">As per approved floor plan shop, office &amp; Medical numbering is not mentioned. We have received sale plan for 3rd &amp; 8th floor, so we are drafted area only for 3rd to 9th floor </t>
  </si>
  <si>
    <t>Ground Floor For Commercial &amp; Double Height Shop Lobby</t>
  </si>
  <si>
    <t>Lift Area</t>
  </si>
  <si>
    <t>5th &amp; 6th floor Area updated on 14/08/2024.</t>
  </si>
  <si>
    <t>SIA/MH/MIS/63043/2021</t>
  </si>
  <si>
    <t>As per the discussion of bank officials and the builder, the updated EC is given for the entire Palava Township. Mail screenshot attached below.</t>
  </si>
  <si>
    <t>Remark No. 13 :</t>
  </si>
  <si>
    <t>Gaurav Panchal</t>
  </si>
  <si>
    <t>Prem Yerunkar</t>
  </si>
  <si>
    <t xml:space="preserve">Commercial Building Signet P2(Part 2) = Gr + 1st to 10th Floor </t>
  </si>
  <si>
    <t>Avg. Progress %</t>
  </si>
  <si>
    <t>Avg. Disburstment %</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</si>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</sst>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2" fillId="0" borderId="1"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15" fillId="0" borderId="1" xfId="1" applyNumberFormat="1" applyFont="1" applyBorder="1" applyAlignment="1" applyProtection="1">
      <alignment horizontal="center" vertical="center" wrapText="1"/>
      <protection locked="0"/>
    </xf>
    <xf numFmtId="1" fontId="15" fillId="0" borderId="1" xfId="1" applyNumberFormat="1" applyFont="1" applyBorder="1" applyAlignment="1">
      <alignment horizontal="center" vertical="center"/>
    </xf>
    <xf numFmtId="1" fontId="15" fillId="0" borderId="1" xfId="1"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8" fillId="0" borderId="0" xfId="0" applyFont="1" applyBorder="1" applyProtection="1">
      <protection hidden="1"/>
    </xf>
    <xf numFmtId="1" fontId="0" fillId="0" borderId="0" xfId="0" applyNumberFormat="1" applyBorder="1"/>
    <xf numFmtId="0" fontId="12" fillId="0" borderId="2" xfId="1" applyFont="1" applyBorder="1" applyAlignment="1" applyProtection="1">
      <alignment horizontal="center" vertical="top" wrapText="1"/>
      <protection locked="0"/>
    </xf>
    <xf numFmtId="9" fontId="12" fillId="0" borderId="2" xfId="8" applyFont="1" applyFill="1" applyBorder="1" applyAlignment="1" applyProtection="1">
      <alignment horizontal="center" vertical="top" wrapText="1"/>
      <protection locked="0"/>
    </xf>
    <xf numFmtId="9" fontId="13" fillId="3" borderId="32" xfId="1" applyNumberFormat="1" applyFont="1" applyFill="1" applyBorder="1" applyAlignment="1" applyProtection="1">
      <alignment horizontal="center" vertical="center" wrapText="1"/>
      <protection locked="0"/>
    </xf>
    <xf numFmtId="0" fontId="13" fillId="3" borderId="32" xfId="1" applyFont="1" applyFill="1" applyBorder="1" applyAlignment="1" applyProtection="1">
      <alignment horizontal="center" vertical="center" wrapText="1"/>
      <protection locked="0"/>
    </xf>
    <xf numFmtId="9" fontId="13" fillId="3" borderId="32" xfId="8" applyFont="1" applyFill="1" applyBorder="1" applyAlignment="1" applyProtection="1">
      <alignment horizontal="center" vertical="center" wrapText="1"/>
      <protection locked="0"/>
    </xf>
    <xf numFmtId="9" fontId="13" fillId="3" borderId="33" xfId="8" applyFont="1" applyFill="1" applyBorder="1" applyAlignment="1" applyProtection="1">
      <alignment horizontal="center" vertical="center" wrapText="1"/>
      <protection locked="0"/>
    </xf>
    <xf numFmtId="0" fontId="13" fillId="3" borderId="31" xfId="1" applyFont="1" applyFill="1" applyBorder="1" applyAlignment="1" applyProtection="1">
      <alignment horizontal="center" vertical="center" wrapText="1"/>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0" fontId="12" fillId="0" borderId="35" xfId="1" applyFont="1" applyBorder="1" applyAlignment="1" applyProtection="1">
      <alignment horizontal="center" vertical="top" wrapText="1"/>
      <protection locked="0"/>
    </xf>
    <xf numFmtId="0" fontId="12" fillId="0" borderId="2" xfId="1" applyFont="1" applyBorder="1" applyAlignment="1" applyProtection="1">
      <alignment horizontal="center"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7" fillId="0" borderId="2" xfId="1" applyNumberFormat="1" applyFont="1" applyBorder="1" applyAlignment="1" applyProtection="1">
      <alignment horizontal="center" vertical="top" wrapText="1"/>
      <protection locked="0"/>
    </xf>
    <xf numFmtId="1" fontId="17" fillId="0" borderId="15"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6" fillId="0" borderId="20"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2"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5" fillId="0" borderId="7" xfId="1" applyNumberFormat="1" applyFont="1" applyBorder="1" applyAlignment="1" applyProtection="1">
      <alignment horizontal="center" vertical="center" wrapText="1"/>
      <protection locked="0"/>
    </xf>
    <xf numFmtId="1" fontId="15" fillId="0" borderId="8" xfId="1" applyNumberFormat="1" applyFont="1" applyBorder="1" applyAlignment="1" applyProtection="1">
      <alignment horizontal="center" vertical="center" wrapText="1"/>
      <protection locked="0"/>
    </xf>
    <xf numFmtId="1" fontId="15" fillId="0" borderId="16" xfId="1" applyNumberFormat="1" applyFont="1" applyBorder="1" applyAlignment="1" applyProtection="1">
      <alignment horizontal="center" vertical="center" wrapText="1"/>
      <protection locked="0"/>
    </xf>
    <xf numFmtId="1" fontId="15" fillId="0" borderId="23" xfId="1" applyNumberFormat="1" applyFont="1" applyBorder="1" applyAlignment="1" applyProtection="1">
      <alignment horizontal="center" vertical="center" wrapText="1"/>
      <protection locked="0"/>
    </xf>
    <xf numFmtId="1" fontId="15" fillId="0" borderId="17" xfId="1" applyNumberFormat="1" applyFont="1" applyBorder="1" applyAlignment="1" applyProtection="1">
      <alignment horizontal="center" vertical="center" wrapText="1"/>
      <protection locked="0"/>
    </xf>
    <xf numFmtId="1" fontId="15" fillId="0" borderId="18" xfId="1" applyNumberFormat="1" applyFont="1" applyBorder="1" applyAlignment="1" applyProtection="1">
      <alignment horizontal="center" vertical="center" wrapText="1"/>
      <protection locked="0"/>
    </xf>
    <xf numFmtId="1" fontId="15" fillId="0" borderId="34" xfId="1" applyNumberFormat="1" applyFont="1" applyBorder="1" applyAlignment="1" applyProtection="1">
      <alignment horizontal="center" vertical="center" wrapText="1"/>
      <protection locked="0"/>
    </xf>
    <xf numFmtId="1" fontId="15" fillId="0" borderId="19"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320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jpeg"/><Relationship Id="rId18" Type="http://schemas.openxmlformats.org/officeDocument/2006/relationships/image" Target="../media/image16.jpeg"/><Relationship Id="rId26" Type="http://schemas.openxmlformats.org/officeDocument/2006/relationships/image" Target="../media/image24.jpeg"/><Relationship Id="rId3" Type="http://schemas.openxmlformats.org/officeDocument/2006/relationships/image" Target="../media/image3.png"/><Relationship Id="rId21" Type="http://schemas.openxmlformats.org/officeDocument/2006/relationships/image" Target="../media/image19.jpeg"/><Relationship Id="rId7" Type="http://schemas.openxmlformats.org/officeDocument/2006/relationships/image" Target="../media/image5.png"/><Relationship Id="rId12" Type="http://schemas.openxmlformats.org/officeDocument/2006/relationships/image" Target="../media/image10.jpeg"/><Relationship Id="rId17" Type="http://schemas.openxmlformats.org/officeDocument/2006/relationships/image" Target="../media/image15.jpeg"/><Relationship Id="rId25" Type="http://schemas.openxmlformats.org/officeDocument/2006/relationships/image" Target="../media/image23.jpe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jpeg"/><Relationship Id="rId29" Type="http://schemas.openxmlformats.org/officeDocument/2006/relationships/image" Target="../media/image27.jpeg"/><Relationship Id="rId1" Type="http://schemas.openxmlformats.org/officeDocument/2006/relationships/image" Target="../media/image1.png"/><Relationship Id="rId6" Type="http://schemas.microsoft.com/office/2007/relationships/hdphoto" Target="../media/hdphoto2.wdp"/><Relationship Id="rId11" Type="http://schemas.openxmlformats.org/officeDocument/2006/relationships/image" Target="../media/image9.jpeg"/><Relationship Id="rId24" Type="http://schemas.openxmlformats.org/officeDocument/2006/relationships/image" Target="../media/image22.jpeg"/><Relationship Id="rId5" Type="http://schemas.openxmlformats.org/officeDocument/2006/relationships/image" Target="../media/image4.png"/><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jpeg"/><Relationship Id="rId10" Type="http://schemas.openxmlformats.org/officeDocument/2006/relationships/image" Target="../media/image8.png"/><Relationship Id="rId19" Type="http://schemas.openxmlformats.org/officeDocument/2006/relationships/image" Target="../media/image17.jpeg"/><Relationship Id="rId4" Type="http://schemas.microsoft.com/office/2007/relationships/hdphoto" Target="../media/hdphoto1.wdp"/><Relationship Id="rId9" Type="http://schemas.openxmlformats.org/officeDocument/2006/relationships/image" Target="../media/image7.png"/><Relationship Id="rId14" Type="http://schemas.openxmlformats.org/officeDocument/2006/relationships/image" Target="../media/image12.jpeg"/><Relationship Id="rId22" Type="http://schemas.openxmlformats.org/officeDocument/2006/relationships/image" Target="../media/image20.jpeg"/><Relationship Id="rId27" Type="http://schemas.openxmlformats.org/officeDocument/2006/relationships/image" Target="../media/image25.jpeg"/><Relationship Id="rId30" Type="http://schemas.openxmlformats.org/officeDocument/2006/relationships/image" Target="../media/image2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0</xdr:col>
      <xdr:colOff>734384</xdr:colOff>
      <xdr:row>570</xdr:row>
      <xdr:rowOff>137777</xdr:rowOff>
    </xdr:from>
    <xdr:to>
      <xdr:col>6</xdr:col>
      <xdr:colOff>430946</xdr:colOff>
      <xdr:row>587</xdr:row>
      <xdr:rowOff>187779</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34384" y="64964927"/>
          <a:ext cx="4544787" cy="3450426"/>
        </a:xfrm>
        <a:prstGeom prst="rect">
          <a:avLst/>
        </a:prstGeom>
        <a:ln>
          <a:solidFill>
            <a:sysClr val="windowText" lastClr="000000"/>
          </a:solidFill>
        </a:ln>
      </xdr:spPr>
    </xdr:pic>
    <xdr:clientData/>
  </xdr:twoCellAnchor>
  <xdr:twoCellAnchor editAs="oneCell">
    <xdr:from>
      <xdr:col>8</xdr:col>
      <xdr:colOff>266700</xdr:colOff>
      <xdr:row>49</xdr:row>
      <xdr:rowOff>309283</xdr:rowOff>
    </xdr:from>
    <xdr:to>
      <xdr:col>16</xdr:col>
      <xdr:colOff>140441</xdr:colOff>
      <xdr:row>51</xdr:row>
      <xdr:rowOff>25403</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6575612" y="11896165"/>
          <a:ext cx="6653300" cy="1361144"/>
        </a:xfrm>
        <a:prstGeom prst="rect">
          <a:avLst/>
        </a:prstGeom>
      </xdr:spPr>
    </xdr:pic>
    <xdr:clientData/>
  </xdr:twoCellAnchor>
  <xdr:twoCellAnchor editAs="oneCell">
    <xdr:from>
      <xdr:col>1</xdr:col>
      <xdr:colOff>43056</xdr:colOff>
      <xdr:row>527</xdr:row>
      <xdr:rowOff>74619</xdr:rowOff>
    </xdr:from>
    <xdr:to>
      <xdr:col>6</xdr:col>
      <xdr:colOff>606723</xdr:colOff>
      <xdr:row>545</xdr:row>
      <xdr:rowOff>1931</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cstate="screen">
          <a:extLst>
            <a:ext uri="{BEBA8EAE-BF5A-486C-A8C5-ECC9F3942E4B}">
              <a14:imgProps xmlns:a14="http://schemas.microsoft.com/office/drawing/2010/main">
                <a14:imgLayer r:embed="rId4">
                  <a14:imgEffect>
                    <a14:artisticPhotocopy/>
                  </a14:imgEffect>
                  <a14:imgEffect>
                    <a14:colorTemperature colorTemp="4700"/>
                  </a14:imgEffect>
                </a14:imgLayer>
              </a14:imgProps>
            </a:ext>
            <a:ext uri="{28A0092B-C50C-407E-A947-70E740481C1C}">
              <a14:useLocalDpi xmlns:a14="http://schemas.microsoft.com/office/drawing/2010/main"/>
            </a:ext>
          </a:extLst>
        </a:blip>
        <a:stretch>
          <a:fillRect/>
        </a:stretch>
      </xdr:blipFill>
      <xdr:spPr>
        <a:xfrm>
          <a:off x="805056" y="58401237"/>
          <a:ext cx="4653814" cy="3556086"/>
        </a:xfrm>
        <a:prstGeom prst="rect">
          <a:avLst/>
        </a:prstGeom>
        <a:ln>
          <a:solidFill>
            <a:schemeClr val="tx1"/>
          </a:solidFill>
        </a:ln>
      </xdr:spPr>
    </xdr:pic>
    <xdr:clientData/>
  </xdr:twoCellAnchor>
  <xdr:twoCellAnchor>
    <xdr:from>
      <xdr:col>1</xdr:col>
      <xdr:colOff>518377</xdr:colOff>
      <xdr:row>545</xdr:row>
      <xdr:rowOff>129034</xdr:rowOff>
    </xdr:from>
    <xdr:to>
      <xdr:col>6</xdr:col>
      <xdr:colOff>165939</xdr:colOff>
      <xdr:row>568</xdr:row>
      <xdr:rowOff>75517</xdr:rowOff>
    </xdr:to>
    <xdr:grpSp>
      <xdr:nvGrpSpPr>
        <xdr:cNvPr id="11" name="Group 10">
          <a:extLst>
            <a:ext uri="{FF2B5EF4-FFF2-40B4-BE49-F238E27FC236}">
              <a16:creationId xmlns:a16="http://schemas.microsoft.com/office/drawing/2014/main" xmlns="" id="{00000000-0008-0000-0000-00000B000000}"/>
            </a:ext>
          </a:extLst>
        </xdr:cNvPr>
        <xdr:cNvGrpSpPr/>
      </xdr:nvGrpSpPr>
      <xdr:grpSpPr>
        <a:xfrm>
          <a:off x="1280377" y="93559759"/>
          <a:ext cx="3733787" cy="4547058"/>
          <a:chOff x="1313508" y="62078076"/>
          <a:chExt cx="3737709" cy="4585718"/>
        </a:xfrm>
      </xdr:grpSpPr>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5" cstate="screen">
            <a:extLst>
              <a:ext uri="{BEBA8EAE-BF5A-486C-A8C5-ECC9F3942E4B}">
                <a14:imgProps xmlns:a14="http://schemas.microsoft.com/office/drawing/2010/main">
                  <a14:imgLayer r:embed="rId6">
                    <a14:imgEffect>
                      <a14:artisticPhotocopy/>
                    </a14:imgEffect>
                    <a14:imgEffect>
                      <a14:colorTemperature colorTemp="4700"/>
                    </a14:imgEffect>
                  </a14:imgLayer>
                </a14:imgProps>
              </a:ext>
              <a:ext uri="{28A0092B-C50C-407E-A947-70E740481C1C}">
                <a14:useLocalDpi xmlns:a14="http://schemas.microsoft.com/office/drawing/2010/main"/>
              </a:ext>
            </a:extLst>
          </a:blip>
          <a:stretch>
            <a:fillRect/>
          </a:stretch>
        </xdr:blipFill>
        <xdr:spPr>
          <a:xfrm>
            <a:off x="1313508" y="62078076"/>
            <a:ext cx="3737709" cy="4585718"/>
          </a:xfrm>
          <a:prstGeom prst="rect">
            <a:avLst/>
          </a:prstGeom>
          <a:ln>
            <a:solidFill>
              <a:schemeClr val="tx1"/>
            </a:solidFill>
          </a:ln>
        </xdr:spPr>
      </xdr:pic>
      <xdr:sp macro="" textlink="">
        <xdr:nvSpPr>
          <xdr:cNvPr id="2" name="Rectangle 1">
            <a:extLst>
              <a:ext uri="{FF2B5EF4-FFF2-40B4-BE49-F238E27FC236}">
                <a16:creationId xmlns:a16="http://schemas.microsoft.com/office/drawing/2014/main" xmlns="" id="{00000000-0008-0000-0000-000002000000}"/>
              </a:ext>
            </a:extLst>
          </xdr:cNvPr>
          <xdr:cNvSpPr/>
        </xdr:nvSpPr>
        <xdr:spPr>
          <a:xfrm rot="1489474">
            <a:off x="1949316" y="64043377"/>
            <a:ext cx="782464" cy="230491"/>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Rectangle 7">
            <a:extLst>
              <a:ext uri="{FF2B5EF4-FFF2-40B4-BE49-F238E27FC236}">
                <a16:creationId xmlns:a16="http://schemas.microsoft.com/office/drawing/2014/main" xmlns="" id="{00000000-0008-0000-0000-000008000000}"/>
              </a:ext>
            </a:extLst>
          </xdr:cNvPr>
          <xdr:cNvSpPr/>
        </xdr:nvSpPr>
        <xdr:spPr>
          <a:xfrm rot="1489474">
            <a:off x="1806842" y="64318340"/>
            <a:ext cx="817382" cy="220898"/>
          </a:xfrm>
          <a:prstGeom prst="rect">
            <a:avLst/>
          </a:prstGeom>
          <a:noFill/>
          <a:ln w="28575">
            <a:solidFill>
              <a:srgbClr val="320FB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rot="1499599">
            <a:off x="1827576" y="63686185"/>
            <a:ext cx="1472948" cy="445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rgbClr val="C00000"/>
                </a:solidFill>
              </a:rPr>
              <a:t>Commercial</a:t>
            </a:r>
            <a:r>
              <a:rPr lang="en-IN" sz="1100" b="1" baseline="0">
                <a:solidFill>
                  <a:srgbClr val="C00000"/>
                </a:solidFill>
              </a:rPr>
              <a:t> Building Signet - P1</a:t>
            </a:r>
            <a:endParaRPr lang="en-IN" sz="1100" b="1">
              <a:solidFill>
                <a:srgbClr val="C00000"/>
              </a:solidFill>
            </a:endParaRPr>
          </a:p>
        </xdr:txBody>
      </xdr:sp>
      <xdr:sp macro="" textlink="">
        <xdr:nvSpPr>
          <xdr:cNvPr id="10" name="TextBox 9">
            <a:extLst>
              <a:ext uri="{FF2B5EF4-FFF2-40B4-BE49-F238E27FC236}">
                <a16:creationId xmlns:a16="http://schemas.microsoft.com/office/drawing/2014/main" xmlns="" id="{00000000-0008-0000-0000-00000A000000}"/>
              </a:ext>
            </a:extLst>
          </xdr:cNvPr>
          <xdr:cNvSpPr txBox="1"/>
        </xdr:nvSpPr>
        <xdr:spPr>
          <a:xfrm rot="1598575">
            <a:off x="1421787" y="64488743"/>
            <a:ext cx="1469931" cy="445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rgbClr val="320FB1"/>
                </a:solidFill>
              </a:rPr>
              <a:t>Commercial</a:t>
            </a:r>
            <a:r>
              <a:rPr lang="en-IN" sz="1100" b="1" baseline="0">
                <a:solidFill>
                  <a:srgbClr val="320FB1"/>
                </a:solidFill>
              </a:rPr>
              <a:t> Building Signet - P2</a:t>
            </a:r>
            <a:endParaRPr lang="en-IN" sz="1100" b="1">
              <a:solidFill>
                <a:srgbClr val="320FB1"/>
              </a:solidFill>
            </a:endParaRPr>
          </a:p>
        </xdr:txBody>
      </xdr:sp>
    </xdr:grpSp>
    <xdr:clientData/>
  </xdr:twoCellAnchor>
  <xdr:twoCellAnchor>
    <xdr:from>
      <xdr:col>0</xdr:col>
      <xdr:colOff>222459</xdr:colOff>
      <xdr:row>588</xdr:row>
      <xdr:rowOff>152533</xdr:rowOff>
    </xdr:from>
    <xdr:to>
      <xdr:col>7</xdr:col>
      <xdr:colOff>414620</xdr:colOff>
      <xdr:row>610</xdr:row>
      <xdr:rowOff>11206</xdr:rowOff>
    </xdr:to>
    <xdr:grpSp>
      <xdr:nvGrpSpPr>
        <xdr:cNvPr id="25" name="Group 24">
          <a:extLst>
            <a:ext uri="{FF2B5EF4-FFF2-40B4-BE49-F238E27FC236}">
              <a16:creationId xmlns:a16="http://schemas.microsoft.com/office/drawing/2014/main" xmlns="" id="{00000000-0008-0000-0000-000019000000}"/>
            </a:ext>
          </a:extLst>
        </xdr:cNvPr>
        <xdr:cNvGrpSpPr/>
      </xdr:nvGrpSpPr>
      <xdr:grpSpPr>
        <a:xfrm>
          <a:off x="222459" y="102184333"/>
          <a:ext cx="5773811" cy="4259223"/>
          <a:chOff x="244869" y="62333974"/>
          <a:chExt cx="5866339" cy="4410940"/>
        </a:xfrm>
      </xdr:grpSpPr>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a:stretch>
            <a:fillRect/>
          </a:stretch>
        </xdr:blipFill>
        <xdr:spPr>
          <a:xfrm>
            <a:off x="244869" y="62333974"/>
            <a:ext cx="5866339" cy="4410940"/>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xmlns="" id="{00000000-0008-0000-0000-000017000000}"/>
              </a:ext>
            </a:extLst>
          </xdr:cNvPr>
          <xdr:cNvSpPr/>
        </xdr:nvSpPr>
        <xdr:spPr>
          <a:xfrm rot="1880995">
            <a:off x="2452807" y="64993549"/>
            <a:ext cx="796935" cy="20232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rot="2097424">
            <a:off x="2130211" y="65155153"/>
            <a:ext cx="1325905" cy="32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latin typeface="Times New Roman" panose="02020603050405020304" pitchFamily="18" charset="0"/>
                <a:cs typeface="Times New Roman" panose="02020603050405020304" pitchFamily="18" charset="0"/>
              </a:rPr>
              <a:t>Palava -Signet 2</a:t>
            </a:r>
          </a:p>
        </xdr:txBody>
      </xdr:sp>
    </xdr:grpSp>
    <xdr:clientData/>
  </xdr:twoCellAnchor>
  <xdr:twoCellAnchor editAs="oneCell">
    <xdr:from>
      <xdr:col>8</xdr:col>
      <xdr:colOff>802046</xdr:colOff>
      <xdr:row>16</xdr:row>
      <xdr:rowOff>118329</xdr:rowOff>
    </xdr:from>
    <xdr:to>
      <xdr:col>19</xdr:col>
      <xdr:colOff>425825</xdr:colOff>
      <xdr:row>20</xdr:row>
      <xdr:rowOff>177052</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8"/>
        <a:stretch>
          <a:fillRect/>
        </a:stretch>
      </xdr:blipFill>
      <xdr:spPr>
        <a:xfrm>
          <a:off x="7110958" y="4342947"/>
          <a:ext cx="8341955" cy="867787"/>
        </a:xfrm>
        <a:prstGeom prst="rect">
          <a:avLst/>
        </a:prstGeom>
      </xdr:spPr>
    </xdr:pic>
    <xdr:clientData/>
  </xdr:twoCellAnchor>
  <xdr:twoCellAnchor editAs="oneCell">
    <xdr:from>
      <xdr:col>8</xdr:col>
      <xdr:colOff>133350</xdr:colOff>
      <xdr:row>68</xdr:row>
      <xdr:rowOff>336550</xdr:rowOff>
    </xdr:from>
    <xdr:to>
      <xdr:col>16</xdr:col>
      <xdr:colOff>240400</xdr:colOff>
      <xdr:row>72</xdr:row>
      <xdr:rowOff>58077</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756400" y="15805150"/>
          <a:ext cx="7200000" cy="959777"/>
        </a:xfrm>
        <a:prstGeom prst="rect">
          <a:avLst/>
        </a:prstGeom>
        <a:ln>
          <a:solidFill>
            <a:schemeClr val="tx1"/>
          </a:solidFill>
        </a:ln>
      </xdr:spPr>
    </xdr:pic>
    <xdr:clientData/>
  </xdr:twoCellAnchor>
  <xdr:twoCellAnchor editAs="oneCell">
    <xdr:from>
      <xdr:col>0</xdr:col>
      <xdr:colOff>123825</xdr:colOff>
      <xdr:row>486</xdr:row>
      <xdr:rowOff>171450</xdr:rowOff>
    </xdr:from>
    <xdr:to>
      <xdr:col>7</xdr:col>
      <xdr:colOff>513604</xdr:colOff>
      <xdr:row>508</xdr:row>
      <xdr:rowOff>161376</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0"/>
        <a:stretch>
          <a:fillRect/>
        </a:stretch>
      </xdr:blipFill>
      <xdr:spPr>
        <a:xfrm>
          <a:off x="123825" y="77619225"/>
          <a:ext cx="5971429" cy="4390476"/>
        </a:xfrm>
        <a:prstGeom prst="rect">
          <a:avLst/>
        </a:prstGeom>
        <a:ln>
          <a:solidFill>
            <a:schemeClr val="tx1"/>
          </a:solidFill>
        </a:ln>
      </xdr:spPr>
    </xdr:pic>
    <xdr:clientData/>
  </xdr:twoCellAnchor>
  <xdr:twoCellAnchor>
    <xdr:from>
      <xdr:col>8</xdr:col>
      <xdr:colOff>377825</xdr:colOff>
      <xdr:row>444</xdr:row>
      <xdr:rowOff>53975</xdr:rowOff>
    </xdr:from>
    <xdr:to>
      <xdr:col>15</xdr:col>
      <xdr:colOff>480220</xdr:colOff>
      <xdr:row>483</xdr:row>
      <xdr:rowOff>189670</xdr:rowOff>
    </xdr:to>
    <xdr:grpSp>
      <xdr:nvGrpSpPr>
        <xdr:cNvPr id="13" name="Group 12">
          <a:extLst>
            <a:ext uri="{FF2B5EF4-FFF2-40B4-BE49-F238E27FC236}">
              <a16:creationId xmlns:a16="http://schemas.microsoft.com/office/drawing/2014/main" xmlns="" id="{00000000-0008-0000-0000-00000D000000}"/>
            </a:ext>
          </a:extLst>
        </xdr:cNvPr>
        <xdr:cNvGrpSpPr/>
      </xdr:nvGrpSpPr>
      <xdr:grpSpPr>
        <a:xfrm>
          <a:off x="6692900" y="73282175"/>
          <a:ext cx="6093620" cy="7936670"/>
          <a:chOff x="101600" y="68795900"/>
          <a:chExt cx="6366670" cy="7809670"/>
        </a:xfrm>
      </xdr:grpSpPr>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849957" y="74445570"/>
            <a:ext cx="1618313" cy="2160000"/>
          </a:xfrm>
          <a:prstGeom prst="rect">
            <a:avLst/>
          </a:prstGeom>
          <a:ln>
            <a:solidFill>
              <a:schemeClr val="tx1"/>
            </a:solidFill>
          </a:ln>
        </xdr:spPr>
      </xdr:pic>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1600" y="74445570"/>
            <a:ext cx="2877714" cy="2160000"/>
          </a:xfrm>
          <a:prstGeom prst="rect">
            <a:avLst/>
          </a:prstGeom>
          <a:ln>
            <a:solidFill>
              <a:schemeClr val="tx1"/>
            </a:solidFill>
          </a:ln>
        </xdr:spPr>
      </xdr:pic>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90711" y="71620735"/>
            <a:ext cx="2022891" cy="2700000"/>
          </a:xfrm>
          <a:prstGeom prst="rect">
            <a:avLst/>
          </a:prstGeom>
          <a:ln>
            <a:solidFill>
              <a:schemeClr val="tx1"/>
            </a:solidFill>
          </a:ln>
        </xdr:spPr>
      </xdr:pic>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577124" y="71620735"/>
            <a:ext cx="3597143" cy="2700000"/>
          </a:xfrm>
          <a:prstGeom prst="rect">
            <a:avLst/>
          </a:prstGeom>
          <a:ln>
            <a:solidFill>
              <a:schemeClr val="tx1"/>
            </a:solidFill>
          </a:ln>
        </xdr:spPr>
      </xdr:pic>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151376" y="68795900"/>
            <a:ext cx="2022891" cy="2700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90711" y="68795900"/>
            <a:ext cx="3597143" cy="2700000"/>
          </a:xfrm>
          <a:prstGeom prst="rect">
            <a:avLst/>
          </a:prstGeom>
          <a:ln>
            <a:solidFill>
              <a:schemeClr val="tx1"/>
            </a:solidFill>
          </a:ln>
        </xdr:spPr>
      </xdr:pic>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102104" y="74445570"/>
            <a:ext cx="1625063" cy="2160000"/>
          </a:xfrm>
          <a:prstGeom prst="rect">
            <a:avLst/>
          </a:prstGeom>
          <a:ln>
            <a:solidFill>
              <a:schemeClr val="tx1"/>
            </a:solidFill>
          </a:ln>
        </xdr:spPr>
      </xdr:pic>
    </xdr:grpSp>
    <xdr:clientData/>
  </xdr:twoCellAnchor>
  <xdr:twoCellAnchor>
    <xdr:from>
      <xdr:col>8</xdr:col>
      <xdr:colOff>533400</xdr:colOff>
      <xdr:row>440</xdr:row>
      <xdr:rowOff>66675</xdr:rowOff>
    </xdr:from>
    <xdr:to>
      <xdr:col>15</xdr:col>
      <xdr:colOff>456940</xdr:colOff>
      <xdr:row>472</xdr:row>
      <xdr:rowOff>86709</xdr:rowOff>
    </xdr:to>
    <xdr:grpSp>
      <xdr:nvGrpSpPr>
        <xdr:cNvPr id="42" name="Group 41">
          <a:extLst>
            <a:ext uri="{FF2B5EF4-FFF2-40B4-BE49-F238E27FC236}">
              <a16:creationId xmlns:a16="http://schemas.microsoft.com/office/drawing/2014/main" xmlns="" id="{91268B81-47D9-48D1-A22F-A936C3B267BE}"/>
            </a:ext>
          </a:extLst>
        </xdr:cNvPr>
        <xdr:cNvGrpSpPr/>
      </xdr:nvGrpSpPr>
      <xdr:grpSpPr>
        <a:xfrm>
          <a:off x="6848475" y="72494775"/>
          <a:ext cx="5914765" cy="6420834"/>
          <a:chOff x="0" y="0"/>
          <a:chExt cx="5914765" cy="6420834"/>
        </a:xfrm>
      </xdr:grpSpPr>
      <xdr:pic>
        <xdr:nvPicPr>
          <xdr:cNvPr id="49" name="Picture 48">
            <a:extLst>
              <a:ext uri="{FF2B5EF4-FFF2-40B4-BE49-F238E27FC236}">
                <a16:creationId xmlns:a16="http://schemas.microsoft.com/office/drawing/2014/main" xmlns="" id="{9832A9EA-C848-4F70-A067-CA3D19ABC51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0" y="0"/>
            <a:ext cx="2877333" cy="2160000"/>
          </a:xfrm>
          <a:prstGeom prst="rect">
            <a:avLst/>
          </a:prstGeom>
          <a:ln>
            <a:solidFill>
              <a:schemeClr val="tx1"/>
            </a:solidFill>
          </a:ln>
        </xdr:spPr>
      </xdr:pic>
      <xdr:pic>
        <xdr:nvPicPr>
          <xdr:cNvPr id="50" name="Picture 49">
            <a:extLst>
              <a:ext uri="{FF2B5EF4-FFF2-40B4-BE49-F238E27FC236}">
                <a16:creationId xmlns:a16="http://schemas.microsoft.com/office/drawing/2014/main" xmlns="" id="{AEB47B4C-23B6-4185-9865-263AB922ADDA}"/>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037432" y="0"/>
            <a:ext cx="2877333" cy="2160000"/>
          </a:xfrm>
          <a:prstGeom prst="rect">
            <a:avLst/>
          </a:prstGeom>
          <a:ln>
            <a:solidFill>
              <a:schemeClr val="tx1"/>
            </a:solidFill>
          </a:ln>
        </xdr:spPr>
      </xdr:pic>
      <xdr:pic>
        <xdr:nvPicPr>
          <xdr:cNvPr id="51" name="Picture 50">
            <a:extLst>
              <a:ext uri="{FF2B5EF4-FFF2-40B4-BE49-F238E27FC236}">
                <a16:creationId xmlns:a16="http://schemas.microsoft.com/office/drawing/2014/main" xmlns="" id="{F125F6D3-57AF-43CA-8AA7-5CF055AE479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508474" y="2310417"/>
            <a:ext cx="1618312" cy="2160000"/>
          </a:xfrm>
          <a:prstGeom prst="rect">
            <a:avLst/>
          </a:prstGeom>
          <a:ln>
            <a:solidFill>
              <a:schemeClr val="tx1"/>
            </a:solidFill>
          </a:ln>
        </xdr:spPr>
      </xdr:pic>
      <xdr:pic>
        <xdr:nvPicPr>
          <xdr:cNvPr id="52" name="Picture 51">
            <a:extLst>
              <a:ext uri="{FF2B5EF4-FFF2-40B4-BE49-F238E27FC236}">
                <a16:creationId xmlns:a16="http://schemas.microsoft.com/office/drawing/2014/main" xmlns="" id="{A548096E-8A07-4CFE-A440-4AF24FE4E2A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206204" y="2310417"/>
            <a:ext cx="2877333" cy="2160000"/>
          </a:xfrm>
          <a:prstGeom prst="rect">
            <a:avLst/>
          </a:prstGeom>
          <a:ln>
            <a:solidFill>
              <a:schemeClr val="tx1"/>
            </a:solidFill>
          </a:ln>
        </xdr:spPr>
      </xdr:pic>
      <xdr:pic>
        <xdr:nvPicPr>
          <xdr:cNvPr id="53" name="Picture 52">
            <a:extLst>
              <a:ext uri="{FF2B5EF4-FFF2-40B4-BE49-F238E27FC236}">
                <a16:creationId xmlns:a16="http://schemas.microsoft.com/office/drawing/2014/main" xmlns="" id="{A0AF84ED-D08C-4EF5-96D9-AA9843E89AF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761203" y="4620834"/>
            <a:ext cx="1348594" cy="1800000"/>
          </a:xfrm>
          <a:prstGeom prst="rect">
            <a:avLst/>
          </a:prstGeom>
          <a:ln>
            <a:solidFill>
              <a:schemeClr val="tx1"/>
            </a:solidFill>
          </a:ln>
        </xdr:spPr>
      </xdr:pic>
      <xdr:pic>
        <xdr:nvPicPr>
          <xdr:cNvPr id="54" name="Picture 53">
            <a:extLst>
              <a:ext uri="{FF2B5EF4-FFF2-40B4-BE49-F238E27FC236}">
                <a16:creationId xmlns:a16="http://schemas.microsoft.com/office/drawing/2014/main" xmlns="" id="{93447207-B637-4112-A4E9-E51AB304C55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200224" y="4620834"/>
            <a:ext cx="1354219" cy="1800000"/>
          </a:xfrm>
          <a:prstGeom prst="rect">
            <a:avLst/>
          </a:prstGeom>
          <a:ln>
            <a:solidFill>
              <a:schemeClr val="tx1"/>
            </a:solidFill>
          </a:ln>
        </xdr:spPr>
      </xdr:pic>
      <xdr:pic>
        <xdr:nvPicPr>
          <xdr:cNvPr id="55" name="Picture 54">
            <a:extLst>
              <a:ext uri="{FF2B5EF4-FFF2-40B4-BE49-F238E27FC236}">
                <a16:creationId xmlns:a16="http://schemas.microsoft.com/office/drawing/2014/main" xmlns="" id="{F3ED63C0-64DB-4318-ACE6-13AFCFDBBD39}"/>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644870" y="4620834"/>
            <a:ext cx="1348594" cy="1800000"/>
          </a:xfrm>
          <a:prstGeom prst="rect">
            <a:avLst/>
          </a:prstGeom>
          <a:ln>
            <a:solidFill>
              <a:schemeClr val="tx1"/>
            </a:solidFill>
          </a:ln>
        </xdr:spPr>
      </xdr:pic>
    </xdr:grpSp>
    <xdr:clientData/>
  </xdr:twoCellAnchor>
  <xdr:twoCellAnchor>
    <xdr:from>
      <xdr:col>0</xdr:col>
      <xdr:colOff>219075</xdr:colOff>
      <xdr:row>441</xdr:row>
      <xdr:rowOff>95250</xdr:rowOff>
    </xdr:from>
    <xdr:to>
      <xdr:col>7</xdr:col>
      <xdr:colOff>533400</xdr:colOff>
      <xdr:row>472</xdr:row>
      <xdr:rowOff>109779</xdr:rowOff>
    </xdr:to>
    <xdr:grpSp>
      <xdr:nvGrpSpPr>
        <xdr:cNvPr id="36" name="Group 35">
          <a:extLst>
            <a:ext uri="{FF2B5EF4-FFF2-40B4-BE49-F238E27FC236}">
              <a16:creationId xmlns:a16="http://schemas.microsoft.com/office/drawing/2014/main" xmlns="" id="{3051E86E-2B20-443F-B531-4F1E0ABBA7D6}"/>
            </a:ext>
          </a:extLst>
        </xdr:cNvPr>
        <xdr:cNvGrpSpPr/>
      </xdr:nvGrpSpPr>
      <xdr:grpSpPr>
        <a:xfrm>
          <a:off x="219075" y="72723375"/>
          <a:ext cx="5895975" cy="6215304"/>
          <a:chOff x="179295" y="548046"/>
          <a:chExt cx="6366816" cy="6405804"/>
        </a:xfrm>
      </xdr:grpSpPr>
      <xdr:grpSp>
        <xdr:nvGrpSpPr>
          <xdr:cNvPr id="37" name="Group 36">
            <a:extLst>
              <a:ext uri="{FF2B5EF4-FFF2-40B4-BE49-F238E27FC236}">
                <a16:creationId xmlns:a16="http://schemas.microsoft.com/office/drawing/2014/main" xmlns="" id="{580A5795-E7BD-4609-88A7-25F65269A407}"/>
              </a:ext>
            </a:extLst>
          </xdr:cNvPr>
          <xdr:cNvGrpSpPr/>
        </xdr:nvGrpSpPr>
        <xdr:grpSpPr>
          <a:xfrm>
            <a:off x="179295" y="581443"/>
            <a:ext cx="6366816" cy="6372407"/>
            <a:chOff x="179295" y="581443"/>
            <a:chExt cx="6366816" cy="6372407"/>
          </a:xfrm>
        </xdr:grpSpPr>
        <xdr:pic>
          <xdr:nvPicPr>
            <xdr:cNvPr id="44" name="Picture 43">
              <a:extLst>
                <a:ext uri="{FF2B5EF4-FFF2-40B4-BE49-F238E27FC236}">
                  <a16:creationId xmlns:a16="http://schemas.microsoft.com/office/drawing/2014/main" xmlns="" id="{06E864B5-5F96-4F7D-911E-96943BA4726A}"/>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79295" y="581443"/>
              <a:ext cx="3117111" cy="2340000"/>
            </a:xfrm>
            <a:prstGeom prst="rect">
              <a:avLst/>
            </a:prstGeom>
            <a:ln>
              <a:solidFill>
                <a:schemeClr val="tx1"/>
              </a:solidFill>
            </a:ln>
          </xdr:spPr>
        </xdr:pic>
        <xdr:pic>
          <xdr:nvPicPr>
            <xdr:cNvPr id="45" name="Picture 44">
              <a:extLst>
                <a:ext uri="{FF2B5EF4-FFF2-40B4-BE49-F238E27FC236}">
                  <a16:creationId xmlns:a16="http://schemas.microsoft.com/office/drawing/2014/main" xmlns="" id="{1B527EBF-76AF-45BB-AEA2-197700D62C1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29000" y="581443"/>
              <a:ext cx="3117111" cy="2340000"/>
            </a:xfrm>
            <a:prstGeom prst="rect">
              <a:avLst/>
            </a:prstGeom>
            <a:ln>
              <a:solidFill>
                <a:schemeClr val="tx1"/>
              </a:solidFill>
            </a:ln>
          </xdr:spPr>
        </xdr:pic>
        <xdr:pic>
          <xdr:nvPicPr>
            <xdr:cNvPr id="46" name="Picture 45">
              <a:extLst>
                <a:ext uri="{FF2B5EF4-FFF2-40B4-BE49-F238E27FC236}">
                  <a16:creationId xmlns:a16="http://schemas.microsoft.com/office/drawing/2014/main" xmlns="" id="{E352E5E4-322E-4BC6-91F0-93E2E99F0CE8}"/>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976131" y="3047646"/>
              <a:ext cx="1618312" cy="2160000"/>
            </a:xfrm>
            <a:prstGeom prst="rect">
              <a:avLst/>
            </a:prstGeom>
            <a:ln>
              <a:solidFill>
                <a:schemeClr val="tx1"/>
              </a:solidFill>
            </a:ln>
          </xdr:spPr>
        </xdr:pic>
        <xdr:pic>
          <xdr:nvPicPr>
            <xdr:cNvPr id="47" name="Picture 46">
              <a:extLst>
                <a:ext uri="{FF2B5EF4-FFF2-40B4-BE49-F238E27FC236}">
                  <a16:creationId xmlns:a16="http://schemas.microsoft.com/office/drawing/2014/main" xmlns="" id="{0E36EECF-936C-4764-9AE2-F57D21ECFD95}"/>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133084" y="5333850"/>
              <a:ext cx="2158000" cy="1620000"/>
            </a:xfrm>
            <a:prstGeom prst="rect">
              <a:avLst/>
            </a:prstGeom>
            <a:ln>
              <a:solidFill>
                <a:schemeClr val="tx1"/>
              </a:solidFill>
            </a:ln>
          </xdr:spPr>
        </xdr:pic>
        <xdr:pic>
          <xdr:nvPicPr>
            <xdr:cNvPr id="48" name="Picture 47">
              <a:extLst>
                <a:ext uri="{FF2B5EF4-FFF2-40B4-BE49-F238E27FC236}">
                  <a16:creationId xmlns:a16="http://schemas.microsoft.com/office/drawing/2014/main" xmlns="" id="{AC644CFE-087B-4ED7-A752-61DFD020FB1A}"/>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2767527" y="3047646"/>
              <a:ext cx="2877333" cy="2160000"/>
            </a:xfrm>
            <a:prstGeom prst="rect">
              <a:avLst/>
            </a:prstGeom>
            <a:ln>
              <a:solidFill>
                <a:schemeClr val="tx1"/>
              </a:solidFill>
            </a:ln>
          </xdr:spPr>
        </xdr:pic>
        <xdr:pic>
          <xdr:nvPicPr>
            <xdr:cNvPr id="56" name="Picture 55">
              <a:extLst>
                <a:ext uri="{FF2B5EF4-FFF2-40B4-BE49-F238E27FC236}">
                  <a16:creationId xmlns:a16="http://schemas.microsoft.com/office/drawing/2014/main" xmlns="" id="{07E33B53-E4CA-488A-A763-53BBE1B4C594}"/>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429000" y="5333850"/>
              <a:ext cx="2158000" cy="1620000"/>
            </a:xfrm>
            <a:prstGeom prst="rect">
              <a:avLst/>
            </a:prstGeom>
            <a:ln>
              <a:solidFill>
                <a:schemeClr val="tx1"/>
              </a:solidFill>
            </a:ln>
          </xdr:spPr>
        </xdr:pic>
      </xdr:grpSp>
      <xdr:sp macro="" textlink="">
        <xdr:nvSpPr>
          <xdr:cNvPr id="38" name="TextBox 119">
            <a:extLst>
              <a:ext uri="{FF2B5EF4-FFF2-40B4-BE49-F238E27FC236}">
                <a16:creationId xmlns:a16="http://schemas.microsoft.com/office/drawing/2014/main" xmlns="" id="{5CE842AB-7B60-493D-9743-5B3247BE9784}"/>
              </a:ext>
            </a:extLst>
          </xdr:cNvPr>
          <xdr:cNvSpPr txBox="1"/>
        </xdr:nvSpPr>
        <xdr:spPr>
          <a:xfrm>
            <a:off x="421200" y="906290"/>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Part 2</a:t>
            </a:r>
            <a:endParaRPr lang="en-IN" b="1">
              <a:solidFill>
                <a:srgbClr val="FF0000"/>
              </a:solidFill>
            </a:endParaRPr>
          </a:p>
        </xdr:txBody>
      </xdr:sp>
      <xdr:sp macro="" textlink="">
        <xdr:nvSpPr>
          <xdr:cNvPr id="39" name="TextBox 120">
            <a:extLst>
              <a:ext uri="{FF2B5EF4-FFF2-40B4-BE49-F238E27FC236}">
                <a16:creationId xmlns:a16="http://schemas.microsoft.com/office/drawing/2014/main" xmlns="" id="{66A5CA5A-6646-40EC-BED9-44F0C2296B78}"/>
              </a:ext>
            </a:extLst>
          </xdr:cNvPr>
          <xdr:cNvSpPr txBox="1"/>
        </xdr:nvSpPr>
        <xdr:spPr>
          <a:xfrm>
            <a:off x="5480785" y="1213367"/>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Part 1</a:t>
            </a:r>
            <a:endParaRPr lang="en-IN" b="1">
              <a:solidFill>
                <a:srgbClr val="FF0000"/>
              </a:solidFill>
            </a:endParaRPr>
          </a:p>
        </xdr:txBody>
      </xdr:sp>
      <xdr:sp macro="" textlink="">
        <xdr:nvSpPr>
          <xdr:cNvPr id="40" name="TextBox 121">
            <a:extLst>
              <a:ext uri="{FF2B5EF4-FFF2-40B4-BE49-F238E27FC236}">
                <a16:creationId xmlns:a16="http://schemas.microsoft.com/office/drawing/2014/main" xmlns="" id="{1DDBF41B-DD8B-499D-82E2-003F62B7330E}"/>
              </a:ext>
            </a:extLst>
          </xdr:cNvPr>
          <xdr:cNvSpPr txBox="1"/>
        </xdr:nvSpPr>
        <xdr:spPr>
          <a:xfrm>
            <a:off x="3624425" y="1198942"/>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Part 2</a:t>
            </a:r>
            <a:endParaRPr lang="en-IN" b="1">
              <a:solidFill>
                <a:srgbClr val="FF0000"/>
              </a:solidFill>
            </a:endParaRPr>
          </a:p>
        </xdr:txBody>
      </xdr:sp>
      <xdr:sp macro="" textlink="">
        <xdr:nvSpPr>
          <xdr:cNvPr id="41" name="TextBox 122">
            <a:extLst>
              <a:ext uri="{FF2B5EF4-FFF2-40B4-BE49-F238E27FC236}">
                <a16:creationId xmlns:a16="http://schemas.microsoft.com/office/drawing/2014/main" xmlns="" id="{894F171F-7423-4AD2-9E70-F4382EBA21D0}"/>
              </a:ext>
            </a:extLst>
          </xdr:cNvPr>
          <xdr:cNvSpPr txBox="1"/>
        </xdr:nvSpPr>
        <xdr:spPr>
          <a:xfrm>
            <a:off x="4079726" y="548046"/>
            <a:ext cx="1815657" cy="38560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Palava Signet 2</a:t>
            </a:r>
            <a:endParaRPr lang="en-IN" b="1">
              <a:solidFill>
                <a:srgbClr val="FF0000"/>
              </a:solidFill>
            </a:endParaRPr>
          </a:p>
        </xdr:txBody>
      </xdr:sp>
      <xdr:sp macro="" textlink="">
        <xdr:nvSpPr>
          <xdr:cNvPr id="43" name="TextBox 123">
            <a:extLst>
              <a:ext uri="{FF2B5EF4-FFF2-40B4-BE49-F238E27FC236}">
                <a16:creationId xmlns:a16="http://schemas.microsoft.com/office/drawing/2014/main" xmlns="" id="{F67182F5-1BC5-4A57-AAB9-6D611FC0CA3F}"/>
              </a:ext>
            </a:extLst>
          </xdr:cNvPr>
          <xdr:cNvSpPr txBox="1"/>
        </xdr:nvSpPr>
        <xdr:spPr>
          <a:xfrm>
            <a:off x="976130" y="3035997"/>
            <a:ext cx="181565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Palava Signet 1</a:t>
            </a:r>
            <a:endParaRPr lang="en-IN" b="1">
              <a:solidFill>
                <a:srgbClr val="FF0000"/>
              </a:solidFill>
            </a:endParaRPr>
          </a:p>
        </xdr:txBody>
      </xdr:sp>
    </xdr:grpSp>
    <xdr:clientData/>
  </xdr:twoCellAnchor>
  <xdr:twoCellAnchor>
    <xdr:from>
      <xdr:col>1</xdr:col>
      <xdr:colOff>219075</xdr:colOff>
      <xdr:row>444</xdr:row>
      <xdr:rowOff>133350</xdr:rowOff>
    </xdr:from>
    <xdr:to>
      <xdr:col>1</xdr:col>
      <xdr:colOff>571500</xdr:colOff>
      <xdr:row>446</xdr:row>
      <xdr:rowOff>85725</xdr:rowOff>
    </xdr:to>
    <xdr:cxnSp macro="">
      <xdr:nvCxnSpPr>
        <xdr:cNvPr id="15" name="Straight Arrow Connector 14">
          <a:extLst>
            <a:ext uri="{FF2B5EF4-FFF2-40B4-BE49-F238E27FC236}">
              <a16:creationId xmlns:a16="http://schemas.microsoft.com/office/drawing/2014/main" xmlns="" id="{B0C319EE-5C25-450B-92E3-17703DB9C688}"/>
            </a:ext>
          </a:extLst>
        </xdr:cNvPr>
        <xdr:cNvCxnSpPr/>
      </xdr:nvCxnSpPr>
      <xdr:spPr>
        <a:xfrm>
          <a:off x="981075" y="70380225"/>
          <a:ext cx="352425" cy="3524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446</xdr:row>
      <xdr:rowOff>66675</xdr:rowOff>
    </xdr:from>
    <xdr:to>
      <xdr:col>6</xdr:col>
      <xdr:colOff>542925</xdr:colOff>
      <xdr:row>448</xdr:row>
      <xdr:rowOff>9525</xdr:rowOff>
    </xdr:to>
    <xdr:cxnSp macro="">
      <xdr:nvCxnSpPr>
        <xdr:cNvPr id="57" name="Straight Arrow Connector 56">
          <a:extLst>
            <a:ext uri="{FF2B5EF4-FFF2-40B4-BE49-F238E27FC236}">
              <a16:creationId xmlns:a16="http://schemas.microsoft.com/office/drawing/2014/main" xmlns="" id="{B097096E-2AF5-4955-9CA5-2B8878DCB6B1}"/>
            </a:ext>
          </a:extLst>
        </xdr:cNvPr>
        <xdr:cNvCxnSpPr/>
      </xdr:nvCxnSpPr>
      <xdr:spPr>
        <a:xfrm flipH="1">
          <a:off x="5305425" y="70713600"/>
          <a:ext cx="85725" cy="3429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eqUKBmqcqnrFQp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70"/>
  <sheetViews>
    <sheetView tabSelected="1" view="pageBreakPreview" topLeftCell="A455" zoomScaleNormal="100" zoomScaleSheetLayoutView="100" zoomScalePageLayoutView="85" workbookViewId="0">
      <selection activeCell="J438" sqref="J438"/>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9" t="s">
        <v>161</v>
      </c>
      <c r="B1" s="199"/>
      <c r="C1" s="199"/>
      <c r="D1" s="199"/>
      <c r="E1" s="199"/>
      <c r="F1" s="199"/>
      <c r="G1" s="199"/>
      <c r="H1" s="199"/>
    </row>
    <row r="2" spans="1:26" ht="16.5" customHeight="1" x14ac:dyDescent="0.25">
      <c r="A2" s="200" t="s">
        <v>0</v>
      </c>
      <c r="B2" s="200"/>
      <c r="C2" s="200"/>
      <c r="D2" s="200"/>
      <c r="E2" s="200"/>
      <c r="F2" s="200"/>
      <c r="G2" s="200"/>
      <c r="H2" s="200"/>
    </row>
    <row r="3" spans="1:26" x14ac:dyDescent="0.25">
      <c r="A3" s="151" t="s">
        <v>1</v>
      </c>
      <c r="B3" s="151"/>
      <c r="C3" s="151"/>
      <c r="D3" s="151"/>
      <c r="E3" s="151" t="str">
        <f ca="1">TEXT(TODAY(),"DD/MM/YYYY")</f>
        <v>16/07/2025</v>
      </c>
      <c r="F3" s="151"/>
      <c r="G3" s="151"/>
      <c r="H3" s="151"/>
      <c r="K3" s="51" t="s">
        <v>232</v>
      </c>
      <c r="L3" s="48" t="s">
        <v>230</v>
      </c>
      <c r="M3" s="48" t="s">
        <v>235</v>
      </c>
      <c r="N3" s="48" t="s">
        <v>233</v>
      </c>
      <c r="O3" s="48" t="s">
        <v>234</v>
      </c>
      <c r="P3" s="48" t="s">
        <v>236</v>
      </c>
    </row>
    <row r="4" spans="1:26" ht="15" customHeight="1" x14ac:dyDescent="0.25">
      <c r="A4" s="151" t="s">
        <v>229</v>
      </c>
      <c r="B4" s="151"/>
      <c r="C4" s="151"/>
      <c r="D4" s="151"/>
      <c r="E4" s="151" t="s">
        <v>230</v>
      </c>
      <c r="F4" s="151"/>
      <c r="G4" s="151"/>
      <c r="H4" s="151"/>
      <c r="K4" s="47" t="s">
        <v>231</v>
      </c>
      <c r="L4" s="48" t="s">
        <v>167</v>
      </c>
      <c r="M4" s="48" t="s">
        <v>240</v>
      </c>
      <c r="N4" s="48" t="s">
        <v>242</v>
      </c>
      <c r="O4" s="48" t="s">
        <v>244</v>
      </c>
      <c r="P4" s="48"/>
    </row>
    <row r="5" spans="1:26" ht="15" customHeight="1" x14ac:dyDescent="0.25">
      <c r="A5" s="151" t="s">
        <v>2</v>
      </c>
      <c r="B5" s="151"/>
      <c r="C5" s="151"/>
      <c r="D5" s="151"/>
      <c r="E5" s="151" t="s">
        <v>237</v>
      </c>
      <c r="F5" s="151"/>
      <c r="G5" s="151"/>
      <c r="H5" s="151"/>
      <c r="K5" s="47"/>
      <c r="L5" s="48" t="s">
        <v>237</v>
      </c>
      <c r="M5" s="48" t="s">
        <v>241</v>
      </c>
      <c r="N5" s="48" t="s">
        <v>243</v>
      </c>
      <c r="O5" s="48" t="s">
        <v>245</v>
      </c>
      <c r="P5" s="48"/>
    </row>
    <row r="6" spans="1:26" x14ac:dyDescent="0.25">
      <c r="A6" s="151" t="s">
        <v>3</v>
      </c>
      <c r="B6" s="151"/>
      <c r="C6" s="151"/>
      <c r="D6" s="151"/>
      <c r="E6" s="201">
        <v>45846</v>
      </c>
      <c r="F6" s="151"/>
      <c r="G6" s="151"/>
      <c r="H6" s="151"/>
      <c r="K6" s="47"/>
      <c r="L6" s="48" t="s">
        <v>238</v>
      </c>
      <c r="M6" s="48"/>
      <c r="N6" s="48"/>
      <c r="O6" s="48" t="s">
        <v>246</v>
      </c>
      <c r="P6" s="48"/>
    </row>
    <row r="7" spans="1:26" ht="16.5" customHeight="1" x14ac:dyDescent="0.25">
      <c r="A7" s="151" t="s">
        <v>4</v>
      </c>
      <c r="B7" s="151"/>
      <c r="C7" s="151"/>
      <c r="D7" s="151"/>
      <c r="E7" s="151" t="s">
        <v>329</v>
      </c>
      <c r="F7" s="151"/>
      <c r="G7" s="151"/>
      <c r="H7" s="151"/>
      <c r="K7" s="47"/>
      <c r="L7" s="48" t="s">
        <v>239</v>
      </c>
      <c r="M7" s="48"/>
      <c r="N7" s="48"/>
      <c r="O7" s="48" t="s">
        <v>246</v>
      </c>
      <c r="P7" s="48"/>
    </row>
    <row r="8" spans="1:26" ht="15" customHeight="1" x14ac:dyDescent="0.25">
      <c r="A8" s="151" t="s">
        <v>5</v>
      </c>
      <c r="B8" s="151"/>
      <c r="C8" s="151"/>
      <c r="D8" s="151"/>
      <c r="E8" s="151" t="s">
        <v>303</v>
      </c>
      <c r="F8" s="151"/>
      <c r="G8" s="151"/>
      <c r="H8" s="151"/>
      <c r="K8" s="47"/>
      <c r="L8" s="48"/>
      <c r="M8" s="48"/>
      <c r="N8" s="48"/>
      <c r="O8" s="48" t="s">
        <v>247</v>
      </c>
      <c r="P8" s="48"/>
    </row>
    <row r="9" spans="1:26" x14ac:dyDescent="0.25">
      <c r="A9" s="151" t="s">
        <v>6</v>
      </c>
      <c r="B9" s="151"/>
      <c r="C9" s="151"/>
      <c r="D9" s="151"/>
      <c r="E9" s="100" t="s">
        <v>343</v>
      </c>
      <c r="F9" s="100"/>
      <c r="G9" s="100"/>
      <c r="H9" s="100"/>
      <c r="K9" s="47"/>
      <c r="L9" s="48"/>
      <c r="M9" s="48"/>
      <c r="N9" s="48"/>
      <c r="O9" s="48" t="s">
        <v>248</v>
      </c>
      <c r="P9" s="48"/>
    </row>
    <row r="10" spans="1:26" x14ac:dyDescent="0.25">
      <c r="A10" s="151" t="s">
        <v>164</v>
      </c>
      <c r="B10" s="151"/>
      <c r="C10" s="151"/>
      <c r="D10" s="151"/>
      <c r="E10" s="151" t="s">
        <v>304</v>
      </c>
      <c r="F10" s="151"/>
      <c r="G10" s="151"/>
      <c r="H10" s="151"/>
      <c r="K10" s="47"/>
      <c r="L10" s="48"/>
      <c r="M10" s="48"/>
      <c r="N10" s="48"/>
      <c r="O10" s="48"/>
      <c r="P10" s="48"/>
    </row>
    <row r="11" spans="1:26" x14ac:dyDescent="0.25">
      <c r="A11" s="151" t="s">
        <v>165</v>
      </c>
      <c r="B11" s="151"/>
      <c r="C11" s="151"/>
      <c r="D11" s="151"/>
      <c r="E11" s="151" t="s">
        <v>304</v>
      </c>
      <c r="F11" s="151"/>
      <c r="G11" s="151"/>
      <c r="H11" s="151"/>
    </row>
    <row r="12" spans="1:26" x14ac:dyDescent="0.25">
      <c r="A12" s="151" t="s">
        <v>7</v>
      </c>
      <c r="B12" s="151"/>
      <c r="C12" s="151"/>
      <c r="D12" s="151"/>
      <c r="E12" s="151" t="s">
        <v>306</v>
      </c>
      <c r="F12" s="151"/>
      <c r="G12" s="151"/>
      <c r="H12" s="151"/>
    </row>
    <row r="13" spans="1:26" x14ac:dyDescent="0.25">
      <c r="A13" s="151" t="s">
        <v>168</v>
      </c>
      <c r="B13" s="151"/>
      <c r="C13" s="151"/>
      <c r="D13" s="151"/>
      <c r="E13" s="151" t="s">
        <v>28</v>
      </c>
      <c r="F13" s="151"/>
      <c r="G13" s="151"/>
      <c r="H13" s="151"/>
      <c r="S13" s="48" t="s">
        <v>174</v>
      </c>
      <c r="T13" s="48" t="s">
        <v>184</v>
      </c>
      <c r="U13" s="48" t="s">
        <v>169</v>
      </c>
      <c r="V13" s="48" t="s">
        <v>189</v>
      </c>
      <c r="W13" s="48" t="s">
        <v>207</v>
      </c>
      <c r="X13"/>
      <c r="Y13" t="s">
        <v>189</v>
      </c>
      <c r="Z13" t="e">
        <f ca="1">OFFSET($S$13,1,MATCH($G20,$S$13:$W$13,0)-1,15,1)</f>
        <v>#VALUE!</v>
      </c>
    </row>
    <row r="14" spans="1:26" x14ac:dyDescent="0.25">
      <c r="A14" s="134" t="s">
        <v>275</v>
      </c>
      <c r="B14" s="134"/>
      <c r="C14" s="134"/>
      <c r="D14" s="134"/>
      <c r="E14" s="150" t="s">
        <v>338</v>
      </c>
      <c r="F14" s="150"/>
      <c r="G14" s="150"/>
      <c r="H14" s="150"/>
      <c r="S14" s="48" t="s">
        <v>175</v>
      </c>
      <c r="T14" s="48" t="s">
        <v>182</v>
      </c>
      <c r="U14" s="48" t="s">
        <v>204</v>
      </c>
      <c r="V14" s="48" t="s">
        <v>190</v>
      </c>
      <c r="W14" s="48" t="s">
        <v>208</v>
      </c>
      <c r="X14"/>
      <c r="Y14"/>
      <c r="Z14"/>
    </row>
    <row r="15" spans="1:26" x14ac:dyDescent="0.25">
      <c r="A15" s="134" t="s">
        <v>8</v>
      </c>
      <c r="B15" s="134"/>
      <c r="C15" s="134"/>
      <c r="D15" s="134"/>
      <c r="E15" s="150" t="s">
        <v>305</v>
      </c>
      <c r="F15" s="151"/>
      <c r="G15" s="151"/>
      <c r="H15" s="151"/>
      <c r="I15" s="129" t="e">
        <f ca="1">OFFSET($D$5,1,MATCH($J13,$D$5:$H$5,0)-1,15,1)</f>
        <v>#N/A</v>
      </c>
      <c r="J15" s="130"/>
      <c r="K15" s="130"/>
      <c r="L15" s="130"/>
      <c r="M15" s="130"/>
      <c r="N15" s="130"/>
      <c r="O15" s="130"/>
      <c r="P15" s="130"/>
      <c r="S15" s="48" t="s">
        <v>176</v>
      </c>
      <c r="T15" s="48" t="s">
        <v>183</v>
      </c>
      <c r="U15" s="48" t="s">
        <v>205</v>
      </c>
      <c r="V15" s="48" t="s">
        <v>191</v>
      </c>
      <c r="W15" s="48" t="s">
        <v>221</v>
      </c>
      <c r="X15"/>
      <c r="Y15"/>
      <c r="Z15"/>
    </row>
    <row r="16" spans="1:26" ht="64.5" customHeight="1" x14ac:dyDescent="0.25">
      <c r="A16" s="140" t="s">
        <v>9</v>
      </c>
      <c r="B16" s="140"/>
      <c r="C16" s="140" t="str">
        <f>CONCATENATE((IF(OR(E9="",E9="NA"),"",E9)),", ",(IF(OR(A17="",A17="NA"),"",A17)),".",(IF(OR(C17="",C17="NA"),"",C17)),", near ",(IF(OR(C22="",C22="NA"),"",C22)),", ",(IF(OR(C19="",C19="NA"),"",C19)),", ",(IF(OR(C18="",C18="NA"),"",C18)),", ",(IF(OR(G19="",G19="NA"),"",G19)),", ",(IF(OR(C20="",C20="NA"),"",C20)),", ",(IF(OR(C21="",C21="NA"),"",C21)),", ",(IF(OR(G20="",G20="NA"),"",G20))," - ",(IF(OR(G21="",G21="NA"),"",G21)),".")</f>
        <v>Palava Signet 2, As per RERA Survey No.26(Pt), 27(Pt), 46(Pt), 53(Pt), 59/1(Pt) of Gharivali, 21(Pt), 76(Pt) of Kole, near Premier Colony Ground, Kalyan Shilphata Road, Premier Colony, Gharivali &amp; Kole, Dombivli East, Ambernath, Thane  - 421204.</v>
      </c>
      <c r="D16" s="140"/>
      <c r="E16" s="140"/>
      <c r="F16" s="140"/>
      <c r="G16" s="140"/>
      <c r="H16" s="140"/>
      <c r="S16" s="48" t="s">
        <v>177</v>
      </c>
      <c r="T16" s="48" t="s">
        <v>185</v>
      </c>
      <c r="U16" s="48" t="s">
        <v>206</v>
      </c>
      <c r="V16" s="48" t="s">
        <v>192</v>
      </c>
      <c r="W16" s="48" t="s">
        <v>209</v>
      </c>
      <c r="X16"/>
      <c r="Y16"/>
      <c r="Z16"/>
    </row>
    <row r="17" spans="1:26" x14ac:dyDescent="0.25">
      <c r="A17" s="150" t="s">
        <v>314</v>
      </c>
      <c r="B17" s="150"/>
      <c r="C17" s="150" t="s">
        <v>324</v>
      </c>
      <c r="D17" s="150"/>
      <c r="E17" s="150"/>
      <c r="F17" s="150"/>
      <c r="G17" s="150"/>
      <c r="H17" s="150"/>
      <c r="I17" s="18" t="s">
        <v>313</v>
      </c>
      <c r="S17" s="48" t="s">
        <v>178</v>
      </c>
      <c r="T17" s="48" t="s">
        <v>186</v>
      </c>
      <c r="U17" s="48" t="s">
        <v>169</v>
      </c>
      <c r="V17" s="48" t="s">
        <v>193</v>
      </c>
      <c r="W17" s="48" t="s">
        <v>210</v>
      </c>
      <c r="X17"/>
      <c r="Y17"/>
      <c r="Z17"/>
    </row>
    <row r="18" spans="1:26" ht="15.75" customHeight="1" x14ac:dyDescent="0.25">
      <c r="A18" s="150" t="s">
        <v>159</v>
      </c>
      <c r="B18" s="150"/>
      <c r="C18" s="150" t="s">
        <v>311</v>
      </c>
      <c r="D18" s="150"/>
      <c r="E18" s="150"/>
      <c r="F18" s="150"/>
      <c r="G18" s="150"/>
      <c r="H18" s="150"/>
      <c r="S18" s="48" t="s">
        <v>179</v>
      </c>
      <c r="T18" s="48" t="s">
        <v>184</v>
      </c>
      <c r="U18" s="48"/>
      <c r="V18" s="48" t="s">
        <v>194</v>
      </c>
      <c r="W18" s="48" t="s">
        <v>211</v>
      </c>
      <c r="X18"/>
      <c r="Y18"/>
      <c r="Z18"/>
    </row>
    <row r="19" spans="1:26" ht="15.75" customHeight="1" x14ac:dyDescent="0.25">
      <c r="A19" s="140" t="s">
        <v>10</v>
      </c>
      <c r="B19" s="140"/>
      <c r="C19" s="151" t="s">
        <v>310</v>
      </c>
      <c r="D19" s="151"/>
      <c r="E19" s="150" t="s">
        <v>69</v>
      </c>
      <c r="F19" s="150"/>
      <c r="G19" s="150" t="s">
        <v>309</v>
      </c>
      <c r="H19" s="150"/>
      <c r="S19" s="48" t="s">
        <v>180</v>
      </c>
      <c r="T19" s="48" t="s">
        <v>187</v>
      </c>
      <c r="U19" s="48"/>
      <c r="V19" s="48" t="s">
        <v>195</v>
      </c>
      <c r="W19" s="48" t="s">
        <v>212</v>
      </c>
      <c r="X19"/>
      <c r="Y19"/>
      <c r="Z19"/>
    </row>
    <row r="20" spans="1:26" x14ac:dyDescent="0.25">
      <c r="A20" s="134" t="s">
        <v>12</v>
      </c>
      <c r="B20" s="134"/>
      <c r="C20" s="150" t="s">
        <v>308</v>
      </c>
      <c r="D20" s="150"/>
      <c r="E20" s="150" t="s">
        <v>11</v>
      </c>
      <c r="F20" s="150"/>
      <c r="G20" s="202" t="s">
        <v>174</v>
      </c>
      <c r="H20" s="202"/>
      <c r="S20" s="48" t="s">
        <v>181</v>
      </c>
      <c r="T20" s="48" t="s">
        <v>188</v>
      </c>
      <c r="U20" s="48"/>
      <c r="V20" s="48" t="s">
        <v>196</v>
      </c>
      <c r="W20" s="48" t="s">
        <v>213</v>
      </c>
      <c r="X20"/>
      <c r="Y20"/>
      <c r="Z20"/>
    </row>
    <row r="21" spans="1:26" x14ac:dyDescent="0.25">
      <c r="A21" s="134" t="s">
        <v>70</v>
      </c>
      <c r="B21" s="134"/>
      <c r="C21" s="150" t="s">
        <v>180</v>
      </c>
      <c r="D21" s="150"/>
      <c r="E21" s="150" t="s">
        <v>13</v>
      </c>
      <c r="F21" s="150"/>
      <c r="G21" s="150">
        <v>421204</v>
      </c>
      <c r="H21" s="150"/>
      <c r="S21" s="48"/>
      <c r="T21" s="48"/>
      <c r="U21" s="48"/>
      <c r="V21" s="48" t="s">
        <v>197</v>
      </c>
      <c r="W21" s="48" t="s">
        <v>214</v>
      </c>
      <c r="X21"/>
      <c r="Y21"/>
      <c r="Z21"/>
    </row>
    <row r="22" spans="1:26" ht="32.25" customHeight="1" x14ac:dyDescent="0.25">
      <c r="A22" s="151" t="s">
        <v>118</v>
      </c>
      <c r="B22" s="151"/>
      <c r="C22" s="150" t="s">
        <v>312</v>
      </c>
      <c r="D22" s="150"/>
      <c r="E22" s="140" t="s">
        <v>14</v>
      </c>
      <c r="F22" s="140"/>
      <c r="G22" s="150" t="s">
        <v>307</v>
      </c>
      <c r="H22" s="150"/>
      <c r="S22" s="48"/>
      <c r="T22" s="48"/>
      <c r="U22" s="48"/>
      <c r="V22" s="48" t="s">
        <v>198</v>
      </c>
      <c r="W22" s="48" t="s">
        <v>215</v>
      </c>
      <c r="X22"/>
      <c r="Y22"/>
      <c r="Z22"/>
    </row>
    <row r="23" spans="1:26" ht="15" customHeight="1" x14ac:dyDescent="0.25">
      <c r="A23" s="140" t="s">
        <v>71</v>
      </c>
      <c r="B23" s="140"/>
      <c r="C23" s="140"/>
      <c r="D23" s="140"/>
      <c r="E23" s="151" t="s">
        <v>15</v>
      </c>
      <c r="F23" s="151"/>
      <c r="G23" s="151"/>
      <c r="H23" s="151"/>
      <c r="S23" s="48"/>
      <c r="T23" s="48"/>
      <c r="U23" s="48"/>
      <c r="V23" s="48" t="s">
        <v>199</v>
      </c>
      <c r="W23" s="48" t="s">
        <v>216</v>
      </c>
      <c r="X23"/>
      <c r="Y23"/>
      <c r="Z23"/>
    </row>
    <row r="24" spans="1:26" ht="18.75" customHeight="1" x14ac:dyDescent="0.25">
      <c r="A24" s="140"/>
      <c r="B24" s="140"/>
      <c r="C24" s="140"/>
      <c r="D24" s="140"/>
      <c r="E24" s="151"/>
      <c r="F24" s="151"/>
      <c r="G24" s="151"/>
      <c r="H24" s="151"/>
      <c r="S24" s="48"/>
      <c r="T24" s="48"/>
      <c r="U24" s="48"/>
      <c r="V24" s="48" t="s">
        <v>200</v>
      </c>
      <c r="W24" s="48" t="s">
        <v>217</v>
      </c>
      <c r="X24"/>
      <c r="Y24"/>
      <c r="Z24"/>
    </row>
    <row r="25" spans="1:26" ht="15" customHeight="1" x14ac:dyDescent="0.25">
      <c r="A25" s="140" t="s">
        <v>16</v>
      </c>
      <c r="B25" s="140"/>
      <c r="C25" s="140"/>
      <c r="D25" s="140"/>
      <c r="E25" s="150" t="s">
        <v>17</v>
      </c>
      <c r="F25" s="150"/>
      <c r="G25" s="150"/>
      <c r="H25" s="150"/>
      <c r="S25" s="48"/>
      <c r="T25" s="48"/>
      <c r="U25" s="48"/>
      <c r="V25" s="48" t="s">
        <v>201</v>
      </c>
      <c r="W25" s="48" t="s">
        <v>218</v>
      </c>
      <c r="X25"/>
      <c r="Y25"/>
      <c r="Z25"/>
    </row>
    <row r="26" spans="1:26" ht="15" customHeight="1" x14ac:dyDescent="0.25">
      <c r="A26" s="134" t="s">
        <v>18</v>
      </c>
      <c r="B26" s="134"/>
      <c r="C26" s="134"/>
      <c r="D26" s="134"/>
      <c r="E26" s="150" t="str">
        <f>IF(AND(G20="Mumbai"),"Upper Class","Middle Class")</f>
        <v>Middle Class</v>
      </c>
      <c r="F26" s="150"/>
      <c r="G26" s="150"/>
      <c r="H26" s="150"/>
      <c r="S26" s="48"/>
      <c r="T26" s="48"/>
      <c r="U26" s="48"/>
      <c r="V26" s="48" t="s">
        <v>202</v>
      </c>
      <c r="W26" s="48" t="s">
        <v>219</v>
      </c>
      <c r="X26"/>
      <c r="Y26"/>
      <c r="Z26"/>
    </row>
    <row r="27" spans="1:26" x14ac:dyDescent="0.25">
      <c r="A27" s="134" t="s">
        <v>19</v>
      </c>
      <c r="B27" s="134"/>
      <c r="C27" s="134"/>
      <c r="D27" s="134"/>
      <c r="E27" s="150" t="s">
        <v>20</v>
      </c>
      <c r="F27" s="150"/>
      <c r="G27" s="150"/>
      <c r="H27" s="150"/>
      <c r="S27" s="48"/>
      <c r="T27" s="48"/>
      <c r="U27" s="48"/>
      <c r="V27" s="48" t="s">
        <v>203</v>
      </c>
      <c r="W27" s="48" t="s">
        <v>220</v>
      </c>
      <c r="X27"/>
      <c r="Y27"/>
      <c r="Z27"/>
    </row>
    <row r="28" spans="1:26" ht="15.75" customHeight="1" x14ac:dyDescent="0.25">
      <c r="A28" s="134" t="s">
        <v>21</v>
      </c>
      <c r="B28" s="134"/>
      <c r="C28" s="134"/>
      <c r="D28" s="134"/>
      <c r="E28" s="150" t="str">
        <f>IF(AND(G20="Mumbai"),"Developed","Developing")</f>
        <v>Developing</v>
      </c>
      <c r="F28" s="150"/>
      <c r="G28" s="150"/>
      <c r="H28" s="150"/>
    </row>
    <row r="29" spans="1:26" x14ac:dyDescent="0.25">
      <c r="A29" s="134" t="s">
        <v>22</v>
      </c>
      <c r="B29" s="134"/>
      <c r="C29" s="134"/>
      <c r="D29" s="134"/>
      <c r="E29" s="150" t="s">
        <v>23</v>
      </c>
      <c r="F29" s="150"/>
      <c r="G29" s="150"/>
      <c r="H29" s="150"/>
    </row>
    <row r="30" spans="1:26" ht="15.75" customHeight="1" x14ac:dyDescent="0.25">
      <c r="A30" s="134" t="s">
        <v>76</v>
      </c>
      <c r="B30" s="134"/>
      <c r="C30" s="134"/>
      <c r="D30" s="134"/>
      <c r="E30" s="150" t="s">
        <v>77</v>
      </c>
      <c r="F30" s="150"/>
      <c r="G30" s="150"/>
      <c r="H30" s="150"/>
    </row>
    <row r="31" spans="1:26" ht="15" customHeight="1" x14ac:dyDescent="0.25">
      <c r="A31" s="134" t="s">
        <v>30</v>
      </c>
      <c r="B31" s="134"/>
      <c r="C31" s="134"/>
      <c r="D31" s="134"/>
      <c r="E31" s="15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50"/>
      <c r="G31" s="150"/>
      <c r="H31" s="150"/>
    </row>
    <row r="32" spans="1:26" ht="15.75" customHeight="1" x14ac:dyDescent="0.25">
      <c r="A32" s="134" t="s">
        <v>86</v>
      </c>
      <c r="B32" s="134"/>
      <c r="C32" s="134"/>
      <c r="D32" s="134"/>
      <c r="E32" s="150" t="s">
        <v>31</v>
      </c>
      <c r="F32" s="150"/>
      <c r="G32" s="150"/>
      <c r="H32" s="150"/>
    </row>
    <row r="33" spans="1:19" s="19" customFormat="1" x14ac:dyDescent="0.25">
      <c r="A33" s="210" t="s">
        <v>87</v>
      </c>
      <c r="B33" s="210"/>
      <c r="C33" s="207" t="s">
        <v>170</v>
      </c>
      <c r="D33" s="208"/>
      <c r="E33" s="209"/>
      <c r="F33" s="207" t="s">
        <v>29</v>
      </c>
      <c r="G33" s="208"/>
      <c r="H33" s="209"/>
      <c r="S33" s="19" t="e">
        <f ca="1">OFFSET($S$13,1,MATCH($G20,$S$13:$W$13,0)-1,15,1)</f>
        <v>#VALUE!</v>
      </c>
    </row>
    <row r="34" spans="1:19" s="19" customFormat="1" x14ac:dyDescent="0.25">
      <c r="A34" s="203" t="s">
        <v>24</v>
      </c>
      <c r="B34" s="203" t="s">
        <v>28</v>
      </c>
      <c r="C34" s="204" t="s">
        <v>318</v>
      </c>
      <c r="D34" s="205"/>
      <c r="E34" s="206"/>
      <c r="F34" s="204" t="s">
        <v>317</v>
      </c>
      <c r="G34" s="205"/>
      <c r="H34" s="206"/>
    </row>
    <row r="35" spans="1:19" x14ac:dyDescent="0.25">
      <c r="A35" s="203" t="s">
        <v>25</v>
      </c>
      <c r="B35" s="203" t="s">
        <v>28</v>
      </c>
      <c r="C35" s="204" t="s">
        <v>315</v>
      </c>
      <c r="D35" s="205"/>
      <c r="E35" s="206"/>
      <c r="F35" s="204" t="s">
        <v>310</v>
      </c>
      <c r="G35" s="205"/>
      <c r="H35" s="206"/>
    </row>
    <row r="36" spans="1:19" s="19" customFormat="1" x14ac:dyDescent="0.25">
      <c r="A36" s="203" t="s">
        <v>27</v>
      </c>
      <c r="B36" s="203" t="s">
        <v>28</v>
      </c>
      <c r="C36" s="204" t="s">
        <v>315</v>
      </c>
      <c r="D36" s="205"/>
      <c r="E36" s="206"/>
      <c r="F36" s="204" t="s">
        <v>316</v>
      </c>
      <c r="G36" s="205"/>
      <c r="H36" s="206"/>
    </row>
    <row r="37" spans="1:19" x14ac:dyDescent="0.25">
      <c r="A37" s="203" t="s">
        <v>26</v>
      </c>
      <c r="B37" s="203" t="s">
        <v>28</v>
      </c>
      <c r="C37" s="204" t="s">
        <v>315</v>
      </c>
      <c r="D37" s="205"/>
      <c r="E37" s="206"/>
      <c r="F37" s="204" t="s">
        <v>316</v>
      </c>
      <c r="G37" s="205"/>
      <c r="H37" s="206"/>
    </row>
    <row r="38" spans="1:19" x14ac:dyDescent="0.25">
      <c r="A38" s="134" t="s">
        <v>276</v>
      </c>
      <c r="B38" s="134"/>
      <c r="C38" s="134"/>
      <c r="D38" s="134"/>
      <c r="E38" s="134"/>
      <c r="F38" s="134"/>
      <c r="G38" s="134"/>
      <c r="H38" s="134"/>
    </row>
    <row r="39" spans="1:19" ht="15.75" customHeight="1" x14ac:dyDescent="0.25">
      <c r="A39" s="134" t="s">
        <v>162</v>
      </c>
      <c r="B39" s="134"/>
      <c r="C39" s="194" t="s">
        <v>334</v>
      </c>
      <c r="D39" s="194"/>
      <c r="E39" s="194"/>
      <c r="F39" s="194"/>
      <c r="G39" s="194"/>
      <c r="H39" s="194"/>
    </row>
    <row r="40" spans="1:19" x14ac:dyDescent="0.25">
      <c r="A40" s="134" t="s">
        <v>158</v>
      </c>
      <c r="B40" s="134"/>
      <c r="C40" s="226" t="s">
        <v>335</v>
      </c>
      <c r="D40" s="150"/>
      <c r="E40" s="150"/>
      <c r="F40" s="150"/>
      <c r="G40" s="150"/>
      <c r="H40" s="150"/>
    </row>
    <row r="41" spans="1:19" x14ac:dyDescent="0.25">
      <c r="A41" s="194" t="s">
        <v>32</v>
      </c>
      <c r="B41" s="194"/>
      <c r="C41" s="194"/>
      <c r="D41" s="194"/>
      <c r="E41" s="194"/>
      <c r="F41" s="194"/>
      <c r="G41" s="194"/>
      <c r="H41" s="194"/>
    </row>
    <row r="42" spans="1:19" x14ac:dyDescent="0.25">
      <c r="A42" s="134" t="s">
        <v>33</v>
      </c>
      <c r="B42" s="134"/>
      <c r="C42" s="134"/>
      <c r="D42" s="134"/>
      <c r="E42" s="211">
        <v>155591.35999999999</v>
      </c>
      <c r="F42" s="211"/>
      <c r="G42" s="211"/>
      <c r="H42" s="211"/>
    </row>
    <row r="43" spans="1:19" x14ac:dyDescent="0.25">
      <c r="A43" s="134" t="s">
        <v>34</v>
      </c>
      <c r="B43" s="134"/>
      <c r="C43" s="134"/>
      <c r="D43" s="134"/>
      <c r="E43" s="142">
        <v>1.8</v>
      </c>
      <c r="F43" s="142"/>
      <c r="G43" s="142"/>
      <c r="H43" s="142"/>
    </row>
    <row r="44" spans="1:19" hidden="1" x14ac:dyDescent="0.25">
      <c r="A44" s="134" t="s">
        <v>35</v>
      </c>
      <c r="B44" s="134"/>
      <c r="C44" s="134"/>
      <c r="D44" s="134"/>
      <c r="E44" s="142">
        <f>E46/E42-E43</f>
        <v>71.058979508887916</v>
      </c>
      <c r="F44" s="142"/>
      <c r="G44" s="142"/>
      <c r="H44" s="142"/>
    </row>
    <row r="45" spans="1:19" hidden="1" x14ac:dyDescent="0.25">
      <c r="A45" s="134" t="s">
        <v>36</v>
      </c>
      <c r="B45" s="134"/>
      <c r="C45" s="134"/>
      <c r="D45" s="134"/>
      <c r="E45" s="142">
        <f>E43+E44</f>
        <v>72.858979508887913</v>
      </c>
      <c r="F45" s="142"/>
      <c r="G45" s="142"/>
      <c r="H45" s="142"/>
    </row>
    <row r="46" spans="1:19" hidden="1" x14ac:dyDescent="0.25">
      <c r="A46" s="140" t="s">
        <v>319</v>
      </c>
      <c r="B46" s="140"/>
      <c r="C46" s="140"/>
      <c r="D46" s="140"/>
      <c r="E46" s="214">
        <v>11336227.710000001</v>
      </c>
      <c r="F46" s="214"/>
      <c r="G46" s="214"/>
      <c r="H46" s="214"/>
    </row>
    <row r="47" spans="1:19" x14ac:dyDescent="0.25">
      <c r="A47" s="151" t="s">
        <v>37</v>
      </c>
      <c r="B47" s="151"/>
      <c r="C47" s="151"/>
      <c r="D47" s="151"/>
      <c r="E47" s="151" t="s">
        <v>117</v>
      </c>
      <c r="F47" s="151"/>
      <c r="G47" s="151"/>
      <c r="H47" s="151"/>
    </row>
    <row r="48" spans="1:19" x14ac:dyDescent="0.25">
      <c r="A48" s="194" t="s">
        <v>38</v>
      </c>
      <c r="B48" s="194"/>
      <c r="C48" s="194"/>
      <c r="D48" s="194"/>
      <c r="E48" s="194"/>
      <c r="F48" s="194"/>
      <c r="G48" s="194"/>
      <c r="H48" s="194"/>
    </row>
    <row r="49" spans="1:24" ht="33.75" customHeight="1" x14ac:dyDescent="0.25">
      <c r="A49" s="143" t="s">
        <v>150</v>
      </c>
      <c r="B49" s="144"/>
      <c r="C49" s="233" t="s">
        <v>259</v>
      </c>
      <c r="D49" s="234"/>
      <c r="E49" s="234"/>
      <c r="F49" s="234"/>
      <c r="G49" s="234"/>
      <c r="H49" s="235"/>
      <c r="R49" t="s">
        <v>249</v>
      </c>
      <c r="S49" t="s">
        <v>169</v>
      </c>
      <c r="T49" t="s">
        <v>174</v>
      </c>
      <c r="U49" t="s">
        <v>189</v>
      </c>
      <c r="V49" t="s">
        <v>184</v>
      </c>
    </row>
    <row r="50" spans="1:24" ht="66" customHeight="1" x14ac:dyDescent="0.25">
      <c r="A50" s="143" t="s">
        <v>39</v>
      </c>
      <c r="B50" s="144"/>
      <c r="C50" s="143" t="s">
        <v>322</v>
      </c>
      <c r="D50" s="158"/>
      <c r="E50" s="144"/>
      <c r="F50" s="17" t="s">
        <v>40</v>
      </c>
      <c r="G50" s="145">
        <v>45366</v>
      </c>
      <c r="H50" s="144"/>
      <c r="R50"/>
      <c r="S50" t="s">
        <v>250</v>
      </c>
      <c r="T50" t="s">
        <v>255</v>
      </c>
      <c r="U50" t="s">
        <v>266</v>
      </c>
      <c r="V50" t="s">
        <v>271</v>
      </c>
    </row>
    <row r="51" spans="1:24" ht="63.75" customHeight="1" x14ac:dyDescent="0.25">
      <c r="A51" s="143" t="s">
        <v>41</v>
      </c>
      <c r="B51" s="144"/>
      <c r="C51" s="143" t="str">
        <f>C50</f>
        <v>Ekatmikrut Nagarvasahat/Mauje Antarli, Khoni, Hedutane, Kole, Gharivali, Katai &amp; Mangaon Tal. Kalyan &amp; Mauje Umbroli, Tal. Ambernath SSThane/1188</v>
      </c>
      <c r="D51" s="158"/>
      <c r="E51" s="144"/>
      <c r="F51" s="17" t="s">
        <v>40</v>
      </c>
      <c r="G51" s="145">
        <f>G50</f>
        <v>45366</v>
      </c>
      <c r="H51" s="144"/>
      <c r="R51"/>
      <c r="S51" t="s">
        <v>251</v>
      </c>
      <c r="T51" t="s">
        <v>298</v>
      </c>
      <c r="U51" t="s">
        <v>264</v>
      </c>
      <c r="V51" t="s">
        <v>272</v>
      </c>
    </row>
    <row r="52" spans="1:24" s="20" customFormat="1" ht="52.5" customHeight="1" x14ac:dyDescent="0.25">
      <c r="A52" s="163" t="s">
        <v>154</v>
      </c>
      <c r="B52" s="164"/>
      <c r="C52" s="143" t="s">
        <v>323</v>
      </c>
      <c r="D52" s="158"/>
      <c r="E52" s="144"/>
      <c r="F52" s="17" t="s">
        <v>40</v>
      </c>
      <c r="G52" s="145">
        <f>G51</f>
        <v>45366</v>
      </c>
      <c r="H52" s="144"/>
      <c r="R52"/>
      <c r="S52" t="s">
        <v>252</v>
      </c>
      <c r="T52" t="s">
        <v>257</v>
      </c>
      <c r="U52" t="s">
        <v>254</v>
      </c>
      <c r="V52" t="s">
        <v>273</v>
      </c>
    </row>
    <row r="53" spans="1:24" s="20" customFormat="1" ht="16.5" customHeight="1" x14ac:dyDescent="0.25">
      <c r="A53" s="165"/>
      <c r="B53" s="166"/>
      <c r="C53" s="143" t="s">
        <v>325</v>
      </c>
      <c r="D53" s="158"/>
      <c r="E53" s="158"/>
      <c r="F53" s="158"/>
      <c r="G53" s="158"/>
      <c r="H53" s="144"/>
      <c r="R53"/>
      <c r="S53" t="s">
        <v>253</v>
      </c>
      <c r="T53" t="s">
        <v>260</v>
      </c>
      <c r="U53" t="s">
        <v>267</v>
      </c>
    </row>
    <row r="54" spans="1:24" s="20" customFormat="1" hidden="1" x14ac:dyDescent="0.25">
      <c r="A54" s="154" t="s">
        <v>277</v>
      </c>
      <c r="B54" s="155"/>
      <c r="C54" s="143" t="e">
        <f>#REF!</f>
        <v>#REF!</v>
      </c>
      <c r="D54" s="158"/>
      <c r="E54" s="144"/>
      <c r="F54" s="17" t="s">
        <v>40</v>
      </c>
      <c r="G54" s="143"/>
      <c r="H54" s="144"/>
      <c r="R54"/>
      <c r="S54" t="s">
        <v>252</v>
      </c>
      <c r="T54" t="s">
        <v>257</v>
      </c>
      <c r="U54" t="s">
        <v>254</v>
      </c>
      <c r="V54" t="s">
        <v>273</v>
      </c>
    </row>
    <row r="55" spans="1:24" s="20" customFormat="1" ht="32.25" hidden="1" customHeight="1" x14ac:dyDescent="0.25">
      <c r="A55" s="156"/>
      <c r="B55" s="157"/>
      <c r="C55" s="229"/>
      <c r="D55" s="230"/>
      <c r="E55" s="230"/>
      <c r="F55" s="230"/>
      <c r="G55" s="230"/>
      <c r="H55" s="231"/>
      <c r="R55"/>
      <c r="S55" t="s">
        <v>254</v>
      </c>
      <c r="T55" t="s">
        <v>299</v>
      </c>
      <c r="U55" t="s">
        <v>268</v>
      </c>
      <c r="V55" s="18"/>
      <c r="W55" s="18"/>
      <c r="X55" s="18"/>
    </row>
    <row r="56" spans="1:24" s="20" customFormat="1" ht="34.5" customHeight="1" x14ac:dyDescent="0.25">
      <c r="A56" s="159" t="s">
        <v>278</v>
      </c>
      <c r="B56" s="160"/>
      <c r="C56" s="143" t="s">
        <v>359</v>
      </c>
      <c r="D56" s="158"/>
      <c r="E56" s="144"/>
      <c r="F56" s="17" t="s">
        <v>40</v>
      </c>
      <c r="G56" s="145">
        <v>44618</v>
      </c>
      <c r="H56" s="144"/>
      <c r="R56"/>
      <c r="S56" s="18"/>
      <c r="T56" t="s">
        <v>259</v>
      </c>
      <c r="U56" t="s">
        <v>269</v>
      </c>
      <c r="V56" s="18"/>
      <c r="W56" s="18"/>
      <c r="X56" s="18"/>
    </row>
    <row r="57" spans="1:24" s="20" customFormat="1" hidden="1" x14ac:dyDescent="0.25">
      <c r="A57" s="161"/>
      <c r="B57" s="162"/>
      <c r="C57" s="143"/>
      <c r="D57" s="158"/>
      <c r="E57" s="158"/>
      <c r="F57" s="158"/>
      <c r="G57" s="158"/>
      <c r="H57" s="144"/>
      <c r="R57"/>
      <c r="S57" s="18"/>
      <c r="T57" t="s">
        <v>261</v>
      </c>
      <c r="U57" t="s">
        <v>270</v>
      </c>
      <c r="V57" s="18"/>
      <c r="W57" s="18"/>
      <c r="X57" s="18"/>
    </row>
    <row r="58" spans="1:24" s="20" customFormat="1" ht="15.75" hidden="1" customHeight="1" x14ac:dyDescent="0.25">
      <c r="A58" s="154" t="s">
        <v>279</v>
      </c>
      <c r="B58" s="155"/>
      <c r="C58" s="143">
        <f>C57</f>
        <v>0</v>
      </c>
      <c r="D58" s="158"/>
      <c r="E58" s="144"/>
      <c r="F58" s="17" t="s">
        <v>40</v>
      </c>
      <c r="G58" s="143">
        <f>G57</f>
        <v>0</v>
      </c>
      <c r="H58" s="144"/>
      <c r="R58"/>
      <c r="S58" s="18"/>
      <c r="T58" t="s">
        <v>262</v>
      </c>
      <c r="U58" s="18" t="s">
        <v>293</v>
      </c>
      <c r="V58" s="18"/>
      <c r="W58" s="18"/>
      <c r="X58" s="18"/>
    </row>
    <row r="59" spans="1:24" s="20" customFormat="1" ht="33.75" hidden="1" customHeight="1" x14ac:dyDescent="0.25">
      <c r="A59" s="156"/>
      <c r="B59" s="157"/>
      <c r="C59" s="143"/>
      <c r="D59" s="158"/>
      <c r="E59" s="158"/>
      <c r="F59" s="158"/>
      <c r="G59" s="158"/>
      <c r="H59" s="144"/>
      <c r="R59"/>
      <c r="S59" s="18"/>
      <c r="T59" t="s">
        <v>263</v>
      </c>
      <c r="U59" s="18" t="s">
        <v>302</v>
      </c>
      <c r="V59" s="18"/>
      <c r="W59" s="18"/>
      <c r="X59" s="18"/>
    </row>
    <row r="60" spans="1:24" x14ac:dyDescent="0.25">
      <c r="A60" s="135" t="s">
        <v>42</v>
      </c>
      <c r="B60" s="136"/>
      <c r="C60" s="135" t="s">
        <v>99</v>
      </c>
      <c r="D60" s="137"/>
      <c r="E60" s="136"/>
      <c r="F60" s="40" t="s">
        <v>40</v>
      </c>
      <c r="G60" s="152" t="s">
        <v>28</v>
      </c>
      <c r="H60" s="153"/>
      <c r="R60"/>
      <c r="T60" t="s">
        <v>265</v>
      </c>
    </row>
    <row r="61" spans="1:24" x14ac:dyDescent="0.25">
      <c r="A61" s="149" t="s">
        <v>44</v>
      </c>
      <c r="B61" s="149"/>
      <c r="C61" s="149"/>
      <c r="D61" s="149"/>
      <c r="E61" s="149"/>
      <c r="F61" s="149"/>
      <c r="G61" s="149"/>
      <c r="H61" s="149"/>
      <c r="T61" t="s">
        <v>274</v>
      </c>
    </row>
    <row r="62" spans="1:24" ht="32.25" customHeight="1" x14ac:dyDescent="0.25">
      <c r="A62" s="140" t="s">
        <v>320</v>
      </c>
      <c r="B62" s="140"/>
      <c r="C62" s="140"/>
      <c r="D62" s="134">
        <v>44537.38</v>
      </c>
      <c r="E62" s="134"/>
      <c r="F62" s="134"/>
      <c r="G62" s="134"/>
      <c r="H62" s="134"/>
      <c r="R62"/>
    </row>
    <row r="63" spans="1:24" x14ac:dyDescent="0.25">
      <c r="A63" s="150" t="s">
        <v>45</v>
      </c>
      <c r="B63" s="151"/>
      <c r="C63" s="151"/>
      <c r="D63" s="151" t="s">
        <v>353</v>
      </c>
      <c r="E63" s="151"/>
      <c r="F63" s="151"/>
      <c r="G63" s="151"/>
      <c r="H63" s="151"/>
      <c r="I63" s="21" t="s">
        <v>333</v>
      </c>
      <c r="R63"/>
    </row>
    <row r="64" spans="1:24" x14ac:dyDescent="0.25">
      <c r="A64" s="215" t="s">
        <v>46</v>
      </c>
      <c r="B64" s="216"/>
      <c r="C64" s="222"/>
      <c r="D64" s="198" t="s">
        <v>326</v>
      </c>
      <c r="E64" s="221"/>
      <c r="F64" s="221"/>
      <c r="G64" s="221"/>
      <c r="H64" s="221"/>
      <c r="R64"/>
    </row>
    <row r="65" spans="1:19" ht="15.75" customHeight="1" x14ac:dyDescent="0.25">
      <c r="A65" s="215" t="s">
        <v>84</v>
      </c>
      <c r="B65" s="216"/>
      <c r="C65" s="216"/>
      <c r="D65" s="150" t="s">
        <v>326</v>
      </c>
      <c r="E65" s="151"/>
      <c r="F65" s="151"/>
      <c r="G65" s="151"/>
      <c r="H65" s="151"/>
      <c r="R65"/>
    </row>
    <row r="66" spans="1:19" ht="15.75" customHeight="1" x14ac:dyDescent="0.25">
      <c r="A66" s="134" t="s">
        <v>43</v>
      </c>
      <c r="B66" s="134"/>
      <c r="C66" s="134"/>
      <c r="D66" s="212" t="s">
        <v>321</v>
      </c>
      <c r="E66" s="212"/>
      <c r="F66" s="212"/>
      <c r="G66" s="212"/>
      <c r="H66" s="212"/>
      <c r="J66" s="22"/>
      <c r="K66" s="21"/>
      <c r="N66" s="21"/>
      <c r="S66"/>
    </row>
    <row r="67" spans="1:19" ht="15.75" customHeight="1" x14ac:dyDescent="0.25">
      <c r="A67" s="134" t="s">
        <v>82</v>
      </c>
      <c r="B67" s="134"/>
      <c r="C67" s="134"/>
      <c r="D67" s="213" t="str">
        <f>(IF(G60="NA","60 Years After Completion",IF(G60&lt;&gt;"NA",""&amp;60-ROUNDDOWN((E3-G60)/360,0)&amp;" Years"," ")))</f>
        <v>60 Years After Completion</v>
      </c>
      <c r="E67" s="213"/>
      <c r="F67" s="213"/>
      <c r="G67" s="213"/>
      <c r="H67" s="213"/>
      <c r="N67" s="21"/>
      <c r="S67"/>
    </row>
    <row r="68" spans="1:19" ht="15.75" customHeight="1" x14ac:dyDescent="0.25">
      <c r="A68" s="134" t="s">
        <v>83</v>
      </c>
      <c r="B68" s="134"/>
      <c r="C68" s="134"/>
      <c r="D68" s="140" t="s">
        <v>23</v>
      </c>
      <c r="E68" s="140"/>
      <c r="F68" s="140"/>
      <c r="G68" s="140"/>
      <c r="H68" s="140"/>
      <c r="J68" s="23"/>
      <c r="K68" s="23"/>
      <c r="S68"/>
    </row>
    <row r="69" spans="1:19" ht="33" customHeight="1" x14ac:dyDescent="0.25">
      <c r="A69" s="151" t="s">
        <v>336</v>
      </c>
      <c r="B69" s="151"/>
      <c r="C69" s="151"/>
      <c r="D69" s="150" t="s">
        <v>342</v>
      </c>
      <c r="E69" s="150"/>
      <c r="F69" s="150"/>
      <c r="G69" s="150"/>
      <c r="H69" s="150"/>
      <c r="I69" s="18" t="s">
        <v>337</v>
      </c>
      <c r="S69"/>
    </row>
    <row r="70" spans="1:19" x14ac:dyDescent="0.25">
      <c r="A70" s="140" t="s">
        <v>146</v>
      </c>
      <c r="B70" s="140"/>
      <c r="C70" s="140"/>
      <c r="D70" s="140" t="s">
        <v>28</v>
      </c>
      <c r="E70" s="140"/>
      <c r="F70" s="140"/>
      <c r="G70" s="140"/>
      <c r="H70" s="140"/>
      <c r="I70" s="24"/>
      <c r="J70" s="24"/>
      <c r="K70" s="24"/>
      <c r="L70" s="24"/>
      <c r="M70" s="24"/>
      <c r="N70" s="24"/>
    </row>
    <row r="71" spans="1:19" ht="15.75" customHeight="1" x14ac:dyDescent="0.25">
      <c r="A71" s="141" t="s">
        <v>81</v>
      </c>
      <c r="B71" s="141"/>
      <c r="C71" s="141"/>
      <c r="D71" s="198" t="str">
        <f ca="1">(IF(G77&gt;95%,"Nothing",IF(G77&gt;0%,"Cement, Aggregate, Steel, etc",IF(G77=0%,"Work not yet Started"))))</f>
        <v>Cement, Aggregate, Steel, etc</v>
      </c>
      <c r="E71" s="198"/>
      <c r="F71" s="198"/>
      <c r="G71" s="198"/>
      <c r="H71" s="198"/>
      <c r="J71" s="23"/>
      <c r="S71"/>
    </row>
    <row r="72" spans="1:19" ht="33.75" customHeight="1" thickBot="1" x14ac:dyDescent="0.3">
      <c r="A72" s="197" t="s">
        <v>112</v>
      </c>
      <c r="B72" s="197"/>
      <c r="C72" s="197"/>
      <c r="D72" s="198" t="str">
        <f ca="1">(IF(D71="Nothing","Yes",IF(D71="Cement, Aggregate, Steel, etc","Under Construction",IF(D71="Work not yet Started","Work not yet Started"))))</f>
        <v>Under Construction</v>
      </c>
      <c r="E72" s="198"/>
      <c r="F72" s="198" t="str">
        <f ca="1">(IF(D71="Nothing","Yes",IF(D71="Cement, Aggregate, Steel, etc","Under Construction",IF(D71="Work not yet Started","Work not yet Started"))))</f>
        <v>Under Construction</v>
      </c>
      <c r="G72" s="198"/>
      <c r="H72" s="198"/>
      <c r="S72"/>
    </row>
    <row r="73" spans="1:19" ht="15.75" customHeight="1" x14ac:dyDescent="0.25">
      <c r="A73" s="94" t="s">
        <v>136</v>
      </c>
      <c r="B73" s="95"/>
      <c r="C73" s="96" t="s">
        <v>326</v>
      </c>
      <c r="D73" s="97"/>
      <c r="E73" s="97"/>
      <c r="F73" s="97"/>
      <c r="G73" s="97"/>
      <c r="H73" s="98"/>
      <c r="I73" s="42" t="str">
        <f ca="1">IF(D86=100%,"All work Completed. Possession granted to the Building.",IF(D85=100%,"All work Completed, Waiting for OC",I74&amp;""&amp;I75&amp;""&amp;J74&amp;""&amp;J73&amp;" "&amp;J75))</f>
        <v xml:space="preserve">Excavation Completed, Footing work Completed </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25">
      <c r="A74" s="15" t="s">
        <v>138</v>
      </c>
      <c r="B74" s="46">
        <f>IF(AND(ISNUMBER(SEARCH("1B",C73))),1,IF(AND(ISNUMBER(SEARCH("2B",C73))),2,IF(AND(ISNUMBER(SEARCH("3B",C73))),3,IF(AND(ISNUMBER(SEARCH("4B",C73))),4,IF(ISNUMBER(SEARCH("5B",C73)),5,0)))))</f>
        <v>0</v>
      </c>
      <c r="C74" s="46" t="s">
        <v>68</v>
      </c>
      <c r="D74" s="46">
        <v>1</v>
      </c>
      <c r="E74" s="46" t="s">
        <v>67</v>
      </c>
      <c r="F74" s="46">
        <v>0</v>
      </c>
      <c r="G74" s="46" t="s">
        <v>75</v>
      </c>
      <c r="H74" s="16">
        <f ca="1">--TRIM(RIGHT(SUBSTITUTE(LEFT(C73,_xlfn.AGGREGATE(16,6,FIND({0,1,2,3,4,5,6,7,8,9},C73,ROW(INDIRECT("1:"&amp;LEN(C73)))),1))," ",REPT(" ",LEN(C73))),LEN(C73)))</f>
        <v>10</v>
      </c>
      <c r="I74" s="44" t="str">
        <f ca="1">IF(D77=100%,"Excavation","")&amp;IF(D78=100%,", Plinth","")&amp;IF(D79=100%,", RCC Slab","")&amp;IF(D80=100%,", Brickwork","")&amp;IF(D81=100%,", Internal Plaster","")&amp;IF(D82=100%,", External Plaster","")&amp;IF(D83=100%,", Flooring","")&amp;IF(D84=100%,", Painting","")&amp;IF(D85=100%,", Building common Amenities","")</f>
        <v>Excavation</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Footing work Completed</v>
      </c>
      <c r="S74"/>
    </row>
    <row r="75" spans="1:19" x14ac:dyDescent="0.25">
      <c r="A75" s="99" t="s">
        <v>85</v>
      </c>
      <c r="B75" s="100"/>
      <c r="C75" s="101" t="str">
        <f ca="1">I73</f>
        <v xml:space="preserve">Excavation Completed, Footing work Completed </v>
      </c>
      <c r="D75" s="101"/>
      <c r="E75" s="101"/>
      <c r="F75" s="101"/>
      <c r="G75" s="101"/>
      <c r="H75" s="102"/>
      <c r="I75" s="44" t="str">
        <f ca="1">IF(I74&lt;&gt;""," Completed","")</f>
        <v xml:space="preserve"> Completed</v>
      </c>
      <c r="J75" s="45" t="str">
        <f ca="1">IF(J73&lt;&gt;"","Completed","")</f>
        <v/>
      </c>
      <c r="S75"/>
    </row>
    <row r="76" spans="1:19" ht="15.75" customHeight="1" x14ac:dyDescent="0.25">
      <c r="A76" s="103" t="s">
        <v>47</v>
      </c>
      <c r="B76" s="104"/>
      <c r="C76" s="63" t="s">
        <v>135</v>
      </c>
      <c r="D76" s="63" t="s">
        <v>78</v>
      </c>
      <c r="E76" s="104" t="s">
        <v>80</v>
      </c>
      <c r="F76" s="104"/>
      <c r="G76" s="104" t="s">
        <v>79</v>
      </c>
      <c r="H76" s="105"/>
      <c r="I76" s="13" t="s">
        <v>137</v>
      </c>
      <c r="J76" s="25">
        <f ca="1">H74*25%</f>
        <v>2.5</v>
      </c>
      <c r="S76"/>
    </row>
    <row r="77" spans="1:19" x14ac:dyDescent="0.25">
      <c r="A77" s="103" t="s">
        <v>124</v>
      </c>
      <c r="B77" s="104"/>
      <c r="C77" s="63">
        <f ca="1">J78</f>
        <v>10</v>
      </c>
      <c r="D77" s="64">
        <f ca="1">((100/H74)*C77)/100</f>
        <v>1</v>
      </c>
      <c r="E77" s="106">
        <f ca="1">(((C78/H74*10)+(40/(D74+F74+H74)*C79)+(7.5/(H74)*C80)+(7.5/(H74)*C81)+(10/H74*C82)+(10/H74*C83)+(5/H74*C84)+(5/H74*C85)+(5/H74*C86))/100)</f>
        <v>0.05</v>
      </c>
      <c r="F77" s="107"/>
      <c r="G77" s="106">
        <f ca="1">((((C77/H74)*20)+((C78/H74)*25)+(30/(H74+F74+D74)*C79)+(5/H74*C80)+(5/H74*C81)+(5/H74*C82)+(5/H74*C83)+(0/H74*C84)+(0/H74*C85)+(5/H74*C86))/100)</f>
        <v>0.32500000000000001</v>
      </c>
      <c r="H77" s="110"/>
      <c r="I77" s="13" t="s">
        <v>94</v>
      </c>
      <c r="J77" s="26">
        <f ca="1">H74*50%</f>
        <v>5</v>
      </c>
    </row>
    <row r="78" spans="1:19" x14ac:dyDescent="0.25">
      <c r="A78" s="103" t="s">
        <v>48</v>
      </c>
      <c r="B78" s="104"/>
      <c r="C78" s="74">
        <f ca="1">J80</f>
        <v>5</v>
      </c>
      <c r="D78" s="64">
        <f ca="1">((100/H74)*C78)/100</f>
        <v>0.5</v>
      </c>
      <c r="E78" s="108"/>
      <c r="F78" s="109"/>
      <c r="G78" s="108"/>
      <c r="H78" s="111"/>
      <c r="I78" s="13" t="s">
        <v>95</v>
      </c>
      <c r="J78" s="26">
        <f ca="1">H74</f>
        <v>10</v>
      </c>
      <c r="S78"/>
    </row>
    <row r="79" spans="1:19" ht="15.75" customHeight="1" x14ac:dyDescent="0.25">
      <c r="A79" s="103" t="s">
        <v>125</v>
      </c>
      <c r="B79" s="104"/>
      <c r="C79" s="63">
        <v>0</v>
      </c>
      <c r="D79" s="64">
        <f ca="1">((100/(D74+F74+H74))*C79)/100</f>
        <v>0</v>
      </c>
      <c r="E79" s="108"/>
      <c r="F79" s="109"/>
      <c r="G79" s="108"/>
      <c r="H79" s="111"/>
      <c r="I79" s="13" t="s">
        <v>96</v>
      </c>
      <c r="J79" s="27">
        <f ca="1">(IF(B74&gt;1,(H74/(B74+2)),H74/4))</f>
        <v>2.5</v>
      </c>
      <c r="S79"/>
    </row>
    <row r="80" spans="1:19" ht="15.75" customHeight="1" x14ac:dyDescent="0.25">
      <c r="A80" s="103" t="s">
        <v>132</v>
      </c>
      <c r="B80" s="104" t="s">
        <v>126</v>
      </c>
      <c r="C80" s="63">
        <v>0</v>
      </c>
      <c r="D80" s="64">
        <f ca="1">((100/H74)*C80)/100</f>
        <v>0</v>
      </c>
      <c r="E80" s="108"/>
      <c r="F80" s="109"/>
      <c r="G80" s="108"/>
      <c r="H80" s="111"/>
      <c r="I80" s="13" t="s">
        <v>97</v>
      </c>
      <c r="J80" s="27">
        <f ca="1">(IF(B74&gt;1,(H74/(B74+2)+J79),H74/4+J79))</f>
        <v>5</v>
      </c>
    </row>
    <row r="81" spans="1:19" ht="15.75" customHeight="1" x14ac:dyDescent="0.25">
      <c r="A81" s="103" t="s">
        <v>133</v>
      </c>
      <c r="B81" s="104" t="s">
        <v>126</v>
      </c>
      <c r="C81" s="63">
        <v>0</v>
      </c>
      <c r="D81" s="64">
        <f ca="1">((100/H74)*C81)/100</f>
        <v>0</v>
      </c>
      <c r="E81" s="108"/>
      <c r="F81" s="109"/>
      <c r="G81" s="108"/>
      <c r="H81" s="111"/>
      <c r="I81" s="13" t="s">
        <v>144</v>
      </c>
      <c r="J81" s="27">
        <f>(IF(B74&gt;1,(H74/(B74+2)+J80),0))</f>
        <v>0</v>
      </c>
    </row>
    <row r="82" spans="1:19" ht="15" customHeight="1" x14ac:dyDescent="0.25">
      <c r="A82" s="103" t="s">
        <v>131</v>
      </c>
      <c r="B82" s="104" t="s">
        <v>128</v>
      </c>
      <c r="C82" s="63">
        <v>0</v>
      </c>
      <c r="D82" s="64">
        <f ca="1">((100/(H74))*C82)/100</f>
        <v>0</v>
      </c>
      <c r="E82" s="108"/>
      <c r="F82" s="109"/>
      <c r="G82" s="108"/>
      <c r="H82" s="111"/>
      <c r="I82" s="13" t="s">
        <v>139</v>
      </c>
      <c r="J82" s="27">
        <f>(IF(B74&gt;2,(H74/(B74+2)+J81),0))</f>
        <v>0</v>
      </c>
    </row>
    <row r="83" spans="1:19" ht="15.75" customHeight="1" x14ac:dyDescent="0.25">
      <c r="A83" s="103" t="s">
        <v>127</v>
      </c>
      <c r="B83" s="104" t="s">
        <v>127</v>
      </c>
      <c r="C83" s="63">
        <v>0</v>
      </c>
      <c r="D83" s="64">
        <f ca="1">((100/H74)*C83)/100</f>
        <v>0</v>
      </c>
      <c r="E83" s="108"/>
      <c r="F83" s="109"/>
      <c r="G83" s="108"/>
      <c r="H83" s="111"/>
      <c r="I83" s="13" t="s">
        <v>140</v>
      </c>
      <c r="J83" s="28">
        <f>(IF(B74&gt;3,(H74/(B74+2)+J82),0))</f>
        <v>0</v>
      </c>
    </row>
    <row r="84" spans="1:19" ht="15.75" customHeight="1" x14ac:dyDescent="0.25">
      <c r="A84" s="103" t="s">
        <v>134</v>
      </c>
      <c r="B84" s="104"/>
      <c r="C84" s="63">
        <v>0</v>
      </c>
      <c r="D84" s="64">
        <f ca="1">((100/H74)*C84)/100</f>
        <v>0</v>
      </c>
      <c r="E84" s="108"/>
      <c r="F84" s="109"/>
      <c r="G84" s="108"/>
      <c r="H84" s="111"/>
      <c r="I84" s="13" t="s">
        <v>141</v>
      </c>
      <c r="J84" s="27">
        <f>(IF(B74&gt;4,(H74/(B74+2)+J83),0))</f>
        <v>0</v>
      </c>
    </row>
    <row r="85" spans="1:19" ht="15.75" customHeight="1" x14ac:dyDescent="0.25">
      <c r="A85" s="103" t="s">
        <v>129</v>
      </c>
      <c r="B85" s="104" t="s">
        <v>129</v>
      </c>
      <c r="C85" s="63">
        <v>0</v>
      </c>
      <c r="D85" s="64">
        <f ca="1">((100/(H74))*C85)/100</f>
        <v>0</v>
      </c>
      <c r="E85" s="108"/>
      <c r="F85" s="109"/>
      <c r="G85" s="108"/>
      <c r="H85" s="111"/>
      <c r="I85" s="13" t="s">
        <v>145</v>
      </c>
      <c r="J85" s="27">
        <f ca="1">(IF(B74=1,(H74/(B74+3)+J80),IF(B74=0,(H74/4+J80),IF(B74&gt;1,0))))</f>
        <v>7.5</v>
      </c>
    </row>
    <row r="86" spans="1:19" ht="16.5" thickBot="1" x14ac:dyDescent="0.3">
      <c r="A86" s="239" t="s">
        <v>130</v>
      </c>
      <c r="B86" s="240"/>
      <c r="C86" s="65">
        <v>0</v>
      </c>
      <c r="D86" s="66">
        <f ca="1">((100/(H74))*C86)/100</f>
        <v>0</v>
      </c>
      <c r="E86" s="223"/>
      <c r="F86" s="224"/>
      <c r="G86" s="223"/>
      <c r="H86" s="225"/>
      <c r="I86" s="14" t="s">
        <v>98</v>
      </c>
      <c r="J86" s="29">
        <f ca="1">(IF(B74&gt;1.5,(H74/(B74+2)+J80+MAX(0,J81-J80)+MAX(0,J82-J81)+MAX(0,J83-J82)+MAX(0,J84-J83)+MAX(0,J85-J84)),IF(B74=1,(H74/(B74+3)+J85),IF(B74=0,H74/4+J85))))</f>
        <v>10</v>
      </c>
    </row>
    <row r="87" spans="1:19" ht="15.75" customHeight="1" x14ac:dyDescent="0.25">
      <c r="A87" s="94" t="s">
        <v>136</v>
      </c>
      <c r="B87" s="95"/>
      <c r="C87" s="96" t="s">
        <v>364</v>
      </c>
      <c r="D87" s="97"/>
      <c r="E87" s="97"/>
      <c r="F87" s="97"/>
      <c r="G87" s="97"/>
      <c r="H87" s="98"/>
      <c r="I87" s="42" t="str">
        <f ca="1">IF(D100=100%,"All work Completed. Possession granted to the Building.",IF(D99=100%,"All work Completed, Waiting for OC",I88&amp;""&amp;I89&amp;""&amp;J88&amp;""&amp;J87&amp;" "&amp;J89))</f>
        <v>Excavation, Plinth Completed, RCC upto 1 Slab Completed</v>
      </c>
      <c r="J87" s="43"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1 Slab</v>
      </c>
      <c r="S87"/>
    </row>
    <row r="88" spans="1:19" x14ac:dyDescent="0.25">
      <c r="A88" s="15" t="s">
        <v>138</v>
      </c>
      <c r="B88" s="46">
        <f>IF(AND(ISNUMBER(SEARCH("1B",C87))),1,IF(AND(ISNUMBER(SEARCH("2B",C87))),2,IF(AND(ISNUMBER(SEARCH("3B",C87))),3,IF(AND(ISNUMBER(SEARCH("4B",C87))),4,IF(ISNUMBER(SEARCH("5B",C87)),5,0)))))</f>
        <v>0</v>
      </c>
      <c r="C88" s="46" t="s">
        <v>68</v>
      </c>
      <c r="D88" s="46">
        <v>1</v>
      </c>
      <c r="E88" s="46" t="s">
        <v>67</v>
      </c>
      <c r="F88" s="46">
        <v>0</v>
      </c>
      <c r="G88" s="46" t="s">
        <v>75</v>
      </c>
      <c r="H88" s="16">
        <f ca="1">--TRIM(RIGHT(SUBSTITUTE(LEFT(C87,_xlfn.AGGREGATE(16,6,FIND({0,1,2,3,4,5,6,7,8,9},C87,ROW(INDIRECT("1:"&amp;LEN(C87)))),1))," ",REPT(" ",LEN(C87))),LEN(C87)))</f>
        <v>10</v>
      </c>
      <c r="I88" s="44" t="str">
        <f ca="1">IF(D91=100%,"Excavation","")&amp;IF(D92=100%,", Plinth","")&amp;IF(D93=100%,", RCC Slab","")&amp;IF(D94=100%,", Brickwork","")&amp;IF(D95=100%,", Internal Plaster","")&amp;IF(D96=100%,", External Plaster","")&amp;IF(D97=100%,", Flooring","")&amp;IF(D98=100%,", Painting","")&amp;IF(D99=100%,", Building common Amenities","")</f>
        <v>Excavation, Plinth</v>
      </c>
      <c r="J88" s="45"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x14ac:dyDescent="0.25">
      <c r="A89" s="99" t="s">
        <v>85</v>
      </c>
      <c r="B89" s="100"/>
      <c r="C89" s="101" t="str">
        <f ca="1">I87</f>
        <v>Excavation, Plinth Completed, RCC upto 1 Slab Completed</v>
      </c>
      <c r="D89" s="101"/>
      <c r="E89" s="101"/>
      <c r="F89" s="101"/>
      <c r="G89" s="101"/>
      <c r="H89" s="102"/>
      <c r="I89" s="44" t="str">
        <f ca="1">IF(I88&lt;&gt;""," Completed","")</f>
        <v xml:space="preserve"> Completed</v>
      </c>
      <c r="J89" s="45" t="str">
        <f ca="1">IF(J87&lt;&gt;"","Completed","")</f>
        <v>Completed</v>
      </c>
      <c r="S89"/>
    </row>
    <row r="90" spans="1:19" ht="15.75" customHeight="1" x14ac:dyDescent="0.25">
      <c r="A90" s="103" t="s">
        <v>47</v>
      </c>
      <c r="B90" s="104"/>
      <c r="C90" s="84" t="s">
        <v>135</v>
      </c>
      <c r="D90" s="84" t="s">
        <v>78</v>
      </c>
      <c r="E90" s="104" t="s">
        <v>80</v>
      </c>
      <c r="F90" s="104"/>
      <c r="G90" s="104" t="s">
        <v>79</v>
      </c>
      <c r="H90" s="105"/>
      <c r="I90" s="13" t="s">
        <v>137</v>
      </c>
      <c r="J90" s="25">
        <f ca="1">H88*25%</f>
        <v>2.5</v>
      </c>
      <c r="S90"/>
    </row>
    <row r="91" spans="1:19" x14ac:dyDescent="0.25">
      <c r="A91" s="103" t="s">
        <v>124</v>
      </c>
      <c r="B91" s="104"/>
      <c r="C91" s="84">
        <f ca="1">J92</f>
        <v>10</v>
      </c>
      <c r="D91" s="64">
        <f ca="1">((100/H88)*C91)/100</f>
        <v>1</v>
      </c>
      <c r="E91" s="106">
        <f ca="1">(((C92/H88*10)+(40/(D88+F88+H88)*C93)+(7.5/(H88)*C94)+(7.5/(H88)*C95)+(10/H88*C96)+(10/H88*C97)+(5/H88*C98)+(5/H88*C99)+(5/H88*C100))/100)</f>
        <v>0.13636363636363635</v>
      </c>
      <c r="F91" s="107"/>
      <c r="G91" s="106">
        <f ca="1">((((C91/H88)*20)+((C92/H88)*25)+(30/(H88+F88+D88)*C93)+(5/H88*C94)+(5/H88*C95)+(5/H88*C96)+(5/H88*C97)+(0/H88*C98)+(0/H88*C99)+(5/H88*C100))/100)</f>
        <v>0.47727272727272729</v>
      </c>
      <c r="H91" s="110"/>
      <c r="I91" s="13" t="s">
        <v>94</v>
      </c>
      <c r="J91" s="26">
        <f ca="1">H88*50%</f>
        <v>5</v>
      </c>
    </row>
    <row r="92" spans="1:19" x14ac:dyDescent="0.25">
      <c r="A92" s="103" t="s">
        <v>48</v>
      </c>
      <c r="B92" s="104"/>
      <c r="C92" s="74">
        <f ca="1">J100</f>
        <v>10</v>
      </c>
      <c r="D92" s="64">
        <f ca="1">((100/H88)*C92)/100</f>
        <v>1</v>
      </c>
      <c r="E92" s="108"/>
      <c r="F92" s="109"/>
      <c r="G92" s="108"/>
      <c r="H92" s="111"/>
      <c r="I92" s="13" t="s">
        <v>95</v>
      </c>
      <c r="J92" s="26">
        <f ca="1">H88</f>
        <v>10</v>
      </c>
      <c r="S92"/>
    </row>
    <row r="93" spans="1:19" ht="15.75" customHeight="1" x14ac:dyDescent="0.25">
      <c r="A93" s="103" t="s">
        <v>125</v>
      </c>
      <c r="B93" s="104"/>
      <c r="C93" s="84">
        <v>1</v>
      </c>
      <c r="D93" s="64">
        <f ca="1">((100/(D88+F88+H88))*C93)/100</f>
        <v>9.0909090909090912E-2</v>
      </c>
      <c r="E93" s="108"/>
      <c r="F93" s="109"/>
      <c r="G93" s="108"/>
      <c r="H93" s="111"/>
      <c r="I93" s="13" t="s">
        <v>96</v>
      </c>
      <c r="J93" s="27">
        <f ca="1">(IF(B88&gt;1,(H88/(B88+2)),H88/4))</f>
        <v>2.5</v>
      </c>
      <c r="S93"/>
    </row>
    <row r="94" spans="1:19" ht="15.75" customHeight="1" x14ac:dyDescent="0.25">
      <c r="A94" s="103" t="s">
        <v>132</v>
      </c>
      <c r="B94" s="104" t="s">
        <v>126</v>
      </c>
      <c r="C94" s="84">
        <v>0</v>
      </c>
      <c r="D94" s="64">
        <f ca="1">((100/H88)*C94)/100</f>
        <v>0</v>
      </c>
      <c r="E94" s="108"/>
      <c r="F94" s="109"/>
      <c r="G94" s="108"/>
      <c r="H94" s="111"/>
      <c r="I94" s="13" t="s">
        <v>97</v>
      </c>
      <c r="J94" s="27">
        <f ca="1">(IF(B88&gt;1,(H88/(B88+2)+J93),H88/4+J93))</f>
        <v>5</v>
      </c>
    </row>
    <row r="95" spans="1:19" ht="15.75" customHeight="1" x14ac:dyDescent="0.25">
      <c r="A95" s="103" t="s">
        <v>133</v>
      </c>
      <c r="B95" s="104" t="s">
        <v>126</v>
      </c>
      <c r="C95" s="84">
        <v>0</v>
      </c>
      <c r="D95" s="64">
        <f ca="1">((100/H88)*C95)/100</f>
        <v>0</v>
      </c>
      <c r="E95" s="108"/>
      <c r="F95" s="109"/>
      <c r="G95" s="108"/>
      <c r="H95" s="111"/>
      <c r="I95" s="13" t="s">
        <v>144</v>
      </c>
      <c r="J95" s="27">
        <f>(IF(B88&gt;1,(H88/(B88+2)+J94),0))</f>
        <v>0</v>
      </c>
    </row>
    <row r="96" spans="1:19" ht="15" customHeight="1" x14ac:dyDescent="0.25">
      <c r="A96" s="103" t="s">
        <v>131</v>
      </c>
      <c r="B96" s="104" t="s">
        <v>128</v>
      </c>
      <c r="C96" s="84">
        <v>0</v>
      </c>
      <c r="D96" s="64">
        <f ca="1">((100/(H88))*C96)/100</f>
        <v>0</v>
      </c>
      <c r="E96" s="108"/>
      <c r="F96" s="109"/>
      <c r="G96" s="108"/>
      <c r="H96" s="111"/>
      <c r="I96" s="13" t="s">
        <v>139</v>
      </c>
      <c r="J96" s="27">
        <f>(IF(B88&gt;2,(H88/(B88+2)+J95),0))</f>
        <v>0</v>
      </c>
    </row>
    <row r="97" spans="1:22" ht="15.75" customHeight="1" x14ac:dyDescent="0.25">
      <c r="A97" s="103" t="s">
        <v>127</v>
      </c>
      <c r="B97" s="104" t="s">
        <v>127</v>
      </c>
      <c r="C97" s="84">
        <v>0</v>
      </c>
      <c r="D97" s="64">
        <f ca="1">((100/H88)*C97)/100</f>
        <v>0</v>
      </c>
      <c r="E97" s="108"/>
      <c r="F97" s="109"/>
      <c r="G97" s="108"/>
      <c r="H97" s="111"/>
      <c r="I97" s="13" t="s">
        <v>140</v>
      </c>
      <c r="J97" s="28">
        <f>(IF(B88&gt;3,(H88/(B88+2)+J96),0))</f>
        <v>0</v>
      </c>
    </row>
    <row r="98" spans="1:22" ht="15.75" customHeight="1" x14ac:dyDescent="0.25">
      <c r="A98" s="103" t="s">
        <v>134</v>
      </c>
      <c r="B98" s="104"/>
      <c r="C98" s="84">
        <v>0</v>
      </c>
      <c r="D98" s="64">
        <f ca="1">((100/H88)*C98)/100</f>
        <v>0</v>
      </c>
      <c r="E98" s="108"/>
      <c r="F98" s="109"/>
      <c r="G98" s="108"/>
      <c r="H98" s="111"/>
      <c r="I98" s="13" t="s">
        <v>141</v>
      </c>
      <c r="J98" s="27">
        <f>(IF(B88&gt;4,(H88/(B88+2)+J97),0))</f>
        <v>0</v>
      </c>
    </row>
    <row r="99" spans="1:22" ht="15.75" customHeight="1" x14ac:dyDescent="0.25">
      <c r="A99" s="103" t="s">
        <v>129</v>
      </c>
      <c r="B99" s="104" t="s">
        <v>129</v>
      </c>
      <c r="C99" s="84">
        <v>0</v>
      </c>
      <c r="D99" s="64">
        <f ca="1">((100/(H88))*C99)/100</f>
        <v>0</v>
      </c>
      <c r="E99" s="108"/>
      <c r="F99" s="109"/>
      <c r="G99" s="108"/>
      <c r="H99" s="111"/>
      <c r="I99" s="13" t="s">
        <v>145</v>
      </c>
      <c r="J99" s="27">
        <f ca="1">(IF(B88=1,(H88/(B88+3)+J94),IF(B88=0,(H88/4+J94),IF(B88&gt;1,0))))</f>
        <v>7.5</v>
      </c>
    </row>
    <row r="100" spans="1:22" ht="16.5" thickBot="1" x14ac:dyDescent="0.3">
      <c r="A100" s="112" t="s">
        <v>130</v>
      </c>
      <c r="B100" s="113"/>
      <c r="C100" s="87">
        <v>0</v>
      </c>
      <c r="D100" s="88">
        <f ca="1">((100/(H88))*C100)/100</f>
        <v>0</v>
      </c>
      <c r="E100" s="108"/>
      <c r="F100" s="109"/>
      <c r="G100" s="108"/>
      <c r="H100" s="111"/>
      <c r="I100" s="14" t="s">
        <v>98</v>
      </c>
      <c r="J100" s="29">
        <f ca="1">(IF(B88&gt;1.5,(H88/(B88+2)+J94+MAX(0,J95-J94)+MAX(0,J96-J95)+MAX(0,J97-J96)+MAX(0,J98-J97)+MAX(0,J99-J98)),IF(B88=1,(H88/(B88+3)+J99),IF(B88=0,H88/4+J99))))</f>
        <v>10</v>
      </c>
    </row>
    <row r="101" spans="1:22" ht="30.75" customHeight="1" thickBot="1" x14ac:dyDescent="0.3">
      <c r="A101" s="93" t="s">
        <v>365</v>
      </c>
      <c r="B101" s="90"/>
      <c r="C101" s="89">
        <f ca="1">AVERAGE(E77,E91)</f>
        <v>9.3181818181818171E-2</v>
      </c>
      <c r="D101" s="90"/>
      <c r="E101" s="91" t="s">
        <v>366</v>
      </c>
      <c r="F101" s="91"/>
      <c r="G101" s="91">
        <f ca="1">AVERAGE(G77,G91)</f>
        <v>0.40113636363636362</v>
      </c>
      <c r="H101" s="92"/>
      <c r="I101" s="85"/>
      <c r="J101" s="86"/>
    </row>
    <row r="102" spans="1:22" x14ac:dyDescent="0.25">
      <c r="A102" s="238" t="s">
        <v>156</v>
      </c>
      <c r="B102" s="238"/>
      <c r="C102" s="238"/>
      <c r="D102" s="238"/>
      <c r="E102" s="238"/>
      <c r="F102" s="187" t="s">
        <v>157</v>
      </c>
      <c r="G102" s="187"/>
      <c r="H102" s="187"/>
      <c r="R102" t="s">
        <v>249</v>
      </c>
      <c r="S102" t="s">
        <v>169</v>
      </c>
      <c r="T102" t="s">
        <v>174</v>
      </c>
      <c r="U102" t="s">
        <v>189</v>
      </c>
      <c r="V102" t="s">
        <v>184</v>
      </c>
    </row>
    <row r="103" spans="1:22" hidden="1" x14ac:dyDescent="0.25">
      <c r="A103" s="134" t="s">
        <v>344</v>
      </c>
      <c r="B103" s="134"/>
      <c r="C103" s="134"/>
      <c r="D103" s="134"/>
      <c r="E103" s="134"/>
      <c r="F103" s="131">
        <v>20000</v>
      </c>
      <c r="G103" s="131"/>
      <c r="H103" s="131"/>
      <c r="R103"/>
      <c r="S103">
        <v>800000</v>
      </c>
      <c r="T103">
        <v>150000</v>
      </c>
      <c r="U103">
        <v>100000</v>
      </c>
      <c r="V103">
        <v>100000</v>
      </c>
    </row>
    <row r="104" spans="1:22" hidden="1" x14ac:dyDescent="0.25">
      <c r="A104" s="134" t="s">
        <v>345</v>
      </c>
      <c r="B104" s="134"/>
      <c r="C104" s="134"/>
      <c r="D104" s="134"/>
      <c r="E104" s="134"/>
      <c r="F104" s="131">
        <v>15500</v>
      </c>
      <c r="G104" s="131"/>
      <c r="H104" s="131"/>
      <c r="R104"/>
      <c r="S104">
        <v>900000</v>
      </c>
      <c r="T104">
        <v>200000</v>
      </c>
      <c r="U104">
        <v>150000</v>
      </c>
      <c r="V104">
        <v>150000</v>
      </c>
    </row>
    <row r="105" spans="1:22" ht="33.75" customHeight="1" x14ac:dyDescent="0.25">
      <c r="A105" s="140" t="s">
        <v>348</v>
      </c>
      <c r="B105" s="140"/>
      <c r="C105" s="140"/>
      <c r="D105" s="140"/>
      <c r="E105" s="140"/>
      <c r="F105" s="131">
        <v>13500</v>
      </c>
      <c r="G105" s="131"/>
      <c r="H105" s="131"/>
      <c r="R105"/>
      <c r="S105">
        <v>1000000</v>
      </c>
      <c r="T105">
        <v>250000</v>
      </c>
      <c r="U105">
        <v>200000</v>
      </c>
      <c r="V105">
        <v>200000</v>
      </c>
    </row>
    <row r="106" spans="1:22" s="30" customFormat="1" hidden="1" x14ac:dyDescent="0.25">
      <c r="A106" s="134" t="s">
        <v>346</v>
      </c>
      <c r="B106" s="134"/>
      <c r="C106" s="134"/>
      <c r="D106" s="134"/>
      <c r="E106" s="134"/>
      <c r="F106" s="131">
        <v>10500</v>
      </c>
      <c r="G106" s="131"/>
      <c r="H106" s="131"/>
      <c r="R106"/>
      <c r="S106">
        <v>1100000</v>
      </c>
      <c r="T106">
        <v>300000</v>
      </c>
      <c r="U106">
        <v>250000</v>
      </c>
      <c r="V106" s="20">
        <v>250000</v>
      </c>
    </row>
    <row r="107" spans="1:22" s="30" customFormat="1" hidden="1" x14ac:dyDescent="0.25">
      <c r="A107" s="134" t="s">
        <v>88</v>
      </c>
      <c r="B107" s="134"/>
      <c r="C107" s="134"/>
      <c r="D107" s="134"/>
      <c r="E107" s="134"/>
      <c r="F107" s="131"/>
      <c r="G107" s="131"/>
      <c r="H107" s="131"/>
      <c r="R107"/>
      <c r="S107">
        <v>1200000</v>
      </c>
      <c r="T107">
        <v>350000</v>
      </c>
      <c r="U107">
        <v>300000</v>
      </c>
      <c r="V107">
        <v>300000</v>
      </c>
    </row>
    <row r="108" spans="1:22" s="30" customFormat="1" hidden="1" x14ac:dyDescent="0.25">
      <c r="A108" s="134" t="s">
        <v>89</v>
      </c>
      <c r="B108" s="134"/>
      <c r="C108" s="134"/>
      <c r="D108" s="134"/>
      <c r="E108" s="134"/>
      <c r="F108" s="131"/>
      <c r="G108" s="131"/>
      <c r="H108" s="131"/>
      <c r="R108"/>
      <c r="S108">
        <v>1300000</v>
      </c>
      <c r="T108">
        <v>400000</v>
      </c>
      <c r="U108">
        <v>350000</v>
      </c>
      <c r="V108" s="20">
        <v>400000</v>
      </c>
    </row>
    <row r="109" spans="1:22" s="30" customFormat="1" hidden="1" x14ac:dyDescent="0.25">
      <c r="A109" s="134" t="s">
        <v>90</v>
      </c>
      <c r="B109" s="134"/>
      <c r="C109" s="134"/>
      <c r="D109" s="134"/>
      <c r="E109" s="134"/>
      <c r="F109" s="131"/>
      <c r="G109" s="131"/>
      <c r="H109" s="131"/>
      <c r="R109"/>
      <c r="S109">
        <v>1400000</v>
      </c>
      <c r="T109">
        <v>500000</v>
      </c>
      <c r="U109">
        <v>400000</v>
      </c>
      <c r="V109"/>
    </row>
    <row r="110" spans="1:22" s="30" customFormat="1" hidden="1" x14ac:dyDescent="0.25">
      <c r="A110" s="134" t="s">
        <v>91</v>
      </c>
      <c r="B110" s="134"/>
      <c r="C110" s="134"/>
      <c r="D110" s="134"/>
      <c r="E110" s="134"/>
      <c r="F110" s="131"/>
      <c r="G110" s="131"/>
      <c r="H110" s="131"/>
      <c r="R110"/>
      <c r="S110">
        <v>1500000</v>
      </c>
      <c r="T110">
        <v>600000</v>
      </c>
      <c r="U110">
        <v>500000</v>
      </c>
      <c r="V110" s="20"/>
    </row>
    <row r="111" spans="1:22" s="30" customFormat="1" hidden="1" x14ac:dyDescent="0.25">
      <c r="A111" s="134" t="s">
        <v>92</v>
      </c>
      <c r="B111" s="134"/>
      <c r="C111" s="134"/>
      <c r="D111" s="134"/>
      <c r="E111" s="134"/>
      <c r="F111" s="131"/>
      <c r="G111" s="131"/>
      <c r="H111" s="131"/>
      <c r="R111"/>
      <c r="S111">
        <v>1600000</v>
      </c>
      <c r="T111">
        <v>700000</v>
      </c>
      <c r="U111">
        <v>600000</v>
      </c>
      <c r="V111"/>
    </row>
    <row r="112" spans="1:22" s="30" customFormat="1" hidden="1" x14ac:dyDescent="0.25">
      <c r="A112" s="134" t="s">
        <v>93</v>
      </c>
      <c r="B112" s="134"/>
      <c r="C112" s="134"/>
      <c r="D112" s="134"/>
      <c r="E112" s="134"/>
      <c r="F112" s="131"/>
      <c r="G112" s="131"/>
      <c r="H112" s="131"/>
      <c r="R112"/>
      <c r="S112">
        <v>1700000</v>
      </c>
      <c r="T112">
        <v>800000</v>
      </c>
      <c r="U112"/>
      <c r="V112" s="20"/>
    </row>
    <row r="113" spans="1:22" x14ac:dyDescent="0.25">
      <c r="A113" s="134" t="s">
        <v>49</v>
      </c>
      <c r="B113" s="134"/>
      <c r="C113" s="134"/>
      <c r="D113" s="134"/>
      <c r="E113" s="134"/>
      <c r="F113" s="131">
        <v>500000</v>
      </c>
      <c r="G113" s="131"/>
      <c r="H113" s="131"/>
      <c r="R113"/>
      <c r="S113">
        <v>1800000</v>
      </c>
      <c r="T113">
        <v>900000</v>
      </c>
      <c r="U113"/>
    </row>
    <row r="114" spans="1:22" s="31" customFormat="1" x14ac:dyDescent="0.25">
      <c r="A114" s="194" t="s">
        <v>50</v>
      </c>
      <c r="B114" s="194"/>
      <c r="C114" s="194"/>
      <c r="D114" s="194"/>
      <c r="E114" s="194"/>
      <c r="F114" s="131">
        <f>F105*0.8</f>
        <v>10800</v>
      </c>
      <c r="G114" s="131"/>
      <c r="H114" s="131"/>
      <c r="R114" s="18"/>
      <c r="S114" s="18"/>
      <c r="T114">
        <v>1000000</v>
      </c>
      <c r="U114"/>
      <c r="V114" s="18"/>
    </row>
    <row r="115" spans="1:22" s="32" customFormat="1" ht="15.75" customHeight="1" x14ac:dyDescent="0.25">
      <c r="A115" s="193" t="s">
        <v>341</v>
      </c>
      <c r="B115" s="193"/>
      <c r="C115" s="193"/>
      <c r="D115" s="193"/>
      <c r="E115" s="193"/>
      <c r="F115" s="193"/>
      <c r="G115" s="193"/>
      <c r="H115" s="193"/>
      <c r="R115"/>
      <c r="S115" s="18"/>
      <c r="T115"/>
      <c r="U115"/>
      <c r="V115" s="18"/>
    </row>
    <row r="116" spans="1:22" s="32" customFormat="1" ht="15.75" customHeight="1" x14ac:dyDescent="0.25">
      <c r="A116" s="133" t="s">
        <v>51</v>
      </c>
      <c r="B116" s="133"/>
      <c r="C116" s="139" t="s">
        <v>73</v>
      </c>
      <c r="D116" s="139"/>
      <c r="E116" s="138" t="s">
        <v>52</v>
      </c>
      <c r="F116" s="138"/>
      <c r="G116" s="133" t="s">
        <v>53</v>
      </c>
      <c r="H116" s="133"/>
      <c r="R116"/>
      <c r="S116" s="18"/>
      <c r="T116"/>
      <c r="U116" s="18"/>
      <c r="V116" s="18"/>
    </row>
    <row r="117" spans="1:22" s="32" customFormat="1" ht="33.75" customHeight="1" x14ac:dyDescent="0.25">
      <c r="A117" s="196" t="s">
        <v>328</v>
      </c>
      <c r="B117" s="196"/>
      <c r="C117" s="173">
        <f>COUNT(F183:F230)*2+COUNT(F232:F279,F281:F287,F296:F329)+COUNT(F331:F379)*3</f>
        <v>332</v>
      </c>
      <c r="D117" s="174"/>
      <c r="E117" s="173">
        <f>SUM(F183:F230)*2+SUM(F232:F279,F281:F287,F296:F329)+SUM(F331:F379)*3</f>
        <v>110745.32573519988</v>
      </c>
      <c r="F117" s="174"/>
      <c r="G117" s="173">
        <f>SUM(H183:H230)*2+SUM(H232:H279,H281:H287,H296:H329)+SUM(H331:H379)*3</f>
        <v>166117.98860279989</v>
      </c>
      <c r="H117" s="174"/>
      <c r="R117"/>
      <c r="S117" s="18"/>
      <c r="T117"/>
      <c r="U117" s="18"/>
      <c r="V117" s="18"/>
    </row>
    <row r="118" spans="1:22" s="32" customFormat="1" x14ac:dyDescent="0.25">
      <c r="A118" s="193" t="s">
        <v>149</v>
      </c>
      <c r="B118" s="193"/>
      <c r="C118" s="247">
        <f t="shared" ref="C118:G118" si="0">SUM(C117)</f>
        <v>332</v>
      </c>
      <c r="D118" s="139"/>
      <c r="E118" s="248">
        <f t="shared" si="0"/>
        <v>110745.32573519988</v>
      </c>
      <c r="F118" s="138"/>
      <c r="G118" s="133">
        <f t="shared" si="0"/>
        <v>166117.98860279989</v>
      </c>
      <c r="H118" s="133"/>
      <c r="R118"/>
      <c r="S118" s="18"/>
      <c r="T118"/>
      <c r="U118" s="18"/>
      <c r="V118" s="18"/>
    </row>
    <row r="119" spans="1:22" s="32" customFormat="1" hidden="1" x14ac:dyDescent="0.25">
      <c r="A119" s="193" t="s">
        <v>66</v>
      </c>
      <c r="B119" s="193"/>
      <c r="C119" s="193"/>
      <c r="D119" s="193"/>
      <c r="E119" s="193"/>
      <c r="F119" s="193"/>
      <c r="G119" s="193"/>
      <c r="H119" s="193"/>
      <c r="T119"/>
    </row>
    <row r="120" spans="1:22" s="32" customFormat="1" ht="15.75" hidden="1" customHeight="1" x14ac:dyDescent="0.25">
      <c r="A120" s="133" t="s">
        <v>51</v>
      </c>
      <c r="B120" s="133"/>
      <c r="C120" s="139" t="s">
        <v>73</v>
      </c>
      <c r="D120" s="139"/>
      <c r="E120" s="138" t="s">
        <v>52</v>
      </c>
      <c r="F120" s="138"/>
      <c r="G120" s="133" t="s">
        <v>53</v>
      </c>
      <c r="H120" s="133"/>
      <c r="T120"/>
    </row>
    <row r="121" spans="1:22" s="32" customFormat="1" hidden="1" x14ac:dyDescent="0.25">
      <c r="A121" s="196"/>
      <c r="B121" s="196"/>
      <c r="C121" s="174"/>
      <c r="D121" s="174"/>
      <c r="E121" s="217"/>
      <c r="F121" s="217"/>
      <c r="G121" s="218"/>
      <c r="H121" s="218"/>
      <c r="T121"/>
    </row>
    <row r="122" spans="1:22" s="32" customFormat="1" hidden="1" x14ac:dyDescent="0.25">
      <c r="A122" s="196"/>
      <c r="B122" s="196"/>
      <c r="C122" s="174"/>
      <c r="D122" s="174"/>
      <c r="E122" s="217"/>
      <c r="F122" s="217"/>
      <c r="G122" s="218"/>
      <c r="H122" s="218"/>
      <c r="T122"/>
    </row>
    <row r="123" spans="1:22" s="32" customFormat="1" ht="16.5" hidden="1" thickBot="1" x14ac:dyDescent="0.3">
      <c r="A123" s="244" t="s">
        <v>149</v>
      </c>
      <c r="B123" s="244"/>
      <c r="C123" s="175"/>
      <c r="D123" s="175"/>
      <c r="E123" s="245"/>
      <c r="F123" s="245"/>
      <c r="G123" s="246"/>
      <c r="H123" s="246"/>
      <c r="T123"/>
    </row>
    <row r="124" spans="1:22" s="32" customFormat="1" ht="16.5" hidden="1" thickBot="1" x14ac:dyDescent="0.3">
      <c r="A124" s="179" t="s">
        <v>163</v>
      </c>
      <c r="B124" s="180"/>
      <c r="C124" s="181">
        <f>C118+C123</f>
        <v>332</v>
      </c>
      <c r="D124" s="181"/>
      <c r="E124" s="182">
        <f>E118+E123</f>
        <v>110745.32573519988</v>
      </c>
      <c r="F124" s="182"/>
      <c r="G124" s="227">
        <f>G118+G123</f>
        <v>166117.98860279989</v>
      </c>
      <c r="H124" s="228"/>
      <c r="T124"/>
    </row>
    <row r="125" spans="1:22" s="31" customFormat="1" x14ac:dyDescent="0.25">
      <c r="A125" s="187" t="s">
        <v>300</v>
      </c>
      <c r="B125" s="187"/>
      <c r="C125" s="187"/>
      <c r="D125" s="187"/>
      <c r="E125" s="187"/>
      <c r="F125" s="187"/>
      <c r="G125" s="187"/>
      <c r="H125" s="187"/>
      <c r="T125" s="32"/>
    </row>
    <row r="126" spans="1:22" x14ac:dyDescent="0.25">
      <c r="A126" s="132" t="s">
        <v>330</v>
      </c>
      <c r="B126" s="132"/>
      <c r="C126" s="132"/>
      <c r="D126" s="132"/>
      <c r="E126" s="132"/>
      <c r="F126" s="132"/>
      <c r="G126" s="132"/>
      <c r="H126" s="132"/>
      <c r="T126" s="32"/>
    </row>
    <row r="127" spans="1:22" ht="47.25" customHeight="1" x14ac:dyDescent="0.25">
      <c r="A127" s="171" t="s">
        <v>115</v>
      </c>
      <c r="B127" s="171" t="s">
        <v>171</v>
      </c>
      <c r="C127" s="171" t="s">
        <v>54</v>
      </c>
      <c r="D127" s="236" t="s">
        <v>228</v>
      </c>
      <c r="E127" s="219" t="s">
        <v>155</v>
      </c>
      <c r="F127" s="171" t="s">
        <v>55</v>
      </c>
      <c r="G127" s="219" t="s">
        <v>56</v>
      </c>
      <c r="H127" s="68" t="s">
        <v>147</v>
      </c>
      <c r="T127" s="32"/>
    </row>
    <row r="128" spans="1:22" s="34" customFormat="1" x14ac:dyDescent="0.25">
      <c r="A128" s="172"/>
      <c r="B128" s="172"/>
      <c r="C128" s="172"/>
      <c r="D128" s="237"/>
      <c r="E128" s="220"/>
      <c r="F128" s="172"/>
      <c r="G128" s="220"/>
      <c r="H128" s="69">
        <v>0.5</v>
      </c>
      <c r="I128" s="70">
        <v>10.763999999999999</v>
      </c>
      <c r="T128" s="32"/>
    </row>
    <row r="129" spans="1:20" s="34" customFormat="1" x14ac:dyDescent="0.25">
      <c r="A129" s="146" t="s">
        <v>327</v>
      </c>
      <c r="B129" s="147"/>
      <c r="C129" s="147"/>
      <c r="D129" s="147"/>
      <c r="E129" s="147"/>
      <c r="F129" s="147"/>
      <c r="G129" s="147"/>
      <c r="H129" s="148"/>
      <c r="J129" s="33"/>
      <c r="T129" s="32"/>
    </row>
    <row r="130" spans="1:20" s="34" customFormat="1" ht="15.75" customHeight="1" x14ac:dyDescent="0.25">
      <c r="A130" s="146" t="s">
        <v>328</v>
      </c>
      <c r="B130" s="147"/>
      <c r="C130" s="147"/>
      <c r="D130" s="147"/>
      <c r="E130" s="147"/>
      <c r="F130" s="147"/>
      <c r="G130" s="147"/>
      <c r="H130" s="148"/>
      <c r="I130" s="33"/>
      <c r="L130" s="116"/>
      <c r="M130" s="116"/>
      <c r="N130" s="33"/>
      <c r="T130" s="32"/>
    </row>
    <row r="131" spans="1:20" s="34" customFormat="1" ht="15.75" customHeight="1" x14ac:dyDescent="0.25">
      <c r="A131" s="146" t="s">
        <v>356</v>
      </c>
      <c r="B131" s="147"/>
      <c r="C131" s="147"/>
      <c r="D131" s="147"/>
      <c r="E131" s="147"/>
      <c r="F131" s="147"/>
      <c r="G131" s="147"/>
      <c r="H131" s="148"/>
      <c r="I131" s="33"/>
      <c r="L131" s="116"/>
      <c r="M131" s="116"/>
      <c r="N131" s="33"/>
      <c r="T131" s="31"/>
    </row>
    <row r="132" spans="1:20" s="79" customFormat="1" ht="15.75" hidden="1" customHeight="1" x14ac:dyDescent="0.25">
      <c r="A132" s="249">
        <v>1</v>
      </c>
      <c r="B132" s="250"/>
      <c r="C132" s="251" t="s">
        <v>357</v>
      </c>
      <c r="D132" s="252"/>
      <c r="E132" s="252"/>
      <c r="F132" s="252"/>
      <c r="G132" s="252"/>
      <c r="H132" s="253"/>
      <c r="I132" s="33"/>
      <c r="L132" s="116"/>
      <c r="M132" s="116"/>
      <c r="N132" s="33"/>
      <c r="T132" s="18"/>
    </row>
    <row r="133" spans="1:20" s="79" customFormat="1" ht="15.75" hidden="1" customHeight="1" x14ac:dyDescent="0.25">
      <c r="A133" s="249">
        <v>2</v>
      </c>
      <c r="B133" s="250"/>
      <c r="C133" s="254"/>
      <c r="D133" s="255"/>
      <c r="E133" s="255"/>
      <c r="F133" s="255"/>
      <c r="G133" s="255"/>
      <c r="H133" s="256"/>
      <c r="I133" s="33"/>
      <c r="L133" s="116"/>
      <c r="M133" s="116"/>
      <c r="N133" s="33"/>
      <c r="T133" s="18"/>
    </row>
    <row r="134" spans="1:20" s="79" customFormat="1" ht="15.75" hidden="1" customHeight="1" x14ac:dyDescent="0.25">
      <c r="A134" s="249">
        <v>3</v>
      </c>
      <c r="B134" s="250"/>
      <c r="C134" s="80" t="s">
        <v>340</v>
      </c>
      <c r="D134" s="81">
        <f>(4.49*5.31+2.74*1.6+1.65*1.5+2.24*0.75+0.6*0.3)*10.764</f>
        <v>350.48552759999995</v>
      </c>
      <c r="E134" s="80">
        <v>0</v>
      </c>
      <c r="F134" s="80">
        <f>D134+(IF(E134&lt;201,E134,IF(E134&lt;301,E134/2,E134/3)))</f>
        <v>350.48552759999995</v>
      </c>
      <c r="G134" s="82">
        <v>0</v>
      </c>
      <c r="H134" s="80">
        <f>(F134+(IF(G134&lt;101,G134,IF(G134&lt;201,G134/2,IF(G134&lt;=301,G134/3,G134/4)))))*(($H$128)+1)</f>
        <v>525.72829139999999</v>
      </c>
      <c r="I134" s="33"/>
      <c r="L134" s="116"/>
      <c r="M134" s="116"/>
      <c r="N134" s="33"/>
      <c r="T134" s="18"/>
    </row>
    <row r="135" spans="1:20" s="79" customFormat="1" hidden="1" x14ac:dyDescent="0.25">
      <c r="A135" s="249">
        <f>A134+1</f>
        <v>4</v>
      </c>
      <c r="B135" s="250"/>
      <c r="C135" s="80" t="s">
        <v>340</v>
      </c>
      <c r="D135" s="81">
        <f>(3.35*6.06+1.77*1.6+1.4*1.05+0.65*0.45)*10.764</f>
        <v>267.97516199999995</v>
      </c>
      <c r="E135" s="80">
        <v>0</v>
      </c>
      <c r="F135" s="80">
        <f t="shared" ref="F135:F137" si="1">D135+(IF(E135&lt;201,E135,IF(E135&lt;301,E135/2,E135/3)))</f>
        <v>267.97516199999995</v>
      </c>
      <c r="G135" s="80">
        <v>0</v>
      </c>
      <c r="H135" s="80">
        <f t="shared" ref="H135:H137" si="2">(F135+(IF(G135&lt;101,G135,IF(G135&lt;201,G135/2,IF(G135&lt;=301,G135/3,G135/4)))))*(($H$128)+1)</f>
        <v>401.96274299999993</v>
      </c>
      <c r="I135" s="33"/>
      <c r="N135" s="33"/>
    </row>
    <row r="136" spans="1:20" hidden="1" x14ac:dyDescent="0.25">
      <c r="A136" s="249">
        <f>A135+1</f>
        <v>5</v>
      </c>
      <c r="B136" s="250"/>
      <c r="C136" s="80" t="s">
        <v>340</v>
      </c>
      <c r="D136" s="81">
        <f>(3.35*6.06+1.77*1.6+1.4*1.05+0.65*0.45)*10.764</f>
        <v>267.97516199999995</v>
      </c>
      <c r="E136" s="80">
        <v>0</v>
      </c>
      <c r="F136" s="80">
        <f t="shared" si="1"/>
        <v>267.97516199999995</v>
      </c>
      <c r="G136" s="80">
        <v>0</v>
      </c>
      <c r="H136" s="80">
        <f t="shared" si="2"/>
        <v>401.96274299999993</v>
      </c>
      <c r="I136" s="33"/>
      <c r="T136" s="79"/>
    </row>
    <row r="137" spans="1:20" s="79" customFormat="1" hidden="1" x14ac:dyDescent="0.25">
      <c r="A137" s="249">
        <f>A136+1</f>
        <v>6</v>
      </c>
      <c r="B137" s="250"/>
      <c r="C137" s="80" t="s">
        <v>340</v>
      </c>
      <c r="D137" s="81">
        <f>(3.35*6.06+1.77*1.6+1.4*1.05+0.65*0.45)*10.764</f>
        <v>267.97516199999995</v>
      </c>
      <c r="E137" s="80">
        <v>0</v>
      </c>
      <c r="F137" s="80">
        <f t="shared" si="1"/>
        <v>267.97516199999995</v>
      </c>
      <c r="G137" s="80">
        <v>0</v>
      </c>
      <c r="H137" s="80">
        <f t="shared" si="2"/>
        <v>401.96274299999993</v>
      </c>
      <c r="I137" s="33"/>
    </row>
    <row r="138" spans="1:20" s="79" customFormat="1" hidden="1" x14ac:dyDescent="0.25">
      <c r="A138" s="249">
        <v>7</v>
      </c>
      <c r="B138" s="250"/>
      <c r="C138" s="80" t="s">
        <v>340</v>
      </c>
      <c r="D138" s="81">
        <f>(3.35*6.06+1.77*1.6+1.4*1.05+0.65*0.45)*10.764</f>
        <v>267.97516199999995</v>
      </c>
      <c r="E138" s="80">
        <v>0</v>
      </c>
      <c r="F138" s="80">
        <f>D138+(IF(E138&lt;201,E138,IF(E138&lt;301,E138/2,E138/3)))</f>
        <v>267.97516199999995</v>
      </c>
      <c r="G138" s="82">
        <v>0</v>
      </c>
      <c r="H138" s="80">
        <f>(F138+(IF(G138&lt;101,G138,IF(G138&lt;201,G138/2,IF(G138&lt;=301,G138/3,G138/4)))))*(($H$128)+1)</f>
        <v>401.96274299999993</v>
      </c>
      <c r="J138" s="33"/>
    </row>
    <row r="139" spans="1:20" s="79" customFormat="1" ht="15.75" hidden="1" customHeight="1" x14ac:dyDescent="0.25">
      <c r="A139" s="249">
        <f>A138+1</f>
        <v>8</v>
      </c>
      <c r="B139" s="250"/>
      <c r="C139" s="80" t="s">
        <v>340</v>
      </c>
      <c r="D139" s="81">
        <f>(3.35*5.31+1.77*1.6+1.2*0.9+1.48*1.5+0.6*0.3)*10.764</f>
        <v>259.41778199999993</v>
      </c>
      <c r="E139" s="80">
        <v>0</v>
      </c>
      <c r="F139" s="80">
        <f t="shared" ref="F139:F141" si="3">D139+(IF(E139&lt;201,E139,IF(E139&lt;301,E139/2,E139/3)))</f>
        <v>259.41778199999993</v>
      </c>
      <c r="G139" s="80">
        <v>0</v>
      </c>
      <c r="H139" s="80">
        <f t="shared" ref="H139:H141" si="4">(F139+(IF(G139&lt;101,G139,IF(G139&lt;201,G139/2,IF(G139&lt;=301,G139/3,G139/4)))))*(($H$128)+1)</f>
        <v>389.12667299999987</v>
      </c>
      <c r="I139" s="33"/>
      <c r="L139" s="116"/>
      <c r="M139" s="116"/>
      <c r="N139" s="33"/>
    </row>
    <row r="140" spans="1:20" s="79" customFormat="1" ht="15.75" hidden="1" customHeight="1" x14ac:dyDescent="0.25">
      <c r="A140" s="249">
        <f>A139+1</f>
        <v>9</v>
      </c>
      <c r="B140" s="250"/>
      <c r="C140" s="80" t="s">
        <v>340</v>
      </c>
      <c r="D140" s="81">
        <f>(3.35*5.31+1.77*1.6+1.2*0.9+1.48*1.5+0.6*0.3)*10.764</f>
        <v>259.41778199999993</v>
      </c>
      <c r="E140" s="80">
        <v>0</v>
      </c>
      <c r="F140" s="80">
        <f t="shared" si="3"/>
        <v>259.41778199999993</v>
      </c>
      <c r="G140" s="80">
        <v>0</v>
      </c>
      <c r="H140" s="80">
        <f t="shared" si="4"/>
        <v>389.12667299999987</v>
      </c>
      <c r="I140" s="33"/>
      <c r="L140" s="116"/>
      <c r="M140" s="116"/>
      <c r="N140" s="33"/>
    </row>
    <row r="141" spans="1:20" s="79" customFormat="1" ht="15.75" hidden="1" customHeight="1" x14ac:dyDescent="0.25">
      <c r="A141" s="249">
        <f>A140+1</f>
        <v>10</v>
      </c>
      <c r="B141" s="250"/>
      <c r="C141" s="80" t="s">
        <v>340</v>
      </c>
      <c r="D141" s="81">
        <f t="shared" ref="D141:D150" si="5">(3.35*6.06+1.77*1.6+1.4*1.05+0.65*0.45)*10.764</f>
        <v>267.97516199999995</v>
      </c>
      <c r="E141" s="80">
        <v>0</v>
      </c>
      <c r="F141" s="80">
        <f t="shared" si="3"/>
        <v>267.97516199999995</v>
      </c>
      <c r="G141" s="80">
        <v>0</v>
      </c>
      <c r="H141" s="80">
        <f t="shared" si="4"/>
        <v>401.96274299999993</v>
      </c>
      <c r="I141" s="33"/>
      <c r="L141" s="116"/>
      <c r="M141" s="116"/>
      <c r="N141" s="33"/>
    </row>
    <row r="142" spans="1:20" s="79" customFormat="1" ht="15.75" hidden="1" customHeight="1" x14ac:dyDescent="0.25">
      <c r="A142" s="249">
        <v>11</v>
      </c>
      <c r="B142" s="250"/>
      <c r="C142" s="80" t="s">
        <v>340</v>
      </c>
      <c r="D142" s="81">
        <f t="shared" si="5"/>
        <v>267.97516199999995</v>
      </c>
      <c r="E142" s="80">
        <v>0</v>
      </c>
      <c r="F142" s="80">
        <f>D142+(IF(E142&lt;201,E142,IF(E142&lt;301,E142/2,E142/3)))</f>
        <v>267.97516199999995</v>
      </c>
      <c r="G142" s="82">
        <v>0</v>
      </c>
      <c r="H142" s="80">
        <f>(F142+(IF(G142&lt;101,G142,IF(G142&lt;201,G142/2,IF(G142&lt;=301,G142/3,G142/4)))))*(($H$128)+1)</f>
        <v>401.96274299999993</v>
      </c>
      <c r="I142" s="33"/>
      <c r="L142" s="116"/>
      <c r="M142" s="116"/>
      <c r="N142" s="33"/>
      <c r="T142" s="18"/>
    </row>
    <row r="143" spans="1:20" s="79" customFormat="1" hidden="1" x14ac:dyDescent="0.25">
      <c r="A143" s="249">
        <f>A142+1</f>
        <v>12</v>
      </c>
      <c r="B143" s="250"/>
      <c r="C143" s="80" t="s">
        <v>340</v>
      </c>
      <c r="D143" s="81">
        <f t="shared" si="5"/>
        <v>267.97516199999995</v>
      </c>
      <c r="E143" s="80">
        <v>0</v>
      </c>
      <c r="F143" s="80">
        <f t="shared" ref="F143:F144" si="6">D143+(IF(E143&lt;201,E143,IF(E143&lt;301,E143/2,E143/3)))</f>
        <v>267.97516199999995</v>
      </c>
      <c r="G143" s="80">
        <v>0</v>
      </c>
      <c r="H143" s="80">
        <f t="shared" ref="H143:H144" si="7">(F143+(IF(G143&lt;101,G143,IF(G143&lt;201,G143/2,IF(G143&lt;=301,G143/3,G143/4)))))*(($H$128)+1)</f>
        <v>401.96274299999993</v>
      </c>
      <c r="I143" s="33"/>
      <c r="L143" s="116"/>
      <c r="M143" s="116"/>
    </row>
    <row r="144" spans="1:20" s="79" customFormat="1" hidden="1" x14ac:dyDescent="0.25">
      <c r="A144" s="249">
        <v>14</v>
      </c>
      <c r="B144" s="250"/>
      <c r="C144" s="80" t="s">
        <v>340</v>
      </c>
      <c r="D144" s="81">
        <f t="shared" si="5"/>
        <v>267.97516199999995</v>
      </c>
      <c r="E144" s="80">
        <v>0</v>
      </c>
      <c r="F144" s="80">
        <f t="shared" si="6"/>
        <v>267.97516199999995</v>
      </c>
      <c r="G144" s="80">
        <v>0</v>
      </c>
      <c r="H144" s="80">
        <f t="shared" si="7"/>
        <v>401.96274299999993</v>
      </c>
      <c r="I144" s="33"/>
      <c r="N144" s="33"/>
    </row>
    <row r="145" spans="1:14" s="79" customFormat="1" hidden="1" x14ac:dyDescent="0.25">
      <c r="A145" s="249">
        <v>15</v>
      </c>
      <c r="B145" s="250"/>
      <c r="C145" s="80" t="s">
        <v>340</v>
      </c>
      <c r="D145" s="81">
        <f t="shared" si="5"/>
        <v>267.97516199999995</v>
      </c>
      <c r="E145" s="80">
        <v>0</v>
      </c>
      <c r="F145" s="80">
        <f>D145+(IF(E145&lt;201,E145,IF(E145&lt;301,E145/2,E145/3)))</f>
        <v>267.97516199999995</v>
      </c>
      <c r="G145" s="82">
        <v>0</v>
      </c>
      <c r="H145" s="80">
        <f>(F145+(IF(G145&lt;101,G145,IF(G145&lt;201,G145/2,IF(G145&lt;=301,G145/3,G145/4)))))*(($H$128)+1)</f>
        <v>401.96274299999993</v>
      </c>
      <c r="I145" s="33"/>
      <c r="N145" s="33"/>
    </row>
    <row r="146" spans="1:14" s="79" customFormat="1" hidden="1" x14ac:dyDescent="0.25">
      <c r="A146" s="249">
        <f>A145+1</f>
        <v>16</v>
      </c>
      <c r="B146" s="250"/>
      <c r="C146" s="80" t="s">
        <v>340</v>
      </c>
      <c r="D146" s="81">
        <f t="shared" si="5"/>
        <v>267.97516199999995</v>
      </c>
      <c r="E146" s="80">
        <v>0</v>
      </c>
      <c r="F146" s="80">
        <f t="shared" ref="F146:F150" si="8">D146+(IF(E146&lt;201,E146,IF(E146&lt;301,E146/2,E146/3)))</f>
        <v>267.97516199999995</v>
      </c>
      <c r="G146" s="80">
        <v>0</v>
      </c>
      <c r="H146" s="80">
        <f t="shared" ref="H146:H150" si="9">(F146+(IF(G146&lt;101,G146,IF(G146&lt;201,G146/2,IF(G146&lt;=301,G146/3,G146/4)))))*(($H$128)+1)</f>
        <v>401.96274299999993</v>
      </c>
      <c r="I146" s="33"/>
      <c r="N146" s="33"/>
    </row>
    <row r="147" spans="1:14" s="79" customFormat="1" hidden="1" x14ac:dyDescent="0.25">
      <c r="A147" s="249">
        <f>A146+1</f>
        <v>17</v>
      </c>
      <c r="B147" s="250"/>
      <c r="C147" s="80" t="s">
        <v>340</v>
      </c>
      <c r="D147" s="81">
        <f t="shared" si="5"/>
        <v>267.97516199999995</v>
      </c>
      <c r="E147" s="80">
        <v>0</v>
      </c>
      <c r="F147" s="80">
        <f t="shared" si="8"/>
        <v>267.97516199999995</v>
      </c>
      <c r="G147" s="80">
        <v>0</v>
      </c>
      <c r="H147" s="80">
        <f t="shared" si="9"/>
        <v>401.96274299999993</v>
      </c>
      <c r="I147" s="33"/>
      <c r="N147" s="33"/>
    </row>
    <row r="148" spans="1:14" s="79" customFormat="1" ht="15.75" hidden="1" customHeight="1" x14ac:dyDescent="0.25">
      <c r="A148" s="249">
        <f>A147+1</f>
        <v>18</v>
      </c>
      <c r="B148" s="250"/>
      <c r="C148" s="80" t="s">
        <v>340</v>
      </c>
      <c r="D148" s="81">
        <f t="shared" si="5"/>
        <v>267.97516199999995</v>
      </c>
      <c r="E148" s="80">
        <v>0</v>
      </c>
      <c r="F148" s="80">
        <f t="shared" si="8"/>
        <v>267.97516199999995</v>
      </c>
      <c r="G148" s="80">
        <v>0</v>
      </c>
      <c r="H148" s="80">
        <f t="shared" si="9"/>
        <v>401.96274299999993</v>
      </c>
      <c r="I148" s="33"/>
    </row>
    <row r="149" spans="1:14" s="79" customFormat="1" ht="15.75" hidden="1" customHeight="1" x14ac:dyDescent="0.25">
      <c r="A149" s="249">
        <f>A148+1</f>
        <v>19</v>
      </c>
      <c r="B149" s="250"/>
      <c r="C149" s="80" t="s">
        <v>340</v>
      </c>
      <c r="D149" s="81">
        <f t="shared" si="5"/>
        <v>267.97516199999995</v>
      </c>
      <c r="E149" s="80">
        <v>0</v>
      </c>
      <c r="F149" s="80">
        <f t="shared" si="8"/>
        <v>267.97516199999995</v>
      </c>
      <c r="G149" s="80">
        <v>0</v>
      </c>
      <c r="H149" s="80">
        <f t="shared" si="9"/>
        <v>401.96274299999993</v>
      </c>
      <c r="I149" s="33"/>
    </row>
    <row r="150" spans="1:14" s="79" customFormat="1" ht="15.75" hidden="1" customHeight="1" x14ac:dyDescent="0.25">
      <c r="A150" s="249">
        <f>A149+1</f>
        <v>20</v>
      </c>
      <c r="B150" s="250"/>
      <c r="C150" s="80" t="s">
        <v>340</v>
      </c>
      <c r="D150" s="81">
        <f t="shared" si="5"/>
        <v>267.97516199999995</v>
      </c>
      <c r="E150" s="80">
        <v>0</v>
      </c>
      <c r="F150" s="80">
        <f t="shared" si="8"/>
        <v>267.97516199999995</v>
      </c>
      <c r="G150" s="80">
        <v>0</v>
      </c>
      <c r="H150" s="80">
        <f t="shared" si="9"/>
        <v>401.96274299999993</v>
      </c>
      <c r="I150" s="33"/>
    </row>
    <row r="151" spans="1:14" s="79" customFormat="1" ht="15.75" hidden="1" customHeight="1" x14ac:dyDescent="0.25">
      <c r="A151" s="249">
        <v>21</v>
      </c>
      <c r="B151" s="250"/>
      <c r="C151" s="80" t="s">
        <v>340</v>
      </c>
      <c r="D151" s="81">
        <f>(3.35*6.06+1.85*1.6+1.4*1.05+0.65*0.45)*10.764</f>
        <v>269.35295399999995</v>
      </c>
      <c r="E151" s="80">
        <v>0</v>
      </c>
      <c r="F151" s="80">
        <f>D151+(IF(E151&lt;201,E151,IF(E151&lt;301,E151/2,E151/3)))</f>
        <v>269.35295399999995</v>
      </c>
      <c r="G151" s="82">
        <v>0</v>
      </c>
      <c r="H151" s="80">
        <f>(F151+(IF(G151&lt;101,G151,IF(G151&lt;201,G151/2,IF(G151&lt;=301,G151/3,G151/4)))))*(($H$128)+1)</f>
        <v>404.02943099999993</v>
      </c>
      <c r="I151" s="33"/>
    </row>
    <row r="152" spans="1:14" s="79" customFormat="1" ht="15.75" hidden="1" customHeight="1" x14ac:dyDescent="0.25">
      <c r="A152" s="249">
        <f t="shared" ref="A152:A158" si="10">A151+1</f>
        <v>22</v>
      </c>
      <c r="B152" s="250"/>
      <c r="C152" s="80" t="s">
        <v>340</v>
      </c>
      <c r="D152" s="81">
        <f>(6.3*4.45+1.9*2.93+1.2*1.4+0.45*0.65)*10.764</f>
        <v>382.92391799999996</v>
      </c>
      <c r="E152" s="80">
        <v>0</v>
      </c>
      <c r="F152" s="80">
        <f t="shared" ref="F152:F158" si="11">D152+(IF(E152&lt;201,E152,IF(E152&lt;301,E152/2,E152/3)))</f>
        <v>382.92391799999996</v>
      </c>
      <c r="G152" s="80">
        <v>0</v>
      </c>
      <c r="H152" s="80">
        <f t="shared" ref="H152:H158" si="12">(F152+(IF(G152&lt;101,G152,IF(G152&lt;201,G152/2,IF(G152&lt;=301,G152/3,G152/4)))))*(($H$128)+1)</f>
        <v>574.38587699999994</v>
      </c>
      <c r="I152" s="33"/>
    </row>
    <row r="153" spans="1:14" s="79" customFormat="1" ht="15.75" hidden="1" customHeight="1" x14ac:dyDescent="0.25">
      <c r="A153" s="249">
        <f t="shared" si="10"/>
        <v>23</v>
      </c>
      <c r="B153" s="250"/>
      <c r="C153" s="80" t="s">
        <v>340</v>
      </c>
      <c r="D153" s="81">
        <f>(6.3*4.45+1.9*2.8+1.2*1.4+0.45*0.65)*10.764</f>
        <v>380.26520999999991</v>
      </c>
      <c r="E153" s="80">
        <v>0</v>
      </c>
      <c r="F153" s="80">
        <f t="shared" si="11"/>
        <v>380.26520999999991</v>
      </c>
      <c r="G153" s="80">
        <v>0</v>
      </c>
      <c r="H153" s="80">
        <f t="shared" si="12"/>
        <v>570.39781499999981</v>
      </c>
      <c r="I153" s="33"/>
    </row>
    <row r="154" spans="1:14" s="79" customFormat="1" hidden="1" x14ac:dyDescent="0.25">
      <c r="A154" s="249">
        <f t="shared" si="10"/>
        <v>24</v>
      </c>
      <c r="B154" s="250"/>
      <c r="C154" s="80" t="s">
        <v>340</v>
      </c>
      <c r="D154" s="81">
        <f>(6.3*4.45+1.9*2.8+1.2*1.4+0.45*0.65)*10.764</f>
        <v>380.26520999999991</v>
      </c>
      <c r="E154" s="80">
        <v>0</v>
      </c>
      <c r="F154" s="80">
        <f t="shared" si="11"/>
        <v>380.26520999999991</v>
      </c>
      <c r="G154" s="80">
        <v>0</v>
      </c>
      <c r="H154" s="80">
        <f t="shared" si="12"/>
        <v>570.39781499999981</v>
      </c>
      <c r="I154" s="33"/>
    </row>
    <row r="155" spans="1:14" s="79" customFormat="1" ht="15.75" hidden="1" customHeight="1" x14ac:dyDescent="0.25">
      <c r="A155" s="249">
        <f t="shared" si="10"/>
        <v>25</v>
      </c>
      <c r="B155" s="250"/>
      <c r="C155" s="80" t="s">
        <v>340</v>
      </c>
      <c r="D155" s="81">
        <f>(6.3*4.45+1.9*2.8+1.2*1.4+0.45*0.65)*10.764</f>
        <v>380.26520999999991</v>
      </c>
      <c r="E155" s="80">
        <v>0</v>
      </c>
      <c r="F155" s="80">
        <f t="shared" si="11"/>
        <v>380.26520999999991</v>
      </c>
      <c r="G155" s="80">
        <v>0</v>
      </c>
      <c r="H155" s="80">
        <f t="shared" si="12"/>
        <v>570.39781499999981</v>
      </c>
      <c r="I155" s="33"/>
    </row>
    <row r="156" spans="1:14" s="79" customFormat="1" ht="15.75" hidden="1" customHeight="1" x14ac:dyDescent="0.25">
      <c r="A156" s="249">
        <f t="shared" si="10"/>
        <v>26</v>
      </c>
      <c r="B156" s="250"/>
      <c r="C156" s="80" t="s">
        <v>340</v>
      </c>
      <c r="D156" s="81">
        <f>(6.3*4.5+1.9*1.35+1.7*1.42+1.15*1.4+0.45*0.65)*10.764</f>
        <v>379.23186599999997</v>
      </c>
      <c r="E156" s="80">
        <v>0</v>
      </c>
      <c r="F156" s="80">
        <f t="shared" si="11"/>
        <v>379.23186599999997</v>
      </c>
      <c r="G156" s="80">
        <v>0</v>
      </c>
      <c r="H156" s="80">
        <f t="shared" si="12"/>
        <v>568.8477989999999</v>
      </c>
      <c r="I156" s="33"/>
    </row>
    <row r="157" spans="1:14" s="79" customFormat="1" ht="15.75" hidden="1" customHeight="1" x14ac:dyDescent="0.25">
      <c r="A157" s="249">
        <f t="shared" si="10"/>
        <v>27</v>
      </c>
      <c r="B157" s="250"/>
      <c r="C157" s="80" t="s">
        <v>340</v>
      </c>
      <c r="D157" s="81">
        <f>(3.35*8.7+1.85*1.75+1.2*1.4+0.45*0.65)*10.764</f>
        <v>369.79721999999992</v>
      </c>
      <c r="E157" s="80">
        <v>0</v>
      </c>
      <c r="F157" s="80">
        <f t="shared" si="11"/>
        <v>369.79721999999992</v>
      </c>
      <c r="G157" s="80">
        <v>0</v>
      </c>
      <c r="H157" s="80">
        <f t="shared" si="12"/>
        <v>554.69582999999989</v>
      </c>
      <c r="I157" s="33"/>
    </row>
    <row r="158" spans="1:14" s="79" customFormat="1" ht="15.75" hidden="1" customHeight="1" x14ac:dyDescent="0.25">
      <c r="A158" s="249">
        <f t="shared" si="10"/>
        <v>28</v>
      </c>
      <c r="B158" s="250"/>
      <c r="C158" s="80" t="s">
        <v>340</v>
      </c>
      <c r="D158" s="81">
        <f t="shared" ref="D158:D166" si="13">(3.35*8.7+1.78*1.75+1.2*1.4+0.45*0.65)*10.764</f>
        <v>368.4786299999999</v>
      </c>
      <c r="E158" s="80">
        <v>0</v>
      </c>
      <c r="F158" s="80">
        <f t="shared" si="11"/>
        <v>368.4786299999999</v>
      </c>
      <c r="G158" s="80">
        <v>0</v>
      </c>
      <c r="H158" s="80">
        <f t="shared" si="12"/>
        <v>552.71794499999987</v>
      </c>
      <c r="I158" s="33"/>
    </row>
    <row r="159" spans="1:14" s="79" customFormat="1" ht="15.75" hidden="1" customHeight="1" x14ac:dyDescent="0.25">
      <c r="A159" s="249">
        <v>29</v>
      </c>
      <c r="B159" s="250"/>
      <c r="C159" s="80" t="s">
        <v>340</v>
      </c>
      <c r="D159" s="81">
        <f t="shared" si="13"/>
        <v>368.4786299999999</v>
      </c>
      <c r="E159" s="80">
        <v>0</v>
      </c>
      <c r="F159" s="80">
        <f>D159+(IF(E159&lt;201,E159,IF(E159&lt;301,E159/2,E159/3)))</f>
        <v>368.4786299999999</v>
      </c>
      <c r="G159" s="82">
        <v>0</v>
      </c>
      <c r="H159" s="80">
        <f>(F159+(IF(G159&lt;101,G159,IF(G159&lt;201,G159/2,IF(G159&lt;=301,G159/3,G159/4)))))*(($H$128)+1)</f>
        <v>552.71794499999987</v>
      </c>
      <c r="I159" s="33"/>
    </row>
    <row r="160" spans="1:14" s="79" customFormat="1" hidden="1" x14ac:dyDescent="0.25">
      <c r="A160" s="249">
        <f t="shared" ref="A160:A166" si="14">A159+1</f>
        <v>30</v>
      </c>
      <c r="B160" s="250"/>
      <c r="C160" s="80" t="s">
        <v>340</v>
      </c>
      <c r="D160" s="81">
        <f t="shared" si="13"/>
        <v>368.4786299999999</v>
      </c>
      <c r="E160" s="80">
        <v>0</v>
      </c>
      <c r="F160" s="80">
        <f t="shared" ref="F160:F166" si="15">D160+(IF(E160&lt;201,E160,IF(E160&lt;301,E160/2,E160/3)))</f>
        <v>368.4786299999999</v>
      </c>
      <c r="G160" s="80">
        <v>0</v>
      </c>
      <c r="H160" s="80">
        <f t="shared" ref="H160:H166" si="16">(F160+(IF(G160&lt;101,G160,IF(G160&lt;201,G160/2,IF(G160&lt;=301,G160/3,G160/4)))))*(($H$128)+1)</f>
        <v>552.71794499999987</v>
      </c>
      <c r="I160" s="33"/>
    </row>
    <row r="161" spans="1:20" s="79" customFormat="1" ht="15.75" hidden="1" customHeight="1" x14ac:dyDescent="0.25">
      <c r="A161" s="249">
        <f t="shared" si="14"/>
        <v>31</v>
      </c>
      <c r="B161" s="250"/>
      <c r="C161" s="80" t="s">
        <v>340</v>
      </c>
      <c r="D161" s="81">
        <f t="shared" si="13"/>
        <v>368.4786299999999</v>
      </c>
      <c r="E161" s="80">
        <v>0</v>
      </c>
      <c r="F161" s="80">
        <f t="shared" si="15"/>
        <v>368.4786299999999</v>
      </c>
      <c r="G161" s="80">
        <v>0</v>
      </c>
      <c r="H161" s="80">
        <f t="shared" si="16"/>
        <v>552.71794499999987</v>
      </c>
      <c r="I161" s="33"/>
    </row>
    <row r="162" spans="1:20" s="79" customFormat="1" ht="15.75" hidden="1" customHeight="1" x14ac:dyDescent="0.25">
      <c r="A162" s="249">
        <f t="shared" si="14"/>
        <v>32</v>
      </c>
      <c r="B162" s="250"/>
      <c r="C162" s="80" t="s">
        <v>340</v>
      </c>
      <c r="D162" s="81">
        <f t="shared" si="13"/>
        <v>368.4786299999999</v>
      </c>
      <c r="E162" s="80">
        <v>0</v>
      </c>
      <c r="F162" s="80">
        <f t="shared" si="15"/>
        <v>368.4786299999999</v>
      </c>
      <c r="G162" s="80">
        <v>0</v>
      </c>
      <c r="H162" s="80">
        <f t="shared" si="16"/>
        <v>552.71794499999987</v>
      </c>
      <c r="I162" s="33"/>
    </row>
    <row r="163" spans="1:20" s="79" customFormat="1" ht="15.75" hidden="1" customHeight="1" x14ac:dyDescent="0.25">
      <c r="A163" s="249">
        <f t="shared" si="14"/>
        <v>33</v>
      </c>
      <c r="B163" s="250"/>
      <c r="C163" s="80" t="s">
        <v>340</v>
      </c>
      <c r="D163" s="81">
        <f t="shared" si="13"/>
        <v>368.4786299999999</v>
      </c>
      <c r="E163" s="80">
        <v>0</v>
      </c>
      <c r="F163" s="80">
        <f t="shared" si="15"/>
        <v>368.4786299999999</v>
      </c>
      <c r="G163" s="80">
        <v>0</v>
      </c>
      <c r="H163" s="80">
        <f t="shared" si="16"/>
        <v>552.71794499999987</v>
      </c>
      <c r="I163" s="33"/>
    </row>
    <row r="164" spans="1:20" s="79" customFormat="1" ht="15.75" hidden="1" customHeight="1" x14ac:dyDescent="0.25">
      <c r="A164" s="249">
        <f t="shared" si="14"/>
        <v>34</v>
      </c>
      <c r="B164" s="250"/>
      <c r="C164" s="80" t="s">
        <v>340</v>
      </c>
      <c r="D164" s="81">
        <f t="shared" si="13"/>
        <v>368.4786299999999</v>
      </c>
      <c r="E164" s="80">
        <v>0</v>
      </c>
      <c r="F164" s="80">
        <f t="shared" si="15"/>
        <v>368.4786299999999</v>
      </c>
      <c r="G164" s="80">
        <v>0</v>
      </c>
      <c r="H164" s="80">
        <f t="shared" si="16"/>
        <v>552.71794499999987</v>
      </c>
      <c r="I164" s="33"/>
    </row>
    <row r="165" spans="1:20" s="79" customFormat="1" ht="15.75" hidden="1" customHeight="1" x14ac:dyDescent="0.25">
      <c r="A165" s="249">
        <f t="shared" si="14"/>
        <v>35</v>
      </c>
      <c r="B165" s="250"/>
      <c r="C165" s="80" t="s">
        <v>340</v>
      </c>
      <c r="D165" s="81">
        <f t="shared" si="13"/>
        <v>368.4786299999999</v>
      </c>
      <c r="E165" s="80">
        <v>0</v>
      </c>
      <c r="F165" s="80">
        <f t="shared" si="15"/>
        <v>368.4786299999999</v>
      </c>
      <c r="G165" s="80">
        <v>0</v>
      </c>
      <c r="H165" s="80">
        <f t="shared" si="16"/>
        <v>552.71794499999987</v>
      </c>
      <c r="I165" s="33"/>
    </row>
    <row r="166" spans="1:20" s="32" customFormat="1" hidden="1" x14ac:dyDescent="0.25">
      <c r="A166" s="249">
        <f t="shared" si="14"/>
        <v>36</v>
      </c>
      <c r="B166" s="250"/>
      <c r="C166" s="80" t="s">
        <v>340</v>
      </c>
      <c r="D166" s="81">
        <f t="shared" si="13"/>
        <v>368.4786299999999</v>
      </c>
      <c r="E166" s="80">
        <v>0</v>
      </c>
      <c r="F166" s="80">
        <f t="shared" si="15"/>
        <v>368.4786299999999</v>
      </c>
      <c r="G166" s="80">
        <v>0</v>
      </c>
      <c r="H166" s="80">
        <f t="shared" si="16"/>
        <v>552.71794499999987</v>
      </c>
      <c r="T166" s="79"/>
    </row>
    <row r="167" spans="1:20" s="32" customFormat="1" hidden="1" x14ac:dyDescent="0.25">
      <c r="A167" s="249">
        <v>37</v>
      </c>
      <c r="B167" s="250"/>
      <c r="C167" s="80" t="s">
        <v>340</v>
      </c>
      <c r="D167" s="81">
        <f t="shared" ref="D167:D177" si="17">(3.35*8.7+1.7*1.75+1.2*1.4+0.45*0.65)*10.764</f>
        <v>366.9716699999999</v>
      </c>
      <c r="E167" s="80">
        <v>0</v>
      </c>
      <c r="F167" s="80">
        <f>D167+(IF(E167&lt;201,E167,IF(E167&lt;301,E167/2,E167/3)))</f>
        <v>366.9716699999999</v>
      </c>
      <c r="G167" s="82">
        <v>0</v>
      </c>
      <c r="H167" s="80">
        <f>(F167+(IF(G167&lt;101,G167,IF(G167&lt;201,G167/2,IF(G167&lt;=301,G167/3,G167/4)))))*(($H$128)+1)</f>
        <v>550.45750499999986</v>
      </c>
      <c r="T167" s="79"/>
    </row>
    <row r="168" spans="1:20" s="32" customFormat="1" hidden="1" x14ac:dyDescent="0.25">
      <c r="A168" s="249">
        <f>A167+1</f>
        <v>38</v>
      </c>
      <c r="B168" s="250"/>
      <c r="C168" s="80" t="s">
        <v>340</v>
      </c>
      <c r="D168" s="81">
        <f t="shared" si="17"/>
        <v>366.9716699999999</v>
      </c>
      <c r="E168" s="80">
        <v>0</v>
      </c>
      <c r="F168" s="80">
        <f t="shared" ref="F168:F170" si="18">D168+(IF(E168&lt;201,E168,IF(E168&lt;301,E168/2,E168/3)))</f>
        <v>366.9716699999999</v>
      </c>
      <c r="G168" s="80">
        <v>0</v>
      </c>
      <c r="H168" s="80">
        <f t="shared" ref="H168:H170" si="19">(F168+(IF(G168&lt;101,G168,IF(G168&lt;201,G168/2,IF(G168&lt;=301,G168/3,G168/4)))))*(($H$128)+1)</f>
        <v>550.45750499999986</v>
      </c>
      <c r="T168" s="79"/>
    </row>
    <row r="169" spans="1:20" s="32" customFormat="1" hidden="1" x14ac:dyDescent="0.25">
      <c r="A169" s="249">
        <f>A168+1</f>
        <v>39</v>
      </c>
      <c r="B169" s="250"/>
      <c r="C169" s="80" t="s">
        <v>340</v>
      </c>
      <c r="D169" s="81">
        <f t="shared" si="17"/>
        <v>366.9716699999999</v>
      </c>
      <c r="E169" s="80">
        <v>0</v>
      </c>
      <c r="F169" s="80">
        <f t="shared" si="18"/>
        <v>366.9716699999999</v>
      </c>
      <c r="G169" s="80">
        <v>0</v>
      </c>
      <c r="H169" s="80">
        <f t="shared" si="19"/>
        <v>550.45750499999986</v>
      </c>
      <c r="T169" s="79"/>
    </row>
    <row r="170" spans="1:20" s="32" customFormat="1" hidden="1" x14ac:dyDescent="0.25">
      <c r="A170" s="249">
        <f>A169+1</f>
        <v>40</v>
      </c>
      <c r="B170" s="250"/>
      <c r="C170" s="80" t="s">
        <v>340</v>
      </c>
      <c r="D170" s="81">
        <f t="shared" si="17"/>
        <v>366.9716699999999</v>
      </c>
      <c r="E170" s="80">
        <v>0</v>
      </c>
      <c r="F170" s="80">
        <f t="shared" si="18"/>
        <v>366.9716699999999</v>
      </c>
      <c r="G170" s="80">
        <v>0</v>
      </c>
      <c r="H170" s="80">
        <f t="shared" si="19"/>
        <v>550.45750499999986</v>
      </c>
      <c r="T170" s="79"/>
    </row>
    <row r="171" spans="1:20" s="32" customFormat="1" hidden="1" x14ac:dyDescent="0.25">
      <c r="A171" s="249">
        <v>41</v>
      </c>
      <c r="B171" s="250"/>
      <c r="C171" s="80" t="s">
        <v>340</v>
      </c>
      <c r="D171" s="81">
        <f t="shared" si="17"/>
        <v>366.9716699999999</v>
      </c>
      <c r="E171" s="80">
        <v>0</v>
      </c>
      <c r="F171" s="80">
        <f>D171+(IF(E171&lt;201,E171,IF(E171&lt;301,E171/2,E171/3)))</f>
        <v>366.9716699999999</v>
      </c>
      <c r="G171" s="82">
        <v>0</v>
      </c>
      <c r="H171" s="80">
        <f>(F171+(IF(G171&lt;101,G171,IF(G171&lt;201,G171/2,IF(G171&lt;=301,G171/3,G171/4)))))*(($H$128)+1)</f>
        <v>550.45750499999986</v>
      </c>
      <c r="T171" s="79"/>
    </row>
    <row r="172" spans="1:20" s="32" customFormat="1" hidden="1" x14ac:dyDescent="0.25">
      <c r="A172" s="249">
        <f t="shared" ref="A172:A178" si="20">A171+1</f>
        <v>42</v>
      </c>
      <c r="B172" s="250"/>
      <c r="C172" s="80" t="s">
        <v>340</v>
      </c>
      <c r="D172" s="81">
        <f t="shared" si="17"/>
        <v>366.9716699999999</v>
      </c>
      <c r="E172" s="80">
        <v>0</v>
      </c>
      <c r="F172" s="80">
        <f t="shared" ref="F172:F178" si="21">D172+(IF(E172&lt;201,E172,IF(E172&lt;301,E172/2,E172/3)))</f>
        <v>366.9716699999999</v>
      </c>
      <c r="G172" s="80">
        <v>0</v>
      </c>
      <c r="H172" s="80">
        <f t="shared" ref="H172:H178" si="22">(F172+(IF(G172&lt;101,G172,IF(G172&lt;201,G172/2,IF(G172&lt;=301,G172/3,G172/4)))))*(($H$128)+1)</f>
        <v>550.45750499999986</v>
      </c>
    </row>
    <row r="173" spans="1:20" s="32" customFormat="1" hidden="1" x14ac:dyDescent="0.25">
      <c r="A173" s="249">
        <f t="shared" si="20"/>
        <v>43</v>
      </c>
      <c r="B173" s="250"/>
      <c r="C173" s="80" t="s">
        <v>340</v>
      </c>
      <c r="D173" s="81">
        <f t="shared" si="17"/>
        <v>366.9716699999999</v>
      </c>
      <c r="E173" s="80">
        <v>0</v>
      </c>
      <c r="F173" s="80">
        <f t="shared" si="21"/>
        <v>366.9716699999999</v>
      </c>
      <c r="G173" s="80">
        <v>0</v>
      </c>
      <c r="H173" s="80">
        <f t="shared" si="22"/>
        <v>550.45750499999986</v>
      </c>
    </row>
    <row r="174" spans="1:20" s="32" customFormat="1" hidden="1" x14ac:dyDescent="0.25">
      <c r="A174" s="249">
        <f t="shared" si="20"/>
        <v>44</v>
      </c>
      <c r="B174" s="250"/>
      <c r="C174" s="80" t="s">
        <v>340</v>
      </c>
      <c r="D174" s="81">
        <f t="shared" si="17"/>
        <v>366.9716699999999</v>
      </c>
      <c r="E174" s="80">
        <v>0</v>
      </c>
      <c r="F174" s="80">
        <f t="shared" si="21"/>
        <v>366.9716699999999</v>
      </c>
      <c r="G174" s="80">
        <v>0</v>
      </c>
      <c r="H174" s="80">
        <f t="shared" si="22"/>
        <v>550.45750499999986</v>
      </c>
    </row>
    <row r="175" spans="1:20" s="32" customFormat="1" hidden="1" x14ac:dyDescent="0.25">
      <c r="A175" s="249">
        <f t="shared" si="20"/>
        <v>45</v>
      </c>
      <c r="B175" s="250"/>
      <c r="C175" s="80" t="s">
        <v>340</v>
      </c>
      <c r="D175" s="81">
        <f t="shared" si="17"/>
        <v>366.9716699999999</v>
      </c>
      <c r="E175" s="80">
        <v>0</v>
      </c>
      <c r="F175" s="80">
        <f t="shared" si="21"/>
        <v>366.9716699999999</v>
      </c>
      <c r="G175" s="80">
        <v>0</v>
      </c>
      <c r="H175" s="80">
        <f t="shared" si="22"/>
        <v>550.45750499999986</v>
      </c>
    </row>
    <row r="176" spans="1:20" s="32" customFormat="1" hidden="1" x14ac:dyDescent="0.25">
      <c r="A176" s="249">
        <f t="shared" si="20"/>
        <v>46</v>
      </c>
      <c r="B176" s="250"/>
      <c r="C176" s="80" t="s">
        <v>340</v>
      </c>
      <c r="D176" s="81">
        <f t="shared" si="17"/>
        <v>366.9716699999999</v>
      </c>
      <c r="E176" s="80">
        <v>0</v>
      </c>
      <c r="F176" s="80">
        <f t="shared" si="21"/>
        <v>366.9716699999999</v>
      </c>
      <c r="G176" s="80">
        <v>0</v>
      </c>
      <c r="H176" s="80">
        <f t="shared" si="22"/>
        <v>550.45750499999986</v>
      </c>
    </row>
    <row r="177" spans="1:20" s="32" customFormat="1" hidden="1" x14ac:dyDescent="0.25">
      <c r="A177" s="249">
        <f t="shared" si="20"/>
        <v>47</v>
      </c>
      <c r="B177" s="250"/>
      <c r="C177" s="80" t="s">
        <v>340</v>
      </c>
      <c r="D177" s="81">
        <f t="shared" si="17"/>
        <v>366.9716699999999</v>
      </c>
      <c r="E177" s="80">
        <v>0</v>
      </c>
      <c r="F177" s="80">
        <f t="shared" si="21"/>
        <v>366.9716699999999</v>
      </c>
      <c r="G177" s="80">
        <v>0</v>
      </c>
      <c r="H177" s="80">
        <f t="shared" si="22"/>
        <v>550.45750499999986</v>
      </c>
    </row>
    <row r="178" spans="1:20" hidden="1" x14ac:dyDescent="0.25">
      <c r="A178" s="249">
        <f t="shared" si="20"/>
        <v>48</v>
      </c>
      <c r="B178" s="250"/>
      <c r="C178" s="80" t="s">
        <v>340</v>
      </c>
      <c r="D178" s="81">
        <f>(3.35*8.7+1.85*1.75+1.2*1.4+0.45*0.65)*10.764</f>
        <v>369.79721999999992</v>
      </c>
      <c r="E178" s="80">
        <v>0</v>
      </c>
      <c r="F178" s="80">
        <f t="shared" si="21"/>
        <v>369.79721999999992</v>
      </c>
      <c r="G178" s="80">
        <v>0</v>
      </c>
      <c r="H178" s="80">
        <f t="shared" si="22"/>
        <v>554.69582999999989</v>
      </c>
      <c r="T178" s="32"/>
    </row>
    <row r="179" spans="1:20" hidden="1" x14ac:dyDescent="0.25">
      <c r="A179" s="249">
        <v>49</v>
      </c>
      <c r="B179" s="250"/>
      <c r="C179" s="80" t="s">
        <v>340</v>
      </c>
      <c r="D179" s="81">
        <f>(6.62*4.15+1.75*1.15+1.75*1.35+1.15*1.4+0.5*0.65)*10.764</f>
        <v>363.64021200000008</v>
      </c>
      <c r="E179" s="80">
        <v>0</v>
      </c>
      <c r="F179" s="80">
        <f>D179+(IF(E179&lt;201,E179,IF(E179&lt;301,E179/2,E179/3)))</f>
        <v>363.64021200000008</v>
      </c>
      <c r="G179" s="82">
        <v>0</v>
      </c>
      <c r="H179" s="80">
        <f>(F179+(IF(G179&lt;101,G179,IF(G179&lt;201,G179/2,IF(G179&lt;=301,G179/3,G179/4)))))*(($H$128)+1)</f>
        <v>545.46031800000014</v>
      </c>
      <c r="T179" s="32"/>
    </row>
    <row r="180" spans="1:20" ht="15.75" hidden="1" customHeight="1" x14ac:dyDescent="0.25">
      <c r="A180" s="249">
        <f>A179+1</f>
        <v>50</v>
      </c>
      <c r="B180" s="250"/>
      <c r="C180" s="80" t="s">
        <v>340</v>
      </c>
      <c r="D180" s="81">
        <f>(6.62*4.15+2.65*1.75+1.05*1.4+0.6*0.65)*10.764</f>
        <v>365.65846199999999</v>
      </c>
      <c r="E180" s="80">
        <v>0</v>
      </c>
      <c r="F180" s="80">
        <f t="shared" ref="F180:F181" si="23">D180+(IF(E180&lt;201,E180,IF(E180&lt;301,E180/2,E180/3)))</f>
        <v>365.65846199999999</v>
      </c>
      <c r="G180" s="80">
        <v>0</v>
      </c>
      <c r="H180" s="80">
        <f t="shared" ref="H180:H181" si="24">(F180+(IF(G180&lt;101,G180,IF(G180&lt;201,G180/2,IF(G180&lt;=301,G180/3,G180/4)))))*(($H$128)+1)</f>
        <v>548.48769300000004</v>
      </c>
      <c r="T180" s="32"/>
    </row>
    <row r="181" spans="1:20" ht="17.25" hidden="1" customHeight="1" x14ac:dyDescent="0.25">
      <c r="A181" s="249">
        <f>A180+1</f>
        <v>51</v>
      </c>
      <c r="B181" s="250"/>
      <c r="C181" s="80" t="s">
        <v>340</v>
      </c>
      <c r="D181" s="81">
        <f>(6.62*4.15+2.75*1.75+1.05*1.4+0.6*0.65)*10.764</f>
        <v>367.54216199999996</v>
      </c>
      <c r="E181" s="80">
        <v>0</v>
      </c>
      <c r="F181" s="80">
        <f t="shared" si="23"/>
        <v>367.54216199999996</v>
      </c>
      <c r="G181" s="80">
        <v>0</v>
      </c>
      <c r="H181" s="80">
        <f t="shared" si="24"/>
        <v>551.31324299999994</v>
      </c>
      <c r="T181" s="32"/>
    </row>
    <row r="182" spans="1:20" s="34" customFormat="1" ht="15.75" customHeight="1" x14ac:dyDescent="0.25">
      <c r="A182" s="146" t="s">
        <v>331</v>
      </c>
      <c r="B182" s="147"/>
      <c r="C182" s="147"/>
      <c r="D182" s="147"/>
      <c r="E182" s="147"/>
      <c r="F182" s="147"/>
      <c r="G182" s="147"/>
      <c r="H182" s="148"/>
      <c r="I182" s="33"/>
      <c r="L182" s="116"/>
      <c r="M182" s="116"/>
      <c r="N182" s="33"/>
      <c r="T182" s="18"/>
    </row>
    <row r="183" spans="1:20" s="34" customFormat="1" ht="15.75" customHeight="1" x14ac:dyDescent="0.25">
      <c r="A183" s="114">
        <v>3</v>
      </c>
      <c r="B183" s="115"/>
      <c r="C183" s="39" t="s">
        <v>340</v>
      </c>
      <c r="D183" s="70">
        <f>(4.49*5.31+2.74*1.6+1.65*1.5+2.24*0.75+0.6*0.3)*10.764</f>
        <v>350.48552759999995</v>
      </c>
      <c r="E183" s="39">
        <v>0</v>
      </c>
      <c r="F183" s="56">
        <f>D183+(IF(E183&lt;201,E183,IF(E183&lt;301,E183/2,E183/3)))</f>
        <v>350.48552759999995</v>
      </c>
      <c r="G183" s="57">
        <v>0</v>
      </c>
      <c r="H183" s="56">
        <f>(F183+(IF(G183&lt;101,G183,IF(G183&lt;201,G183/2,IF(G183&lt;=301,G183/3,G183/4)))))*(($H$128)+1)</f>
        <v>525.72829139999999</v>
      </c>
      <c r="I183" s="33"/>
      <c r="L183" s="116"/>
      <c r="M183" s="116"/>
      <c r="N183" s="33"/>
      <c r="T183" s="18"/>
    </row>
    <row r="184" spans="1:20" s="34" customFormat="1" x14ac:dyDescent="0.25">
      <c r="A184" s="114">
        <f>A183+1</f>
        <v>4</v>
      </c>
      <c r="B184" s="115"/>
      <c r="C184" s="71" t="s">
        <v>340</v>
      </c>
      <c r="D184" s="70">
        <f>(3.35*6.06+1.77*1.6+1.4*1.05+0.65*0.45)*10.764</f>
        <v>267.97516199999995</v>
      </c>
      <c r="E184" s="39">
        <v>0</v>
      </c>
      <c r="F184" s="56">
        <f t="shared" ref="F184:F186" si="25">D184+(IF(E184&lt;201,E184,IF(E184&lt;301,E184/2,E184/3)))</f>
        <v>267.97516199999995</v>
      </c>
      <c r="G184" s="49">
        <v>0</v>
      </c>
      <c r="H184" s="56">
        <f t="shared" ref="H184:H186" si="26">(F184+(IF(G184&lt;101,G184,IF(G184&lt;201,G184/2,IF(G184&lt;=301,G184/3,G184/4)))))*(($H$128)+1)</f>
        <v>401.96274299999993</v>
      </c>
      <c r="I184" s="33"/>
      <c r="N184" s="33"/>
    </row>
    <row r="185" spans="1:20" x14ac:dyDescent="0.25">
      <c r="A185" s="114">
        <f>A184+1</f>
        <v>5</v>
      </c>
      <c r="B185" s="115"/>
      <c r="C185" s="71" t="s">
        <v>340</v>
      </c>
      <c r="D185" s="70">
        <f>(3.35*6.06+1.77*1.6+1.4*1.05+0.65*0.45)*10.764</f>
        <v>267.97516199999995</v>
      </c>
      <c r="E185" s="39">
        <v>0</v>
      </c>
      <c r="F185" s="56">
        <f t="shared" si="25"/>
        <v>267.97516199999995</v>
      </c>
      <c r="G185" s="49">
        <v>0</v>
      </c>
      <c r="H185" s="56">
        <f t="shared" si="26"/>
        <v>401.96274299999993</v>
      </c>
      <c r="I185" s="33"/>
      <c r="T185" s="34"/>
    </row>
    <row r="186" spans="1:20" s="34" customFormat="1" x14ac:dyDescent="0.25">
      <c r="A186" s="114">
        <f>A185+1</f>
        <v>6</v>
      </c>
      <c r="B186" s="115"/>
      <c r="C186" s="71" t="s">
        <v>340</v>
      </c>
      <c r="D186" s="70">
        <f>(3.35*6.06+1.77*1.6+1.4*1.05+0.65*0.45)*10.764</f>
        <v>267.97516199999995</v>
      </c>
      <c r="E186" s="39">
        <v>0</v>
      </c>
      <c r="F186" s="56">
        <f t="shared" si="25"/>
        <v>267.97516199999995</v>
      </c>
      <c r="G186" s="49">
        <v>0</v>
      </c>
      <c r="H186" s="56">
        <f t="shared" si="26"/>
        <v>401.96274299999993</v>
      </c>
      <c r="I186" s="33"/>
    </row>
    <row r="187" spans="1:20" s="34" customFormat="1" x14ac:dyDescent="0.25">
      <c r="A187" s="114">
        <v>7</v>
      </c>
      <c r="B187" s="115"/>
      <c r="C187" s="71" t="s">
        <v>340</v>
      </c>
      <c r="D187" s="70">
        <f>(3.35*6.06+1.77*1.6+1.4*1.05+0.65*0.45)*10.764</f>
        <v>267.97516199999995</v>
      </c>
      <c r="E187" s="67">
        <v>0</v>
      </c>
      <c r="F187" s="67">
        <f>D187+(IF(E187&lt;201,E187,IF(E187&lt;301,E187/2,E187/3)))</f>
        <v>267.97516199999995</v>
      </c>
      <c r="G187" s="57">
        <v>0</v>
      </c>
      <c r="H187" s="67">
        <f>(F187+(IF(G187&lt;101,G187,IF(G187&lt;201,G187/2,IF(G187&lt;=301,G187/3,G187/4)))))*(($H$128)+1)</f>
        <v>401.96274299999993</v>
      </c>
      <c r="J187" s="33"/>
    </row>
    <row r="188" spans="1:20" s="34" customFormat="1" ht="15.75" customHeight="1" x14ac:dyDescent="0.25">
      <c r="A188" s="114">
        <f>A187+1</f>
        <v>8</v>
      </c>
      <c r="B188" s="115"/>
      <c r="C188" s="71" t="s">
        <v>340</v>
      </c>
      <c r="D188" s="70">
        <f>(3.35*5.31+1.77*1.6+1.2*0.9+1.48*1.5+0.6*0.3)*10.764</f>
        <v>259.41778199999993</v>
      </c>
      <c r="E188" s="67">
        <v>0</v>
      </c>
      <c r="F188" s="67">
        <f t="shared" ref="F188:F190" si="27">D188+(IF(E188&lt;201,E188,IF(E188&lt;301,E188/2,E188/3)))</f>
        <v>259.41778199999993</v>
      </c>
      <c r="G188" s="67">
        <v>0</v>
      </c>
      <c r="H188" s="67">
        <f t="shared" ref="H188:H190" si="28">(F188+(IF(G188&lt;101,G188,IF(G188&lt;201,G188/2,IF(G188&lt;=301,G188/3,G188/4)))))*(($H$128)+1)</f>
        <v>389.12667299999987</v>
      </c>
      <c r="I188" s="33"/>
      <c r="L188" s="116"/>
      <c r="M188" s="116"/>
      <c r="N188" s="33"/>
    </row>
    <row r="189" spans="1:20" s="34" customFormat="1" ht="15.75" customHeight="1" x14ac:dyDescent="0.25">
      <c r="A189" s="114">
        <f>A188+1</f>
        <v>9</v>
      </c>
      <c r="B189" s="115"/>
      <c r="C189" s="71" t="s">
        <v>340</v>
      </c>
      <c r="D189" s="70">
        <f>(3.35*5.31+1.77*1.6+1.2*0.9+1.48*1.5+0.6*0.3)*10.764</f>
        <v>259.41778199999993</v>
      </c>
      <c r="E189" s="67">
        <v>0</v>
      </c>
      <c r="F189" s="67">
        <f t="shared" si="27"/>
        <v>259.41778199999993</v>
      </c>
      <c r="G189" s="67">
        <v>0</v>
      </c>
      <c r="H189" s="67">
        <f t="shared" si="28"/>
        <v>389.12667299999987</v>
      </c>
      <c r="I189" s="33"/>
      <c r="L189" s="116"/>
      <c r="M189" s="116"/>
      <c r="N189" s="33"/>
    </row>
    <row r="190" spans="1:20" s="34" customFormat="1" ht="15.75" customHeight="1" x14ac:dyDescent="0.25">
      <c r="A190" s="114">
        <f>A189+1</f>
        <v>10</v>
      </c>
      <c r="B190" s="115"/>
      <c r="C190" s="71" t="s">
        <v>340</v>
      </c>
      <c r="D190" s="70">
        <f t="shared" ref="D190:D199" si="29">(3.35*6.06+1.77*1.6+1.4*1.05+0.65*0.45)*10.764</f>
        <v>267.97516199999995</v>
      </c>
      <c r="E190" s="67">
        <v>0</v>
      </c>
      <c r="F190" s="67">
        <f t="shared" si="27"/>
        <v>267.97516199999995</v>
      </c>
      <c r="G190" s="67">
        <v>0</v>
      </c>
      <c r="H190" s="67">
        <f t="shared" si="28"/>
        <v>401.96274299999993</v>
      </c>
      <c r="I190" s="33"/>
      <c r="L190" s="116"/>
      <c r="M190" s="116"/>
      <c r="N190" s="33"/>
    </row>
    <row r="191" spans="1:20" s="34" customFormat="1" ht="15.75" customHeight="1" x14ac:dyDescent="0.25">
      <c r="A191" s="114">
        <v>11</v>
      </c>
      <c r="B191" s="115"/>
      <c r="C191" s="71" t="s">
        <v>340</v>
      </c>
      <c r="D191" s="70">
        <f t="shared" si="29"/>
        <v>267.97516199999995</v>
      </c>
      <c r="E191" s="67">
        <v>0</v>
      </c>
      <c r="F191" s="67">
        <f>D191+(IF(E191&lt;201,E191,IF(E191&lt;301,E191/2,E191/3)))</f>
        <v>267.97516199999995</v>
      </c>
      <c r="G191" s="57">
        <v>0</v>
      </c>
      <c r="H191" s="67">
        <f>(F191+(IF(G191&lt;101,G191,IF(G191&lt;201,G191/2,IF(G191&lt;=301,G191/3,G191/4)))))*(($H$128)+1)</f>
        <v>401.96274299999993</v>
      </c>
      <c r="I191" s="33"/>
      <c r="L191" s="116"/>
      <c r="M191" s="116"/>
      <c r="N191" s="33"/>
      <c r="T191" s="18"/>
    </row>
    <row r="192" spans="1:20" s="34" customFormat="1" x14ac:dyDescent="0.25">
      <c r="A192" s="114">
        <f>A191+1</f>
        <v>12</v>
      </c>
      <c r="B192" s="115"/>
      <c r="C192" s="71" t="s">
        <v>340</v>
      </c>
      <c r="D192" s="70">
        <f t="shared" si="29"/>
        <v>267.97516199999995</v>
      </c>
      <c r="E192" s="67">
        <v>0</v>
      </c>
      <c r="F192" s="67">
        <f t="shared" ref="F192:F193" si="30">D192+(IF(E192&lt;201,E192,IF(E192&lt;301,E192/2,E192/3)))</f>
        <v>267.97516199999995</v>
      </c>
      <c r="G192" s="67">
        <v>0</v>
      </c>
      <c r="H192" s="67">
        <f t="shared" ref="H192:H193" si="31">(F192+(IF(G192&lt;101,G192,IF(G192&lt;201,G192/2,IF(G192&lt;=301,G192/3,G192/4)))))*(($H$128)+1)</f>
        <v>401.96274299999993</v>
      </c>
      <c r="I192" s="33"/>
      <c r="L192" s="116"/>
      <c r="M192" s="116"/>
    </row>
    <row r="193" spans="1:14" s="34" customFormat="1" x14ac:dyDescent="0.25">
      <c r="A193" s="114">
        <v>14</v>
      </c>
      <c r="B193" s="115"/>
      <c r="C193" s="71" t="s">
        <v>340</v>
      </c>
      <c r="D193" s="70">
        <f t="shared" si="29"/>
        <v>267.97516199999995</v>
      </c>
      <c r="E193" s="67">
        <v>0</v>
      </c>
      <c r="F193" s="67">
        <f t="shared" si="30"/>
        <v>267.97516199999995</v>
      </c>
      <c r="G193" s="67">
        <v>0</v>
      </c>
      <c r="H193" s="67">
        <f t="shared" si="31"/>
        <v>401.96274299999993</v>
      </c>
      <c r="I193" s="33"/>
      <c r="N193" s="33"/>
    </row>
    <row r="194" spans="1:14" s="34" customFormat="1" x14ac:dyDescent="0.25">
      <c r="A194" s="114">
        <v>15</v>
      </c>
      <c r="B194" s="115"/>
      <c r="C194" s="71" t="s">
        <v>340</v>
      </c>
      <c r="D194" s="70">
        <f t="shared" si="29"/>
        <v>267.97516199999995</v>
      </c>
      <c r="E194" s="67">
        <v>0</v>
      </c>
      <c r="F194" s="67">
        <f>D194+(IF(E194&lt;201,E194,IF(E194&lt;301,E194/2,E194/3)))</f>
        <v>267.97516199999995</v>
      </c>
      <c r="G194" s="57">
        <v>0</v>
      </c>
      <c r="H194" s="67">
        <f>(F194+(IF(G194&lt;101,G194,IF(G194&lt;201,G194/2,IF(G194&lt;=301,G194/3,G194/4)))))*(($H$128)+1)</f>
        <v>401.96274299999993</v>
      </c>
      <c r="I194" s="33"/>
      <c r="N194" s="33"/>
    </row>
    <row r="195" spans="1:14" s="34" customFormat="1" x14ac:dyDescent="0.25">
      <c r="A195" s="114">
        <f>A194+1</f>
        <v>16</v>
      </c>
      <c r="B195" s="115"/>
      <c r="C195" s="71" t="s">
        <v>340</v>
      </c>
      <c r="D195" s="70">
        <f t="shared" si="29"/>
        <v>267.97516199999995</v>
      </c>
      <c r="E195" s="67">
        <v>0</v>
      </c>
      <c r="F195" s="67">
        <f t="shared" ref="F195:F199" si="32">D195+(IF(E195&lt;201,E195,IF(E195&lt;301,E195/2,E195/3)))</f>
        <v>267.97516199999995</v>
      </c>
      <c r="G195" s="67">
        <v>0</v>
      </c>
      <c r="H195" s="67">
        <f t="shared" ref="H195:H199" si="33">(F195+(IF(G195&lt;101,G195,IF(G195&lt;201,G195/2,IF(G195&lt;=301,G195/3,G195/4)))))*(($H$128)+1)</f>
        <v>401.96274299999993</v>
      </c>
      <c r="I195" s="33"/>
      <c r="N195" s="33"/>
    </row>
    <row r="196" spans="1:14" s="34" customFormat="1" x14ac:dyDescent="0.25">
      <c r="A196" s="114">
        <f>A195+1</f>
        <v>17</v>
      </c>
      <c r="B196" s="115"/>
      <c r="C196" s="71" t="s">
        <v>340</v>
      </c>
      <c r="D196" s="70">
        <f t="shared" si="29"/>
        <v>267.97516199999995</v>
      </c>
      <c r="E196" s="67">
        <v>0</v>
      </c>
      <c r="F196" s="67">
        <f t="shared" si="32"/>
        <v>267.97516199999995</v>
      </c>
      <c r="G196" s="67">
        <v>0</v>
      </c>
      <c r="H196" s="67">
        <f t="shared" si="33"/>
        <v>401.96274299999993</v>
      </c>
      <c r="I196" s="33"/>
      <c r="N196" s="33"/>
    </row>
    <row r="197" spans="1:14" s="34" customFormat="1" ht="15.75" customHeight="1" x14ac:dyDescent="0.25">
      <c r="A197" s="114">
        <f>A196+1</f>
        <v>18</v>
      </c>
      <c r="B197" s="115"/>
      <c r="C197" s="71" t="s">
        <v>340</v>
      </c>
      <c r="D197" s="70">
        <f t="shared" si="29"/>
        <v>267.97516199999995</v>
      </c>
      <c r="E197" s="67">
        <v>0</v>
      </c>
      <c r="F197" s="67">
        <f t="shared" si="32"/>
        <v>267.97516199999995</v>
      </c>
      <c r="G197" s="67">
        <v>0</v>
      </c>
      <c r="H197" s="67">
        <f t="shared" si="33"/>
        <v>401.96274299999993</v>
      </c>
      <c r="I197" s="33"/>
    </row>
    <row r="198" spans="1:14" s="34" customFormat="1" ht="15.75" customHeight="1" x14ac:dyDescent="0.25">
      <c r="A198" s="114">
        <f>A197+1</f>
        <v>19</v>
      </c>
      <c r="B198" s="115"/>
      <c r="C198" s="71" t="s">
        <v>340</v>
      </c>
      <c r="D198" s="70">
        <f t="shared" si="29"/>
        <v>267.97516199999995</v>
      </c>
      <c r="E198" s="67">
        <v>0</v>
      </c>
      <c r="F198" s="67">
        <f t="shared" si="32"/>
        <v>267.97516199999995</v>
      </c>
      <c r="G198" s="67">
        <v>0</v>
      </c>
      <c r="H198" s="67">
        <f t="shared" si="33"/>
        <v>401.96274299999993</v>
      </c>
      <c r="I198" s="33"/>
    </row>
    <row r="199" spans="1:14" s="34" customFormat="1" ht="15.75" customHeight="1" x14ac:dyDescent="0.25">
      <c r="A199" s="114">
        <f>A198+1</f>
        <v>20</v>
      </c>
      <c r="B199" s="115"/>
      <c r="C199" s="71" t="s">
        <v>340</v>
      </c>
      <c r="D199" s="70">
        <f t="shared" si="29"/>
        <v>267.97516199999995</v>
      </c>
      <c r="E199" s="67">
        <v>0</v>
      </c>
      <c r="F199" s="67">
        <f t="shared" si="32"/>
        <v>267.97516199999995</v>
      </c>
      <c r="G199" s="67">
        <v>0</v>
      </c>
      <c r="H199" s="67">
        <f t="shared" si="33"/>
        <v>401.96274299999993</v>
      </c>
      <c r="I199" s="33"/>
    </row>
    <row r="200" spans="1:14" s="34" customFormat="1" ht="15.75" customHeight="1" x14ac:dyDescent="0.25">
      <c r="A200" s="114">
        <v>21</v>
      </c>
      <c r="B200" s="115"/>
      <c r="C200" s="71" t="s">
        <v>340</v>
      </c>
      <c r="D200" s="70">
        <f>(3.35*6.06+1.85*1.6+1.4*1.05+0.65*0.45)*10.764</f>
        <v>269.35295399999995</v>
      </c>
      <c r="E200" s="67">
        <v>0</v>
      </c>
      <c r="F200" s="67">
        <f>D200+(IF(E200&lt;201,E200,IF(E200&lt;301,E200/2,E200/3)))</f>
        <v>269.35295399999995</v>
      </c>
      <c r="G200" s="57">
        <v>0</v>
      </c>
      <c r="H200" s="67">
        <f>(F200+(IF(G200&lt;101,G200,IF(G200&lt;201,G200/2,IF(G200&lt;=301,G200/3,G200/4)))))*(($H$128)+1)</f>
        <v>404.02943099999993</v>
      </c>
      <c r="I200" s="33"/>
    </row>
    <row r="201" spans="1:14" s="34" customFormat="1" ht="15.75" customHeight="1" x14ac:dyDescent="0.25">
      <c r="A201" s="114">
        <f t="shared" ref="A201:A207" si="34">A200+1</f>
        <v>22</v>
      </c>
      <c r="B201" s="115"/>
      <c r="C201" s="71" t="s">
        <v>340</v>
      </c>
      <c r="D201" s="70">
        <f>(6.3*4.45+1.9*2.93+1.2*1.4+0.45*0.65)*10.764</f>
        <v>382.92391799999996</v>
      </c>
      <c r="E201" s="67">
        <v>0</v>
      </c>
      <c r="F201" s="67">
        <f t="shared" ref="F201:F207" si="35">D201+(IF(E201&lt;201,E201,IF(E201&lt;301,E201/2,E201/3)))</f>
        <v>382.92391799999996</v>
      </c>
      <c r="G201" s="67">
        <v>0</v>
      </c>
      <c r="H201" s="67">
        <f t="shared" ref="H201:H207" si="36">(F201+(IF(G201&lt;101,G201,IF(G201&lt;201,G201/2,IF(G201&lt;=301,G201/3,G201/4)))))*(($H$128)+1)</f>
        <v>574.38587699999994</v>
      </c>
      <c r="I201" s="33"/>
    </row>
    <row r="202" spans="1:14" s="34" customFormat="1" ht="15.75" customHeight="1" x14ac:dyDescent="0.25">
      <c r="A202" s="114">
        <f t="shared" si="34"/>
        <v>23</v>
      </c>
      <c r="B202" s="115"/>
      <c r="C202" s="71" t="s">
        <v>340</v>
      </c>
      <c r="D202" s="70">
        <f>(6.3*4.45+1.9*2.8+1.2*1.4+0.45*0.65)*10.764</f>
        <v>380.26520999999991</v>
      </c>
      <c r="E202" s="67">
        <v>0</v>
      </c>
      <c r="F202" s="67">
        <f t="shared" si="35"/>
        <v>380.26520999999991</v>
      </c>
      <c r="G202" s="67">
        <v>0</v>
      </c>
      <c r="H202" s="67">
        <f t="shared" si="36"/>
        <v>570.39781499999981</v>
      </c>
      <c r="I202" s="33"/>
    </row>
    <row r="203" spans="1:14" s="34" customFormat="1" x14ac:dyDescent="0.25">
      <c r="A203" s="114">
        <f t="shared" si="34"/>
        <v>24</v>
      </c>
      <c r="B203" s="115"/>
      <c r="C203" s="71" t="s">
        <v>340</v>
      </c>
      <c r="D203" s="70">
        <f>(6.3*4.45+1.9*2.8+1.2*1.4+0.45*0.65)*10.764</f>
        <v>380.26520999999991</v>
      </c>
      <c r="E203" s="67">
        <v>0</v>
      </c>
      <c r="F203" s="67">
        <f t="shared" si="35"/>
        <v>380.26520999999991</v>
      </c>
      <c r="G203" s="67">
        <v>0</v>
      </c>
      <c r="H203" s="67">
        <f t="shared" si="36"/>
        <v>570.39781499999981</v>
      </c>
      <c r="I203" s="33"/>
    </row>
    <row r="204" spans="1:14" s="34" customFormat="1" ht="15.75" customHeight="1" x14ac:dyDescent="0.25">
      <c r="A204" s="114">
        <f t="shared" si="34"/>
        <v>25</v>
      </c>
      <c r="B204" s="115"/>
      <c r="C204" s="71" t="s">
        <v>340</v>
      </c>
      <c r="D204" s="70">
        <f>(6.3*4.45+1.9*2.8+1.2*1.4+0.45*0.65)*10.764</f>
        <v>380.26520999999991</v>
      </c>
      <c r="E204" s="67">
        <v>0</v>
      </c>
      <c r="F204" s="67">
        <f t="shared" si="35"/>
        <v>380.26520999999991</v>
      </c>
      <c r="G204" s="67">
        <v>0</v>
      </c>
      <c r="H204" s="67">
        <f t="shared" si="36"/>
        <v>570.39781499999981</v>
      </c>
      <c r="I204" s="33"/>
    </row>
    <row r="205" spans="1:14" s="34" customFormat="1" ht="15.75" customHeight="1" x14ac:dyDescent="0.25">
      <c r="A205" s="114">
        <f t="shared" si="34"/>
        <v>26</v>
      </c>
      <c r="B205" s="115"/>
      <c r="C205" s="71" t="s">
        <v>340</v>
      </c>
      <c r="D205" s="70">
        <f>(6.3*4.5+1.9*1.35+1.7*1.42+1.15*1.4+0.45*0.65)*10.764</f>
        <v>379.23186599999997</v>
      </c>
      <c r="E205" s="67">
        <v>0</v>
      </c>
      <c r="F205" s="67">
        <f t="shared" si="35"/>
        <v>379.23186599999997</v>
      </c>
      <c r="G205" s="67">
        <v>0</v>
      </c>
      <c r="H205" s="67">
        <f t="shared" si="36"/>
        <v>568.8477989999999</v>
      </c>
      <c r="I205" s="33"/>
    </row>
    <row r="206" spans="1:14" s="34" customFormat="1" ht="15.75" customHeight="1" x14ac:dyDescent="0.25">
      <c r="A206" s="114">
        <f t="shared" si="34"/>
        <v>27</v>
      </c>
      <c r="B206" s="115"/>
      <c r="C206" s="71" t="s">
        <v>340</v>
      </c>
      <c r="D206" s="70">
        <f>(3.35*8.7+1.85*1.75+1.2*1.4+0.45*0.65)*10.764</f>
        <v>369.79721999999992</v>
      </c>
      <c r="E206" s="67">
        <v>0</v>
      </c>
      <c r="F206" s="67">
        <f t="shared" si="35"/>
        <v>369.79721999999992</v>
      </c>
      <c r="G206" s="67">
        <v>0</v>
      </c>
      <c r="H206" s="67">
        <f t="shared" si="36"/>
        <v>554.69582999999989</v>
      </c>
      <c r="I206" s="33"/>
    </row>
    <row r="207" spans="1:14" s="34" customFormat="1" ht="15.75" customHeight="1" x14ac:dyDescent="0.25">
      <c r="A207" s="114">
        <f t="shared" si="34"/>
        <v>28</v>
      </c>
      <c r="B207" s="115"/>
      <c r="C207" s="71" t="s">
        <v>340</v>
      </c>
      <c r="D207" s="70">
        <f t="shared" ref="D207:D215" si="37">(3.35*8.7+1.78*1.75+1.2*1.4+0.45*0.65)*10.764</f>
        <v>368.4786299999999</v>
      </c>
      <c r="E207" s="67">
        <v>0</v>
      </c>
      <c r="F207" s="67">
        <f t="shared" si="35"/>
        <v>368.4786299999999</v>
      </c>
      <c r="G207" s="67">
        <v>0</v>
      </c>
      <c r="H207" s="67">
        <f t="shared" si="36"/>
        <v>552.71794499999987</v>
      </c>
      <c r="I207" s="33"/>
    </row>
    <row r="208" spans="1:14" s="34" customFormat="1" ht="15.75" customHeight="1" x14ac:dyDescent="0.25">
      <c r="A208" s="114">
        <v>29</v>
      </c>
      <c r="B208" s="115"/>
      <c r="C208" s="71" t="s">
        <v>340</v>
      </c>
      <c r="D208" s="70">
        <f t="shared" si="37"/>
        <v>368.4786299999999</v>
      </c>
      <c r="E208" s="67">
        <v>0</v>
      </c>
      <c r="F208" s="67">
        <f>D208+(IF(E208&lt;201,E208,IF(E208&lt;301,E208/2,E208/3)))</f>
        <v>368.4786299999999</v>
      </c>
      <c r="G208" s="57">
        <v>0</v>
      </c>
      <c r="H208" s="67">
        <f>(F208+(IF(G208&lt;101,G208,IF(G208&lt;201,G208/2,IF(G208&lt;=301,G208/3,G208/4)))))*(($H$128)+1)</f>
        <v>552.71794499999987</v>
      </c>
      <c r="I208" s="33"/>
    </row>
    <row r="209" spans="1:20" s="34" customFormat="1" x14ac:dyDescent="0.25">
      <c r="A209" s="114">
        <f t="shared" ref="A209:A215" si="38">A208+1</f>
        <v>30</v>
      </c>
      <c r="B209" s="115"/>
      <c r="C209" s="71" t="s">
        <v>340</v>
      </c>
      <c r="D209" s="70">
        <f t="shared" si="37"/>
        <v>368.4786299999999</v>
      </c>
      <c r="E209" s="67">
        <v>0</v>
      </c>
      <c r="F209" s="67">
        <f t="shared" ref="F209:F215" si="39">D209+(IF(E209&lt;201,E209,IF(E209&lt;301,E209/2,E209/3)))</f>
        <v>368.4786299999999</v>
      </c>
      <c r="G209" s="67">
        <v>0</v>
      </c>
      <c r="H209" s="67">
        <f t="shared" ref="H209:H215" si="40">(F209+(IF(G209&lt;101,G209,IF(G209&lt;201,G209/2,IF(G209&lt;=301,G209/3,G209/4)))))*(($H$128)+1)</f>
        <v>552.71794499999987</v>
      </c>
      <c r="I209" s="33"/>
    </row>
    <row r="210" spans="1:20" s="34" customFormat="1" ht="15.75" customHeight="1" x14ac:dyDescent="0.25">
      <c r="A210" s="114">
        <f t="shared" si="38"/>
        <v>31</v>
      </c>
      <c r="B210" s="115"/>
      <c r="C210" s="71" t="s">
        <v>340</v>
      </c>
      <c r="D210" s="70">
        <f t="shared" si="37"/>
        <v>368.4786299999999</v>
      </c>
      <c r="E210" s="67">
        <v>0</v>
      </c>
      <c r="F210" s="67">
        <f t="shared" si="39"/>
        <v>368.4786299999999</v>
      </c>
      <c r="G210" s="67">
        <v>0</v>
      </c>
      <c r="H210" s="67">
        <f t="shared" si="40"/>
        <v>552.71794499999987</v>
      </c>
      <c r="I210" s="33"/>
    </row>
    <row r="211" spans="1:20" s="34" customFormat="1" ht="15.75" customHeight="1" x14ac:dyDescent="0.25">
      <c r="A211" s="114">
        <f t="shared" si="38"/>
        <v>32</v>
      </c>
      <c r="B211" s="115"/>
      <c r="C211" s="71" t="s">
        <v>340</v>
      </c>
      <c r="D211" s="70">
        <f t="shared" si="37"/>
        <v>368.4786299999999</v>
      </c>
      <c r="E211" s="67">
        <v>0</v>
      </c>
      <c r="F211" s="67">
        <f t="shared" si="39"/>
        <v>368.4786299999999</v>
      </c>
      <c r="G211" s="67">
        <v>0</v>
      </c>
      <c r="H211" s="67">
        <f t="shared" si="40"/>
        <v>552.71794499999987</v>
      </c>
      <c r="I211" s="33"/>
    </row>
    <row r="212" spans="1:20" s="34" customFormat="1" ht="15.75" customHeight="1" x14ac:dyDescent="0.25">
      <c r="A212" s="114">
        <f t="shared" si="38"/>
        <v>33</v>
      </c>
      <c r="B212" s="115"/>
      <c r="C212" s="71" t="s">
        <v>340</v>
      </c>
      <c r="D212" s="70">
        <f t="shared" si="37"/>
        <v>368.4786299999999</v>
      </c>
      <c r="E212" s="67">
        <v>0</v>
      </c>
      <c r="F212" s="67">
        <f t="shared" si="39"/>
        <v>368.4786299999999</v>
      </c>
      <c r="G212" s="67">
        <v>0</v>
      </c>
      <c r="H212" s="67">
        <f t="shared" si="40"/>
        <v>552.71794499999987</v>
      </c>
      <c r="I212" s="33"/>
    </row>
    <row r="213" spans="1:20" s="34" customFormat="1" ht="15.75" customHeight="1" x14ac:dyDescent="0.25">
      <c r="A213" s="114">
        <f t="shared" si="38"/>
        <v>34</v>
      </c>
      <c r="B213" s="115"/>
      <c r="C213" s="71" t="s">
        <v>340</v>
      </c>
      <c r="D213" s="70">
        <f t="shared" si="37"/>
        <v>368.4786299999999</v>
      </c>
      <c r="E213" s="67">
        <v>0</v>
      </c>
      <c r="F213" s="67">
        <f t="shared" si="39"/>
        <v>368.4786299999999</v>
      </c>
      <c r="G213" s="67">
        <v>0</v>
      </c>
      <c r="H213" s="67">
        <f t="shared" si="40"/>
        <v>552.71794499999987</v>
      </c>
      <c r="I213" s="33"/>
    </row>
    <row r="214" spans="1:20" s="34" customFormat="1" ht="15.75" customHeight="1" x14ac:dyDescent="0.25">
      <c r="A214" s="114">
        <f t="shared" si="38"/>
        <v>35</v>
      </c>
      <c r="B214" s="115"/>
      <c r="C214" s="71" t="s">
        <v>340</v>
      </c>
      <c r="D214" s="70">
        <f t="shared" si="37"/>
        <v>368.4786299999999</v>
      </c>
      <c r="E214" s="67">
        <v>0</v>
      </c>
      <c r="F214" s="67">
        <f t="shared" si="39"/>
        <v>368.4786299999999</v>
      </c>
      <c r="G214" s="67">
        <v>0</v>
      </c>
      <c r="H214" s="67">
        <f t="shared" si="40"/>
        <v>552.71794499999987</v>
      </c>
      <c r="I214" s="33"/>
    </row>
    <row r="215" spans="1:20" s="32" customFormat="1" x14ac:dyDescent="0.25">
      <c r="A215" s="114">
        <f t="shared" si="38"/>
        <v>36</v>
      </c>
      <c r="B215" s="115"/>
      <c r="C215" s="71" t="s">
        <v>340</v>
      </c>
      <c r="D215" s="70">
        <f t="shared" si="37"/>
        <v>368.4786299999999</v>
      </c>
      <c r="E215" s="67">
        <v>0</v>
      </c>
      <c r="F215" s="67">
        <f t="shared" si="39"/>
        <v>368.4786299999999</v>
      </c>
      <c r="G215" s="67">
        <v>0</v>
      </c>
      <c r="H215" s="67">
        <f t="shared" si="40"/>
        <v>552.71794499999987</v>
      </c>
      <c r="T215" s="34"/>
    </row>
    <row r="216" spans="1:20" s="32" customFormat="1" x14ac:dyDescent="0.25">
      <c r="A216" s="114">
        <v>37</v>
      </c>
      <c r="B216" s="115"/>
      <c r="C216" s="71" t="s">
        <v>340</v>
      </c>
      <c r="D216" s="70">
        <f t="shared" ref="D216:D226" si="41">(3.35*8.7+1.7*1.75+1.2*1.4+0.45*0.65)*10.764</f>
        <v>366.9716699999999</v>
      </c>
      <c r="E216" s="67">
        <v>0</v>
      </c>
      <c r="F216" s="67">
        <f>D216+(IF(E216&lt;201,E216,IF(E216&lt;301,E216/2,E216/3)))</f>
        <v>366.9716699999999</v>
      </c>
      <c r="G216" s="57">
        <v>0</v>
      </c>
      <c r="H216" s="67">
        <f>(F216+(IF(G216&lt;101,G216,IF(G216&lt;201,G216/2,IF(G216&lt;=301,G216/3,G216/4)))))*(($H$128)+1)</f>
        <v>550.45750499999986</v>
      </c>
      <c r="T216" s="34"/>
    </row>
    <row r="217" spans="1:20" s="32" customFormat="1" x14ac:dyDescent="0.25">
      <c r="A217" s="114">
        <f>A216+1</f>
        <v>38</v>
      </c>
      <c r="B217" s="115"/>
      <c r="C217" s="71" t="s">
        <v>340</v>
      </c>
      <c r="D217" s="70">
        <f t="shared" si="41"/>
        <v>366.9716699999999</v>
      </c>
      <c r="E217" s="67">
        <v>0</v>
      </c>
      <c r="F217" s="67">
        <f t="shared" ref="F217:F219" si="42">D217+(IF(E217&lt;201,E217,IF(E217&lt;301,E217/2,E217/3)))</f>
        <v>366.9716699999999</v>
      </c>
      <c r="G217" s="67">
        <v>0</v>
      </c>
      <c r="H217" s="67">
        <f t="shared" ref="H217:H219" si="43">(F217+(IF(G217&lt;101,G217,IF(G217&lt;201,G217/2,IF(G217&lt;=301,G217/3,G217/4)))))*(($H$128)+1)</f>
        <v>550.45750499999986</v>
      </c>
      <c r="T217" s="34"/>
    </row>
    <row r="218" spans="1:20" s="32" customFormat="1" x14ac:dyDescent="0.25">
      <c r="A218" s="114">
        <f>A217+1</f>
        <v>39</v>
      </c>
      <c r="B218" s="115"/>
      <c r="C218" s="71" t="s">
        <v>340</v>
      </c>
      <c r="D218" s="70">
        <f t="shared" si="41"/>
        <v>366.9716699999999</v>
      </c>
      <c r="E218" s="67">
        <v>0</v>
      </c>
      <c r="F218" s="67">
        <f t="shared" si="42"/>
        <v>366.9716699999999</v>
      </c>
      <c r="G218" s="67">
        <v>0</v>
      </c>
      <c r="H218" s="67">
        <f t="shared" si="43"/>
        <v>550.45750499999986</v>
      </c>
      <c r="T218" s="34"/>
    </row>
    <row r="219" spans="1:20" s="32" customFormat="1" x14ac:dyDescent="0.25">
      <c r="A219" s="114">
        <f>A218+1</f>
        <v>40</v>
      </c>
      <c r="B219" s="115"/>
      <c r="C219" s="71" t="s">
        <v>340</v>
      </c>
      <c r="D219" s="70">
        <f t="shared" si="41"/>
        <v>366.9716699999999</v>
      </c>
      <c r="E219" s="67">
        <v>0</v>
      </c>
      <c r="F219" s="67">
        <f t="shared" si="42"/>
        <v>366.9716699999999</v>
      </c>
      <c r="G219" s="67">
        <v>0</v>
      </c>
      <c r="H219" s="67">
        <f t="shared" si="43"/>
        <v>550.45750499999986</v>
      </c>
      <c r="T219" s="34"/>
    </row>
    <row r="220" spans="1:20" s="32" customFormat="1" x14ac:dyDescent="0.25">
      <c r="A220" s="114">
        <v>41</v>
      </c>
      <c r="B220" s="115"/>
      <c r="C220" s="71" t="s">
        <v>340</v>
      </c>
      <c r="D220" s="70">
        <f t="shared" si="41"/>
        <v>366.9716699999999</v>
      </c>
      <c r="E220" s="67">
        <v>0</v>
      </c>
      <c r="F220" s="67">
        <f>D220+(IF(E220&lt;201,E220,IF(E220&lt;301,E220/2,E220/3)))</f>
        <v>366.9716699999999</v>
      </c>
      <c r="G220" s="57">
        <v>0</v>
      </c>
      <c r="H220" s="67">
        <f>(F220+(IF(G220&lt;101,G220,IF(G220&lt;201,G220/2,IF(G220&lt;=301,G220/3,G220/4)))))*(($H$128)+1)</f>
        <v>550.45750499999986</v>
      </c>
      <c r="T220" s="34"/>
    </row>
    <row r="221" spans="1:20" s="32" customFormat="1" x14ac:dyDescent="0.25">
      <c r="A221" s="114">
        <f t="shared" ref="A221:A227" si="44">A220+1</f>
        <v>42</v>
      </c>
      <c r="B221" s="115"/>
      <c r="C221" s="71" t="s">
        <v>340</v>
      </c>
      <c r="D221" s="70">
        <f t="shared" si="41"/>
        <v>366.9716699999999</v>
      </c>
      <c r="E221" s="67">
        <v>0</v>
      </c>
      <c r="F221" s="67">
        <f t="shared" ref="F221:F227" si="45">D221+(IF(E221&lt;201,E221,IF(E221&lt;301,E221/2,E221/3)))</f>
        <v>366.9716699999999</v>
      </c>
      <c r="G221" s="67">
        <v>0</v>
      </c>
      <c r="H221" s="67">
        <f t="shared" ref="H221:H227" si="46">(F221+(IF(G221&lt;101,G221,IF(G221&lt;201,G221/2,IF(G221&lt;=301,G221/3,G221/4)))))*(($H$128)+1)</f>
        <v>550.45750499999986</v>
      </c>
    </row>
    <row r="222" spans="1:20" s="32" customFormat="1" x14ac:dyDescent="0.25">
      <c r="A222" s="114">
        <f t="shared" si="44"/>
        <v>43</v>
      </c>
      <c r="B222" s="115"/>
      <c r="C222" s="71" t="s">
        <v>340</v>
      </c>
      <c r="D222" s="70">
        <f t="shared" si="41"/>
        <v>366.9716699999999</v>
      </c>
      <c r="E222" s="67">
        <v>0</v>
      </c>
      <c r="F222" s="67">
        <f t="shared" si="45"/>
        <v>366.9716699999999</v>
      </c>
      <c r="G222" s="67">
        <v>0</v>
      </c>
      <c r="H222" s="67">
        <f t="shared" si="46"/>
        <v>550.45750499999986</v>
      </c>
    </row>
    <row r="223" spans="1:20" s="32" customFormat="1" x14ac:dyDescent="0.25">
      <c r="A223" s="114">
        <f t="shared" si="44"/>
        <v>44</v>
      </c>
      <c r="B223" s="115"/>
      <c r="C223" s="71" t="s">
        <v>340</v>
      </c>
      <c r="D223" s="70">
        <f t="shared" si="41"/>
        <v>366.9716699999999</v>
      </c>
      <c r="E223" s="67">
        <v>0</v>
      </c>
      <c r="F223" s="67">
        <f t="shared" si="45"/>
        <v>366.9716699999999</v>
      </c>
      <c r="G223" s="67">
        <v>0</v>
      </c>
      <c r="H223" s="67">
        <f t="shared" si="46"/>
        <v>550.45750499999986</v>
      </c>
    </row>
    <row r="224" spans="1:20" s="32" customFormat="1" x14ac:dyDescent="0.25">
      <c r="A224" s="114">
        <f t="shared" si="44"/>
        <v>45</v>
      </c>
      <c r="B224" s="115"/>
      <c r="C224" s="71" t="s">
        <v>340</v>
      </c>
      <c r="D224" s="70">
        <f t="shared" si="41"/>
        <v>366.9716699999999</v>
      </c>
      <c r="E224" s="67">
        <v>0</v>
      </c>
      <c r="F224" s="67">
        <f t="shared" si="45"/>
        <v>366.9716699999999</v>
      </c>
      <c r="G224" s="67">
        <v>0</v>
      </c>
      <c r="H224" s="67">
        <f t="shared" si="46"/>
        <v>550.45750499999986</v>
      </c>
    </row>
    <row r="225" spans="1:20" s="32" customFormat="1" x14ac:dyDescent="0.25">
      <c r="A225" s="114">
        <f t="shared" si="44"/>
        <v>46</v>
      </c>
      <c r="B225" s="115"/>
      <c r="C225" s="71" t="s">
        <v>340</v>
      </c>
      <c r="D225" s="70">
        <f t="shared" si="41"/>
        <v>366.9716699999999</v>
      </c>
      <c r="E225" s="67">
        <v>0</v>
      </c>
      <c r="F225" s="67">
        <f t="shared" si="45"/>
        <v>366.9716699999999</v>
      </c>
      <c r="G225" s="67">
        <v>0</v>
      </c>
      <c r="H225" s="67">
        <f t="shared" si="46"/>
        <v>550.45750499999986</v>
      </c>
    </row>
    <row r="226" spans="1:20" s="32" customFormat="1" x14ac:dyDescent="0.25">
      <c r="A226" s="114">
        <f t="shared" si="44"/>
        <v>47</v>
      </c>
      <c r="B226" s="115"/>
      <c r="C226" s="71" t="s">
        <v>340</v>
      </c>
      <c r="D226" s="70">
        <f t="shared" si="41"/>
        <v>366.9716699999999</v>
      </c>
      <c r="E226" s="67">
        <v>0</v>
      </c>
      <c r="F226" s="67">
        <f t="shared" si="45"/>
        <v>366.9716699999999</v>
      </c>
      <c r="G226" s="67">
        <v>0</v>
      </c>
      <c r="H226" s="67">
        <f t="shared" si="46"/>
        <v>550.45750499999986</v>
      </c>
    </row>
    <row r="227" spans="1:20" x14ac:dyDescent="0.25">
      <c r="A227" s="114">
        <f t="shared" si="44"/>
        <v>48</v>
      </c>
      <c r="B227" s="115"/>
      <c r="C227" s="71" t="s">
        <v>340</v>
      </c>
      <c r="D227" s="70">
        <f>(3.35*8.7+1.85*1.75+1.2*1.4+0.45*0.65)*10.764</f>
        <v>369.79721999999992</v>
      </c>
      <c r="E227" s="67">
        <v>0</v>
      </c>
      <c r="F227" s="67">
        <f t="shared" si="45"/>
        <v>369.79721999999992</v>
      </c>
      <c r="G227" s="67">
        <v>0</v>
      </c>
      <c r="H227" s="67">
        <f t="shared" si="46"/>
        <v>554.69582999999989</v>
      </c>
      <c r="T227" s="32"/>
    </row>
    <row r="228" spans="1:20" x14ac:dyDescent="0.25">
      <c r="A228" s="114">
        <v>49</v>
      </c>
      <c r="B228" s="115"/>
      <c r="C228" s="71" t="s">
        <v>340</v>
      </c>
      <c r="D228" s="70">
        <f>(6.62*4.15+1.75*1.15+1.75*1.35+1.15*1.4+0.5*0.65)*10.764</f>
        <v>363.64021200000008</v>
      </c>
      <c r="E228" s="67">
        <v>0</v>
      </c>
      <c r="F228" s="67">
        <f>D228+(IF(E228&lt;201,E228,IF(E228&lt;301,E228/2,E228/3)))</f>
        <v>363.64021200000008</v>
      </c>
      <c r="G228" s="57">
        <v>0</v>
      </c>
      <c r="H228" s="67">
        <f>(F228+(IF(G228&lt;101,G228,IF(G228&lt;201,G228/2,IF(G228&lt;=301,G228/3,G228/4)))))*(($H$128)+1)</f>
        <v>545.46031800000014</v>
      </c>
      <c r="T228" s="32"/>
    </row>
    <row r="229" spans="1:20" ht="15.75" customHeight="1" x14ac:dyDescent="0.25">
      <c r="A229" s="114">
        <f>A228+1</f>
        <v>50</v>
      </c>
      <c r="B229" s="115"/>
      <c r="C229" s="71" t="s">
        <v>340</v>
      </c>
      <c r="D229" s="70">
        <f>(6.62*4.15+2.65*1.75+1.05*1.4+0.6*0.65)*10.764</f>
        <v>365.65846199999999</v>
      </c>
      <c r="E229" s="67">
        <v>0</v>
      </c>
      <c r="F229" s="67">
        <f t="shared" ref="F229:F230" si="47">D229+(IF(E229&lt;201,E229,IF(E229&lt;301,E229/2,E229/3)))</f>
        <v>365.65846199999999</v>
      </c>
      <c r="G229" s="67">
        <v>0</v>
      </c>
      <c r="H229" s="67">
        <f t="shared" ref="H229:H230" si="48">(F229+(IF(G229&lt;101,G229,IF(G229&lt;201,G229/2,IF(G229&lt;=301,G229/3,G229/4)))))*(($H$128)+1)</f>
        <v>548.48769300000004</v>
      </c>
      <c r="T229" s="32"/>
    </row>
    <row r="230" spans="1:20" ht="17.25" customHeight="1" x14ac:dyDescent="0.25">
      <c r="A230" s="114">
        <f>A229+1</f>
        <v>51</v>
      </c>
      <c r="B230" s="115"/>
      <c r="C230" s="71" t="s">
        <v>340</v>
      </c>
      <c r="D230" s="70">
        <f>(6.62*4.15+2.75*1.75+1.05*1.4+0.6*0.65)*10.764</f>
        <v>367.54216199999996</v>
      </c>
      <c r="E230" s="67">
        <v>0</v>
      </c>
      <c r="F230" s="67">
        <f t="shared" si="47"/>
        <v>367.54216199999996</v>
      </c>
      <c r="G230" s="67">
        <v>0</v>
      </c>
      <c r="H230" s="67">
        <f t="shared" si="48"/>
        <v>551.31324299999994</v>
      </c>
      <c r="T230" s="32"/>
    </row>
    <row r="231" spans="1:20" s="75" customFormat="1" ht="15.75" customHeight="1" x14ac:dyDescent="0.25">
      <c r="A231" s="146" t="s">
        <v>347</v>
      </c>
      <c r="B231" s="147"/>
      <c r="C231" s="147"/>
      <c r="D231" s="147"/>
      <c r="E231" s="147"/>
      <c r="F231" s="147"/>
      <c r="G231" s="147"/>
      <c r="H231" s="148"/>
      <c r="I231" s="33"/>
      <c r="L231" s="116"/>
      <c r="M231" s="116"/>
      <c r="N231" s="33"/>
      <c r="T231" s="18"/>
    </row>
    <row r="232" spans="1:20" s="75" customFormat="1" ht="15.75" customHeight="1" x14ac:dyDescent="0.25">
      <c r="A232" s="114">
        <v>2</v>
      </c>
      <c r="B232" s="115"/>
      <c r="C232" s="76" t="s">
        <v>340</v>
      </c>
      <c r="D232" s="70">
        <f>(6.72*3.4+1.65*1.36+1.5*0.75+1.6*0.99)*10.764</f>
        <v>299.24996399999998</v>
      </c>
      <c r="E232" s="76">
        <v>0</v>
      </c>
      <c r="F232" s="76">
        <f>D232+(IF(E232&lt;201,E232,IF(E232&lt;301,E232/2,E232/3)))</f>
        <v>299.24996399999998</v>
      </c>
      <c r="G232" s="57">
        <v>0</v>
      </c>
      <c r="H232" s="76">
        <f>(F232+(IF(G232&lt;101,G232,IF(G232&lt;201,G232/2,IF(G232&lt;=301,G232/3,G232/4)))))*(($H$128)+1)</f>
        <v>448.87494599999997</v>
      </c>
      <c r="I232" s="33"/>
      <c r="L232" s="116"/>
      <c r="M232" s="116"/>
      <c r="N232" s="33"/>
      <c r="T232" s="18"/>
    </row>
    <row r="233" spans="1:20" s="75" customFormat="1" ht="15.75" customHeight="1" x14ac:dyDescent="0.25">
      <c r="A233" s="114">
        <v>3</v>
      </c>
      <c r="B233" s="115"/>
      <c r="C233" s="76" t="s">
        <v>340</v>
      </c>
      <c r="D233" s="70">
        <f>(4.49*5.31+2.74*1.6+1.65*1.5+2.24*0.75+0.6*0.3)*10.764</f>
        <v>350.48552759999995</v>
      </c>
      <c r="E233" s="76">
        <v>0</v>
      </c>
      <c r="F233" s="76">
        <f>D233+(IF(E233&lt;201,E233,IF(E233&lt;301,E233/2,E233/3)))</f>
        <v>350.48552759999995</v>
      </c>
      <c r="G233" s="57">
        <v>0</v>
      </c>
      <c r="H233" s="76">
        <f>(F233+(IF(G233&lt;101,G233,IF(G233&lt;201,G233/2,IF(G233&lt;=301,G233/3,G233/4)))))*(($H$128)+1)</f>
        <v>525.72829139999999</v>
      </c>
      <c r="I233" s="33"/>
      <c r="L233" s="116"/>
      <c r="M233" s="116"/>
      <c r="N233" s="33"/>
      <c r="T233" s="18"/>
    </row>
    <row r="234" spans="1:20" s="75" customFormat="1" x14ac:dyDescent="0.25">
      <c r="A234" s="114">
        <f>A233+1</f>
        <v>4</v>
      </c>
      <c r="B234" s="115"/>
      <c r="C234" s="76" t="s">
        <v>340</v>
      </c>
      <c r="D234" s="70">
        <f>(3.35*6.06+1.77*1.6+1.4*1.05+0.65*0.45)*10.764</f>
        <v>267.97516199999995</v>
      </c>
      <c r="E234" s="76">
        <v>0</v>
      </c>
      <c r="F234" s="76">
        <f t="shared" ref="F234:F236" si="49">D234+(IF(E234&lt;201,E234,IF(E234&lt;301,E234/2,E234/3)))</f>
        <v>267.97516199999995</v>
      </c>
      <c r="G234" s="76">
        <v>0</v>
      </c>
      <c r="H234" s="76">
        <f t="shared" ref="H234:H236" si="50">(F234+(IF(G234&lt;101,G234,IF(G234&lt;201,G234/2,IF(G234&lt;=301,G234/3,G234/4)))))*(($H$128)+1)</f>
        <v>401.96274299999993</v>
      </c>
      <c r="I234" s="33"/>
      <c r="N234" s="33"/>
    </row>
    <row r="235" spans="1:20" x14ac:dyDescent="0.25">
      <c r="A235" s="114">
        <f>A234+1</f>
        <v>5</v>
      </c>
      <c r="B235" s="115"/>
      <c r="C235" s="76" t="s">
        <v>340</v>
      </c>
      <c r="D235" s="70">
        <f>(3.35*6.06+1.77*1.6+1.4*1.05+0.65*0.45)*10.764</f>
        <v>267.97516199999995</v>
      </c>
      <c r="E235" s="76">
        <v>0</v>
      </c>
      <c r="F235" s="76">
        <f t="shared" si="49"/>
        <v>267.97516199999995</v>
      </c>
      <c r="G235" s="76">
        <v>0</v>
      </c>
      <c r="H235" s="76">
        <f t="shared" si="50"/>
        <v>401.96274299999993</v>
      </c>
      <c r="I235" s="33"/>
      <c r="T235" s="75"/>
    </row>
    <row r="236" spans="1:20" s="75" customFormat="1" x14ac:dyDescent="0.25">
      <c r="A236" s="114">
        <f>A235+1</f>
        <v>6</v>
      </c>
      <c r="B236" s="115"/>
      <c r="C236" s="76" t="s">
        <v>340</v>
      </c>
      <c r="D236" s="70">
        <f>(3.35*6.06+1.77*1.6+1.4*1.05+0.65*0.45)*10.764</f>
        <v>267.97516199999995</v>
      </c>
      <c r="E236" s="76">
        <v>0</v>
      </c>
      <c r="F236" s="76">
        <f t="shared" si="49"/>
        <v>267.97516199999995</v>
      </c>
      <c r="G236" s="76">
        <v>0</v>
      </c>
      <c r="H236" s="76">
        <f t="shared" si="50"/>
        <v>401.96274299999993</v>
      </c>
      <c r="I236" s="33"/>
    </row>
    <row r="237" spans="1:20" s="75" customFormat="1" x14ac:dyDescent="0.25">
      <c r="A237" s="114">
        <v>7</v>
      </c>
      <c r="B237" s="115"/>
      <c r="C237" s="76" t="s">
        <v>340</v>
      </c>
      <c r="D237" s="70">
        <f>(3.35*6.06+1.77*1.6+1.4*1.05+0.65*0.45)*10.764</f>
        <v>267.97516199999995</v>
      </c>
      <c r="E237" s="76">
        <v>0</v>
      </c>
      <c r="F237" s="76">
        <f>D237+(IF(E237&lt;201,E237,IF(E237&lt;301,E237/2,E237/3)))</f>
        <v>267.97516199999995</v>
      </c>
      <c r="G237" s="57">
        <v>0</v>
      </c>
      <c r="H237" s="76">
        <f>(F237+(IF(G237&lt;101,G237,IF(G237&lt;201,G237/2,IF(G237&lt;=301,G237/3,G237/4)))))*(($H$128)+1)</f>
        <v>401.96274299999993</v>
      </c>
      <c r="J237" s="33"/>
    </row>
    <row r="238" spans="1:20" s="75" customFormat="1" ht="15.75" customHeight="1" x14ac:dyDescent="0.25">
      <c r="A238" s="114">
        <f>A237+1</f>
        <v>8</v>
      </c>
      <c r="B238" s="115"/>
      <c r="C238" s="76" t="s">
        <v>340</v>
      </c>
      <c r="D238" s="70">
        <f>(3.35*5.31+1.77*1.6+1.2*0.9+1.48*1.5+0.6*0.3)*10.764</f>
        <v>259.41778199999993</v>
      </c>
      <c r="E238" s="76">
        <v>0</v>
      </c>
      <c r="F238" s="76">
        <f t="shared" ref="F238:F240" si="51">D238+(IF(E238&lt;201,E238,IF(E238&lt;301,E238/2,E238/3)))</f>
        <v>259.41778199999993</v>
      </c>
      <c r="G238" s="76">
        <v>0</v>
      </c>
      <c r="H238" s="76">
        <f t="shared" ref="H238:H240" si="52">(F238+(IF(G238&lt;101,G238,IF(G238&lt;201,G238/2,IF(G238&lt;=301,G238/3,G238/4)))))*(($H$128)+1)</f>
        <v>389.12667299999987</v>
      </c>
      <c r="I238" s="33"/>
      <c r="L238" s="116"/>
      <c r="M238" s="116"/>
      <c r="N238" s="33"/>
    </row>
    <row r="239" spans="1:20" s="75" customFormat="1" ht="15.75" customHeight="1" x14ac:dyDescent="0.25">
      <c r="A239" s="114">
        <f>A238+1</f>
        <v>9</v>
      </c>
      <c r="B239" s="115"/>
      <c r="C239" s="76" t="s">
        <v>340</v>
      </c>
      <c r="D239" s="70">
        <f>(3.35*5.31+1.77*1.6+1.2*0.9+1.48*1.5+0.6*0.3)*10.764</f>
        <v>259.41778199999993</v>
      </c>
      <c r="E239" s="76">
        <v>0</v>
      </c>
      <c r="F239" s="76">
        <f t="shared" si="51"/>
        <v>259.41778199999993</v>
      </c>
      <c r="G239" s="76">
        <v>0</v>
      </c>
      <c r="H239" s="76">
        <f t="shared" si="52"/>
        <v>389.12667299999987</v>
      </c>
      <c r="I239" s="33"/>
      <c r="L239" s="116"/>
      <c r="M239" s="116"/>
      <c r="N239" s="33"/>
    </row>
    <row r="240" spans="1:20" s="75" customFormat="1" ht="15.75" customHeight="1" x14ac:dyDescent="0.25">
      <c r="A240" s="114">
        <f>A239+1</f>
        <v>10</v>
      </c>
      <c r="B240" s="115"/>
      <c r="C240" s="76" t="s">
        <v>340</v>
      </c>
      <c r="D240" s="70">
        <f t="shared" ref="D240:D249" si="53">(3.35*6.06+1.77*1.6+1.4*1.05+0.65*0.45)*10.764</f>
        <v>267.97516199999995</v>
      </c>
      <c r="E240" s="76">
        <v>0</v>
      </c>
      <c r="F240" s="76">
        <f t="shared" si="51"/>
        <v>267.97516199999995</v>
      </c>
      <c r="G240" s="76">
        <v>0</v>
      </c>
      <c r="H240" s="76">
        <f t="shared" si="52"/>
        <v>401.96274299999993</v>
      </c>
      <c r="I240" s="33"/>
      <c r="L240" s="116"/>
      <c r="M240" s="116"/>
      <c r="N240" s="33"/>
    </row>
    <row r="241" spans="1:20" s="75" customFormat="1" ht="15.75" customHeight="1" x14ac:dyDescent="0.25">
      <c r="A241" s="114">
        <v>11</v>
      </c>
      <c r="B241" s="115"/>
      <c r="C241" s="76" t="s">
        <v>340</v>
      </c>
      <c r="D241" s="70">
        <f t="shared" si="53"/>
        <v>267.97516199999995</v>
      </c>
      <c r="E241" s="76">
        <v>0</v>
      </c>
      <c r="F241" s="76">
        <f>D241+(IF(E241&lt;201,E241,IF(E241&lt;301,E241/2,E241/3)))</f>
        <v>267.97516199999995</v>
      </c>
      <c r="G241" s="57">
        <v>0</v>
      </c>
      <c r="H241" s="76">
        <f>(F241+(IF(G241&lt;101,G241,IF(G241&lt;201,G241/2,IF(G241&lt;=301,G241/3,G241/4)))))*(($H$128)+1)</f>
        <v>401.96274299999993</v>
      </c>
      <c r="I241" s="33"/>
      <c r="L241" s="116"/>
      <c r="M241" s="116"/>
      <c r="N241" s="33"/>
      <c r="T241" s="18"/>
    </row>
    <row r="242" spans="1:20" s="75" customFormat="1" x14ac:dyDescent="0.25">
      <c r="A242" s="114">
        <f>A241+1</f>
        <v>12</v>
      </c>
      <c r="B242" s="115"/>
      <c r="C242" s="76" t="s">
        <v>340</v>
      </c>
      <c r="D242" s="70">
        <f t="shared" si="53"/>
        <v>267.97516199999995</v>
      </c>
      <c r="E242" s="76">
        <v>0</v>
      </c>
      <c r="F242" s="76">
        <f t="shared" ref="F242:F243" si="54">D242+(IF(E242&lt;201,E242,IF(E242&lt;301,E242/2,E242/3)))</f>
        <v>267.97516199999995</v>
      </c>
      <c r="G242" s="76">
        <v>0</v>
      </c>
      <c r="H242" s="76">
        <f t="shared" ref="H242:H243" si="55">(F242+(IF(G242&lt;101,G242,IF(G242&lt;201,G242/2,IF(G242&lt;=301,G242/3,G242/4)))))*(($H$128)+1)</f>
        <v>401.96274299999993</v>
      </c>
      <c r="I242" s="33"/>
      <c r="L242" s="116"/>
      <c r="M242" s="116"/>
    </row>
    <row r="243" spans="1:20" s="75" customFormat="1" x14ac:dyDescent="0.25">
      <c r="A243" s="114">
        <v>14</v>
      </c>
      <c r="B243" s="115"/>
      <c r="C243" s="76" t="s">
        <v>340</v>
      </c>
      <c r="D243" s="70">
        <f t="shared" si="53"/>
        <v>267.97516199999995</v>
      </c>
      <c r="E243" s="76">
        <v>0</v>
      </c>
      <c r="F243" s="76">
        <f t="shared" si="54"/>
        <v>267.97516199999995</v>
      </c>
      <c r="G243" s="76">
        <v>0</v>
      </c>
      <c r="H243" s="76">
        <f t="shared" si="55"/>
        <v>401.96274299999993</v>
      </c>
      <c r="I243" s="33"/>
      <c r="N243" s="33"/>
    </row>
    <row r="244" spans="1:20" s="75" customFormat="1" x14ac:dyDescent="0.25">
      <c r="A244" s="114">
        <v>15</v>
      </c>
      <c r="B244" s="115"/>
      <c r="C244" s="76" t="s">
        <v>340</v>
      </c>
      <c r="D244" s="70">
        <f t="shared" si="53"/>
        <v>267.97516199999995</v>
      </c>
      <c r="E244" s="76">
        <v>0</v>
      </c>
      <c r="F244" s="76">
        <f>D244+(IF(E244&lt;201,E244,IF(E244&lt;301,E244/2,E244/3)))</f>
        <v>267.97516199999995</v>
      </c>
      <c r="G244" s="57">
        <v>0</v>
      </c>
      <c r="H244" s="76">
        <f>(F244+(IF(G244&lt;101,G244,IF(G244&lt;201,G244/2,IF(G244&lt;=301,G244/3,G244/4)))))*(($H$128)+1)</f>
        <v>401.96274299999993</v>
      </c>
      <c r="I244" s="33"/>
      <c r="N244" s="33"/>
    </row>
    <row r="245" spans="1:20" s="75" customFormat="1" x14ac:dyDescent="0.25">
      <c r="A245" s="114">
        <f>A244+1</f>
        <v>16</v>
      </c>
      <c r="B245" s="115"/>
      <c r="C245" s="76" t="s">
        <v>340</v>
      </c>
      <c r="D245" s="70">
        <f t="shared" si="53"/>
        <v>267.97516199999995</v>
      </c>
      <c r="E245" s="76">
        <v>0</v>
      </c>
      <c r="F245" s="76">
        <f t="shared" ref="F245:F249" si="56">D245+(IF(E245&lt;201,E245,IF(E245&lt;301,E245/2,E245/3)))</f>
        <v>267.97516199999995</v>
      </c>
      <c r="G245" s="76">
        <v>0</v>
      </c>
      <c r="H245" s="76">
        <f t="shared" ref="H245:H249" si="57">(F245+(IF(G245&lt;101,G245,IF(G245&lt;201,G245/2,IF(G245&lt;=301,G245/3,G245/4)))))*(($H$128)+1)</f>
        <v>401.96274299999993</v>
      </c>
      <c r="I245" s="33"/>
      <c r="N245" s="33"/>
    </row>
    <row r="246" spans="1:20" s="75" customFormat="1" x14ac:dyDescent="0.25">
      <c r="A246" s="114">
        <f>A245+1</f>
        <v>17</v>
      </c>
      <c r="B246" s="115"/>
      <c r="C246" s="76" t="s">
        <v>340</v>
      </c>
      <c r="D246" s="70">
        <f t="shared" si="53"/>
        <v>267.97516199999995</v>
      </c>
      <c r="E246" s="76">
        <v>0</v>
      </c>
      <c r="F246" s="76">
        <f t="shared" si="56"/>
        <v>267.97516199999995</v>
      </c>
      <c r="G246" s="76">
        <v>0</v>
      </c>
      <c r="H246" s="76">
        <f t="shared" si="57"/>
        <v>401.96274299999993</v>
      </c>
      <c r="I246" s="33"/>
      <c r="N246" s="33"/>
    </row>
    <row r="247" spans="1:20" s="75" customFormat="1" ht="15.75" customHeight="1" x14ac:dyDescent="0.25">
      <c r="A247" s="114">
        <f>A246+1</f>
        <v>18</v>
      </c>
      <c r="B247" s="115"/>
      <c r="C247" s="76" t="s">
        <v>340</v>
      </c>
      <c r="D247" s="70">
        <f t="shared" si="53"/>
        <v>267.97516199999995</v>
      </c>
      <c r="E247" s="76">
        <v>0</v>
      </c>
      <c r="F247" s="76">
        <f t="shared" si="56"/>
        <v>267.97516199999995</v>
      </c>
      <c r="G247" s="76">
        <v>0</v>
      </c>
      <c r="H247" s="76">
        <f t="shared" si="57"/>
        <v>401.96274299999993</v>
      </c>
      <c r="I247" s="33"/>
    </row>
    <row r="248" spans="1:20" s="75" customFormat="1" ht="15.75" customHeight="1" x14ac:dyDescent="0.25">
      <c r="A248" s="114">
        <f>A247+1</f>
        <v>19</v>
      </c>
      <c r="B248" s="115"/>
      <c r="C248" s="76" t="s">
        <v>340</v>
      </c>
      <c r="D248" s="70">
        <f t="shared" si="53"/>
        <v>267.97516199999995</v>
      </c>
      <c r="E248" s="76">
        <v>0</v>
      </c>
      <c r="F248" s="76">
        <f t="shared" si="56"/>
        <v>267.97516199999995</v>
      </c>
      <c r="G248" s="76">
        <v>0</v>
      </c>
      <c r="H248" s="76">
        <f t="shared" si="57"/>
        <v>401.96274299999993</v>
      </c>
      <c r="I248" s="33"/>
    </row>
    <row r="249" spans="1:20" s="75" customFormat="1" ht="15.75" customHeight="1" x14ac:dyDescent="0.25">
      <c r="A249" s="114">
        <f>A248+1</f>
        <v>20</v>
      </c>
      <c r="B249" s="115"/>
      <c r="C249" s="76" t="s">
        <v>340</v>
      </c>
      <c r="D249" s="70">
        <f t="shared" si="53"/>
        <v>267.97516199999995</v>
      </c>
      <c r="E249" s="76">
        <v>0</v>
      </c>
      <c r="F249" s="76">
        <f t="shared" si="56"/>
        <v>267.97516199999995</v>
      </c>
      <c r="G249" s="76">
        <v>0</v>
      </c>
      <c r="H249" s="76">
        <f t="shared" si="57"/>
        <v>401.96274299999993</v>
      </c>
      <c r="I249" s="33"/>
    </row>
    <row r="250" spans="1:20" s="75" customFormat="1" ht="15.75" customHeight="1" x14ac:dyDescent="0.25">
      <c r="A250" s="114">
        <v>21</v>
      </c>
      <c r="B250" s="115"/>
      <c r="C250" s="76" t="s">
        <v>340</v>
      </c>
      <c r="D250" s="70">
        <f>(3.35*6.06+1.85*1.6+1.4*1.05+0.65*0.45)*10.764</f>
        <v>269.35295399999995</v>
      </c>
      <c r="E250" s="76">
        <v>0</v>
      </c>
      <c r="F250" s="76">
        <f>D250+(IF(E250&lt;201,E250,IF(E250&lt;301,E250/2,E250/3)))</f>
        <v>269.35295399999995</v>
      </c>
      <c r="G250" s="57">
        <v>0</v>
      </c>
      <c r="H250" s="76">
        <f>(F250+(IF(G250&lt;101,G250,IF(G250&lt;201,G250/2,IF(G250&lt;=301,G250/3,G250/4)))))*(($H$128)+1)</f>
        <v>404.02943099999993</v>
      </c>
      <c r="I250" s="33"/>
    </row>
    <row r="251" spans="1:20" s="75" customFormat="1" ht="15.75" customHeight="1" x14ac:dyDescent="0.25">
      <c r="A251" s="114">
        <f t="shared" ref="A251:A257" si="58">A250+1</f>
        <v>22</v>
      </c>
      <c r="B251" s="115"/>
      <c r="C251" s="76" t="s">
        <v>340</v>
      </c>
      <c r="D251" s="70">
        <f>(6.3*4.45+1.9*2.93+1.2*1.4+0.45*0.65)*10.764</f>
        <v>382.92391799999996</v>
      </c>
      <c r="E251" s="76">
        <v>0</v>
      </c>
      <c r="F251" s="76">
        <f t="shared" ref="F251:F257" si="59">D251+(IF(E251&lt;201,E251,IF(E251&lt;301,E251/2,E251/3)))</f>
        <v>382.92391799999996</v>
      </c>
      <c r="G251" s="76">
        <v>0</v>
      </c>
      <c r="H251" s="76">
        <f t="shared" ref="H251:H257" si="60">(F251+(IF(G251&lt;101,G251,IF(G251&lt;201,G251/2,IF(G251&lt;=301,G251/3,G251/4)))))*(($H$128)+1)</f>
        <v>574.38587699999994</v>
      </c>
      <c r="I251" s="33"/>
    </row>
    <row r="252" spans="1:20" s="75" customFormat="1" ht="15.75" customHeight="1" x14ac:dyDescent="0.25">
      <c r="A252" s="114">
        <f t="shared" si="58"/>
        <v>23</v>
      </c>
      <c r="B252" s="115"/>
      <c r="C252" s="76" t="s">
        <v>340</v>
      </c>
      <c r="D252" s="70">
        <f>(6.3*4.45+1.9*2.8+1.2*1.4+0.45*0.65)*10.764</f>
        <v>380.26520999999991</v>
      </c>
      <c r="E252" s="76">
        <v>0</v>
      </c>
      <c r="F252" s="76">
        <f t="shared" si="59"/>
        <v>380.26520999999991</v>
      </c>
      <c r="G252" s="76">
        <v>0</v>
      </c>
      <c r="H252" s="76">
        <f t="shared" si="60"/>
        <v>570.39781499999981</v>
      </c>
      <c r="I252" s="33"/>
    </row>
    <row r="253" spans="1:20" s="75" customFormat="1" x14ac:dyDescent="0.25">
      <c r="A253" s="114">
        <f t="shared" si="58"/>
        <v>24</v>
      </c>
      <c r="B253" s="115"/>
      <c r="C253" s="76" t="s">
        <v>340</v>
      </c>
      <c r="D253" s="70">
        <f>(6.3*4.45+1.9*2.8+1.2*1.4+0.45*0.65)*10.764</f>
        <v>380.26520999999991</v>
      </c>
      <c r="E253" s="76">
        <v>0</v>
      </c>
      <c r="F253" s="76">
        <f t="shared" si="59"/>
        <v>380.26520999999991</v>
      </c>
      <c r="G253" s="76">
        <v>0</v>
      </c>
      <c r="H253" s="76">
        <f t="shared" si="60"/>
        <v>570.39781499999981</v>
      </c>
      <c r="I253" s="33"/>
    </row>
    <row r="254" spans="1:20" s="75" customFormat="1" ht="15.75" customHeight="1" x14ac:dyDescent="0.25">
      <c r="A254" s="114">
        <f t="shared" si="58"/>
        <v>25</v>
      </c>
      <c r="B254" s="115"/>
      <c r="C254" s="76" t="s">
        <v>340</v>
      </c>
      <c r="D254" s="70">
        <f>(6.3*4.45+1.9*2.8+1.2*1.4+0.45*0.65)*10.764</f>
        <v>380.26520999999991</v>
      </c>
      <c r="E254" s="76">
        <v>0</v>
      </c>
      <c r="F254" s="76">
        <f t="shared" si="59"/>
        <v>380.26520999999991</v>
      </c>
      <c r="G254" s="76">
        <v>0</v>
      </c>
      <c r="H254" s="76">
        <f t="shared" si="60"/>
        <v>570.39781499999981</v>
      </c>
      <c r="I254" s="33"/>
    </row>
    <row r="255" spans="1:20" s="75" customFormat="1" ht="15.75" customHeight="1" x14ac:dyDescent="0.25">
      <c r="A255" s="114">
        <f t="shared" si="58"/>
        <v>26</v>
      </c>
      <c r="B255" s="115"/>
      <c r="C255" s="76" t="s">
        <v>340</v>
      </c>
      <c r="D255" s="70">
        <f>(6.3*4.5+1.9*1.35+1.7*1.42+1.15*1.4+0.45*0.65)*10.764</f>
        <v>379.23186599999997</v>
      </c>
      <c r="E255" s="76">
        <v>0</v>
      </c>
      <c r="F255" s="76">
        <f t="shared" si="59"/>
        <v>379.23186599999997</v>
      </c>
      <c r="G255" s="76">
        <v>0</v>
      </c>
      <c r="H255" s="76">
        <f t="shared" si="60"/>
        <v>568.8477989999999</v>
      </c>
      <c r="I255" s="33"/>
    </row>
    <row r="256" spans="1:20" s="75" customFormat="1" ht="15.75" customHeight="1" x14ac:dyDescent="0.25">
      <c r="A256" s="114">
        <f t="shared" si="58"/>
        <v>27</v>
      </c>
      <c r="B256" s="115"/>
      <c r="C256" s="76" t="s">
        <v>340</v>
      </c>
      <c r="D256" s="70">
        <f>(3.35*8.7+1.85*1.75+1.2*1.4+0.45*0.65)*10.764</f>
        <v>369.79721999999992</v>
      </c>
      <c r="E256" s="76">
        <v>0</v>
      </c>
      <c r="F256" s="76">
        <f t="shared" si="59"/>
        <v>369.79721999999992</v>
      </c>
      <c r="G256" s="76">
        <v>0</v>
      </c>
      <c r="H256" s="76">
        <f t="shared" si="60"/>
        <v>554.69582999999989</v>
      </c>
      <c r="I256" s="33"/>
    </row>
    <row r="257" spans="1:20" s="75" customFormat="1" ht="15.75" customHeight="1" x14ac:dyDescent="0.25">
      <c r="A257" s="114">
        <f t="shared" si="58"/>
        <v>28</v>
      </c>
      <c r="B257" s="115"/>
      <c r="C257" s="76" t="s">
        <v>340</v>
      </c>
      <c r="D257" s="70">
        <f t="shared" ref="D257:D265" si="61">(3.35*8.7+1.78*1.75+1.2*1.4+0.45*0.65)*10.764</f>
        <v>368.4786299999999</v>
      </c>
      <c r="E257" s="76">
        <v>0</v>
      </c>
      <c r="F257" s="76">
        <f t="shared" si="59"/>
        <v>368.4786299999999</v>
      </c>
      <c r="G257" s="76">
        <v>0</v>
      </c>
      <c r="H257" s="76">
        <f t="shared" si="60"/>
        <v>552.71794499999987</v>
      </c>
      <c r="I257" s="33"/>
    </row>
    <row r="258" spans="1:20" s="75" customFormat="1" ht="15.75" customHeight="1" x14ac:dyDescent="0.25">
      <c r="A258" s="114">
        <v>29</v>
      </c>
      <c r="B258" s="115"/>
      <c r="C258" s="76" t="s">
        <v>340</v>
      </c>
      <c r="D258" s="70">
        <f t="shared" si="61"/>
        <v>368.4786299999999</v>
      </c>
      <c r="E258" s="76">
        <v>0</v>
      </c>
      <c r="F258" s="76">
        <f>D258+(IF(E258&lt;201,E258,IF(E258&lt;301,E258/2,E258/3)))</f>
        <v>368.4786299999999</v>
      </c>
      <c r="G258" s="57">
        <v>0</v>
      </c>
      <c r="H258" s="76">
        <f>(F258+(IF(G258&lt;101,G258,IF(G258&lt;201,G258/2,IF(G258&lt;=301,G258/3,G258/4)))))*(($H$128)+1)</f>
        <v>552.71794499999987</v>
      </c>
      <c r="I258" s="33"/>
    </row>
    <row r="259" spans="1:20" s="75" customFormat="1" x14ac:dyDescent="0.25">
      <c r="A259" s="114">
        <f t="shared" ref="A259:A265" si="62">A258+1</f>
        <v>30</v>
      </c>
      <c r="B259" s="115"/>
      <c r="C259" s="76" t="s">
        <v>340</v>
      </c>
      <c r="D259" s="70">
        <f t="shared" si="61"/>
        <v>368.4786299999999</v>
      </c>
      <c r="E259" s="76">
        <v>0</v>
      </c>
      <c r="F259" s="76">
        <f t="shared" ref="F259:F265" si="63">D259+(IF(E259&lt;201,E259,IF(E259&lt;301,E259/2,E259/3)))</f>
        <v>368.4786299999999</v>
      </c>
      <c r="G259" s="76">
        <v>0</v>
      </c>
      <c r="H259" s="76">
        <f t="shared" ref="H259:H265" si="64">(F259+(IF(G259&lt;101,G259,IF(G259&lt;201,G259/2,IF(G259&lt;=301,G259/3,G259/4)))))*(($H$128)+1)</f>
        <v>552.71794499999987</v>
      </c>
      <c r="I259" s="33"/>
    </row>
    <row r="260" spans="1:20" s="75" customFormat="1" ht="15.75" customHeight="1" x14ac:dyDescent="0.25">
      <c r="A260" s="114">
        <f t="shared" si="62"/>
        <v>31</v>
      </c>
      <c r="B260" s="115"/>
      <c r="C260" s="76" t="s">
        <v>340</v>
      </c>
      <c r="D260" s="70">
        <f t="shared" si="61"/>
        <v>368.4786299999999</v>
      </c>
      <c r="E260" s="76">
        <v>0</v>
      </c>
      <c r="F260" s="76">
        <f t="shared" si="63"/>
        <v>368.4786299999999</v>
      </c>
      <c r="G260" s="76">
        <v>0</v>
      </c>
      <c r="H260" s="76">
        <f t="shared" si="64"/>
        <v>552.71794499999987</v>
      </c>
      <c r="I260" s="33"/>
    </row>
    <row r="261" spans="1:20" s="75" customFormat="1" ht="15.75" customHeight="1" x14ac:dyDescent="0.25">
      <c r="A261" s="114">
        <f t="shared" si="62"/>
        <v>32</v>
      </c>
      <c r="B261" s="115"/>
      <c r="C261" s="76" t="s">
        <v>340</v>
      </c>
      <c r="D261" s="70">
        <f t="shared" si="61"/>
        <v>368.4786299999999</v>
      </c>
      <c r="E261" s="76">
        <v>0</v>
      </c>
      <c r="F261" s="76">
        <f t="shared" si="63"/>
        <v>368.4786299999999</v>
      </c>
      <c r="G261" s="76">
        <v>0</v>
      </c>
      <c r="H261" s="76">
        <f t="shared" si="64"/>
        <v>552.71794499999987</v>
      </c>
      <c r="I261" s="33"/>
    </row>
    <row r="262" spans="1:20" s="75" customFormat="1" ht="15.75" customHeight="1" x14ac:dyDescent="0.25">
      <c r="A262" s="114">
        <f t="shared" si="62"/>
        <v>33</v>
      </c>
      <c r="B262" s="115"/>
      <c r="C262" s="76" t="s">
        <v>340</v>
      </c>
      <c r="D262" s="70">
        <f t="shared" si="61"/>
        <v>368.4786299999999</v>
      </c>
      <c r="E262" s="76">
        <v>0</v>
      </c>
      <c r="F262" s="76">
        <f t="shared" si="63"/>
        <v>368.4786299999999</v>
      </c>
      <c r="G262" s="76">
        <v>0</v>
      </c>
      <c r="H262" s="76">
        <f t="shared" si="64"/>
        <v>552.71794499999987</v>
      </c>
      <c r="I262" s="33"/>
    </row>
    <row r="263" spans="1:20" s="75" customFormat="1" ht="15.75" customHeight="1" x14ac:dyDescent="0.25">
      <c r="A263" s="114">
        <f t="shared" si="62"/>
        <v>34</v>
      </c>
      <c r="B263" s="115"/>
      <c r="C263" s="76" t="s">
        <v>340</v>
      </c>
      <c r="D263" s="70">
        <f t="shared" si="61"/>
        <v>368.4786299999999</v>
      </c>
      <c r="E263" s="76">
        <v>0</v>
      </c>
      <c r="F263" s="76">
        <f t="shared" si="63"/>
        <v>368.4786299999999</v>
      </c>
      <c r="G263" s="76">
        <v>0</v>
      </c>
      <c r="H263" s="76">
        <f t="shared" si="64"/>
        <v>552.71794499999987</v>
      </c>
      <c r="I263" s="33"/>
    </row>
    <row r="264" spans="1:20" s="75" customFormat="1" ht="15.75" customHeight="1" x14ac:dyDescent="0.25">
      <c r="A264" s="114">
        <f t="shared" si="62"/>
        <v>35</v>
      </c>
      <c r="B264" s="115"/>
      <c r="C264" s="76" t="s">
        <v>340</v>
      </c>
      <c r="D264" s="70">
        <f t="shared" si="61"/>
        <v>368.4786299999999</v>
      </c>
      <c r="E264" s="76">
        <v>0</v>
      </c>
      <c r="F264" s="76">
        <f t="shared" si="63"/>
        <v>368.4786299999999</v>
      </c>
      <c r="G264" s="76">
        <v>0</v>
      </c>
      <c r="H264" s="76">
        <f t="shared" si="64"/>
        <v>552.71794499999987</v>
      </c>
      <c r="I264" s="33"/>
    </row>
    <row r="265" spans="1:20" s="32" customFormat="1" x14ac:dyDescent="0.25">
      <c r="A265" s="114">
        <f t="shared" si="62"/>
        <v>36</v>
      </c>
      <c r="B265" s="115"/>
      <c r="C265" s="76" t="s">
        <v>340</v>
      </c>
      <c r="D265" s="70">
        <f t="shared" si="61"/>
        <v>368.4786299999999</v>
      </c>
      <c r="E265" s="76">
        <v>0</v>
      </c>
      <c r="F265" s="76">
        <f t="shared" si="63"/>
        <v>368.4786299999999</v>
      </c>
      <c r="G265" s="76">
        <v>0</v>
      </c>
      <c r="H265" s="76">
        <f t="shared" si="64"/>
        <v>552.71794499999987</v>
      </c>
      <c r="T265" s="75"/>
    </row>
    <row r="266" spans="1:20" s="32" customFormat="1" x14ac:dyDescent="0.25">
      <c r="A266" s="114">
        <v>37</v>
      </c>
      <c r="B266" s="115"/>
      <c r="C266" s="76" t="s">
        <v>340</v>
      </c>
      <c r="D266" s="70">
        <f t="shared" ref="D266:D276" si="65">(3.35*8.7+1.7*1.75+1.2*1.4+0.45*0.65)*10.764</f>
        <v>366.9716699999999</v>
      </c>
      <c r="E266" s="76">
        <v>0</v>
      </c>
      <c r="F266" s="76">
        <f>D266+(IF(E266&lt;201,E266,IF(E266&lt;301,E266/2,E266/3)))</f>
        <v>366.9716699999999</v>
      </c>
      <c r="G266" s="57">
        <v>0</v>
      </c>
      <c r="H266" s="76">
        <f>(F266+(IF(G266&lt;101,G266,IF(G266&lt;201,G266/2,IF(G266&lt;=301,G266/3,G266/4)))))*(($H$128)+1)</f>
        <v>550.45750499999986</v>
      </c>
      <c r="T266" s="75"/>
    </row>
    <row r="267" spans="1:20" s="32" customFormat="1" x14ac:dyDescent="0.25">
      <c r="A267" s="114">
        <f>A266+1</f>
        <v>38</v>
      </c>
      <c r="B267" s="115"/>
      <c r="C267" s="76" t="s">
        <v>340</v>
      </c>
      <c r="D267" s="70">
        <f t="shared" si="65"/>
        <v>366.9716699999999</v>
      </c>
      <c r="E267" s="76">
        <v>0</v>
      </c>
      <c r="F267" s="76">
        <f t="shared" ref="F267:F269" si="66">D267+(IF(E267&lt;201,E267,IF(E267&lt;301,E267/2,E267/3)))</f>
        <v>366.9716699999999</v>
      </c>
      <c r="G267" s="76">
        <v>0</v>
      </c>
      <c r="H267" s="76">
        <f t="shared" ref="H267:H269" si="67">(F267+(IF(G267&lt;101,G267,IF(G267&lt;201,G267/2,IF(G267&lt;=301,G267/3,G267/4)))))*(($H$128)+1)</f>
        <v>550.45750499999986</v>
      </c>
      <c r="T267" s="75"/>
    </row>
    <row r="268" spans="1:20" s="32" customFormat="1" x14ac:dyDescent="0.25">
      <c r="A268" s="114">
        <f>A267+1</f>
        <v>39</v>
      </c>
      <c r="B268" s="115"/>
      <c r="C268" s="76" t="s">
        <v>340</v>
      </c>
      <c r="D268" s="70">
        <f t="shared" si="65"/>
        <v>366.9716699999999</v>
      </c>
      <c r="E268" s="76">
        <v>0</v>
      </c>
      <c r="F268" s="76">
        <f t="shared" si="66"/>
        <v>366.9716699999999</v>
      </c>
      <c r="G268" s="76">
        <v>0</v>
      </c>
      <c r="H268" s="76">
        <f t="shared" si="67"/>
        <v>550.45750499999986</v>
      </c>
      <c r="T268" s="75"/>
    </row>
    <row r="269" spans="1:20" s="32" customFormat="1" x14ac:dyDescent="0.25">
      <c r="A269" s="114">
        <f>A268+1</f>
        <v>40</v>
      </c>
      <c r="B269" s="115"/>
      <c r="C269" s="76" t="s">
        <v>340</v>
      </c>
      <c r="D269" s="70">
        <f t="shared" si="65"/>
        <v>366.9716699999999</v>
      </c>
      <c r="E269" s="76">
        <v>0</v>
      </c>
      <c r="F269" s="76">
        <f t="shared" si="66"/>
        <v>366.9716699999999</v>
      </c>
      <c r="G269" s="76">
        <v>0</v>
      </c>
      <c r="H269" s="76">
        <f t="shared" si="67"/>
        <v>550.45750499999986</v>
      </c>
      <c r="T269" s="75"/>
    </row>
    <row r="270" spans="1:20" s="32" customFormat="1" x14ac:dyDescent="0.25">
      <c r="A270" s="114">
        <v>41</v>
      </c>
      <c r="B270" s="115"/>
      <c r="C270" s="76" t="s">
        <v>340</v>
      </c>
      <c r="D270" s="70">
        <f t="shared" si="65"/>
        <v>366.9716699999999</v>
      </c>
      <c r="E270" s="76">
        <v>0</v>
      </c>
      <c r="F270" s="76">
        <f>D270+(IF(E270&lt;201,E270,IF(E270&lt;301,E270/2,E270/3)))</f>
        <v>366.9716699999999</v>
      </c>
      <c r="G270" s="57">
        <v>0</v>
      </c>
      <c r="H270" s="76">
        <f>(F270+(IF(G270&lt;101,G270,IF(G270&lt;201,G270/2,IF(G270&lt;=301,G270/3,G270/4)))))*(($H$128)+1)</f>
        <v>550.45750499999986</v>
      </c>
      <c r="T270" s="75"/>
    </row>
    <row r="271" spans="1:20" s="32" customFormat="1" x14ac:dyDescent="0.25">
      <c r="A271" s="114">
        <f t="shared" ref="A271:A277" si="68">A270+1</f>
        <v>42</v>
      </c>
      <c r="B271" s="115"/>
      <c r="C271" s="76" t="s">
        <v>340</v>
      </c>
      <c r="D271" s="70">
        <f t="shared" si="65"/>
        <v>366.9716699999999</v>
      </c>
      <c r="E271" s="76">
        <v>0</v>
      </c>
      <c r="F271" s="76">
        <f t="shared" ref="F271:F277" si="69">D271+(IF(E271&lt;201,E271,IF(E271&lt;301,E271/2,E271/3)))</f>
        <v>366.9716699999999</v>
      </c>
      <c r="G271" s="76">
        <v>0</v>
      </c>
      <c r="H271" s="76">
        <f t="shared" ref="H271:H277" si="70">(F271+(IF(G271&lt;101,G271,IF(G271&lt;201,G271/2,IF(G271&lt;=301,G271/3,G271/4)))))*(($H$128)+1)</f>
        <v>550.45750499999986</v>
      </c>
    </row>
    <row r="272" spans="1:20" s="32" customFormat="1" x14ac:dyDescent="0.25">
      <c r="A272" s="114">
        <f t="shared" si="68"/>
        <v>43</v>
      </c>
      <c r="B272" s="115"/>
      <c r="C272" s="76" t="s">
        <v>340</v>
      </c>
      <c r="D272" s="70">
        <f t="shared" si="65"/>
        <v>366.9716699999999</v>
      </c>
      <c r="E272" s="76">
        <v>0</v>
      </c>
      <c r="F272" s="76">
        <f t="shared" si="69"/>
        <v>366.9716699999999</v>
      </c>
      <c r="G272" s="76">
        <v>0</v>
      </c>
      <c r="H272" s="76">
        <f t="shared" si="70"/>
        <v>550.45750499999986</v>
      </c>
    </row>
    <row r="273" spans="1:20" s="32" customFormat="1" x14ac:dyDescent="0.25">
      <c r="A273" s="114">
        <f t="shared" si="68"/>
        <v>44</v>
      </c>
      <c r="B273" s="115"/>
      <c r="C273" s="76" t="s">
        <v>340</v>
      </c>
      <c r="D273" s="70">
        <f t="shared" si="65"/>
        <v>366.9716699999999</v>
      </c>
      <c r="E273" s="76">
        <v>0</v>
      </c>
      <c r="F273" s="76">
        <f t="shared" si="69"/>
        <v>366.9716699999999</v>
      </c>
      <c r="G273" s="76">
        <v>0</v>
      </c>
      <c r="H273" s="76">
        <f t="shared" si="70"/>
        <v>550.45750499999986</v>
      </c>
    </row>
    <row r="274" spans="1:20" s="32" customFormat="1" x14ac:dyDescent="0.25">
      <c r="A274" s="114">
        <f t="shared" si="68"/>
        <v>45</v>
      </c>
      <c r="B274" s="115"/>
      <c r="C274" s="76" t="s">
        <v>340</v>
      </c>
      <c r="D274" s="70">
        <f t="shared" si="65"/>
        <v>366.9716699999999</v>
      </c>
      <c r="E274" s="76">
        <v>0</v>
      </c>
      <c r="F274" s="76">
        <f t="shared" si="69"/>
        <v>366.9716699999999</v>
      </c>
      <c r="G274" s="76">
        <v>0</v>
      </c>
      <c r="H274" s="76">
        <f t="shared" si="70"/>
        <v>550.45750499999986</v>
      </c>
    </row>
    <row r="275" spans="1:20" s="32" customFormat="1" x14ac:dyDescent="0.25">
      <c r="A275" s="114">
        <f t="shared" si="68"/>
        <v>46</v>
      </c>
      <c r="B275" s="115"/>
      <c r="C275" s="76" t="s">
        <v>340</v>
      </c>
      <c r="D275" s="70">
        <f t="shared" si="65"/>
        <v>366.9716699999999</v>
      </c>
      <c r="E275" s="76">
        <v>0</v>
      </c>
      <c r="F275" s="76">
        <f t="shared" si="69"/>
        <v>366.9716699999999</v>
      </c>
      <c r="G275" s="76">
        <v>0</v>
      </c>
      <c r="H275" s="76">
        <f t="shared" si="70"/>
        <v>550.45750499999986</v>
      </c>
    </row>
    <row r="276" spans="1:20" s="32" customFormat="1" x14ac:dyDescent="0.25">
      <c r="A276" s="114">
        <f t="shared" si="68"/>
        <v>47</v>
      </c>
      <c r="B276" s="115"/>
      <c r="C276" s="76" t="s">
        <v>340</v>
      </c>
      <c r="D276" s="70">
        <f t="shared" si="65"/>
        <v>366.9716699999999</v>
      </c>
      <c r="E276" s="76">
        <v>0</v>
      </c>
      <c r="F276" s="76">
        <f t="shared" si="69"/>
        <v>366.9716699999999</v>
      </c>
      <c r="G276" s="76">
        <v>0</v>
      </c>
      <c r="H276" s="76">
        <f t="shared" si="70"/>
        <v>550.45750499999986</v>
      </c>
    </row>
    <row r="277" spans="1:20" x14ac:dyDescent="0.25">
      <c r="A277" s="114">
        <f t="shared" si="68"/>
        <v>48</v>
      </c>
      <c r="B277" s="115"/>
      <c r="C277" s="76" t="s">
        <v>340</v>
      </c>
      <c r="D277" s="70">
        <f>(3.35*8.7+1.85*1.75+1.2*1.4+0.45*0.65)*10.764</f>
        <v>369.79721999999992</v>
      </c>
      <c r="E277" s="76">
        <v>0</v>
      </c>
      <c r="F277" s="76">
        <f t="shared" si="69"/>
        <v>369.79721999999992</v>
      </c>
      <c r="G277" s="76">
        <v>0</v>
      </c>
      <c r="H277" s="76">
        <f t="shared" si="70"/>
        <v>554.69582999999989</v>
      </c>
      <c r="T277" s="32"/>
    </row>
    <row r="278" spans="1:20" x14ac:dyDescent="0.25">
      <c r="A278" s="114">
        <v>49</v>
      </c>
      <c r="B278" s="115"/>
      <c r="C278" s="76" t="s">
        <v>340</v>
      </c>
      <c r="D278" s="70">
        <f>(6.62*4.15+1.75*1.15+1.75*1.35+1.15*1.4+0.5*0.65)*10.764</f>
        <v>363.64021200000008</v>
      </c>
      <c r="E278" s="76">
        <v>0</v>
      </c>
      <c r="F278" s="76">
        <f>D278+(IF(E278&lt;201,E278,IF(E278&lt;301,E278/2,E278/3)))</f>
        <v>363.64021200000008</v>
      </c>
      <c r="G278" s="57">
        <v>0</v>
      </c>
      <c r="H278" s="76">
        <f>(F278+(IF(G278&lt;101,G278,IF(G278&lt;201,G278/2,IF(G278&lt;=301,G278/3,G278/4)))))*(($H$128)+1)</f>
        <v>545.46031800000014</v>
      </c>
      <c r="T278" s="32"/>
    </row>
    <row r="279" spans="1:20" ht="15.75" customHeight="1" x14ac:dyDescent="0.25">
      <c r="A279" s="114">
        <f>A278+1</f>
        <v>50</v>
      </c>
      <c r="B279" s="115"/>
      <c r="C279" s="76" t="s">
        <v>340</v>
      </c>
      <c r="D279" s="70">
        <f>(6.62*4.15+2.65*1.75+1.05*1.4+0.6*0.65)*10.764</f>
        <v>365.65846199999999</v>
      </c>
      <c r="E279" s="76">
        <v>0</v>
      </c>
      <c r="F279" s="76">
        <f t="shared" ref="F279" si="71">D279+(IF(E279&lt;201,E279,IF(E279&lt;301,E279/2,E279/3)))</f>
        <v>365.65846199999999</v>
      </c>
      <c r="G279" s="76">
        <v>0</v>
      </c>
      <c r="H279" s="76">
        <f t="shared" ref="H279" si="72">(F279+(IF(G279&lt;101,G279,IF(G279&lt;201,G279/2,IF(G279&lt;=301,G279/3,G279/4)))))*(($H$128)+1)</f>
        <v>548.48769300000004</v>
      </c>
      <c r="T279" s="32"/>
    </row>
    <row r="280" spans="1:20" s="78" customFormat="1" ht="15.75" customHeight="1" x14ac:dyDescent="0.25">
      <c r="A280" s="146" t="s">
        <v>352</v>
      </c>
      <c r="B280" s="147"/>
      <c r="C280" s="147"/>
      <c r="D280" s="147"/>
      <c r="E280" s="147"/>
      <c r="F280" s="147"/>
      <c r="G280" s="147"/>
      <c r="H280" s="148"/>
      <c r="I280" s="33"/>
      <c r="L280" s="116"/>
      <c r="M280" s="116"/>
      <c r="N280" s="33"/>
      <c r="T280" s="18"/>
    </row>
    <row r="281" spans="1:20" s="78" customFormat="1" ht="15.75" customHeight="1" x14ac:dyDescent="0.25">
      <c r="A281" s="114">
        <v>1</v>
      </c>
      <c r="B281" s="115"/>
      <c r="C281" s="77" t="s">
        <v>340</v>
      </c>
      <c r="D281" s="70">
        <f>(6.62*3.35+1.75*1.86+1.15*1.4+0.5*0.65)*10.764</f>
        <v>294.57838799999996</v>
      </c>
      <c r="E281" s="77">
        <v>0</v>
      </c>
      <c r="F281" s="77">
        <f>D281+(IF(E281&lt;201,E281,IF(E281&lt;301,E281/2,E281/3)))</f>
        <v>294.57838799999996</v>
      </c>
      <c r="G281" s="57">
        <v>0</v>
      </c>
      <c r="H281" s="77">
        <f>(F281+(IF(G281&lt;101,G281,IF(G281&lt;201,G281/2,IF(G281&lt;=301,G281/3,G281/4)))))*(($H$128)+1)</f>
        <v>441.86758199999997</v>
      </c>
      <c r="I281" s="33"/>
      <c r="L281" s="116"/>
      <c r="M281" s="116"/>
      <c r="N281" s="33"/>
      <c r="T281" s="18"/>
    </row>
    <row r="282" spans="1:20" s="78" customFormat="1" ht="15.75" customHeight="1" x14ac:dyDescent="0.25">
      <c r="A282" s="114">
        <v>2</v>
      </c>
      <c r="B282" s="115"/>
      <c r="C282" s="77" t="s">
        <v>340</v>
      </c>
      <c r="D282" s="70">
        <f>(6.72*3.4+1.65*1.36+1.5*0.75+1.6*0.99)*10.764</f>
        <v>299.24996399999998</v>
      </c>
      <c r="E282" s="77">
        <v>0</v>
      </c>
      <c r="F282" s="77">
        <f>D282+(IF(E282&lt;201,E282,IF(E282&lt;301,E282/2,E282/3)))</f>
        <v>299.24996399999998</v>
      </c>
      <c r="G282" s="57">
        <v>0</v>
      </c>
      <c r="H282" s="77">
        <f>(F282+(IF(G282&lt;101,G282,IF(G282&lt;201,G282/2,IF(G282&lt;=301,G282/3,G282/4)))))*(($H$128)+1)</f>
        <v>448.87494599999997</v>
      </c>
      <c r="I282" s="33"/>
      <c r="L282" s="116"/>
      <c r="M282" s="116"/>
      <c r="N282" s="33"/>
      <c r="T282" s="18"/>
    </row>
    <row r="283" spans="1:20" s="78" customFormat="1" ht="15.75" customHeight="1" x14ac:dyDescent="0.25">
      <c r="A283" s="114">
        <v>3</v>
      </c>
      <c r="B283" s="115"/>
      <c r="C283" s="77" t="s">
        <v>340</v>
      </c>
      <c r="D283" s="70">
        <f>(4.49*5.31+2.74*1.6+1.65*1.5+2.24*0.75+0.6*0.3)*10.764</f>
        <v>350.48552759999995</v>
      </c>
      <c r="E283" s="77">
        <v>0</v>
      </c>
      <c r="F283" s="77">
        <f>D283+(IF(E283&lt;201,E283,IF(E283&lt;301,E283/2,E283/3)))</f>
        <v>350.48552759999995</v>
      </c>
      <c r="G283" s="57">
        <v>0</v>
      </c>
      <c r="H283" s="77">
        <f>(F283+(IF(G283&lt;101,G283,IF(G283&lt;201,G283/2,IF(G283&lt;=301,G283/3,G283/4)))))*(($H$128)+1)</f>
        <v>525.72829139999999</v>
      </c>
      <c r="I283" s="33"/>
      <c r="L283" s="116"/>
      <c r="M283" s="116"/>
      <c r="N283" s="33"/>
      <c r="T283" s="18"/>
    </row>
    <row r="284" spans="1:20" s="78" customFormat="1" x14ac:dyDescent="0.25">
      <c r="A284" s="114">
        <f>A283+1</f>
        <v>4</v>
      </c>
      <c r="B284" s="115"/>
      <c r="C284" s="77" t="s">
        <v>340</v>
      </c>
      <c r="D284" s="70">
        <f>(3.35*6.06+1.77*1.6+1.4*1.05+0.65*0.45)*10.764</f>
        <v>267.97516199999995</v>
      </c>
      <c r="E284" s="77">
        <v>0</v>
      </c>
      <c r="F284" s="77">
        <f t="shared" ref="F284:F286" si="73">D284+(IF(E284&lt;201,E284,IF(E284&lt;301,E284/2,E284/3)))</f>
        <v>267.97516199999995</v>
      </c>
      <c r="G284" s="77">
        <v>0</v>
      </c>
      <c r="H284" s="77">
        <f t="shared" ref="H284:H286" si="74">(F284+(IF(G284&lt;101,G284,IF(G284&lt;201,G284/2,IF(G284&lt;=301,G284/3,G284/4)))))*(($H$128)+1)</f>
        <v>401.96274299999993</v>
      </c>
      <c r="I284" s="33"/>
      <c r="N284" s="33"/>
    </row>
    <row r="285" spans="1:20" x14ac:dyDescent="0.25">
      <c r="A285" s="114">
        <f>A284+1</f>
        <v>5</v>
      </c>
      <c r="B285" s="115"/>
      <c r="C285" s="77" t="s">
        <v>340</v>
      </c>
      <c r="D285" s="70">
        <f>(3.35*6.06+1.77*1.6+1.4*1.05+0.65*0.45)*10.764</f>
        <v>267.97516199999995</v>
      </c>
      <c r="E285" s="77">
        <v>0</v>
      </c>
      <c r="F285" s="77">
        <f t="shared" si="73"/>
        <v>267.97516199999995</v>
      </c>
      <c r="G285" s="77">
        <v>0</v>
      </c>
      <c r="H285" s="77">
        <f t="shared" si="74"/>
        <v>401.96274299999993</v>
      </c>
      <c r="I285" s="33"/>
      <c r="T285" s="78"/>
    </row>
    <row r="286" spans="1:20" s="78" customFormat="1" x14ac:dyDescent="0.25">
      <c r="A286" s="114">
        <f>A285+1</f>
        <v>6</v>
      </c>
      <c r="B286" s="115"/>
      <c r="C286" s="77" t="s">
        <v>340</v>
      </c>
      <c r="D286" s="70">
        <f>(3.35*6.06+1.77*1.6+1.4*1.05+0.65*0.45)*10.764</f>
        <v>267.97516199999995</v>
      </c>
      <c r="E286" s="77">
        <v>0</v>
      </c>
      <c r="F286" s="77">
        <f t="shared" si="73"/>
        <v>267.97516199999995</v>
      </c>
      <c r="G286" s="77">
        <v>0</v>
      </c>
      <c r="H286" s="77">
        <f t="shared" si="74"/>
        <v>401.96274299999993</v>
      </c>
      <c r="I286" s="33"/>
    </row>
    <row r="287" spans="1:20" s="78" customFormat="1" x14ac:dyDescent="0.25">
      <c r="A287" s="114">
        <v>7</v>
      </c>
      <c r="B287" s="115"/>
      <c r="C287" s="77" t="s">
        <v>340</v>
      </c>
      <c r="D287" s="70">
        <f>(3.35*6.06+1.77*1.6+1.4*1.05+0.65*0.45)*10.764</f>
        <v>267.97516199999995</v>
      </c>
      <c r="E287" s="77">
        <v>0</v>
      </c>
      <c r="F287" s="77">
        <f>D287+(IF(E287&lt;201,E287,IF(E287&lt;301,E287/2,E287/3)))</f>
        <v>267.97516199999995</v>
      </c>
      <c r="G287" s="57">
        <v>0</v>
      </c>
      <c r="H287" s="77">
        <f>(F287+(IF(G287&lt;101,G287,IF(G287&lt;201,G287/2,IF(G287&lt;=301,G287/3,G287/4)))))*(($H$128)+1)</f>
        <v>401.96274299999993</v>
      </c>
      <c r="J287" s="33"/>
    </row>
    <row r="288" spans="1:20" s="78" customFormat="1" ht="15.75" customHeight="1" x14ac:dyDescent="0.25">
      <c r="A288" s="114">
        <f>A287+1</f>
        <v>8</v>
      </c>
      <c r="B288" s="115"/>
      <c r="C288" s="117" t="s">
        <v>351</v>
      </c>
      <c r="D288" s="118"/>
      <c r="E288" s="118"/>
      <c r="F288" s="118"/>
      <c r="G288" s="118"/>
      <c r="H288" s="119"/>
      <c r="I288" s="33"/>
      <c r="L288" s="116"/>
      <c r="M288" s="116"/>
      <c r="N288" s="33"/>
    </row>
    <row r="289" spans="1:20" s="78" customFormat="1" ht="15.75" customHeight="1" x14ac:dyDescent="0.25">
      <c r="A289" s="114">
        <f>A288+1</f>
        <v>9</v>
      </c>
      <c r="B289" s="115"/>
      <c r="C289" s="120"/>
      <c r="D289" s="121"/>
      <c r="E289" s="121"/>
      <c r="F289" s="121"/>
      <c r="G289" s="121"/>
      <c r="H289" s="122"/>
      <c r="I289" s="33"/>
      <c r="L289" s="116"/>
      <c r="M289" s="116"/>
      <c r="N289" s="33"/>
    </row>
    <row r="290" spans="1:20" s="78" customFormat="1" ht="15.75" customHeight="1" x14ac:dyDescent="0.25">
      <c r="A290" s="114">
        <f>A289+1</f>
        <v>10</v>
      </c>
      <c r="B290" s="115"/>
      <c r="C290" s="120"/>
      <c r="D290" s="121"/>
      <c r="E290" s="121"/>
      <c r="F290" s="121"/>
      <c r="G290" s="121"/>
      <c r="H290" s="122"/>
      <c r="I290" s="33"/>
      <c r="L290" s="116"/>
      <c r="M290" s="116"/>
      <c r="N290" s="33"/>
    </row>
    <row r="291" spans="1:20" s="78" customFormat="1" ht="15.75" customHeight="1" x14ac:dyDescent="0.25">
      <c r="A291" s="114">
        <v>11</v>
      </c>
      <c r="B291" s="115"/>
      <c r="C291" s="120"/>
      <c r="D291" s="121"/>
      <c r="E291" s="121"/>
      <c r="F291" s="121"/>
      <c r="G291" s="121"/>
      <c r="H291" s="122"/>
      <c r="I291" s="33"/>
      <c r="L291" s="116"/>
      <c r="M291" s="116"/>
      <c r="N291" s="33"/>
      <c r="T291" s="18"/>
    </row>
    <row r="292" spans="1:20" s="78" customFormat="1" x14ac:dyDescent="0.25">
      <c r="A292" s="114">
        <f>A291+1</f>
        <v>12</v>
      </c>
      <c r="B292" s="115"/>
      <c r="C292" s="120"/>
      <c r="D292" s="121"/>
      <c r="E292" s="121"/>
      <c r="F292" s="121"/>
      <c r="G292" s="121"/>
      <c r="H292" s="122"/>
      <c r="I292" s="33"/>
      <c r="L292" s="116"/>
      <c r="M292" s="116"/>
    </row>
    <row r="293" spans="1:20" s="78" customFormat="1" x14ac:dyDescent="0.25">
      <c r="A293" s="114">
        <v>14</v>
      </c>
      <c r="B293" s="115"/>
      <c r="C293" s="120"/>
      <c r="D293" s="121"/>
      <c r="E293" s="121"/>
      <c r="F293" s="121"/>
      <c r="G293" s="121"/>
      <c r="H293" s="122"/>
      <c r="I293" s="33"/>
      <c r="N293" s="33"/>
    </row>
    <row r="294" spans="1:20" s="78" customFormat="1" x14ac:dyDescent="0.25">
      <c r="A294" s="114">
        <v>15</v>
      </c>
      <c r="B294" s="115"/>
      <c r="C294" s="120"/>
      <c r="D294" s="121"/>
      <c r="E294" s="121"/>
      <c r="F294" s="121"/>
      <c r="G294" s="121"/>
      <c r="H294" s="122"/>
      <c r="I294" s="33"/>
      <c r="N294" s="33"/>
    </row>
    <row r="295" spans="1:20" s="78" customFormat="1" x14ac:dyDescent="0.25">
      <c r="A295" s="114">
        <f>A294+1</f>
        <v>16</v>
      </c>
      <c r="B295" s="115"/>
      <c r="C295" s="123"/>
      <c r="D295" s="124"/>
      <c r="E295" s="124"/>
      <c r="F295" s="124"/>
      <c r="G295" s="124"/>
      <c r="H295" s="125"/>
      <c r="I295" s="33"/>
      <c r="N295" s="33"/>
    </row>
    <row r="296" spans="1:20" s="78" customFormat="1" x14ac:dyDescent="0.25">
      <c r="A296" s="114">
        <f>A295+1</f>
        <v>17</v>
      </c>
      <c r="B296" s="115"/>
      <c r="C296" s="77" t="s">
        <v>340</v>
      </c>
      <c r="D296" s="70">
        <f t="shared" ref="D296:D299" si="75">(3.35*6.06+1.77*1.6+1.4*1.05+0.65*0.45)*10.764</f>
        <v>267.97516199999995</v>
      </c>
      <c r="E296" s="77">
        <v>0</v>
      </c>
      <c r="F296" s="77">
        <f t="shared" ref="F296:F299" si="76">D296+(IF(E296&lt;201,E296,IF(E296&lt;301,E296/2,E296/3)))</f>
        <v>267.97516199999995</v>
      </c>
      <c r="G296" s="77">
        <v>0</v>
      </c>
      <c r="H296" s="77">
        <f t="shared" ref="H296:H299" si="77">(F296+(IF(G296&lt;101,G296,IF(G296&lt;201,G296/2,IF(G296&lt;=301,G296/3,G296/4)))))*(($H$128)+1)</f>
        <v>401.96274299999993</v>
      </c>
      <c r="I296" s="33"/>
      <c r="N296" s="33"/>
    </row>
    <row r="297" spans="1:20" s="78" customFormat="1" ht="15.75" customHeight="1" x14ac:dyDescent="0.25">
      <c r="A297" s="114">
        <f>A296+1</f>
        <v>18</v>
      </c>
      <c r="B297" s="115"/>
      <c r="C297" s="77" t="s">
        <v>340</v>
      </c>
      <c r="D297" s="70">
        <f t="shared" si="75"/>
        <v>267.97516199999995</v>
      </c>
      <c r="E297" s="77">
        <v>0</v>
      </c>
      <c r="F297" s="77">
        <f t="shared" si="76"/>
        <v>267.97516199999995</v>
      </c>
      <c r="G297" s="77">
        <v>0</v>
      </c>
      <c r="H297" s="77">
        <f t="shared" si="77"/>
        <v>401.96274299999993</v>
      </c>
      <c r="I297" s="33"/>
    </row>
    <row r="298" spans="1:20" s="78" customFormat="1" ht="15.75" customHeight="1" x14ac:dyDescent="0.25">
      <c r="A298" s="114">
        <f>A297+1</f>
        <v>19</v>
      </c>
      <c r="B298" s="115"/>
      <c r="C298" s="77" t="s">
        <v>340</v>
      </c>
      <c r="D298" s="70">
        <f t="shared" si="75"/>
        <v>267.97516199999995</v>
      </c>
      <c r="E298" s="77">
        <v>0</v>
      </c>
      <c r="F298" s="77">
        <f t="shared" si="76"/>
        <v>267.97516199999995</v>
      </c>
      <c r="G298" s="77">
        <v>0</v>
      </c>
      <c r="H298" s="77">
        <f t="shared" si="77"/>
        <v>401.96274299999993</v>
      </c>
      <c r="I298" s="33"/>
    </row>
    <row r="299" spans="1:20" s="78" customFormat="1" ht="15.75" customHeight="1" x14ac:dyDescent="0.25">
      <c r="A299" s="114">
        <f>A298+1</f>
        <v>20</v>
      </c>
      <c r="B299" s="115"/>
      <c r="C299" s="77" t="s">
        <v>340</v>
      </c>
      <c r="D299" s="70">
        <f t="shared" si="75"/>
        <v>267.97516199999995</v>
      </c>
      <c r="E299" s="77">
        <v>0</v>
      </c>
      <c r="F299" s="77">
        <f t="shared" si="76"/>
        <v>267.97516199999995</v>
      </c>
      <c r="G299" s="77">
        <v>0</v>
      </c>
      <c r="H299" s="77">
        <f t="shared" si="77"/>
        <v>401.96274299999993</v>
      </c>
      <c r="I299" s="33"/>
    </row>
    <row r="300" spans="1:20" s="78" customFormat="1" ht="15.75" customHeight="1" x14ac:dyDescent="0.25">
      <c r="A300" s="114">
        <v>21</v>
      </c>
      <c r="B300" s="115"/>
      <c r="C300" s="77" t="s">
        <v>340</v>
      </c>
      <c r="D300" s="70">
        <f>(3.35*6.06+1.85*1.6+1.4*1.05+0.65*0.45)*10.764</f>
        <v>269.35295399999995</v>
      </c>
      <c r="E300" s="77">
        <v>0</v>
      </c>
      <c r="F300" s="77">
        <f>D300+(IF(E300&lt;201,E300,IF(E300&lt;301,E300/2,E300/3)))</f>
        <v>269.35295399999995</v>
      </c>
      <c r="G300" s="57">
        <v>0</v>
      </c>
      <c r="H300" s="77">
        <f>(F300+(IF(G300&lt;101,G300,IF(G300&lt;201,G300/2,IF(G300&lt;=301,G300/3,G300/4)))))*(($H$128)+1)</f>
        <v>404.02943099999993</v>
      </c>
      <c r="I300" s="33"/>
    </row>
    <row r="301" spans="1:20" s="78" customFormat="1" ht="15.75" customHeight="1" x14ac:dyDescent="0.25">
      <c r="A301" s="114">
        <f t="shared" ref="A301:A307" si="78">A300+1</f>
        <v>22</v>
      </c>
      <c r="B301" s="115"/>
      <c r="C301" s="77" t="s">
        <v>340</v>
      </c>
      <c r="D301" s="70">
        <f>(6.3*4.45+1.9*2.93+1.2*1.4+0.45*0.65)*10.764</f>
        <v>382.92391799999996</v>
      </c>
      <c r="E301" s="77">
        <v>0</v>
      </c>
      <c r="F301" s="77">
        <f t="shared" ref="F301:F307" si="79">D301+(IF(E301&lt;201,E301,IF(E301&lt;301,E301/2,E301/3)))</f>
        <v>382.92391799999996</v>
      </c>
      <c r="G301" s="77">
        <v>0</v>
      </c>
      <c r="H301" s="77">
        <f t="shared" ref="H301:H307" si="80">(F301+(IF(G301&lt;101,G301,IF(G301&lt;201,G301/2,IF(G301&lt;=301,G301/3,G301/4)))))*(($H$128)+1)</f>
        <v>574.38587699999994</v>
      </c>
      <c r="I301" s="33"/>
    </row>
    <row r="302" spans="1:20" s="78" customFormat="1" ht="15.75" customHeight="1" x14ac:dyDescent="0.25">
      <c r="A302" s="114">
        <f t="shared" si="78"/>
        <v>23</v>
      </c>
      <c r="B302" s="115"/>
      <c r="C302" s="77" t="s">
        <v>340</v>
      </c>
      <c r="D302" s="70">
        <f>(6.3*4.45+1.9*2.8+1.2*1.4+0.45*0.65)*10.764</f>
        <v>380.26520999999991</v>
      </c>
      <c r="E302" s="77">
        <v>0</v>
      </c>
      <c r="F302" s="77">
        <f t="shared" si="79"/>
        <v>380.26520999999991</v>
      </c>
      <c r="G302" s="77">
        <v>0</v>
      </c>
      <c r="H302" s="77">
        <f t="shared" si="80"/>
        <v>570.39781499999981</v>
      </c>
      <c r="I302" s="33"/>
    </row>
    <row r="303" spans="1:20" s="78" customFormat="1" x14ac:dyDescent="0.25">
      <c r="A303" s="114">
        <f t="shared" si="78"/>
        <v>24</v>
      </c>
      <c r="B303" s="115"/>
      <c r="C303" s="77" t="s">
        <v>340</v>
      </c>
      <c r="D303" s="70">
        <f>(6.3*4.45+1.9*2.8+1.2*1.4+0.45*0.65)*10.764</f>
        <v>380.26520999999991</v>
      </c>
      <c r="E303" s="77">
        <v>0</v>
      </c>
      <c r="F303" s="77">
        <f t="shared" si="79"/>
        <v>380.26520999999991</v>
      </c>
      <c r="G303" s="77">
        <v>0</v>
      </c>
      <c r="H303" s="77">
        <f t="shared" si="80"/>
        <v>570.39781499999981</v>
      </c>
      <c r="I303" s="33"/>
    </row>
    <row r="304" spans="1:20" s="78" customFormat="1" ht="15.75" customHeight="1" x14ac:dyDescent="0.25">
      <c r="A304" s="114">
        <f t="shared" si="78"/>
        <v>25</v>
      </c>
      <c r="B304" s="115"/>
      <c r="C304" s="77" t="s">
        <v>340</v>
      </c>
      <c r="D304" s="70">
        <f>(6.3*4.45+1.9*2.8+1.2*1.4+0.45*0.65)*10.764</f>
        <v>380.26520999999991</v>
      </c>
      <c r="E304" s="77">
        <v>0</v>
      </c>
      <c r="F304" s="77">
        <f t="shared" si="79"/>
        <v>380.26520999999991</v>
      </c>
      <c r="G304" s="77">
        <v>0</v>
      </c>
      <c r="H304" s="77">
        <f t="shared" si="80"/>
        <v>570.39781499999981</v>
      </c>
      <c r="I304" s="33"/>
    </row>
    <row r="305" spans="1:20" s="78" customFormat="1" ht="15.75" customHeight="1" x14ac:dyDescent="0.25">
      <c r="A305" s="114">
        <f t="shared" si="78"/>
        <v>26</v>
      </c>
      <c r="B305" s="115"/>
      <c r="C305" s="77" t="s">
        <v>340</v>
      </c>
      <c r="D305" s="70">
        <f>(6.3*4.5+1.9*1.35+1.7*1.42+1.15*1.4+0.45*0.65)*10.764</f>
        <v>379.23186599999997</v>
      </c>
      <c r="E305" s="77">
        <v>0</v>
      </c>
      <c r="F305" s="77">
        <f t="shared" si="79"/>
        <v>379.23186599999997</v>
      </c>
      <c r="G305" s="77">
        <v>0</v>
      </c>
      <c r="H305" s="77">
        <f t="shared" si="80"/>
        <v>568.8477989999999</v>
      </c>
      <c r="I305" s="33"/>
    </row>
    <row r="306" spans="1:20" s="78" customFormat="1" ht="15.75" customHeight="1" x14ac:dyDescent="0.25">
      <c r="A306" s="114">
        <f t="shared" si="78"/>
        <v>27</v>
      </c>
      <c r="B306" s="115"/>
      <c r="C306" s="77" t="s">
        <v>340</v>
      </c>
      <c r="D306" s="70">
        <f>(3.35*8.7+1.85*1.75+1.2*1.4+0.45*0.65)*10.764</f>
        <v>369.79721999999992</v>
      </c>
      <c r="E306" s="77">
        <v>0</v>
      </c>
      <c r="F306" s="77">
        <f t="shared" si="79"/>
        <v>369.79721999999992</v>
      </c>
      <c r="G306" s="77">
        <v>0</v>
      </c>
      <c r="H306" s="77">
        <f t="shared" si="80"/>
        <v>554.69582999999989</v>
      </c>
      <c r="I306" s="33"/>
    </row>
    <row r="307" spans="1:20" s="78" customFormat="1" ht="15.75" customHeight="1" x14ac:dyDescent="0.25">
      <c r="A307" s="114">
        <f t="shared" si="78"/>
        <v>28</v>
      </c>
      <c r="B307" s="115"/>
      <c r="C307" s="77" t="s">
        <v>340</v>
      </c>
      <c r="D307" s="70">
        <f t="shared" ref="D307:D315" si="81">(3.35*8.7+1.78*1.75+1.2*1.4+0.45*0.65)*10.764</f>
        <v>368.4786299999999</v>
      </c>
      <c r="E307" s="77">
        <v>0</v>
      </c>
      <c r="F307" s="77">
        <f t="shared" si="79"/>
        <v>368.4786299999999</v>
      </c>
      <c r="G307" s="77">
        <v>0</v>
      </c>
      <c r="H307" s="77">
        <f t="shared" si="80"/>
        <v>552.71794499999987</v>
      </c>
      <c r="I307" s="33"/>
    </row>
    <row r="308" spans="1:20" s="78" customFormat="1" ht="15.75" customHeight="1" x14ac:dyDescent="0.25">
      <c r="A308" s="114">
        <v>29</v>
      </c>
      <c r="B308" s="115"/>
      <c r="C308" s="77" t="s">
        <v>340</v>
      </c>
      <c r="D308" s="70">
        <f t="shared" si="81"/>
        <v>368.4786299999999</v>
      </c>
      <c r="E308" s="77">
        <v>0</v>
      </c>
      <c r="F308" s="77">
        <f>D308+(IF(E308&lt;201,E308,IF(E308&lt;301,E308/2,E308/3)))</f>
        <v>368.4786299999999</v>
      </c>
      <c r="G308" s="57">
        <v>0</v>
      </c>
      <c r="H308" s="77">
        <f>(F308+(IF(G308&lt;101,G308,IF(G308&lt;201,G308/2,IF(G308&lt;=301,G308/3,G308/4)))))*(($H$128)+1)</f>
        <v>552.71794499999987</v>
      </c>
      <c r="I308" s="33"/>
    </row>
    <row r="309" spans="1:20" s="78" customFormat="1" x14ac:dyDescent="0.25">
      <c r="A309" s="114">
        <f t="shared" ref="A309:A315" si="82">A308+1</f>
        <v>30</v>
      </c>
      <c r="B309" s="115"/>
      <c r="C309" s="77" t="s">
        <v>340</v>
      </c>
      <c r="D309" s="70">
        <f t="shared" si="81"/>
        <v>368.4786299999999</v>
      </c>
      <c r="E309" s="77">
        <v>0</v>
      </c>
      <c r="F309" s="77">
        <f t="shared" ref="F309:F315" si="83">D309+(IF(E309&lt;201,E309,IF(E309&lt;301,E309/2,E309/3)))</f>
        <v>368.4786299999999</v>
      </c>
      <c r="G309" s="77">
        <v>0</v>
      </c>
      <c r="H309" s="77">
        <f t="shared" ref="H309:H315" si="84">(F309+(IF(G309&lt;101,G309,IF(G309&lt;201,G309/2,IF(G309&lt;=301,G309/3,G309/4)))))*(($H$128)+1)</f>
        <v>552.71794499999987</v>
      </c>
      <c r="I309" s="33"/>
    </row>
    <row r="310" spans="1:20" s="78" customFormat="1" ht="15.75" customHeight="1" x14ac:dyDescent="0.25">
      <c r="A310" s="114">
        <f t="shared" si="82"/>
        <v>31</v>
      </c>
      <c r="B310" s="115"/>
      <c r="C310" s="77" t="s">
        <v>340</v>
      </c>
      <c r="D310" s="70">
        <f t="shared" si="81"/>
        <v>368.4786299999999</v>
      </c>
      <c r="E310" s="77">
        <v>0</v>
      </c>
      <c r="F310" s="77">
        <f t="shared" si="83"/>
        <v>368.4786299999999</v>
      </c>
      <c r="G310" s="77">
        <v>0</v>
      </c>
      <c r="H310" s="77">
        <f t="shared" si="84"/>
        <v>552.71794499999987</v>
      </c>
      <c r="I310" s="33"/>
    </row>
    <row r="311" spans="1:20" s="78" customFormat="1" ht="15.75" customHeight="1" x14ac:dyDescent="0.25">
      <c r="A311" s="114">
        <f t="shared" si="82"/>
        <v>32</v>
      </c>
      <c r="B311" s="115"/>
      <c r="C311" s="77" t="s">
        <v>340</v>
      </c>
      <c r="D311" s="70">
        <f t="shared" si="81"/>
        <v>368.4786299999999</v>
      </c>
      <c r="E311" s="77">
        <v>0</v>
      </c>
      <c r="F311" s="77">
        <f t="shared" si="83"/>
        <v>368.4786299999999</v>
      </c>
      <c r="G311" s="77">
        <v>0</v>
      </c>
      <c r="H311" s="77">
        <f t="shared" si="84"/>
        <v>552.71794499999987</v>
      </c>
      <c r="I311" s="33"/>
    </row>
    <row r="312" spans="1:20" s="78" customFormat="1" ht="15.75" customHeight="1" x14ac:dyDescent="0.25">
      <c r="A312" s="114">
        <f t="shared" si="82"/>
        <v>33</v>
      </c>
      <c r="B312" s="115"/>
      <c r="C312" s="77" t="s">
        <v>340</v>
      </c>
      <c r="D312" s="70">
        <f t="shared" si="81"/>
        <v>368.4786299999999</v>
      </c>
      <c r="E312" s="77">
        <v>0</v>
      </c>
      <c r="F312" s="77">
        <f t="shared" si="83"/>
        <v>368.4786299999999</v>
      </c>
      <c r="G312" s="77">
        <v>0</v>
      </c>
      <c r="H312" s="77">
        <f t="shared" si="84"/>
        <v>552.71794499999987</v>
      </c>
      <c r="I312" s="33"/>
    </row>
    <row r="313" spans="1:20" s="78" customFormat="1" ht="15.75" customHeight="1" x14ac:dyDescent="0.25">
      <c r="A313" s="114">
        <f t="shared" si="82"/>
        <v>34</v>
      </c>
      <c r="B313" s="115"/>
      <c r="C313" s="77" t="s">
        <v>340</v>
      </c>
      <c r="D313" s="70">
        <f t="shared" si="81"/>
        <v>368.4786299999999</v>
      </c>
      <c r="E313" s="77">
        <v>0</v>
      </c>
      <c r="F313" s="77">
        <f t="shared" si="83"/>
        <v>368.4786299999999</v>
      </c>
      <c r="G313" s="77">
        <v>0</v>
      </c>
      <c r="H313" s="77">
        <f t="shared" si="84"/>
        <v>552.71794499999987</v>
      </c>
      <c r="I313" s="33"/>
    </row>
    <row r="314" spans="1:20" s="78" customFormat="1" ht="15.75" customHeight="1" x14ac:dyDescent="0.25">
      <c r="A314" s="114">
        <f t="shared" si="82"/>
        <v>35</v>
      </c>
      <c r="B314" s="115"/>
      <c r="C314" s="77" t="s">
        <v>340</v>
      </c>
      <c r="D314" s="70">
        <f t="shared" si="81"/>
        <v>368.4786299999999</v>
      </c>
      <c r="E314" s="77">
        <v>0</v>
      </c>
      <c r="F314" s="77">
        <f t="shared" si="83"/>
        <v>368.4786299999999</v>
      </c>
      <c r="G314" s="77">
        <v>0</v>
      </c>
      <c r="H314" s="77">
        <f t="shared" si="84"/>
        <v>552.71794499999987</v>
      </c>
      <c r="I314" s="33"/>
    </row>
    <row r="315" spans="1:20" s="32" customFormat="1" x14ac:dyDescent="0.25">
      <c r="A315" s="114">
        <f t="shared" si="82"/>
        <v>36</v>
      </c>
      <c r="B315" s="115"/>
      <c r="C315" s="77" t="s">
        <v>340</v>
      </c>
      <c r="D315" s="70">
        <f t="shared" si="81"/>
        <v>368.4786299999999</v>
      </c>
      <c r="E315" s="77">
        <v>0</v>
      </c>
      <c r="F315" s="77">
        <f t="shared" si="83"/>
        <v>368.4786299999999</v>
      </c>
      <c r="G315" s="77">
        <v>0</v>
      </c>
      <c r="H315" s="77">
        <f t="shared" si="84"/>
        <v>552.71794499999987</v>
      </c>
      <c r="T315" s="78"/>
    </row>
    <row r="316" spans="1:20" s="32" customFormat="1" x14ac:dyDescent="0.25">
      <c r="A316" s="114">
        <v>37</v>
      </c>
      <c r="B316" s="115"/>
      <c r="C316" s="77" t="s">
        <v>340</v>
      </c>
      <c r="D316" s="70">
        <f t="shared" ref="D316:D326" si="85">(3.35*8.7+1.7*1.75+1.2*1.4+0.45*0.65)*10.764</f>
        <v>366.9716699999999</v>
      </c>
      <c r="E316" s="77">
        <v>0</v>
      </c>
      <c r="F316" s="77">
        <f>D316+(IF(E316&lt;201,E316,IF(E316&lt;301,E316/2,E316/3)))</f>
        <v>366.9716699999999</v>
      </c>
      <c r="G316" s="57">
        <v>0</v>
      </c>
      <c r="H316" s="77">
        <f>(F316+(IF(G316&lt;101,G316,IF(G316&lt;201,G316/2,IF(G316&lt;=301,G316/3,G316/4)))))*(($H$128)+1)</f>
        <v>550.45750499999986</v>
      </c>
      <c r="T316" s="78"/>
    </row>
    <row r="317" spans="1:20" s="32" customFormat="1" x14ac:dyDescent="0.25">
      <c r="A317" s="114">
        <f>A316+1</f>
        <v>38</v>
      </c>
      <c r="B317" s="115"/>
      <c r="C317" s="77" t="s">
        <v>340</v>
      </c>
      <c r="D317" s="70">
        <f t="shared" si="85"/>
        <v>366.9716699999999</v>
      </c>
      <c r="E317" s="77">
        <v>0</v>
      </c>
      <c r="F317" s="77">
        <f t="shared" ref="F317:F319" si="86">D317+(IF(E317&lt;201,E317,IF(E317&lt;301,E317/2,E317/3)))</f>
        <v>366.9716699999999</v>
      </c>
      <c r="G317" s="77">
        <v>0</v>
      </c>
      <c r="H317" s="77">
        <f t="shared" ref="H317:H319" si="87">(F317+(IF(G317&lt;101,G317,IF(G317&lt;201,G317/2,IF(G317&lt;=301,G317/3,G317/4)))))*(($H$128)+1)</f>
        <v>550.45750499999986</v>
      </c>
      <c r="T317" s="78"/>
    </row>
    <row r="318" spans="1:20" s="32" customFormat="1" x14ac:dyDescent="0.25">
      <c r="A318" s="114">
        <f>A317+1</f>
        <v>39</v>
      </c>
      <c r="B318" s="115"/>
      <c r="C318" s="77" t="s">
        <v>340</v>
      </c>
      <c r="D318" s="70">
        <f t="shared" si="85"/>
        <v>366.9716699999999</v>
      </c>
      <c r="E318" s="77">
        <v>0</v>
      </c>
      <c r="F318" s="77">
        <f t="shared" si="86"/>
        <v>366.9716699999999</v>
      </c>
      <c r="G318" s="77">
        <v>0</v>
      </c>
      <c r="H318" s="77">
        <f t="shared" si="87"/>
        <v>550.45750499999986</v>
      </c>
      <c r="T318" s="78"/>
    </row>
    <row r="319" spans="1:20" s="32" customFormat="1" x14ac:dyDescent="0.25">
      <c r="A319" s="114">
        <f>A318+1</f>
        <v>40</v>
      </c>
      <c r="B319" s="115"/>
      <c r="C319" s="77" t="s">
        <v>340</v>
      </c>
      <c r="D319" s="70">
        <f t="shared" si="85"/>
        <v>366.9716699999999</v>
      </c>
      <c r="E319" s="77">
        <v>0</v>
      </c>
      <c r="F319" s="77">
        <f t="shared" si="86"/>
        <v>366.9716699999999</v>
      </c>
      <c r="G319" s="77">
        <v>0</v>
      </c>
      <c r="H319" s="77">
        <f t="shared" si="87"/>
        <v>550.45750499999986</v>
      </c>
      <c r="T319" s="78"/>
    </row>
    <row r="320" spans="1:20" s="32" customFormat="1" x14ac:dyDescent="0.25">
      <c r="A320" s="114">
        <v>41</v>
      </c>
      <c r="B320" s="115"/>
      <c r="C320" s="77" t="s">
        <v>340</v>
      </c>
      <c r="D320" s="70">
        <f t="shared" si="85"/>
        <v>366.9716699999999</v>
      </c>
      <c r="E320" s="77">
        <v>0</v>
      </c>
      <c r="F320" s="77">
        <f>D320+(IF(E320&lt;201,E320,IF(E320&lt;301,E320/2,E320/3)))</f>
        <v>366.9716699999999</v>
      </c>
      <c r="G320" s="57">
        <v>0</v>
      </c>
      <c r="H320" s="77">
        <f>(F320+(IF(G320&lt;101,G320,IF(G320&lt;201,G320/2,IF(G320&lt;=301,G320/3,G320/4)))))*(($H$128)+1)</f>
        <v>550.45750499999986</v>
      </c>
      <c r="T320" s="78"/>
    </row>
    <row r="321" spans="1:20" s="32" customFormat="1" x14ac:dyDescent="0.25">
      <c r="A321" s="114">
        <f t="shared" ref="A321:A327" si="88">A320+1</f>
        <v>42</v>
      </c>
      <c r="B321" s="115"/>
      <c r="C321" s="77" t="s">
        <v>340</v>
      </c>
      <c r="D321" s="70">
        <f t="shared" si="85"/>
        <v>366.9716699999999</v>
      </c>
      <c r="E321" s="77">
        <v>0</v>
      </c>
      <c r="F321" s="77">
        <f t="shared" ref="F321:F327" si="89">D321+(IF(E321&lt;201,E321,IF(E321&lt;301,E321/2,E321/3)))</f>
        <v>366.9716699999999</v>
      </c>
      <c r="G321" s="77">
        <v>0</v>
      </c>
      <c r="H321" s="77">
        <f t="shared" ref="H321:H327" si="90">(F321+(IF(G321&lt;101,G321,IF(G321&lt;201,G321/2,IF(G321&lt;=301,G321/3,G321/4)))))*(($H$128)+1)</f>
        <v>550.45750499999986</v>
      </c>
    </row>
    <row r="322" spans="1:20" s="32" customFormat="1" x14ac:dyDescent="0.25">
      <c r="A322" s="114">
        <f t="shared" si="88"/>
        <v>43</v>
      </c>
      <c r="B322" s="115"/>
      <c r="C322" s="77" t="s">
        <v>340</v>
      </c>
      <c r="D322" s="70">
        <f t="shared" si="85"/>
        <v>366.9716699999999</v>
      </c>
      <c r="E322" s="77">
        <v>0</v>
      </c>
      <c r="F322" s="77">
        <f t="shared" si="89"/>
        <v>366.9716699999999</v>
      </c>
      <c r="G322" s="77">
        <v>0</v>
      </c>
      <c r="H322" s="77">
        <f t="shared" si="90"/>
        <v>550.45750499999986</v>
      </c>
    </row>
    <row r="323" spans="1:20" s="32" customFormat="1" x14ac:dyDescent="0.25">
      <c r="A323" s="114">
        <f t="shared" si="88"/>
        <v>44</v>
      </c>
      <c r="B323" s="115"/>
      <c r="C323" s="77" t="s">
        <v>340</v>
      </c>
      <c r="D323" s="70">
        <f t="shared" si="85"/>
        <v>366.9716699999999</v>
      </c>
      <c r="E323" s="77">
        <v>0</v>
      </c>
      <c r="F323" s="77">
        <f t="shared" si="89"/>
        <v>366.9716699999999</v>
      </c>
      <c r="G323" s="77">
        <v>0</v>
      </c>
      <c r="H323" s="77">
        <f t="shared" si="90"/>
        <v>550.45750499999986</v>
      </c>
    </row>
    <row r="324" spans="1:20" s="32" customFormat="1" x14ac:dyDescent="0.25">
      <c r="A324" s="114">
        <f t="shared" si="88"/>
        <v>45</v>
      </c>
      <c r="B324" s="115"/>
      <c r="C324" s="77" t="s">
        <v>340</v>
      </c>
      <c r="D324" s="70">
        <f t="shared" si="85"/>
        <v>366.9716699999999</v>
      </c>
      <c r="E324" s="77">
        <v>0</v>
      </c>
      <c r="F324" s="77">
        <f t="shared" si="89"/>
        <v>366.9716699999999</v>
      </c>
      <c r="G324" s="77">
        <v>0</v>
      </c>
      <c r="H324" s="77">
        <f t="shared" si="90"/>
        <v>550.45750499999986</v>
      </c>
    </row>
    <row r="325" spans="1:20" s="32" customFormat="1" x14ac:dyDescent="0.25">
      <c r="A325" s="114">
        <f t="shared" si="88"/>
        <v>46</v>
      </c>
      <c r="B325" s="115"/>
      <c r="C325" s="77" t="s">
        <v>340</v>
      </c>
      <c r="D325" s="70">
        <f t="shared" si="85"/>
        <v>366.9716699999999</v>
      </c>
      <c r="E325" s="77">
        <v>0</v>
      </c>
      <c r="F325" s="77">
        <f t="shared" si="89"/>
        <v>366.9716699999999</v>
      </c>
      <c r="G325" s="77">
        <v>0</v>
      </c>
      <c r="H325" s="77">
        <f t="shared" si="90"/>
        <v>550.45750499999986</v>
      </c>
    </row>
    <row r="326" spans="1:20" s="32" customFormat="1" x14ac:dyDescent="0.25">
      <c r="A326" s="114">
        <f t="shared" si="88"/>
        <v>47</v>
      </c>
      <c r="B326" s="115"/>
      <c r="C326" s="77" t="s">
        <v>340</v>
      </c>
      <c r="D326" s="70">
        <f t="shared" si="85"/>
        <v>366.9716699999999</v>
      </c>
      <c r="E326" s="77">
        <v>0</v>
      </c>
      <c r="F326" s="77">
        <f t="shared" si="89"/>
        <v>366.9716699999999</v>
      </c>
      <c r="G326" s="77">
        <v>0</v>
      </c>
      <c r="H326" s="77">
        <f t="shared" si="90"/>
        <v>550.45750499999986</v>
      </c>
    </row>
    <row r="327" spans="1:20" x14ac:dyDescent="0.25">
      <c r="A327" s="114">
        <f t="shared" si="88"/>
        <v>48</v>
      </c>
      <c r="B327" s="115"/>
      <c r="C327" s="77" t="s">
        <v>340</v>
      </c>
      <c r="D327" s="70">
        <f>(3.35*8.7+1.85*1.75+1.2*1.4+0.45*0.65)*10.764</f>
        <v>369.79721999999992</v>
      </c>
      <c r="E327" s="77">
        <v>0</v>
      </c>
      <c r="F327" s="77">
        <f t="shared" si="89"/>
        <v>369.79721999999992</v>
      </c>
      <c r="G327" s="77">
        <v>0</v>
      </c>
      <c r="H327" s="77">
        <f t="shared" si="90"/>
        <v>554.69582999999989</v>
      </c>
      <c r="T327" s="32"/>
    </row>
    <row r="328" spans="1:20" x14ac:dyDescent="0.25">
      <c r="A328" s="114">
        <v>49</v>
      </c>
      <c r="B328" s="115"/>
      <c r="C328" s="77" t="s">
        <v>340</v>
      </c>
      <c r="D328" s="70">
        <f>(6.62*4.15+1.75*1.15+1.75*1.35+1.15*1.4+0.5*0.65)*10.764</f>
        <v>363.64021200000008</v>
      </c>
      <c r="E328" s="77">
        <v>0</v>
      </c>
      <c r="F328" s="77">
        <f>D328+(IF(E328&lt;201,E328,IF(E328&lt;301,E328/2,E328/3)))</f>
        <v>363.64021200000008</v>
      </c>
      <c r="G328" s="57">
        <v>0</v>
      </c>
      <c r="H328" s="77">
        <f>(F328+(IF(G328&lt;101,G328,IF(G328&lt;201,G328/2,IF(G328&lt;=301,G328/3,G328/4)))))*(($H$128)+1)</f>
        <v>545.46031800000014</v>
      </c>
      <c r="T328" s="32"/>
    </row>
    <row r="329" spans="1:20" ht="15.75" customHeight="1" x14ac:dyDescent="0.25">
      <c r="A329" s="114">
        <f>A328+1</f>
        <v>50</v>
      </c>
      <c r="B329" s="115"/>
      <c r="C329" s="77" t="s">
        <v>340</v>
      </c>
      <c r="D329" s="70">
        <f>(6.62*4.15+2.65*1.75+1.05*1.4+0.6*0.65)*10.764</f>
        <v>365.65846199999999</v>
      </c>
      <c r="E329" s="77">
        <v>0</v>
      </c>
      <c r="F329" s="77">
        <f t="shared" ref="F329" si="91">D329+(IF(E329&lt;201,E329,IF(E329&lt;301,E329/2,E329/3)))</f>
        <v>365.65846199999999</v>
      </c>
      <c r="G329" s="77">
        <v>0</v>
      </c>
      <c r="H329" s="77">
        <f t="shared" ref="H329" si="92">(F329+(IF(G329&lt;101,G329,IF(G329&lt;201,G329/2,IF(G329&lt;=301,G329/3,G329/4)))))*(($H$128)+1)</f>
        <v>548.48769300000004</v>
      </c>
      <c r="T329" s="32"/>
    </row>
    <row r="330" spans="1:20" s="73" customFormat="1" ht="15.75" customHeight="1" x14ac:dyDescent="0.25">
      <c r="A330" s="146" t="s">
        <v>349</v>
      </c>
      <c r="B330" s="147"/>
      <c r="C330" s="147"/>
      <c r="D330" s="147"/>
      <c r="E330" s="147"/>
      <c r="F330" s="147"/>
      <c r="G330" s="147"/>
      <c r="H330" s="148"/>
      <c r="I330" s="33"/>
      <c r="L330" s="116"/>
      <c r="M330" s="116"/>
      <c r="N330" s="33"/>
      <c r="T330" s="18"/>
    </row>
    <row r="331" spans="1:20" s="73" customFormat="1" ht="15.75" customHeight="1" x14ac:dyDescent="0.25">
      <c r="A331" s="114">
        <v>1</v>
      </c>
      <c r="B331" s="115"/>
      <c r="C331" s="72" t="s">
        <v>340</v>
      </c>
      <c r="D331" s="70">
        <f>(6.62*3.35+1.75*1.86+1.15*1.4+0.5*0.65)*10.764</f>
        <v>294.57838799999996</v>
      </c>
      <c r="E331" s="72">
        <v>0</v>
      </c>
      <c r="F331" s="72">
        <f>D331+(IF(E331&lt;201,E331,IF(E331&lt;301,E331/2,E331/3)))</f>
        <v>294.57838799999996</v>
      </c>
      <c r="G331" s="57">
        <v>0</v>
      </c>
      <c r="H331" s="72">
        <f>(F331+(IF(G331&lt;101,G331,IF(G331&lt;201,G331/2,IF(G331&lt;=301,G331/3,G331/4)))))*(($H$128)+1)</f>
        <v>441.86758199999997</v>
      </c>
      <c r="I331" s="33"/>
      <c r="L331" s="116"/>
      <c r="M331" s="116"/>
      <c r="N331" s="33"/>
      <c r="T331" s="18"/>
    </row>
    <row r="332" spans="1:20" s="73" customFormat="1" x14ac:dyDescent="0.25">
      <c r="A332" s="114">
        <v>2</v>
      </c>
      <c r="B332" s="115"/>
      <c r="C332" s="72" t="s">
        <v>340</v>
      </c>
      <c r="D332" s="70">
        <f>(8.67*3.4)*10.764</f>
        <v>317.30119199999996</v>
      </c>
      <c r="E332" s="72">
        <v>0</v>
      </c>
      <c r="F332" s="72">
        <f t="shared" ref="F332" si="93">D332+(IF(E332&lt;201,E332,IF(E332&lt;301,E332/2,E332/3)))</f>
        <v>317.30119199999996</v>
      </c>
      <c r="G332" s="72">
        <v>0</v>
      </c>
      <c r="H332" s="72">
        <f t="shared" ref="H332" si="94">(F332+(IF(G332&lt;101,G332,IF(G332&lt;201,G332/2,IF(G332&lt;=301,G332/3,G332/4)))))*(($H$128)+1)</f>
        <v>475.95178799999996</v>
      </c>
      <c r="I332" s="33"/>
      <c r="N332" s="33"/>
    </row>
    <row r="333" spans="1:20" s="73" customFormat="1" ht="15.75" customHeight="1" x14ac:dyDescent="0.25">
      <c r="A333" s="114">
        <v>3</v>
      </c>
      <c r="B333" s="115"/>
      <c r="C333" s="72" t="s">
        <v>340</v>
      </c>
      <c r="D333" s="70">
        <f>((5.31+1.6+0.75)*4.49)*10.764</f>
        <v>370.21055759999996</v>
      </c>
      <c r="E333" s="72">
        <v>0</v>
      </c>
      <c r="F333" s="72">
        <f>D333+(IF(E333&lt;201,E333,IF(E333&lt;301,E333/2,E333/3)))</f>
        <v>370.21055759999996</v>
      </c>
      <c r="G333" s="57">
        <v>0</v>
      </c>
      <c r="H333" s="72">
        <f>(F333+(IF(G333&lt;101,G333,IF(G333&lt;201,G333/2,IF(G333&lt;=301,G333/3,G333/4)))))*(($H$128)+1)</f>
        <v>555.31583639999997</v>
      </c>
      <c r="I333" s="33"/>
      <c r="L333" s="116"/>
      <c r="M333" s="116"/>
      <c r="N333" s="33"/>
      <c r="T333" s="18"/>
    </row>
    <row r="334" spans="1:20" s="73" customFormat="1" x14ac:dyDescent="0.25">
      <c r="A334" s="114">
        <f>A333+1</f>
        <v>4</v>
      </c>
      <c r="B334" s="115"/>
      <c r="C334" s="72" t="s">
        <v>340</v>
      </c>
      <c r="D334" s="70">
        <f>(3.35*6.06+1.77*1.6+1.4*1.05+0.65*0.45)*10.764</f>
        <v>267.97516199999995</v>
      </c>
      <c r="E334" s="72">
        <v>0</v>
      </c>
      <c r="F334" s="72">
        <f t="shared" ref="F334:F336" si="95">D334+(IF(E334&lt;201,E334,IF(E334&lt;301,E334/2,E334/3)))</f>
        <v>267.97516199999995</v>
      </c>
      <c r="G334" s="72">
        <v>0</v>
      </c>
      <c r="H334" s="72">
        <f t="shared" ref="H334:H336" si="96">(F334+(IF(G334&lt;101,G334,IF(G334&lt;201,G334/2,IF(G334&lt;=301,G334/3,G334/4)))))*(($H$128)+1)</f>
        <v>401.96274299999993</v>
      </c>
      <c r="I334" s="33"/>
      <c r="N334" s="33"/>
    </row>
    <row r="335" spans="1:20" x14ac:dyDescent="0.25">
      <c r="A335" s="114">
        <f>A334+1</f>
        <v>5</v>
      </c>
      <c r="B335" s="115"/>
      <c r="C335" s="72" t="s">
        <v>340</v>
      </c>
      <c r="D335" s="70">
        <f>(3.35*6.06+1.77*1.6+1.4*1.05+0.65*0.45)*10.764</f>
        <v>267.97516199999995</v>
      </c>
      <c r="E335" s="72">
        <v>0</v>
      </c>
      <c r="F335" s="72">
        <f t="shared" si="95"/>
        <v>267.97516199999995</v>
      </c>
      <c r="G335" s="72">
        <v>0</v>
      </c>
      <c r="H335" s="72">
        <f t="shared" si="96"/>
        <v>401.96274299999993</v>
      </c>
      <c r="I335" s="33"/>
      <c r="T335" s="73"/>
    </row>
    <row r="336" spans="1:20" s="73" customFormat="1" x14ac:dyDescent="0.25">
      <c r="A336" s="114">
        <f>A335+1</f>
        <v>6</v>
      </c>
      <c r="B336" s="115"/>
      <c r="C336" s="72" t="s">
        <v>340</v>
      </c>
      <c r="D336" s="70">
        <f>(3.35*6.06+1.77*1.6+1.4*1.05+0.65*0.45)*10.764</f>
        <v>267.97516199999995</v>
      </c>
      <c r="E336" s="72">
        <v>0</v>
      </c>
      <c r="F336" s="72">
        <f t="shared" si="95"/>
        <v>267.97516199999995</v>
      </c>
      <c r="G336" s="72">
        <v>0</v>
      </c>
      <c r="H336" s="72">
        <f t="shared" si="96"/>
        <v>401.96274299999993</v>
      </c>
      <c r="I336" s="33"/>
    </row>
    <row r="337" spans="1:20" s="73" customFormat="1" x14ac:dyDescent="0.25">
      <c r="A337" s="114">
        <v>7</v>
      </c>
      <c r="B337" s="115"/>
      <c r="C337" s="72" t="s">
        <v>340</v>
      </c>
      <c r="D337" s="70">
        <f>(3.35*6.06+1.77*1.6+1.4*1.05+0.65*0.45)*10.764</f>
        <v>267.97516199999995</v>
      </c>
      <c r="E337" s="72">
        <v>0</v>
      </c>
      <c r="F337" s="72">
        <f>D337+(IF(E337&lt;201,E337,IF(E337&lt;301,E337/2,E337/3)))</f>
        <v>267.97516199999995</v>
      </c>
      <c r="G337" s="57">
        <v>0</v>
      </c>
      <c r="H337" s="72">
        <f>(F337+(IF(G337&lt;101,G337,IF(G337&lt;201,G337/2,IF(G337&lt;=301,G337/3,G337/4)))))*(($H$128)+1)</f>
        <v>401.96274299999993</v>
      </c>
      <c r="J337" s="33"/>
    </row>
    <row r="338" spans="1:20" s="73" customFormat="1" ht="15.75" customHeight="1" x14ac:dyDescent="0.25">
      <c r="A338" s="114">
        <f>A337+1</f>
        <v>8</v>
      </c>
      <c r="B338" s="115"/>
      <c r="C338" s="72" t="s">
        <v>340</v>
      </c>
      <c r="D338" s="70">
        <f>(3.35*6.06+1.77*1.6+1.4*1.05+0.65*0.45)*10.764</f>
        <v>267.97516199999995</v>
      </c>
      <c r="E338" s="72">
        <v>0</v>
      </c>
      <c r="F338" s="72">
        <f t="shared" ref="F338:F340" si="97">D338+(IF(E338&lt;201,E338,IF(E338&lt;301,E338/2,E338/3)))</f>
        <v>267.97516199999995</v>
      </c>
      <c r="G338" s="72">
        <v>0</v>
      </c>
      <c r="H338" s="72">
        <f t="shared" ref="H338:H340" si="98">(F338+(IF(G338&lt;101,G338,IF(G338&lt;201,G338/2,IF(G338&lt;=301,G338/3,G338/4)))))*(($H$128)+1)</f>
        <v>401.96274299999993</v>
      </c>
      <c r="I338" s="33"/>
      <c r="L338" s="116"/>
      <c r="M338" s="116"/>
      <c r="N338" s="33"/>
    </row>
    <row r="339" spans="1:20" s="73" customFormat="1" ht="15.75" customHeight="1" x14ac:dyDescent="0.25">
      <c r="A339" s="114">
        <f>A338+1</f>
        <v>9</v>
      </c>
      <c r="B339" s="115"/>
      <c r="C339" s="72" t="s">
        <v>340</v>
      </c>
      <c r="D339" s="70">
        <f t="shared" ref="D339:D341" si="99">(3.35*6.06+1.77*1.6+1.4*1.05+0.65*0.45)*10.764</f>
        <v>267.97516199999995</v>
      </c>
      <c r="E339" s="72">
        <v>0</v>
      </c>
      <c r="F339" s="72">
        <f t="shared" si="97"/>
        <v>267.97516199999995</v>
      </c>
      <c r="G339" s="72">
        <v>0</v>
      </c>
      <c r="H339" s="72">
        <f t="shared" si="98"/>
        <v>401.96274299999993</v>
      </c>
      <c r="I339" s="33"/>
      <c r="L339" s="116"/>
      <c r="M339" s="116"/>
      <c r="N339" s="33"/>
    </row>
    <row r="340" spans="1:20" s="73" customFormat="1" ht="15.75" customHeight="1" x14ac:dyDescent="0.25">
      <c r="A340" s="114">
        <f>A339+1</f>
        <v>10</v>
      </c>
      <c r="B340" s="115"/>
      <c r="C340" s="72" t="s">
        <v>340</v>
      </c>
      <c r="D340" s="70">
        <f t="shared" si="99"/>
        <v>267.97516199999995</v>
      </c>
      <c r="E340" s="72">
        <v>0</v>
      </c>
      <c r="F340" s="72">
        <f t="shared" si="97"/>
        <v>267.97516199999995</v>
      </c>
      <c r="G340" s="72">
        <v>0</v>
      </c>
      <c r="H340" s="72">
        <f t="shared" si="98"/>
        <v>401.96274299999993</v>
      </c>
      <c r="I340" s="33"/>
      <c r="L340" s="116"/>
      <c r="M340" s="116"/>
      <c r="N340" s="33"/>
    </row>
    <row r="341" spans="1:20" s="73" customFormat="1" ht="15.75" customHeight="1" x14ac:dyDescent="0.25">
      <c r="A341" s="114">
        <v>11</v>
      </c>
      <c r="B341" s="115"/>
      <c r="C341" s="72" t="s">
        <v>340</v>
      </c>
      <c r="D341" s="70">
        <f t="shared" si="99"/>
        <v>267.97516199999995</v>
      </c>
      <c r="E341" s="72">
        <v>0</v>
      </c>
      <c r="F341" s="72">
        <f>D341+(IF(E341&lt;201,E341,IF(E341&lt;301,E341/2,E341/3)))</f>
        <v>267.97516199999995</v>
      </c>
      <c r="G341" s="57">
        <v>0</v>
      </c>
      <c r="H341" s="72">
        <f>(F341+(IF(G341&lt;101,G341,IF(G341&lt;201,G341/2,IF(G341&lt;=301,G341/3,G341/4)))))*(($H$128)+1)</f>
        <v>401.96274299999993</v>
      </c>
      <c r="I341" s="33"/>
      <c r="L341" s="116"/>
      <c r="M341" s="116"/>
      <c r="N341" s="33"/>
      <c r="T341" s="18"/>
    </row>
    <row r="342" spans="1:20" s="73" customFormat="1" x14ac:dyDescent="0.25">
      <c r="A342" s="114">
        <f>A341+1</f>
        <v>12</v>
      </c>
      <c r="B342" s="115"/>
      <c r="C342" s="72" t="s">
        <v>340</v>
      </c>
      <c r="D342" s="70">
        <f t="shared" ref="D342:D349" si="100">(3.35*6.06+1.77*1.6+1.4*1.05+0.65*0.45)*10.764</f>
        <v>267.97516199999995</v>
      </c>
      <c r="E342" s="72">
        <v>0</v>
      </c>
      <c r="F342" s="72">
        <f t="shared" ref="F342:F343" si="101">D342+(IF(E342&lt;201,E342,IF(E342&lt;301,E342/2,E342/3)))</f>
        <v>267.97516199999995</v>
      </c>
      <c r="G342" s="72">
        <v>0</v>
      </c>
      <c r="H342" s="72">
        <f t="shared" ref="H342:H343" si="102">(F342+(IF(G342&lt;101,G342,IF(G342&lt;201,G342/2,IF(G342&lt;=301,G342/3,G342/4)))))*(($H$128)+1)</f>
        <v>401.96274299999993</v>
      </c>
      <c r="I342" s="33"/>
      <c r="L342" s="116"/>
      <c r="M342" s="116"/>
    </row>
    <row r="343" spans="1:20" s="73" customFormat="1" x14ac:dyDescent="0.25">
      <c r="A343" s="114">
        <v>14</v>
      </c>
      <c r="B343" s="115"/>
      <c r="C343" s="72" t="s">
        <v>340</v>
      </c>
      <c r="D343" s="70">
        <f t="shared" si="100"/>
        <v>267.97516199999995</v>
      </c>
      <c r="E343" s="72">
        <v>0</v>
      </c>
      <c r="F343" s="72">
        <f t="shared" si="101"/>
        <v>267.97516199999995</v>
      </c>
      <c r="G343" s="72">
        <v>0</v>
      </c>
      <c r="H343" s="72">
        <f t="shared" si="102"/>
        <v>401.96274299999993</v>
      </c>
      <c r="I343" s="33"/>
      <c r="N343" s="33"/>
    </row>
    <row r="344" spans="1:20" s="73" customFormat="1" x14ac:dyDescent="0.25">
      <c r="A344" s="114">
        <v>15</v>
      </c>
      <c r="B344" s="115"/>
      <c r="C344" s="72" t="s">
        <v>340</v>
      </c>
      <c r="D344" s="70">
        <f t="shared" si="100"/>
        <v>267.97516199999995</v>
      </c>
      <c r="E344" s="72">
        <v>0</v>
      </c>
      <c r="F344" s="72">
        <f>D344+(IF(E344&lt;201,E344,IF(E344&lt;301,E344/2,E344/3)))</f>
        <v>267.97516199999995</v>
      </c>
      <c r="G344" s="57">
        <v>0</v>
      </c>
      <c r="H344" s="72">
        <f>(F344+(IF(G344&lt;101,G344,IF(G344&lt;201,G344/2,IF(G344&lt;=301,G344/3,G344/4)))))*(($H$128)+1)</f>
        <v>401.96274299999993</v>
      </c>
      <c r="I344" s="33"/>
      <c r="N344" s="33"/>
    </row>
    <row r="345" spans="1:20" s="73" customFormat="1" x14ac:dyDescent="0.25">
      <c r="A345" s="114">
        <f>A344+1</f>
        <v>16</v>
      </c>
      <c r="B345" s="115"/>
      <c r="C345" s="72" t="s">
        <v>340</v>
      </c>
      <c r="D345" s="70">
        <f t="shared" si="100"/>
        <v>267.97516199999995</v>
      </c>
      <c r="E345" s="72">
        <v>0</v>
      </c>
      <c r="F345" s="72">
        <f t="shared" ref="F345:F349" si="103">D345+(IF(E345&lt;201,E345,IF(E345&lt;301,E345/2,E345/3)))</f>
        <v>267.97516199999995</v>
      </c>
      <c r="G345" s="72">
        <v>0</v>
      </c>
      <c r="H345" s="72">
        <f t="shared" ref="H345:H349" si="104">(F345+(IF(G345&lt;101,G345,IF(G345&lt;201,G345/2,IF(G345&lt;=301,G345/3,G345/4)))))*(($H$128)+1)</f>
        <v>401.96274299999993</v>
      </c>
      <c r="I345" s="33"/>
      <c r="N345" s="33"/>
    </row>
    <row r="346" spans="1:20" s="73" customFormat="1" x14ac:dyDescent="0.25">
      <c r="A346" s="114">
        <f>A345+1</f>
        <v>17</v>
      </c>
      <c r="B346" s="115"/>
      <c r="C346" s="72" t="s">
        <v>340</v>
      </c>
      <c r="D346" s="70">
        <f t="shared" si="100"/>
        <v>267.97516199999995</v>
      </c>
      <c r="E346" s="72">
        <v>0</v>
      </c>
      <c r="F346" s="72">
        <f t="shared" si="103"/>
        <v>267.97516199999995</v>
      </c>
      <c r="G346" s="72">
        <v>0</v>
      </c>
      <c r="H346" s="72">
        <f t="shared" si="104"/>
        <v>401.96274299999993</v>
      </c>
      <c r="I346" s="33"/>
      <c r="N346" s="33"/>
    </row>
    <row r="347" spans="1:20" s="73" customFormat="1" ht="15.75" customHeight="1" x14ac:dyDescent="0.25">
      <c r="A347" s="114">
        <f>A346+1</f>
        <v>18</v>
      </c>
      <c r="B347" s="115"/>
      <c r="C347" s="72" t="s">
        <v>340</v>
      </c>
      <c r="D347" s="70">
        <f t="shared" si="100"/>
        <v>267.97516199999995</v>
      </c>
      <c r="E347" s="72">
        <v>0</v>
      </c>
      <c r="F347" s="72">
        <f t="shared" si="103"/>
        <v>267.97516199999995</v>
      </c>
      <c r="G347" s="72">
        <v>0</v>
      </c>
      <c r="H347" s="72">
        <f t="shared" si="104"/>
        <v>401.96274299999993</v>
      </c>
      <c r="I347" s="33"/>
    </row>
    <row r="348" spans="1:20" s="73" customFormat="1" ht="15.75" customHeight="1" x14ac:dyDescent="0.25">
      <c r="A348" s="114">
        <f>A347+1</f>
        <v>19</v>
      </c>
      <c r="B348" s="115"/>
      <c r="C348" s="72" t="s">
        <v>340</v>
      </c>
      <c r="D348" s="70">
        <f t="shared" si="100"/>
        <v>267.97516199999995</v>
      </c>
      <c r="E348" s="72">
        <v>0</v>
      </c>
      <c r="F348" s="72">
        <f t="shared" si="103"/>
        <v>267.97516199999995</v>
      </c>
      <c r="G348" s="72">
        <v>0</v>
      </c>
      <c r="H348" s="72">
        <f t="shared" si="104"/>
        <v>401.96274299999993</v>
      </c>
      <c r="I348" s="33"/>
    </row>
    <row r="349" spans="1:20" s="73" customFormat="1" ht="15.75" customHeight="1" x14ac:dyDescent="0.25">
      <c r="A349" s="114">
        <f>A348+1</f>
        <v>20</v>
      </c>
      <c r="B349" s="115"/>
      <c r="C349" s="72" t="s">
        <v>340</v>
      </c>
      <c r="D349" s="70">
        <f t="shared" si="100"/>
        <v>267.97516199999995</v>
      </c>
      <c r="E349" s="72">
        <v>0</v>
      </c>
      <c r="F349" s="72">
        <f t="shared" si="103"/>
        <v>267.97516199999995</v>
      </c>
      <c r="G349" s="72">
        <v>0</v>
      </c>
      <c r="H349" s="72">
        <f t="shared" si="104"/>
        <v>401.96274299999993</v>
      </c>
      <c r="I349" s="33"/>
    </row>
    <row r="350" spans="1:20" s="73" customFormat="1" ht="15.75" customHeight="1" x14ac:dyDescent="0.25">
      <c r="A350" s="114">
        <v>21</v>
      </c>
      <c r="B350" s="115"/>
      <c r="C350" s="72" t="s">
        <v>340</v>
      </c>
      <c r="D350" s="70">
        <f>(3.35*6.06+1.85*1.6+1.4*1.05+0.65*0.45)*10.764</f>
        <v>269.35295399999995</v>
      </c>
      <c r="E350" s="72">
        <v>0</v>
      </c>
      <c r="F350" s="72">
        <f>D350+(IF(E350&lt;201,E350,IF(E350&lt;301,E350/2,E350/3)))</f>
        <v>269.35295399999995</v>
      </c>
      <c r="G350" s="57">
        <v>0</v>
      </c>
      <c r="H350" s="72">
        <f>(F350+(IF(G350&lt;101,G350,IF(G350&lt;201,G350/2,IF(G350&lt;=301,G350/3,G350/4)))))*(($H$128)+1)</f>
        <v>404.02943099999993</v>
      </c>
      <c r="I350" s="33"/>
    </row>
    <row r="351" spans="1:20" s="73" customFormat="1" ht="15.75" customHeight="1" x14ac:dyDescent="0.25">
      <c r="A351" s="114">
        <f t="shared" ref="A351:A357" si="105">A350+1</f>
        <v>22</v>
      </c>
      <c r="B351" s="115"/>
      <c r="C351" s="72" t="s">
        <v>340</v>
      </c>
      <c r="D351" s="70">
        <f>(6.3*4.45+1.9*2.93+1.2*1.4+0.45*0.65)*10.764</f>
        <v>382.92391799999996</v>
      </c>
      <c r="E351" s="72">
        <v>0</v>
      </c>
      <c r="F351" s="72">
        <f t="shared" ref="F351:F357" si="106">D351+(IF(E351&lt;201,E351,IF(E351&lt;301,E351/2,E351/3)))</f>
        <v>382.92391799999996</v>
      </c>
      <c r="G351" s="72">
        <v>0</v>
      </c>
      <c r="H351" s="72">
        <f t="shared" ref="H351:H357" si="107">(F351+(IF(G351&lt;101,G351,IF(G351&lt;201,G351/2,IF(G351&lt;=301,G351/3,G351/4)))))*(($H$128)+1)</f>
        <v>574.38587699999994</v>
      </c>
      <c r="I351" s="33"/>
    </row>
    <row r="352" spans="1:20" s="73" customFormat="1" ht="15.75" customHeight="1" x14ac:dyDescent="0.25">
      <c r="A352" s="114">
        <f t="shared" si="105"/>
        <v>23</v>
      </c>
      <c r="B352" s="115"/>
      <c r="C352" s="72" t="s">
        <v>340</v>
      </c>
      <c r="D352" s="70">
        <f>(6.3*4.45+1.9*2.8+1.2*1.4+0.45*0.65)*10.764</f>
        <v>380.26520999999991</v>
      </c>
      <c r="E352" s="72">
        <v>0</v>
      </c>
      <c r="F352" s="72">
        <f t="shared" si="106"/>
        <v>380.26520999999991</v>
      </c>
      <c r="G352" s="72">
        <v>0</v>
      </c>
      <c r="H352" s="72">
        <f t="shared" si="107"/>
        <v>570.39781499999981</v>
      </c>
      <c r="I352" s="33"/>
    </row>
    <row r="353" spans="1:20" s="73" customFormat="1" x14ac:dyDescent="0.25">
      <c r="A353" s="114">
        <f t="shared" si="105"/>
        <v>24</v>
      </c>
      <c r="B353" s="115"/>
      <c r="C353" s="72" t="s">
        <v>340</v>
      </c>
      <c r="D353" s="70">
        <f>(6.3*4.45+1.9*2.8+1.2*1.4+0.45*0.65)*10.764</f>
        <v>380.26520999999991</v>
      </c>
      <c r="E353" s="72">
        <v>0</v>
      </c>
      <c r="F353" s="72">
        <f t="shared" si="106"/>
        <v>380.26520999999991</v>
      </c>
      <c r="G353" s="72">
        <v>0</v>
      </c>
      <c r="H353" s="72">
        <f t="shared" si="107"/>
        <v>570.39781499999981</v>
      </c>
      <c r="I353" s="33"/>
    </row>
    <row r="354" spans="1:20" s="73" customFormat="1" ht="15.75" customHeight="1" x14ac:dyDescent="0.25">
      <c r="A354" s="114">
        <f t="shared" si="105"/>
        <v>25</v>
      </c>
      <c r="B354" s="115"/>
      <c r="C354" s="72" t="s">
        <v>340</v>
      </c>
      <c r="D354" s="70">
        <f>(6.3*4.45+1.9*2.8+1.2*1.4+0.45*0.65)*10.764</f>
        <v>380.26520999999991</v>
      </c>
      <c r="E354" s="72">
        <v>0</v>
      </c>
      <c r="F354" s="72">
        <f t="shared" si="106"/>
        <v>380.26520999999991</v>
      </c>
      <c r="G354" s="72">
        <v>0</v>
      </c>
      <c r="H354" s="72">
        <f t="shared" si="107"/>
        <v>570.39781499999981</v>
      </c>
      <c r="I354" s="33"/>
    </row>
    <row r="355" spans="1:20" s="73" customFormat="1" ht="15.75" customHeight="1" x14ac:dyDescent="0.25">
      <c r="A355" s="114">
        <f t="shared" si="105"/>
        <v>26</v>
      </c>
      <c r="B355" s="115"/>
      <c r="C355" s="72" t="s">
        <v>340</v>
      </c>
      <c r="D355" s="70">
        <f>(6.3*4.5+1.9*1.35+1.7*1.42+1.15*1.4+0.45*0.65)*10.764</f>
        <v>379.23186599999997</v>
      </c>
      <c r="E355" s="72">
        <v>0</v>
      </c>
      <c r="F355" s="72">
        <f t="shared" si="106"/>
        <v>379.23186599999997</v>
      </c>
      <c r="G355" s="72">
        <v>0</v>
      </c>
      <c r="H355" s="72">
        <f t="shared" si="107"/>
        <v>568.8477989999999</v>
      </c>
      <c r="I355" s="33"/>
    </row>
    <row r="356" spans="1:20" s="73" customFormat="1" ht="15.75" customHeight="1" x14ac:dyDescent="0.25">
      <c r="A356" s="114">
        <f t="shared" si="105"/>
        <v>27</v>
      </c>
      <c r="B356" s="115"/>
      <c r="C356" s="72" t="s">
        <v>340</v>
      </c>
      <c r="D356" s="70">
        <f>(3.35*8.7+1.85*1.75+1.2*1.4+0.45*0.65)*10.764</f>
        <v>369.79721999999992</v>
      </c>
      <c r="E356" s="72">
        <v>0</v>
      </c>
      <c r="F356" s="72">
        <f t="shared" si="106"/>
        <v>369.79721999999992</v>
      </c>
      <c r="G356" s="72">
        <v>0</v>
      </c>
      <c r="H356" s="72">
        <f t="shared" si="107"/>
        <v>554.69582999999989</v>
      </c>
      <c r="I356" s="33"/>
    </row>
    <row r="357" spans="1:20" s="73" customFormat="1" ht="15.75" customHeight="1" x14ac:dyDescent="0.25">
      <c r="A357" s="114">
        <f t="shared" si="105"/>
        <v>28</v>
      </c>
      <c r="B357" s="115"/>
      <c r="C357" s="72" t="s">
        <v>340</v>
      </c>
      <c r="D357" s="70">
        <f t="shared" ref="D357:D365" si="108">(3.35*8.7+1.78*1.75+1.2*1.4+0.45*0.65)*10.764</f>
        <v>368.4786299999999</v>
      </c>
      <c r="E357" s="72">
        <v>0</v>
      </c>
      <c r="F357" s="72">
        <f t="shared" si="106"/>
        <v>368.4786299999999</v>
      </c>
      <c r="G357" s="72">
        <v>0</v>
      </c>
      <c r="H357" s="72">
        <f t="shared" si="107"/>
        <v>552.71794499999987</v>
      </c>
      <c r="I357" s="33"/>
    </row>
    <row r="358" spans="1:20" s="73" customFormat="1" ht="15.75" customHeight="1" x14ac:dyDescent="0.25">
      <c r="A358" s="114">
        <v>29</v>
      </c>
      <c r="B358" s="115"/>
      <c r="C358" s="72" t="s">
        <v>340</v>
      </c>
      <c r="D358" s="70">
        <f t="shared" si="108"/>
        <v>368.4786299999999</v>
      </c>
      <c r="E358" s="72">
        <v>0</v>
      </c>
      <c r="F358" s="72">
        <f>D358+(IF(E358&lt;201,E358,IF(E358&lt;301,E358/2,E358/3)))</f>
        <v>368.4786299999999</v>
      </c>
      <c r="G358" s="57">
        <v>0</v>
      </c>
      <c r="H358" s="72">
        <f>(F358+(IF(G358&lt;101,G358,IF(G358&lt;201,G358/2,IF(G358&lt;=301,G358/3,G358/4)))))*(($H$128)+1)</f>
        <v>552.71794499999987</v>
      </c>
      <c r="I358" s="33"/>
    </row>
    <row r="359" spans="1:20" s="73" customFormat="1" x14ac:dyDescent="0.25">
      <c r="A359" s="114">
        <f t="shared" ref="A359:A365" si="109">A358+1</f>
        <v>30</v>
      </c>
      <c r="B359" s="115"/>
      <c r="C359" s="72" t="s">
        <v>340</v>
      </c>
      <c r="D359" s="70">
        <f t="shared" si="108"/>
        <v>368.4786299999999</v>
      </c>
      <c r="E359" s="72">
        <v>0</v>
      </c>
      <c r="F359" s="72">
        <f t="shared" ref="F359:F365" si="110">D359+(IF(E359&lt;201,E359,IF(E359&lt;301,E359/2,E359/3)))</f>
        <v>368.4786299999999</v>
      </c>
      <c r="G359" s="72">
        <v>0</v>
      </c>
      <c r="H359" s="72">
        <f t="shared" ref="H359:H365" si="111">(F359+(IF(G359&lt;101,G359,IF(G359&lt;201,G359/2,IF(G359&lt;=301,G359/3,G359/4)))))*(($H$128)+1)</f>
        <v>552.71794499999987</v>
      </c>
      <c r="I359" s="33"/>
    </row>
    <row r="360" spans="1:20" s="73" customFormat="1" ht="15.75" customHeight="1" x14ac:dyDescent="0.25">
      <c r="A360" s="114">
        <f t="shared" si="109"/>
        <v>31</v>
      </c>
      <c r="B360" s="115"/>
      <c r="C360" s="72" t="s">
        <v>340</v>
      </c>
      <c r="D360" s="70">
        <f t="shared" si="108"/>
        <v>368.4786299999999</v>
      </c>
      <c r="E360" s="72">
        <v>0</v>
      </c>
      <c r="F360" s="72">
        <f t="shared" si="110"/>
        <v>368.4786299999999</v>
      </c>
      <c r="G360" s="72">
        <v>0</v>
      </c>
      <c r="H360" s="72">
        <f t="shared" si="111"/>
        <v>552.71794499999987</v>
      </c>
      <c r="I360" s="33"/>
    </row>
    <row r="361" spans="1:20" s="73" customFormat="1" ht="15.75" customHeight="1" x14ac:dyDescent="0.25">
      <c r="A361" s="114">
        <f t="shared" si="109"/>
        <v>32</v>
      </c>
      <c r="B361" s="115"/>
      <c r="C361" s="72" t="s">
        <v>340</v>
      </c>
      <c r="D361" s="70">
        <f t="shared" si="108"/>
        <v>368.4786299999999</v>
      </c>
      <c r="E361" s="72">
        <v>0</v>
      </c>
      <c r="F361" s="72">
        <f t="shared" si="110"/>
        <v>368.4786299999999</v>
      </c>
      <c r="G361" s="72">
        <v>0</v>
      </c>
      <c r="H361" s="72">
        <f t="shared" si="111"/>
        <v>552.71794499999987</v>
      </c>
      <c r="I361" s="33"/>
    </row>
    <row r="362" spans="1:20" s="73" customFormat="1" ht="15.75" customHeight="1" x14ac:dyDescent="0.25">
      <c r="A362" s="114">
        <f t="shared" si="109"/>
        <v>33</v>
      </c>
      <c r="B362" s="115"/>
      <c r="C362" s="72" t="s">
        <v>340</v>
      </c>
      <c r="D362" s="70">
        <f t="shared" si="108"/>
        <v>368.4786299999999</v>
      </c>
      <c r="E362" s="72">
        <v>0</v>
      </c>
      <c r="F362" s="72">
        <f t="shared" si="110"/>
        <v>368.4786299999999</v>
      </c>
      <c r="G362" s="72">
        <v>0</v>
      </c>
      <c r="H362" s="72">
        <f t="shared" si="111"/>
        <v>552.71794499999987</v>
      </c>
      <c r="I362" s="33"/>
    </row>
    <row r="363" spans="1:20" s="73" customFormat="1" ht="15.75" customHeight="1" x14ac:dyDescent="0.25">
      <c r="A363" s="114">
        <f t="shared" si="109"/>
        <v>34</v>
      </c>
      <c r="B363" s="115"/>
      <c r="C363" s="72" t="s">
        <v>340</v>
      </c>
      <c r="D363" s="70">
        <f t="shared" si="108"/>
        <v>368.4786299999999</v>
      </c>
      <c r="E363" s="72">
        <v>0</v>
      </c>
      <c r="F363" s="72">
        <f t="shared" si="110"/>
        <v>368.4786299999999</v>
      </c>
      <c r="G363" s="72">
        <v>0</v>
      </c>
      <c r="H363" s="72">
        <f t="shared" si="111"/>
        <v>552.71794499999987</v>
      </c>
      <c r="I363" s="33"/>
    </row>
    <row r="364" spans="1:20" s="73" customFormat="1" ht="15.75" customHeight="1" x14ac:dyDescent="0.25">
      <c r="A364" s="114">
        <f t="shared" si="109"/>
        <v>35</v>
      </c>
      <c r="B364" s="115"/>
      <c r="C364" s="72" t="s">
        <v>340</v>
      </c>
      <c r="D364" s="70">
        <f t="shared" si="108"/>
        <v>368.4786299999999</v>
      </c>
      <c r="E364" s="72">
        <v>0</v>
      </c>
      <c r="F364" s="72">
        <f t="shared" si="110"/>
        <v>368.4786299999999</v>
      </c>
      <c r="G364" s="72">
        <v>0</v>
      </c>
      <c r="H364" s="72">
        <f t="shared" si="111"/>
        <v>552.71794499999987</v>
      </c>
      <c r="I364" s="33"/>
    </row>
    <row r="365" spans="1:20" s="32" customFormat="1" x14ac:dyDescent="0.25">
      <c r="A365" s="114">
        <f t="shared" si="109"/>
        <v>36</v>
      </c>
      <c r="B365" s="115"/>
      <c r="C365" s="72" t="s">
        <v>340</v>
      </c>
      <c r="D365" s="70">
        <f t="shared" si="108"/>
        <v>368.4786299999999</v>
      </c>
      <c r="E365" s="72">
        <v>0</v>
      </c>
      <c r="F365" s="72">
        <f t="shared" si="110"/>
        <v>368.4786299999999</v>
      </c>
      <c r="G365" s="72">
        <v>0</v>
      </c>
      <c r="H365" s="72">
        <f t="shared" si="111"/>
        <v>552.71794499999987</v>
      </c>
      <c r="T365" s="73"/>
    </row>
    <row r="366" spans="1:20" s="32" customFormat="1" x14ac:dyDescent="0.25">
      <c r="A366" s="114">
        <v>37</v>
      </c>
      <c r="B366" s="115"/>
      <c r="C366" s="72" t="s">
        <v>340</v>
      </c>
      <c r="D366" s="70">
        <f t="shared" ref="D366:D377" si="112">(3.35*8.7+1.7*1.75+1.2*1.4+0.45*0.65)*10.764</f>
        <v>366.9716699999999</v>
      </c>
      <c r="E366" s="72">
        <v>0</v>
      </c>
      <c r="F366" s="72">
        <f>D366+(IF(E366&lt;201,E366,IF(E366&lt;301,E366/2,E366/3)))</f>
        <v>366.9716699999999</v>
      </c>
      <c r="G366" s="57">
        <v>0</v>
      </c>
      <c r="H366" s="72">
        <f>(F366+(IF(G366&lt;101,G366,IF(G366&lt;201,G366/2,IF(G366&lt;=301,G366/3,G366/4)))))*(($H$128)+1)</f>
        <v>550.45750499999986</v>
      </c>
      <c r="T366" s="73"/>
    </row>
    <row r="367" spans="1:20" s="32" customFormat="1" x14ac:dyDescent="0.25">
      <c r="A367" s="114">
        <f>A366+1</f>
        <v>38</v>
      </c>
      <c r="B367" s="115"/>
      <c r="C367" s="72" t="s">
        <v>340</v>
      </c>
      <c r="D367" s="70">
        <f t="shared" si="112"/>
        <v>366.9716699999999</v>
      </c>
      <c r="E367" s="72">
        <v>0</v>
      </c>
      <c r="F367" s="72">
        <f t="shared" ref="F367:F369" si="113">D367+(IF(E367&lt;201,E367,IF(E367&lt;301,E367/2,E367/3)))</f>
        <v>366.9716699999999</v>
      </c>
      <c r="G367" s="72">
        <v>0</v>
      </c>
      <c r="H367" s="72">
        <f t="shared" ref="H367:H369" si="114">(F367+(IF(G367&lt;101,G367,IF(G367&lt;201,G367/2,IF(G367&lt;=301,G367/3,G367/4)))))*(($H$128)+1)</f>
        <v>550.45750499999986</v>
      </c>
      <c r="T367" s="73"/>
    </row>
    <row r="368" spans="1:20" s="32" customFormat="1" x14ac:dyDescent="0.25">
      <c r="A368" s="114">
        <f>A367+1</f>
        <v>39</v>
      </c>
      <c r="B368" s="115"/>
      <c r="C368" s="72" t="s">
        <v>340</v>
      </c>
      <c r="D368" s="70">
        <f t="shared" si="112"/>
        <v>366.9716699999999</v>
      </c>
      <c r="E368" s="72">
        <v>0</v>
      </c>
      <c r="F368" s="72">
        <f t="shared" si="113"/>
        <v>366.9716699999999</v>
      </c>
      <c r="G368" s="72">
        <v>0</v>
      </c>
      <c r="H368" s="72">
        <f t="shared" si="114"/>
        <v>550.45750499999986</v>
      </c>
      <c r="T368" s="73"/>
    </row>
    <row r="369" spans="1:20" s="32" customFormat="1" x14ac:dyDescent="0.25">
      <c r="A369" s="114">
        <f>A368+1</f>
        <v>40</v>
      </c>
      <c r="B369" s="115"/>
      <c r="C369" s="72" t="s">
        <v>340</v>
      </c>
      <c r="D369" s="70">
        <f t="shared" si="112"/>
        <v>366.9716699999999</v>
      </c>
      <c r="E369" s="72">
        <v>0</v>
      </c>
      <c r="F369" s="72">
        <f t="shared" si="113"/>
        <v>366.9716699999999</v>
      </c>
      <c r="G369" s="72">
        <v>0</v>
      </c>
      <c r="H369" s="72">
        <f t="shared" si="114"/>
        <v>550.45750499999986</v>
      </c>
      <c r="T369" s="73"/>
    </row>
    <row r="370" spans="1:20" s="32" customFormat="1" x14ac:dyDescent="0.25">
      <c r="A370" s="114">
        <v>41</v>
      </c>
      <c r="B370" s="115"/>
      <c r="C370" s="72" t="s">
        <v>340</v>
      </c>
      <c r="D370" s="70">
        <f t="shared" si="112"/>
        <v>366.9716699999999</v>
      </c>
      <c r="E370" s="72">
        <v>0</v>
      </c>
      <c r="F370" s="72">
        <f>D370+(IF(E370&lt;201,E370,IF(E370&lt;301,E370/2,E370/3)))</f>
        <v>366.9716699999999</v>
      </c>
      <c r="G370" s="57">
        <v>0</v>
      </c>
      <c r="H370" s="72">
        <f>(F370+(IF(G370&lt;101,G370,IF(G370&lt;201,G370/2,IF(G370&lt;=301,G370/3,G370/4)))))*(($H$128)+1)</f>
        <v>550.45750499999986</v>
      </c>
      <c r="T370" s="73"/>
    </row>
    <row r="371" spans="1:20" s="32" customFormat="1" x14ac:dyDescent="0.25">
      <c r="A371" s="114">
        <f t="shared" ref="A371:A377" si="115">A370+1</f>
        <v>42</v>
      </c>
      <c r="B371" s="115"/>
      <c r="C371" s="72" t="s">
        <v>340</v>
      </c>
      <c r="D371" s="70">
        <f t="shared" si="112"/>
        <v>366.9716699999999</v>
      </c>
      <c r="E371" s="72">
        <v>0</v>
      </c>
      <c r="F371" s="72">
        <f t="shared" ref="F371:F377" si="116">D371+(IF(E371&lt;201,E371,IF(E371&lt;301,E371/2,E371/3)))</f>
        <v>366.9716699999999</v>
      </c>
      <c r="G371" s="72">
        <v>0</v>
      </c>
      <c r="H371" s="72">
        <f t="shared" ref="H371:H377" si="117">(F371+(IF(G371&lt;101,G371,IF(G371&lt;201,G371/2,IF(G371&lt;=301,G371/3,G371/4)))))*(($H$128)+1)</f>
        <v>550.45750499999986</v>
      </c>
    </row>
    <row r="372" spans="1:20" s="32" customFormat="1" x14ac:dyDescent="0.25">
      <c r="A372" s="114">
        <f t="shared" si="115"/>
        <v>43</v>
      </c>
      <c r="B372" s="115"/>
      <c r="C372" s="72" t="s">
        <v>340</v>
      </c>
      <c r="D372" s="70">
        <f t="shared" si="112"/>
        <v>366.9716699999999</v>
      </c>
      <c r="E372" s="72">
        <v>0</v>
      </c>
      <c r="F372" s="72">
        <f t="shared" si="116"/>
        <v>366.9716699999999</v>
      </c>
      <c r="G372" s="72">
        <v>0</v>
      </c>
      <c r="H372" s="72">
        <f t="shared" si="117"/>
        <v>550.45750499999986</v>
      </c>
    </row>
    <row r="373" spans="1:20" s="32" customFormat="1" x14ac:dyDescent="0.25">
      <c r="A373" s="114">
        <f t="shared" si="115"/>
        <v>44</v>
      </c>
      <c r="B373" s="115"/>
      <c r="C373" s="72" t="s">
        <v>340</v>
      </c>
      <c r="D373" s="70">
        <f t="shared" si="112"/>
        <v>366.9716699999999</v>
      </c>
      <c r="E373" s="72">
        <v>0</v>
      </c>
      <c r="F373" s="72">
        <f t="shared" si="116"/>
        <v>366.9716699999999</v>
      </c>
      <c r="G373" s="72">
        <v>0</v>
      </c>
      <c r="H373" s="72">
        <f t="shared" si="117"/>
        <v>550.45750499999986</v>
      </c>
    </row>
    <row r="374" spans="1:20" s="32" customFormat="1" x14ac:dyDescent="0.25">
      <c r="A374" s="114">
        <f t="shared" si="115"/>
        <v>45</v>
      </c>
      <c r="B374" s="115"/>
      <c r="C374" s="72" t="s">
        <v>340</v>
      </c>
      <c r="D374" s="70">
        <f t="shared" si="112"/>
        <v>366.9716699999999</v>
      </c>
      <c r="E374" s="72">
        <v>0</v>
      </c>
      <c r="F374" s="72">
        <f t="shared" si="116"/>
        <v>366.9716699999999</v>
      </c>
      <c r="G374" s="72">
        <v>0</v>
      </c>
      <c r="H374" s="72">
        <f t="shared" si="117"/>
        <v>550.45750499999986</v>
      </c>
    </row>
    <row r="375" spans="1:20" s="32" customFormat="1" x14ac:dyDescent="0.25">
      <c r="A375" s="114">
        <f t="shared" si="115"/>
        <v>46</v>
      </c>
      <c r="B375" s="115"/>
      <c r="C375" s="72" t="s">
        <v>340</v>
      </c>
      <c r="D375" s="70">
        <f t="shared" si="112"/>
        <v>366.9716699999999</v>
      </c>
      <c r="E375" s="72">
        <v>0</v>
      </c>
      <c r="F375" s="72">
        <f t="shared" si="116"/>
        <v>366.9716699999999</v>
      </c>
      <c r="G375" s="72">
        <v>0</v>
      </c>
      <c r="H375" s="72">
        <f t="shared" si="117"/>
        <v>550.45750499999986</v>
      </c>
    </row>
    <row r="376" spans="1:20" s="32" customFormat="1" x14ac:dyDescent="0.25">
      <c r="A376" s="114">
        <f t="shared" si="115"/>
        <v>47</v>
      </c>
      <c r="B376" s="115"/>
      <c r="C376" s="72" t="s">
        <v>340</v>
      </c>
      <c r="D376" s="70">
        <f t="shared" si="112"/>
        <v>366.9716699999999</v>
      </c>
      <c r="E376" s="72">
        <v>0</v>
      </c>
      <c r="F376" s="72">
        <f t="shared" si="116"/>
        <v>366.9716699999999</v>
      </c>
      <c r="G376" s="72">
        <v>0</v>
      </c>
      <c r="H376" s="72">
        <f t="shared" si="117"/>
        <v>550.45750499999986</v>
      </c>
    </row>
    <row r="377" spans="1:20" x14ac:dyDescent="0.25">
      <c r="A377" s="114">
        <f t="shared" si="115"/>
        <v>48</v>
      </c>
      <c r="B377" s="115"/>
      <c r="C377" s="72" t="s">
        <v>340</v>
      </c>
      <c r="D377" s="70">
        <f t="shared" si="112"/>
        <v>366.9716699999999</v>
      </c>
      <c r="E377" s="72">
        <v>0</v>
      </c>
      <c r="F377" s="72">
        <f t="shared" si="116"/>
        <v>366.9716699999999</v>
      </c>
      <c r="G377" s="72">
        <v>0</v>
      </c>
      <c r="H377" s="72">
        <f t="shared" si="117"/>
        <v>550.45750499999986</v>
      </c>
      <c r="T377" s="32"/>
    </row>
    <row r="378" spans="1:20" x14ac:dyDescent="0.25">
      <c r="A378" s="114">
        <v>49</v>
      </c>
      <c r="B378" s="115"/>
      <c r="C378" s="72" t="s">
        <v>340</v>
      </c>
      <c r="D378" s="70">
        <f>(6.62*4.15+1.75*1.15+1.75*1.35+1.15*1.4+0.5*0.65)*10.764</f>
        <v>363.64021200000008</v>
      </c>
      <c r="E378" s="72">
        <v>0</v>
      </c>
      <c r="F378" s="72">
        <f>D378+(IF(E378&lt;201,E378,IF(E378&lt;301,E378/2,E378/3)))</f>
        <v>363.64021200000008</v>
      </c>
      <c r="G378" s="57">
        <v>0</v>
      </c>
      <c r="H378" s="72">
        <f>(F378+(IF(G378&lt;101,G378,IF(G378&lt;201,G378/2,IF(G378&lt;=301,G378/3,G378/4)))))*(($H$128)+1)</f>
        <v>545.46031800000014</v>
      </c>
      <c r="T378" s="32"/>
    </row>
    <row r="379" spans="1:20" ht="15.75" customHeight="1" x14ac:dyDescent="0.25">
      <c r="A379" s="114">
        <f>A378+1</f>
        <v>50</v>
      </c>
      <c r="B379" s="115"/>
      <c r="C379" s="72" t="s">
        <v>340</v>
      </c>
      <c r="D379" s="70">
        <f>(6.62*4.15+2.65*1.75+1.05*1.4+0.6*0.65)*10.764</f>
        <v>365.65846199999999</v>
      </c>
      <c r="E379" s="72">
        <v>0</v>
      </c>
      <c r="F379" s="72">
        <f t="shared" ref="F379" si="118">D379+(IF(E379&lt;201,E379,IF(E379&lt;301,E379/2,E379/3)))</f>
        <v>365.65846199999999</v>
      </c>
      <c r="G379" s="72">
        <v>0</v>
      </c>
      <c r="H379" s="72">
        <f t="shared" ref="H379" si="119">(F379+(IF(G379&lt;101,G379,IF(G379&lt;201,G379/2,IF(G379&lt;=301,G379/3,G379/4)))))*(($H$128)+1)</f>
        <v>548.48769300000004</v>
      </c>
      <c r="T379" s="32"/>
    </row>
    <row r="380" spans="1:20" x14ac:dyDescent="0.25">
      <c r="A380" s="114"/>
      <c r="B380" s="186"/>
      <c r="C380" s="186"/>
      <c r="D380" s="186"/>
      <c r="E380" s="186"/>
      <c r="F380" s="186"/>
      <c r="G380" s="186"/>
      <c r="H380" s="115"/>
      <c r="T380" s="32"/>
    </row>
    <row r="381" spans="1:20" ht="47.25" hidden="1" x14ac:dyDescent="0.25">
      <c r="A381" s="188" t="s">
        <v>116</v>
      </c>
      <c r="B381" s="171" t="s">
        <v>172</v>
      </c>
      <c r="C381" s="171" t="s">
        <v>54</v>
      </c>
      <c r="D381" s="169" t="s">
        <v>228</v>
      </c>
      <c r="E381" s="171" t="s">
        <v>227</v>
      </c>
      <c r="F381" s="171" t="s">
        <v>55</v>
      </c>
      <c r="G381" s="219" t="s">
        <v>56</v>
      </c>
      <c r="H381" s="62" t="s">
        <v>147</v>
      </c>
      <c r="T381" s="32"/>
    </row>
    <row r="382" spans="1:20" ht="33.950000000000003" hidden="1" customHeight="1" x14ac:dyDescent="0.25">
      <c r="A382" s="189"/>
      <c r="B382" s="172"/>
      <c r="C382" s="172"/>
      <c r="D382" s="170"/>
      <c r="E382" s="172"/>
      <c r="F382" s="172"/>
      <c r="G382" s="220"/>
      <c r="H382" s="50">
        <v>0.45</v>
      </c>
    </row>
    <row r="383" spans="1:20" hidden="1" x14ac:dyDescent="0.25">
      <c r="A383" s="146" t="s">
        <v>113</v>
      </c>
      <c r="B383" s="147"/>
      <c r="C383" s="147"/>
      <c r="D383" s="147"/>
      <c r="E383" s="147"/>
      <c r="F383" s="147"/>
      <c r="G383" s="147"/>
      <c r="H383" s="148"/>
    </row>
    <row r="384" spans="1:20" hidden="1" x14ac:dyDescent="0.25">
      <c r="A384" s="114">
        <v>1</v>
      </c>
      <c r="B384" s="115"/>
      <c r="C384" s="39"/>
      <c r="D384" s="39"/>
      <c r="E384" s="39">
        <v>0</v>
      </c>
      <c r="F384" s="39">
        <f>D384+E384</f>
        <v>0</v>
      </c>
      <c r="G384" s="49">
        <v>0</v>
      </c>
      <c r="H384" s="49">
        <f>F384*(($H$382)+1)+(IF(G384&lt;101,G384,IF(G384&lt;201,G384/2,IF(G384&lt;=301,G384/3,G384/4))))</f>
        <v>0</v>
      </c>
    </row>
    <row r="385" spans="1:8" hidden="1" x14ac:dyDescent="0.25">
      <c r="A385" s="114">
        <f>A384+1</f>
        <v>2</v>
      </c>
      <c r="B385" s="115"/>
      <c r="C385" s="39"/>
      <c r="D385" s="39"/>
      <c r="E385" s="39">
        <v>0</v>
      </c>
      <c r="F385" s="49">
        <f>D385+E385</f>
        <v>0</v>
      </c>
      <c r="G385" s="49">
        <v>0</v>
      </c>
      <c r="H385" s="49">
        <f>F385*(($H$382)+1)+(IF(G385&lt;101,G385,IF(G385&lt;201,G385/2,IF(G385&lt;=301,G385/3,G385/4))))</f>
        <v>0</v>
      </c>
    </row>
    <row r="386" spans="1:8" hidden="1" x14ac:dyDescent="0.25">
      <c r="A386" s="114">
        <f>A385+1</f>
        <v>3</v>
      </c>
      <c r="B386" s="115"/>
      <c r="C386" s="39"/>
      <c r="D386" s="39"/>
      <c r="E386" s="39">
        <v>0</v>
      </c>
      <c r="F386" s="49">
        <f>D386+E386</f>
        <v>0</v>
      </c>
      <c r="G386" s="49">
        <v>0</v>
      </c>
      <c r="H386" s="49">
        <f>F386*(($H$382)+1)+(IF(G386&lt;101,G386,IF(G386&lt;201,G386/2,IF(G386&lt;=301,G386/3,G386/4))))</f>
        <v>0</v>
      </c>
    </row>
    <row r="387" spans="1:8" hidden="1" x14ac:dyDescent="0.25">
      <c r="A387" s="114">
        <f>A386+1</f>
        <v>4</v>
      </c>
      <c r="B387" s="115"/>
      <c r="C387" s="39"/>
      <c r="D387" s="39"/>
      <c r="E387" s="39">
        <v>0</v>
      </c>
      <c r="F387" s="49">
        <f>D387+E387</f>
        <v>0</v>
      </c>
      <c r="G387" s="49">
        <v>0</v>
      </c>
      <c r="H387" s="49">
        <f>F387*(($H$382)+1)+(IF(G387&lt;101,G387,IF(G387&lt;201,G387/2,IF(G387&lt;=301,G387/3,G387/4))))</f>
        <v>0</v>
      </c>
    </row>
    <row r="388" spans="1:8" hidden="1" x14ac:dyDescent="0.25">
      <c r="A388" s="195" t="s">
        <v>114</v>
      </c>
      <c r="B388" s="195"/>
      <c r="C388" s="195"/>
      <c r="D388" s="195"/>
      <c r="E388" s="195"/>
      <c r="F388" s="195"/>
      <c r="G388" s="195"/>
      <c r="H388" s="195"/>
    </row>
    <row r="389" spans="1:8" hidden="1" x14ac:dyDescent="0.25">
      <c r="A389" s="168">
        <f>LEFT(A388,SUM(LEN(A388)-LEN(SUBSTITUTE(A388,{"0","1","2","3","4","5","6","7","8","9"},""))))*100+1</f>
        <v>201</v>
      </c>
      <c r="B389" s="168"/>
      <c r="C389" s="39"/>
      <c r="D389" s="39"/>
      <c r="E389" s="49">
        <v>0</v>
      </c>
      <c r="F389" s="49">
        <f>D389+E389</f>
        <v>0</v>
      </c>
      <c r="G389" s="49">
        <v>0</v>
      </c>
      <c r="H389" s="49">
        <f>F389*(($H$382)+1)+(IF(G389&lt;101,G389,IF(G389&lt;201,G389/2,IF(G389&lt;=301,G389/3,G389/4))))</f>
        <v>0</v>
      </c>
    </row>
    <row r="390" spans="1:8" hidden="1" x14ac:dyDescent="0.25">
      <c r="A390" s="168">
        <f>A389+1</f>
        <v>202</v>
      </c>
      <c r="B390" s="168"/>
      <c r="C390" s="39"/>
      <c r="D390" s="39"/>
      <c r="E390" s="49">
        <v>0</v>
      </c>
      <c r="F390" s="49">
        <f>D390+E390</f>
        <v>0</v>
      </c>
      <c r="G390" s="49">
        <v>0</v>
      </c>
      <c r="H390" s="49">
        <f>F390*(($H$382)+1)+(IF(G390&lt;101,G390,IF(G390&lt;201,G390/2,IF(G390&lt;=301,G390/3,G390/4))))</f>
        <v>0</v>
      </c>
    </row>
    <row r="391" spans="1:8" ht="15" hidden="1" customHeight="1" x14ac:dyDescent="0.25">
      <c r="A391" s="168">
        <f>A390+1</f>
        <v>203</v>
      </c>
      <c r="B391" s="168"/>
      <c r="C391" s="39"/>
      <c r="D391" s="39"/>
      <c r="E391" s="49">
        <v>0</v>
      </c>
      <c r="F391" s="49">
        <f>D391+E391</f>
        <v>0</v>
      </c>
      <c r="G391" s="49">
        <v>0</v>
      </c>
      <c r="H391" s="49">
        <f>F391*(($H$382)+1)+(IF(G391&lt;101,G391,IF(G391&lt;201,G391/2,IF(G391&lt;=301,G391/3,G391/4))))</f>
        <v>0</v>
      </c>
    </row>
    <row r="392" spans="1:8" hidden="1" x14ac:dyDescent="0.25">
      <c r="A392" s="168">
        <f>A391+1</f>
        <v>204</v>
      </c>
      <c r="B392" s="168"/>
      <c r="C392" s="39"/>
      <c r="D392" s="39"/>
      <c r="E392" s="49">
        <v>0</v>
      </c>
      <c r="F392" s="49">
        <f>D392+E392</f>
        <v>0</v>
      </c>
      <c r="G392" s="49">
        <v>0</v>
      </c>
      <c r="H392" s="49">
        <f>F392*(($H$382)+1)+(IF(G392&lt;101,G392,IF(G392&lt;201,G392/2,IF(G392&lt;=301,G392/3,G392/4))))</f>
        <v>0</v>
      </c>
    </row>
    <row r="393" spans="1:8" hidden="1" x14ac:dyDescent="0.25">
      <c r="A393" s="168">
        <f>A392+1</f>
        <v>205</v>
      </c>
      <c r="B393" s="168"/>
      <c r="C393" s="39"/>
      <c r="D393" s="39"/>
      <c r="E393" s="49">
        <v>0</v>
      </c>
      <c r="F393" s="49">
        <f>D393+E393</f>
        <v>0</v>
      </c>
      <c r="G393" s="49">
        <v>0</v>
      </c>
      <c r="H393" s="49">
        <f>F393*(($H$382)+1)+(IF(G393&lt;101,G393,IF(G393&lt;201,G393/2,IF(G393&lt;=301,G393/3,G393/4))))</f>
        <v>0</v>
      </c>
    </row>
    <row r="394" spans="1:8" hidden="1" x14ac:dyDescent="0.25">
      <c r="A394" s="146" t="s">
        <v>148</v>
      </c>
      <c r="B394" s="147"/>
      <c r="C394" s="147"/>
      <c r="D394" s="147"/>
      <c r="E394" s="147"/>
      <c r="F394" s="147"/>
      <c r="G394" s="147"/>
      <c r="H394" s="148"/>
    </row>
    <row r="395" spans="1:8" hidden="1" x14ac:dyDescent="0.25">
      <c r="A395" s="114" t="str">
        <f ca="1">(SUMPRODUCT(MID(0&amp;(LEFT(A394,SUM(LEN(A394)-LEN(SUBSTITUTE(A394,{"0","1","2"},""))))), LARGE(INDEX(ISNUMBER(--MID((LEFT(A394,SUM(LEN(A394)-LEN(SUBSTITUTE(A394,{"0","1","2"},""))))), ROW(INDIRECT("1:"&amp;LEN((LEFT(A394,SUM(LEN(A394)-LEN(SUBSTITUTE(A394,{"0","1","2"},"")))))))), 1)) * ROW(INDIRECT("1:"&amp;LEN((LEFT(A394,SUM(LEN(A394)-LEN(SUBSTITUTE(A394,{"0","1","2"},"")))))))), 0), ROW(INDIRECT("1:"&amp;LEN((LEFT(A394,SUM(LEN(A394)-LEN(SUBSTITUTE(A394,{"0","1","2"},"")))))))))+1, 1) * 10^ROW(INDIRECT("1:"&amp;LEN((LEFT(A394,SUM(LEN(A394)-LEN(SUBSTITUTE(A394,{"0","1","2"},""))))))))/10))*100+1&amp;""&amp;" ,.., "&amp;""&amp;(SUMPRODUCT(MID(0&amp;(--TRIM(RIGHT(SUBSTITUTE(LEFT(A394,_xlfn.AGGREGATE(16,6,FIND({0,1,2,3,4,5,6,7,8,9},A394,ROW(INDIRECT("1:"&amp;LEN(A394)))),1))," ",REPT(" ",LEN(A394))),LEN(A394)))), LARGE(INDEX(ISNUMBER(--MID((--TRIM(RIGHT(SUBSTITUTE(LEFT(A394,_xlfn.AGGREGATE(16,6,FIND({0,1,2,3,4,5,6,7,8,9},A394,ROW(INDIRECT("1:"&amp;LEN(A394)))),1))," ",REPT(" ",LEN(A394))),LEN(A394)))), ROW(INDIRECT("1:"&amp;LEN((--TRIM(RIGHT(SUBSTITUTE(LEFT(A394,_xlfn.AGGREGATE(16,6,FIND({0,1,2,3,4,5,6,7,8,9},A394,ROW(INDIRECT("1:"&amp;LEN(A394)))),1))," ",REPT(" ",LEN(A394))),LEN(A394))))))), 1)) * ROW(INDIRECT("1:"&amp;LEN((--TRIM(RIGHT(SUBSTITUTE(LEFT(A394,_xlfn.AGGREGATE(16,6,FIND({0,1,2,3,4,5,6,7,8,9},A394,ROW(INDIRECT("1:"&amp;LEN(A394)))),1))," ",REPT(" ",LEN(A394))),LEN(A394))))))), 0), ROW(INDIRECT("1:"&amp;LEN((--TRIM(RIGHT(SUBSTITUTE(LEFT(A394,_xlfn.AGGREGATE(16,6,FIND({0,1,2,3,4,5,6,7,8,9},A394,ROW(INDIRECT("1:"&amp;LEN(A394)))),1))," ",REPT(" ",LEN(A394))),LEN(A394))))))))+1, 1) * 10^ROW(INDIRECT("1:"&amp;LEN((--TRIM(RIGHT(SUBSTITUTE(LEFT(A394,_xlfn.AGGREGATE(16,6,FIND({0,1,2,3,4,5,6,7,8,9},A394,ROW(INDIRECT("1:"&amp;LEN(A394)))),1))," ",REPT(" ",LEN(A394))),LEN(A394)))))))/10))*100+1</f>
        <v>301 ,.., 1501</v>
      </c>
      <c r="B395" s="115"/>
      <c r="C395" s="39"/>
      <c r="D395" s="39"/>
      <c r="E395" s="49">
        <v>0</v>
      </c>
      <c r="F395" s="49">
        <f>D395+E395</f>
        <v>0</v>
      </c>
      <c r="G395" s="49">
        <v>0</v>
      </c>
      <c r="H395" s="49">
        <f>F395*(($H$382)+1)+(IF(G395&lt;101,G395,IF(G395&lt;201,G395/2,IF(G395&lt;=301,G395/3,G395/4))))</f>
        <v>0</v>
      </c>
    </row>
    <row r="396" spans="1:8" hidden="1" x14ac:dyDescent="0.25">
      <c r="A396" s="114" t="str">
        <f ca="1">(SUMPRODUCT(MID(0&amp;(LEFT(A395,SUM(LEN(A395)-LEN(SUBSTITUTE(A395,{"0","1","2"},""))))), LARGE(INDEX(ISNUMBER(--MID((LEFT(A395,SUM(LEN(A395)-LEN(SUBSTITUTE(A395,{"0","1","2"},""))))), ROW(INDIRECT("1:"&amp;LEN((LEFT(A395,SUM(LEN(A395)-LEN(SUBSTITUTE(A395,{"0","1","2"},"")))))))), 1)) * ROW(INDIRECT("1:"&amp;LEN((LEFT(A395,SUM(LEN(A395)-LEN(SUBSTITUTE(A395,{"0","1","2"},"")))))))), 0), ROW(INDIRECT("1:"&amp;LEN((LEFT(A395,SUM(LEN(A395)-LEN(SUBSTITUTE(A395,{"0","1","2"},"")))))))))+1, 1) * 10^ROW(INDIRECT("1:"&amp;LEN((LEFT(A395,SUM(LEN(A395)-LEN(SUBSTITUTE(A395,{"0","1","2"},""))))))))/10))*1+1&amp;""&amp;" ,.., "&amp;""&amp;(SUMPRODUCT(MID(0&amp;(--TRIM(RIGHT(SUBSTITUTE(LEFT(A395,_xlfn.AGGREGATE(16,6,FIND({0,1,2,3,4,5,6,7,8,9},A395,ROW(INDIRECT("1:"&amp;LEN(A395)))),1))," ",REPT(" ",LEN(A395))),LEN(A395)))), LARGE(INDEX(ISNUMBER(--MID((--TRIM(RIGHT(SUBSTITUTE(LEFT(A395,_xlfn.AGGREGATE(16,6,FIND({0,1,2,3,4,5,6,7,8,9},A395,ROW(INDIRECT("1:"&amp;LEN(A395)))),1))," ",REPT(" ",LEN(A395))),LEN(A395)))), ROW(INDIRECT("1:"&amp;LEN((--TRIM(RIGHT(SUBSTITUTE(LEFT(A395,_xlfn.AGGREGATE(16,6,FIND({0,1,2,3,4,5,6,7,8,9},A395,ROW(INDIRECT("1:"&amp;LEN(A395)))),1))," ",REPT(" ",LEN(A395))),LEN(A395))))))), 1)) * ROW(INDIRECT("1:"&amp;LEN((--TRIM(RIGHT(SUBSTITUTE(LEFT(A395,_xlfn.AGGREGATE(16,6,FIND({0,1,2,3,4,5,6,7,8,9},A395,ROW(INDIRECT("1:"&amp;LEN(A395)))),1))," ",REPT(" ",LEN(A395))),LEN(A395))))))), 0), ROW(INDIRECT("1:"&amp;LEN((--TRIM(RIGHT(SUBSTITUTE(LEFT(A395,_xlfn.AGGREGATE(16,6,FIND({0,1,2,3,4,5,6,7,8,9},A395,ROW(INDIRECT("1:"&amp;LEN(A395)))),1))," ",REPT(" ",LEN(A395))),LEN(A395))))))))+1, 1) * 10^ROW(INDIRECT("1:"&amp;LEN((--TRIM(RIGHT(SUBSTITUTE(LEFT(A395,_xlfn.AGGREGATE(16,6,FIND({0,1,2,3,4,5,6,7,8,9},A395,ROW(INDIRECT("1:"&amp;LEN(A395)))),1))," ",REPT(" ",LEN(A395))),LEN(A395)))))))/10))*1+1</f>
        <v>302 ,.., 1502</v>
      </c>
      <c r="B396" s="115"/>
      <c r="C396" s="39"/>
      <c r="D396" s="39"/>
      <c r="E396" s="49">
        <v>0</v>
      </c>
      <c r="F396" s="49">
        <f>D396+E396</f>
        <v>0</v>
      </c>
      <c r="G396" s="49">
        <v>0</v>
      </c>
      <c r="H396" s="49">
        <f>F396*(($H$382)+1)+(IF(G396&lt;101,G396,IF(G396&lt;201,G396/2,IF(G396&lt;=301,G396/3,G396/4))))</f>
        <v>0</v>
      </c>
    </row>
    <row r="397" spans="1:8" hidden="1" x14ac:dyDescent="0.25">
      <c r="A397" s="114" t="str">
        <f ca="1">(SUMPRODUCT(MID(0&amp;(LEFT(A396,SUM(LEN(A396)-LEN(SUBSTITUTE(A396,{"0","1","2"},""))))), LARGE(INDEX(ISNUMBER(--MID((LEFT(A396,SUM(LEN(A396)-LEN(SUBSTITUTE(A396,{"0","1","2"},""))))), ROW(INDIRECT("1:"&amp;LEN((LEFT(A396,SUM(LEN(A396)-LEN(SUBSTITUTE(A396,{"0","1","2"},"")))))))), 1)) * ROW(INDIRECT("1:"&amp;LEN((LEFT(A396,SUM(LEN(A396)-LEN(SUBSTITUTE(A396,{"0","1","2"},"")))))))), 0), ROW(INDIRECT("1:"&amp;LEN((LEFT(A396,SUM(LEN(A396)-LEN(SUBSTITUTE(A396,{"0","1","2"},"")))))))))+1, 1) * 10^ROW(INDIRECT("1:"&amp;LEN((LEFT(A396,SUM(LEN(A396)-LEN(SUBSTITUTE(A396,{"0","1","2"},""))))))))/10))*1+1&amp;""&amp;" ,.., "&amp;""&amp;(SUMPRODUCT(MID(0&amp;(--TRIM(RIGHT(SUBSTITUTE(LEFT(A396,_xlfn.AGGREGATE(16,6,FIND({0,1,2,3,4,5,6,7,8,9},A396,ROW(INDIRECT("1:"&amp;LEN(A396)))),1))," ",REPT(" ",LEN(A396))),LEN(A396)))), LARGE(INDEX(ISNUMBER(--MID((--TRIM(RIGHT(SUBSTITUTE(LEFT(A396,_xlfn.AGGREGATE(16,6,FIND({0,1,2,3,4,5,6,7,8,9},A396,ROW(INDIRECT("1:"&amp;LEN(A396)))),1))," ",REPT(" ",LEN(A396))),LEN(A396)))), ROW(INDIRECT("1:"&amp;LEN((--TRIM(RIGHT(SUBSTITUTE(LEFT(A396,_xlfn.AGGREGATE(16,6,FIND({0,1,2,3,4,5,6,7,8,9},A396,ROW(INDIRECT("1:"&amp;LEN(A396)))),1))," ",REPT(" ",LEN(A396))),LEN(A396))))))), 1)) * ROW(INDIRECT("1:"&amp;LEN((--TRIM(RIGHT(SUBSTITUTE(LEFT(A396,_xlfn.AGGREGATE(16,6,FIND({0,1,2,3,4,5,6,7,8,9},A396,ROW(INDIRECT("1:"&amp;LEN(A396)))),1))," ",REPT(" ",LEN(A396))),LEN(A396))))))), 0), ROW(INDIRECT("1:"&amp;LEN((--TRIM(RIGHT(SUBSTITUTE(LEFT(A396,_xlfn.AGGREGATE(16,6,FIND({0,1,2,3,4,5,6,7,8,9},A396,ROW(INDIRECT("1:"&amp;LEN(A396)))),1))," ",REPT(" ",LEN(A396))),LEN(A396))))))))+1, 1) * 10^ROW(INDIRECT("1:"&amp;LEN((--TRIM(RIGHT(SUBSTITUTE(LEFT(A396,_xlfn.AGGREGATE(16,6,FIND({0,1,2,3,4,5,6,7,8,9},A396,ROW(INDIRECT("1:"&amp;LEN(A396)))),1))," ",REPT(" ",LEN(A396))),LEN(A396)))))))/10))*1+1</f>
        <v>303 ,.., 1503</v>
      </c>
      <c r="B397" s="115"/>
      <c r="C397" s="39"/>
      <c r="D397" s="39"/>
      <c r="E397" s="49">
        <v>0</v>
      </c>
      <c r="F397" s="49">
        <f>D397+E397</f>
        <v>0</v>
      </c>
      <c r="G397" s="49">
        <v>0</v>
      </c>
      <c r="H397" s="49">
        <f>F397*(($H$382)+1)+(IF(G397&lt;101,G397,IF(G397&lt;201,G397/2,IF(G397&lt;=301,G397/3,G397/4))))</f>
        <v>0</v>
      </c>
    </row>
    <row r="398" spans="1:8" hidden="1" x14ac:dyDescent="0.25">
      <c r="A398" s="114" t="str">
        <f ca="1">(SUMPRODUCT(MID(0&amp;(LEFT(A397,SUM(LEN(A397)-LEN(SUBSTITUTE(A397,{"0","1","2"},""))))), LARGE(INDEX(ISNUMBER(--MID((LEFT(A397,SUM(LEN(A397)-LEN(SUBSTITUTE(A397,{"0","1","2"},""))))), ROW(INDIRECT("1:"&amp;LEN((LEFT(A397,SUM(LEN(A397)-LEN(SUBSTITUTE(A397,{"0","1","2"},"")))))))), 1)) * ROW(INDIRECT("1:"&amp;LEN((LEFT(A397,SUM(LEN(A397)-LEN(SUBSTITUTE(A397,{"0","1","2"},"")))))))), 0), ROW(INDIRECT("1:"&amp;LEN((LEFT(A397,SUM(LEN(A397)-LEN(SUBSTITUTE(A397,{"0","1","2"},"")))))))))+1, 1) * 10^ROW(INDIRECT("1:"&amp;LEN((LEFT(A397,SUM(LEN(A397)-LEN(SUBSTITUTE(A397,{"0","1","2"},""))))))))/10))*1+1&amp;""&amp;" ,.., "&amp;""&amp;(SUMPRODUCT(MID(0&amp;(--TRIM(RIGHT(SUBSTITUTE(LEFT(A397,_xlfn.AGGREGATE(16,6,FIND({0,1,2,3,4,5,6,7,8,9},A397,ROW(INDIRECT("1:"&amp;LEN(A397)))),1))," ",REPT(" ",LEN(A397))),LEN(A397)))), LARGE(INDEX(ISNUMBER(--MID((--TRIM(RIGHT(SUBSTITUTE(LEFT(A397,_xlfn.AGGREGATE(16,6,FIND({0,1,2,3,4,5,6,7,8,9},A397,ROW(INDIRECT("1:"&amp;LEN(A397)))),1))," ",REPT(" ",LEN(A397))),LEN(A397)))), ROW(INDIRECT("1:"&amp;LEN((--TRIM(RIGHT(SUBSTITUTE(LEFT(A397,_xlfn.AGGREGATE(16,6,FIND({0,1,2,3,4,5,6,7,8,9},A397,ROW(INDIRECT("1:"&amp;LEN(A397)))),1))," ",REPT(" ",LEN(A397))),LEN(A397))))))), 1)) * ROW(INDIRECT("1:"&amp;LEN((--TRIM(RIGHT(SUBSTITUTE(LEFT(A397,_xlfn.AGGREGATE(16,6,FIND({0,1,2,3,4,5,6,7,8,9},A397,ROW(INDIRECT("1:"&amp;LEN(A397)))),1))," ",REPT(" ",LEN(A397))),LEN(A397))))))), 0), ROW(INDIRECT("1:"&amp;LEN((--TRIM(RIGHT(SUBSTITUTE(LEFT(A397,_xlfn.AGGREGATE(16,6,FIND({0,1,2,3,4,5,6,7,8,9},A397,ROW(INDIRECT("1:"&amp;LEN(A397)))),1))," ",REPT(" ",LEN(A397))),LEN(A397))))))))+1, 1) * 10^ROW(INDIRECT("1:"&amp;LEN((--TRIM(RIGHT(SUBSTITUTE(LEFT(A397,_xlfn.AGGREGATE(16,6,FIND({0,1,2,3,4,5,6,7,8,9},A397,ROW(INDIRECT("1:"&amp;LEN(A397)))),1))," ",REPT(" ",LEN(A397))),LEN(A397)))))))/10))*1+1</f>
        <v>304 ,.., 1504</v>
      </c>
      <c r="B398" s="115"/>
      <c r="C398" s="39"/>
      <c r="D398" s="39"/>
      <c r="E398" s="49">
        <v>0</v>
      </c>
      <c r="F398" s="49">
        <f>D398+E398</f>
        <v>0</v>
      </c>
      <c r="G398" s="49">
        <v>0</v>
      </c>
      <c r="H398" s="49">
        <f>F398*(($H$382)+1)+(IF(G398&lt;101,G398,IF(G398&lt;201,G398/2,IF(G398&lt;=301,G398/3,G398/4))))</f>
        <v>0</v>
      </c>
    </row>
    <row r="399" spans="1:8" hidden="1" x14ac:dyDescent="0.25">
      <c r="A399" s="114" t="str">
        <f ca="1">(SUMPRODUCT(MID(0&amp;(LEFT(A398,SUM(LEN(A398)-LEN(SUBSTITUTE(A398,{"0","1","2"},""))))), LARGE(INDEX(ISNUMBER(--MID((LEFT(A398,SUM(LEN(A398)-LEN(SUBSTITUTE(A398,{"0","1","2"},""))))), ROW(INDIRECT("1:"&amp;LEN((LEFT(A398,SUM(LEN(A398)-LEN(SUBSTITUTE(A398,{"0","1","2"},"")))))))), 1)) * ROW(INDIRECT("1:"&amp;LEN((LEFT(A398,SUM(LEN(A398)-LEN(SUBSTITUTE(A398,{"0","1","2"},"")))))))), 0), ROW(INDIRECT("1:"&amp;LEN((LEFT(A398,SUM(LEN(A398)-LEN(SUBSTITUTE(A398,{"0","1","2"},"")))))))))+1, 1) * 10^ROW(INDIRECT("1:"&amp;LEN((LEFT(A398,SUM(LEN(A398)-LEN(SUBSTITUTE(A398,{"0","1","2"},""))))))))/10))*1+1&amp;""&amp;" ,.., "&amp;""&amp;(SUMPRODUCT(MID(0&amp;(--TRIM(RIGHT(SUBSTITUTE(LEFT(A398,_xlfn.AGGREGATE(16,6,FIND({0,1,2,3,4,5,6,7,8,9},A398,ROW(INDIRECT("1:"&amp;LEN(A398)))),1))," ",REPT(" ",LEN(A398))),LEN(A398)))), LARGE(INDEX(ISNUMBER(--MID((--TRIM(RIGHT(SUBSTITUTE(LEFT(A398,_xlfn.AGGREGATE(16,6,FIND({0,1,2,3,4,5,6,7,8,9},A398,ROW(INDIRECT("1:"&amp;LEN(A398)))),1))," ",REPT(" ",LEN(A398))),LEN(A398)))), ROW(INDIRECT("1:"&amp;LEN((--TRIM(RIGHT(SUBSTITUTE(LEFT(A398,_xlfn.AGGREGATE(16,6,FIND({0,1,2,3,4,5,6,7,8,9},A398,ROW(INDIRECT("1:"&amp;LEN(A398)))),1))," ",REPT(" ",LEN(A398))),LEN(A398))))))), 1)) * ROW(INDIRECT("1:"&amp;LEN((--TRIM(RIGHT(SUBSTITUTE(LEFT(A398,_xlfn.AGGREGATE(16,6,FIND({0,1,2,3,4,5,6,7,8,9},A398,ROW(INDIRECT("1:"&amp;LEN(A398)))),1))," ",REPT(" ",LEN(A398))),LEN(A398))))))), 0), ROW(INDIRECT("1:"&amp;LEN((--TRIM(RIGHT(SUBSTITUTE(LEFT(A398,_xlfn.AGGREGATE(16,6,FIND({0,1,2,3,4,5,6,7,8,9},A398,ROW(INDIRECT("1:"&amp;LEN(A398)))),1))," ",REPT(" ",LEN(A398))),LEN(A398))))))))+1, 1) * 10^ROW(INDIRECT("1:"&amp;LEN((--TRIM(RIGHT(SUBSTITUTE(LEFT(A398,_xlfn.AGGREGATE(16,6,FIND({0,1,2,3,4,5,6,7,8,9},A398,ROW(INDIRECT("1:"&amp;LEN(A398)))),1))," ",REPT(" ",LEN(A398))),LEN(A398)))))))/10))*1+1</f>
        <v>305 ,.., 1505</v>
      </c>
      <c r="B399" s="115"/>
      <c r="C399" s="39"/>
      <c r="D399" s="39"/>
      <c r="E399" s="49">
        <v>0</v>
      </c>
      <c r="F399" s="49">
        <f>D399+E399</f>
        <v>0</v>
      </c>
      <c r="G399" s="49">
        <v>0</v>
      </c>
      <c r="H399" s="49">
        <f>F399*(($H$382)+1)+(IF(G399&lt;101,G399,IF(G399&lt;201,G399/2,IF(G399&lt;=301,G399/3,G399/4))))</f>
        <v>0</v>
      </c>
    </row>
    <row r="400" spans="1:8" hidden="1" x14ac:dyDescent="0.25">
      <c r="A400" s="146" t="s">
        <v>142</v>
      </c>
      <c r="B400" s="147"/>
      <c r="C400" s="147"/>
      <c r="D400" s="147"/>
      <c r="E400" s="147"/>
      <c r="F400" s="147"/>
      <c r="G400" s="147"/>
      <c r="H400" s="148"/>
    </row>
    <row r="401" spans="1:8" hidden="1" x14ac:dyDescent="0.25">
      <c r="A401" s="114" t="str">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10^ROW(INDIRECT("1:"&amp;LEN((LEFT(A400,SUM(LEN(A400)-LEN(SUBSTITUTE(A400,{"0","1","2"},""))))))))/10))*100+1&amp;""&amp;" to "&amp;""&amp;(SUMPRODUCT(MID(0&amp;(--TRIM(RIGHT(SUBSTITUTE(LEFT(A400,_xlfn.AGGREGATE(16,6,FIND({0,1,2,3,4,5,6,7,8,9},A400,ROW(INDIRECT("1:"&amp;LEN(A400)))),1)),"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",LEN(A400))),LEN(A400)))))))/10))*100+1</f>
        <v>201 to 501</v>
      </c>
      <c r="B401" s="115"/>
      <c r="C401" s="39"/>
      <c r="D401" s="39"/>
      <c r="E401" s="49">
        <v>0</v>
      </c>
      <c r="F401" s="49">
        <f>D401+E401</f>
        <v>0</v>
      </c>
      <c r="G401" s="49">
        <v>0</v>
      </c>
      <c r="H401" s="49">
        <f>F401*(($H$382)+1)+(IF(G401&lt;101,G401,IF(G401&lt;201,G401/2,IF(G401&lt;=301,G401/3,G401/4))))</f>
        <v>0</v>
      </c>
    </row>
    <row r="402" spans="1:8" hidden="1" x14ac:dyDescent="0.25">
      <c r="A402" s="114" t="str">
        <f ca="1">(SUMPRODUCT(MID(0&amp;(LEFT(A401,SUM(LEN(A401)-LEN(SUBSTITUTE(A401,{"0","1","2"},""))))), LARGE(INDEX(ISNUMBER(--MID((LEFT(A401,SUM(LEN(A401)-LEN(SUBSTITUTE(A401,{"0","1","2"},""))))), ROW(INDIRECT("1:"&amp;LEN((LEFT(A401,SUM(LEN(A401)-LEN(SUBSTITUTE(A401,{"0","1","2"},"")))))))), 1)) * ROW(INDIRECT("1:"&amp;LEN((LEFT(A401,SUM(LEN(A401)-LEN(SUBSTITUTE(A401,{"0","1","2"},"")))))))), 0), ROW(INDIRECT("1:"&amp;LEN((LEFT(A401,SUM(LEN(A401)-LEN(SUBSTITUTE(A401,{"0","1","2"},"")))))))))+1, 1) * 10^ROW(INDIRECT("1:"&amp;LEN((LEFT(A401,SUM(LEN(A401)-LEN(SUBSTITUTE(A401,{"0","1","2"},""))))))))/10))*1+1&amp;""&amp;" to "&amp;""&amp;(SUMPRODUCT(MID(0&amp;(--TRIM(RIGHT(SUBSTITUTE(LEFT(A401,_xlfn.AGGREGATE(16,6,FIND({0,1,2,3,4,5,6,7,8,9},A401,ROW(INDIRECT("1:"&amp;LEN(A401)))),1))," ",REPT(" ",LEN(A401))),LEN(A401)))), LARGE(INDEX(ISNUMBER(--MID((--TRIM(RIGHT(SUBSTITUTE(LEFT(A401,_xlfn.AGGREGATE(16,6,FIND({0,1,2,3,4,5,6,7,8,9},A401,ROW(INDIRECT("1:"&amp;LEN(A401)))),1))," ",REPT(" ",LEN(A401))),LEN(A401)))), ROW(INDIRECT("1:"&amp;LEN((--TRIM(RIGHT(SUBSTITUTE(LEFT(A401,_xlfn.AGGREGATE(16,6,FIND({0,1,2,3,4,5,6,7,8,9},A401,ROW(INDIRECT("1:"&amp;LEN(A401)))),1))," ",REPT(" ",LEN(A401))),LEN(A401))))))), 1)) * ROW(INDIRECT("1:"&amp;LEN((--TRIM(RIGHT(SUBSTITUTE(LEFT(A401,_xlfn.AGGREGATE(16,6,FIND({0,1,2,3,4,5,6,7,8,9},A401,ROW(INDIRECT("1:"&amp;LEN(A401)))),1))," ",REPT(" ",LEN(A401))),LEN(A401))))))), 0), ROW(INDIRECT("1:"&amp;LEN((--TRIM(RIGHT(SUBSTITUTE(LEFT(A401,_xlfn.AGGREGATE(16,6,FIND({0,1,2,3,4,5,6,7,8,9},A401,ROW(INDIRECT("1:"&amp;LEN(A401)))),1))," ",REPT(" ",LEN(A401))),LEN(A401))))))))+1, 1) * 10^ROW(INDIRECT("1:"&amp;LEN((--TRIM(RIGHT(SUBSTITUTE(LEFT(A401,_xlfn.AGGREGATE(16,6,FIND({0,1,2,3,4,5,6,7,8,9},A401,ROW(INDIRECT("1:"&amp;LEN(A401)))),1))," ",REPT(" ",LEN(A401))),LEN(A401)))))))/10))*1+1</f>
        <v>202 to 502</v>
      </c>
      <c r="B402" s="115"/>
      <c r="C402" s="39"/>
      <c r="D402" s="39"/>
      <c r="E402" s="49">
        <v>0</v>
      </c>
      <c r="F402" s="49">
        <f>D402+E402</f>
        <v>0</v>
      </c>
      <c r="G402" s="49">
        <v>0</v>
      </c>
      <c r="H402" s="49">
        <f>F402*(($H$382)+1)+(IF(G402&lt;101,G402,IF(G402&lt;201,G402/2,IF(G402&lt;=301,G402/3,G402/4))))</f>
        <v>0</v>
      </c>
    </row>
    <row r="403" spans="1:8" hidden="1" x14ac:dyDescent="0.25">
      <c r="A403" s="114" t="str">
        <f ca="1">(SUMPRODUCT(MID(0&amp;(LEFT(A402,SUM(LEN(A402)-LEN(SUBSTITUTE(A402,{"0","1","2"},""))))), LARGE(INDEX(ISNUMBER(--MID((LEFT(A402,SUM(LEN(A402)-LEN(SUBSTITUTE(A402,{"0","1","2"},""))))), ROW(INDIRECT("1:"&amp;LEN((LEFT(A402,SUM(LEN(A402)-LEN(SUBSTITUTE(A402,{"0","1","2"},"")))))))), 1)) * ROW(INDIRECT("1:"&amp;LEN((LEFT(A402,SUM(LEN(A402)-LEN(SUBSTITUTE(A402,{"0","1","2"},"")))))))), 0), ROW(INDIRECT("1:"&amp;LEN((LEFT(A402,SUM(LEN(A402)-LEN(SUBSTITUTE(A402,{"0","1","2"},"")))))))))+1, 1) * 10^ROW(INDIRECT("1:"&amp;LEN((LEFT(A402,SUM(LEN(A402)-LEN(SUBSTITUTE(A402,{"0","1","2"},""))))))))/10))*1+1&amp;""&amp;" to "&amp;""&amp;(SUMPRODUCT(MID(0&amp;(--TRIM(RIGHT(SUBSTITUTE(LEFT(A402,_xlfn.AGGREGATE(16,6,FIND({0,1,2,3,4,5,6,7,8,9},A402,ROW(INDIRECT("1:"&amp;LEN(A402)))),1))," ",REPT(" ",LEN(A402))),LEN(A402)))), LARGE(INDEX(ISNUMBER(--MID((--TRIM(RIGHT(SUBSTITUTE(LEFT(A402,_xlfn.AGGREGATE(16,6,FIND({0,1,2,3,4,5,6,7,8,9},A402,ROW(INDIRECT("1:"&amp;LEN(A402)))),1))," ",REPT(" ",LEN(A402))),LEN(A402)))), ROW(INDIRECT("1:"&amp;LEN((--TRIM(RIGHT(SUBSTITUTE(LEFT(A402,_xlfn.AGGREGATE(16,6,FIND({0,1,2,3,4,5,6,7,8,9},A402,ROW(INDIRECT("1:"&amp;LEN(A402)))),1))," ",REPT(" ",LEN(A402))),LEN(A402))))))), 1)) * ROW(INDIRECT("1:"&amp;LEN((--TRIM(RIGHT(SUBSTITUTE(LEFT(A402,_xlfn.AGGREGATE(16,6,FIND({0,1,2,3,4,5,6,7,8,9},A402,ROW(INDIRECT("1:"&amp;LEN(A402)))),1))," ",REPT(" ",LEN(A402))),LEN(A402))))))), 0), ROW(INDIRECT("1:"&amp;LEN((--TRIM(RIGHT(SUBSTITUTE(LEFT(A402,_xlfn.AGGREGATE(16,6,FIND({0,1,2,3,4,5,6,7,8,9},A402,ROW(INDIRECT("1:"&amp;LEN(A402)))),1))," ",REPT(" ",LEN(A402))),LEN(A402))))))))+1, 1) * 10^ROW(INDIRECT("1:"&amp;LEN((--TRIM(RIGHT(SUBSTITUTE(LEFT(A402,_xlfn.AGGREGATE(16,6,FIND({0,1,2,3,4,5,6,7,8,9},A402,ROW(INDIRECT("1:"&amp;LEN(A402)))),1))," ",REPT(" ",LEN(A402))),LEN(A402)))))))/10))*1+1</f>
        <v>203 to 503</v>
      </c>
      <c r="B403" s="115"/>
      <c r="C403" s="39"/>
      <c r="D403" s="39"/>
      <c r="E403" s="49">
        <v>0</v>
      </c>
      <c r="F403" s="49">
        <f>D403+E403</f>
        <v>0</v>
      </c>
      <c r="G403" s="49">
        <v>0</v>
      </c>
      <c r="H403" s="49">
        <f>F403*(($H$382)+1)+(IF(G403&lt;101,G403,IF(G403&lt;201,G403/2,IF(G403&lt;=301,G403/3,G403/4))))</f>
        <v>0</v>
      </c>
    </row>
    <row r="404" spans="1:8" hidden="1" x14ac:dyDescent="0.25">
      <c r="A404" s="114" t="str">
        <f ca="1">(SUMPRODUCT(MID(0&amp;(LEFT(A403,SUM(LEN(A403)-LEN(SUBSTITUTE(A403,{"0","1","2"},""))))), LARGE(INDEX(ISNUMBER(--MID((LEFT(A403,SUM(LEN(A403)-LEN(SUBSTITUTE(A403,{"0","1","2"},""))))), ROW(INDIRECT("1:"&amp;LEN((LEFT(A403,SUM(LEN(A403)-LEN(SUBSTITUTE(A403,{"0","1","2"},"")))))))), 1)) * ROW(INDIRECT("1:"&amp;LEN((LEFT(A403,SUM(LEN(A403)-LEN(SUBSTITUTE(A403,{"0","1","2"},"")))))))), 0), ROW(INDIRECT("1:"&amp;LEN((LEFT(A403,SUM(LEN(A403)-LEN(SUBSTITUTE(A403,{"0","1","2"},"")))))))))+1, 1) * 10^ROW(INDIRECT("1:"&amp;LEN((LEFT(A403,SUM(LEN(A403)-LEN(SUBSTITUTE(A403,{"0","1","2"},""))))))))/10))*1+1&amp;""&amp;" to "&amp;""&amp;(SUMPRODUCT(MID(0&amp;(--TRIM(RIGHT(SUBSTITUTE(LEFT(A403,_xlfn.AGGREGATE(16,6,FIND({0,1,2,3,4,5,6,7,8,9},A403,ROW(INDIRECT("1:"&amp;LEN(A403)))),1))," ",REPT(" ",LEN(A403))),LEN(A403)))), LARGE(INDEX(ISNUMBER(--MID((--TRIM(RIGHT(SUBSTITUTE(LEFT(A403,_xlfn.AGGREGATE(16,6,FIND({0,1,2,3,4,5,6,7,8,9},A403,ROW(INDIRECT("1:"&amp;LEN(A403)))),1))," ",REPT(" ",LEN(A403))),LEN(A403)))), ROW(INDIRECT("1:"&amp;LEN((--TRIM(RIGHT(SUBSTITUTE(LEFT(A403,_xlfn.AGGREGATE(16,6,FIND({0,1,2,3,4,5,6,7,8,9},A403,ROW(INDIRECT("1:"&amp;LEN(A403)))),1))," ",REPT(" ",LEN(A403))),LEN(A403))))))), 1)) * ROW(INDIRECT("1:"&amp;LEN((--TRIM(RIGHT(SUBSTITUTE(LEFT(A403,_xlfn.AGGREGATE(16,6,FIND({0,1,2,3,4,5,6,7,8,9},A403,ROW(INDIRECT("1:"&amp;LEN(A403)))),1))," ",REPT(" ",LEN(A403))),LEN(A403))))))), 0), ROW(INDIRECT("1:"&amp;LEN((--TRIM(RIGHT(SUBSTITUTE(LEFT(A403,_xlfn.AGGREGATE(16,6,FIND({0,1,2,3,4,5,6,7,8,9},A403,ROW(INDIRECT("1:"&amp;LEN(A403)))),1))," ",REPT(" ",LEN(A403))),LEN(A403))))))))+1, 1) * 10^ROW(INDIRECT("1:"&amp;LEN((--TRIM(RIGHT(SUBSTITUTE(LEFT(A403,_xlfn.AGGREGATE(16,6,FIND({0,1,2,3,4,5,6,7,8,9},A403,ROW(INDIRECT("1:"&amp;LEN(A403)))),1))," ",REPT(" ",LEN(A403))),LEN(A403)))))))/10))*1+1</f>
        <v>204 to 504</v>
      </c>
      <c r="B404" s="115"/>
      <c r="C404" s="39"/>
      <c r="D404" s="39"/>
      <c r="E404" s="49">
        <v>0</v>
      </c>
      <c r="F404" s="49">
        <f>D404+E404</f>
        <v>0</v>
      </c>
      <c r="G404" s="49">
        <v>0</v>
      </c>
      <c r="H404" s="49">
        <f>F404*(($H$382)+1)+(IF(G404&lt;101,G404,IF(G404&lt;201,G404/2,IF(G404&lt;=301,G404/3,G404/4))))</f>
        <v>0</v>
      </c>
    </row>
    <row r="405" spans="1:8" hidden="1" x14ac:dyDescent="0.25">
      <c r="A405" s="114" t="str">
        <f ca="1">(SUMPRODUCT(MID(0&amp;(LEFT(A404,SUM(LEN(A404)-LEN(SUBSTITUTE(A404,{"0","1","2"},""))))), LARGE(INDEX(ISNUMBER(--MID((LEFT(A404,SUM(LEN(A404)-LEN(SUBSTITUTE(A404,{"0","1","2"},""))))), ROW(INDIRECT("1:"&amp;LEN((LEFT(A404,SUM(LEN(A404)-LEN(SUBSTITUTE(A404,{"0","1","2"},"")))))))), 1)) * ROW(INDIRECT("1:"&amp;LEN((LEFT(A404,SUM(LEN(A404)-LEN(SUBSTITUTE(A404,{"0","1","2"},"")))))))), 0), ROW(INDIRECT("1:"&amp;LEN((LEFT(A404,SUM(LEN(A404)-LEN(SUBSTITUTE(A404,{"0","1","2"},"")))))))))+1, 1) * 10^ROW(INDIRECT("1:"&amp;LEN((LEFT(A404,SUM(LEN(A404)-LEN(SUBSTITUTE(A404,{"0","1","2"},""))))))))/10))*1+1&amp;""&amp;" to "&amp;""&amp;(SUMPRODUCT(MID(0&amp;(--TRIM(RIGHT(SUBSTITUTE(LEFT(A404,_xlfn.AGGREGATE(16,6,FIND({0,1,2,3,4,5,6,7,8,9},A404,ROW(INDIRECT("1:"&amp;LEN(A404)))),1))," ",REPT(" ",LEN(A404))),LEN(A404)))), LARGE(INDEX(ISNUMBER(--MID((--TRIM(RIGHT(SUBSTITUTE(LEFT(A404,_xlfn.AGGREGATE(16,6,FIND({0,1,2,3,4,5,6,7,8,9},A404,ROW(INDIRECT("1:"&amp;LEN(A404)))),1))," ",REPT(" ",LEN(A404))),LEN(A404)))), ROW(INDIRECT("1:"&amp;LEN((--TRIM(RIGHT(SUBSTITUTE(LEFT(A404,_xlfn.AGGREGATE(16,6,FIND({0,1,2,3,4,5,6,7,8,9},A404,ROW(INDIRECT("1:"&amp;LEN(A404)))),1))," ",REPT(" ",LEN(A404))),LEN(A404))))))), 1)) * ROW(INDIRECT("1:"&amp;LEN((--TRIM(RIGHT(SUBSTITUTE(LEFT(A404,_xlfn.AGGREGATE(16,6,FIND({0,1,2,3,4,5,6,7,8,9},A404,ROW(INDIRECT("1:"&amp;LEN(A404)))),1))," ",REPT(" ",LEN(A404))),LEN(A404))))))), 0), ROW(INDIRECT("1:"&amp;LEN((--TRIM(RIGHT(SUBSTITUTE(LEFT(A404,_xlfn.AGGREGATE(16,6,FIND({0,1,2,3,4,5,6,7,8,9},A404,ROW(INDIRECT("1:"&amp;LEN(A404)))),1))," ",REPT(" ",LEN(A404))),LEN(A404))))))))+1, 1) * 10^ROW(INDIRECT("1:"&amp;LEN((--TRIM(RIGHT(SUBSTITUTE(LEFT(A404,_xlfn.AGGREGATE(16,6,FIND({0,1,2,3,4,5,6,7,8,9},A404,ROW(INDIRECT("1:"&amp;LEN(A404)))),1))," ",REPT(" ",LEN(A404))),LEN(A404)))))))/10))*1+1</f>
        <v>205 to 505</v>
      </c>
      <c r="B405" s="115"/>
      <c r="C405" s="39"/>
      <c r="D405" s="39"/>
      <c r="E405" s="49">
        <v>0</v>
      </c>
      <c r="F405" s="49">
        <f>D405+E405</f>
        <v>0</v>
      </c>
      <c r="G405" s="49">
        <v>0</v>
      </c>
      <c r="H405" s="49">
        <f>F405*(($H$382)+1)+(IF(G405&lt;101,G405,IF(G405&lt;201,G405/2,IF(G405&lt;=301,G405/3,G405/4))))</f>
        <v>0</v>
      </c>
    </row>
    <row r="406" spans="1:8" hidden="1" x14ac:dyDescent="0.25">
      <c r="A406" s="146" t="s">
        <v>143</v>
      </c>
      <c r="B406" s="147"/>
      <c r="C406" s="147"/>
      <c r="D406" s="147"/>
      <c r="E406" s="147"/>
      <c r="F406" s="147"/>
      <c r="G406" s="147"/>
      <c r="H406" s="148"/>
    </row>
    <row r="407" spans="1:8" hidden="1" x14ac:dyDescent="0.25">
      <c r="A407" s="114" t="str">
        <f ca="1">(SUMPRODUCT(MID(0&amp;(LEFT(A406,SUM(LEN(A406)-LEN(SUBSTITUTE(A406,{"0","1","2"},""))))), LARGE(INDEX(ISNUMBER(--MID((LEFT(A406,SUM(LEN(A406)-LEN(SUBSTITUTE(A406,{"0","1","2"},""))))), ROW(INDIRECT("1:"&amp;LEN((LEFT(A406,SUM(LEN(A406)-LEN(SUBSTITUTE(A406,{"0","1","2"},"")))))))), 1)) * ROW(INDIRECT("1:"&amp;LEN((LEFT(A406,SUM(LEN(A406)-LEN(SUBSTITUTE(A406,{"0","1","2"},"")))))))), 0), ROW(INDIRECT("1:"&amp;LEN((LEFT(A406,SUM(LEN(A406)-LEN(SUBSTITUTE(A406,{"0","1","2"},"")))))))))+1, 1) * 10^ROW(INDIRECT("1:"&amp;LEN((LEFT(A406,SUM(LEN(A406)-LEN(SUBSTITUTE(A406,{"0","1","2"},""))))))))/10))*100+1&amp;""&amp;" &amp; "&amp;""&amp;(SUMPRODUCT(MID(0&amp;(--TRIM(RIGHT(SUBSTITUTE(LEFT(A406,_xlfn.AGGREGATE(16,6,FIND({0,1,2,3,4,5,6,7,8,9},A406,ROW(INDIRECT("1:"&amp;LEN(A406)))),1))," ",REPT(" ",LEN(A406))),LEN(A406)))), LARGE(INDEX(ISNUMBER(--MID((--TRIM(RIGHT(SUBSTITUTE(LEFT(A406,_xlfn.AGGREGATE(16,6,FIND({0,1,2,3,4,5,6,7,8,9},A406,ROW(INDIRECT("1:"&amp;LEN(A406)))),1))," ",REPT(" ",LEN(A406))),LEN(A406)))), ROW(INDIRECT("1:"&amp;LEN((--TRIM(RIGHT(SUBSTITUTE(LEFT(A406,_xlfn.AGGREGATE(16,6,FIND({0,1,2,3,4,5,6,7,8,9},A406,ROW(INDIRECT("1:"&amp;LEN(A406)))),1))," ",REPT(" ",LEN(A406))),LEN(A406))))))), 1)) * ROW(INDIRECT("1:"&amp;LEN((--TRIM(RIGHT(SUBSTITUTE(LEFT(A406,_xlfn.AGGREGATE(16,6,FIND({0,1,2,3,4,5,6,7,8,9},A406,ROW(INDIRECT("1:"&amp;LEN(A406)))),1))," ",REPT(" ",LEN(A406))),LEN(A406))))))), 0), ROW(INDIRECT("1:"&amp;LEN((--TRIM(RIGHT(SUBSTITUTE(LEFT(A406,_xlfn.AGGREGATE(16,6,FIND({0,1,2,3,4,5,6,7,8,9},A406,ROW(INDIRECT("1:"&amp;LEN(A406)))),1))," ",REPT(" ",LEN(A406))),LEN(A406))))))))+1, 1) * 10^ROW(INDIRECT("1:"&amp;LEN((--TRIM(RIGHT(SUBSTITUTE(LEFT(A406,_xlfn.AGGREGATE(16,6,FIND({0,1,2,3,4,5,6,7,8,9},A406,ROW(INDIRECT("1:"&amp;LEN(A406)))),1))," ",REPT(" ",LEN(A406))),LEN(A406)))))))/10))*100+1</f>
        <v>201 &amp; 501</v>
      </c>
      <c r="B407" s="115"/>
      <c r="C407" s="39"/>
      <c r="D407" s="39"/>
      <c r="E407" s="49">
        <v>0</v>
      </c>
      <c r="F407" s="49">
        <f>D407+E407</f>
        <v>0</v>
      </c>
      <c r="G407" s="49">
        <v>0</v>
      </c>
      <c r="H407" s="49">
        <f>F407*(($H$382)+1)+(IF(G407&lt;101,G407,IF(G407&lt;201,G407/2,IF(G407&lt;=301,G407/3,G407/4))))</f>
        <v>0</v>
      </c>
    </row>
    <row r="408" spans="1:8" hidden="1" x14ac:dyDescent="0.25">
      <c r="A408" s="114" t="str">
        <f ca="1">(SUMPRODUCT(MID(0&amp;(LEFT(A407,SUM(LEN(A407)-LEN(SUBSTITUTE(A407,{"0","1","2"},""))))), LARGE(INDEX(ISNUMBER(--MID((LEFT(A407,SUM(LEN(A407)-LEN(SUBSTITUTE(A407,{"0","1","2"},""))))), ROW(INDIRECT("1:"&amp;LEN((LEFT(A407,SUM(LEN(A407)-LEN(SUBSTITUTE(A407,{"0","1","2"},"")))))))), 1)) * ROW(INDIRECT("1:"&amp;LEN((LEFT(A407,SUM(LEN(A407)-LEN(SUBSTITUTE(A407,{"0","1","2"},"")))))))), 0), ROW(INDIRECT("1:"&amp;LEN((LEFT(A407,SUM(LEN(A407)-LEN(SUBSTITUTE(A407,{"0","1","2"},"")))))))))+1, 1) * 10^ROW(INDIRECT("1:"&amp;LEN((LEFT(A407,SUM(LEN(A407)-LEN(SUBSTITUTE(A407,{"0","1","2"},""))))))))/10))*1+1&amp;""&amp;" &amp; "&amp;""&amp;(SUMPRODUCT(MID(0&amp;(--TRIM(RIGHT(SUBSTITUTE(LEFT(A407,_xlfn.AGGREGATE(16,6,FIND({0,1,2,3,4,5,6,7,8,9},A407,ROW(INDIRECT("1:"&amp;LEN(A407)))),1))," ",REPT(" ",LEN(A407))),LEN(A407)))), LARGE(INDEX(ISNUMBER(--MID((--TRIM(RIGHT(SUBSTITUTE(LEFT(A407,_xlfn.AGGREGATE(16,6,FIND({0,1,2,3,4,5,6,7,8,9},A407,ROW(INDIRECT("1:"&amp;LEN(A407)))),1))," ",REPT(" ",LEN(A407))),LEN(A407)))), ROW(INDIRECT("1:"&amp;LEN((--TRIM(RIGHT(SUBSTITUTE(LEFT(A407,_xlfn.AGGREGATE(16,6,FIND({0,1,2,3,4,5,6,7,8,9},A407,ROW(INDIRECT("1:"&amp;LEN(A407)))),1))," ",REPT(" ",LEN(A407))),LEN(A407))))))), 1)) * ROW(INDIRECT("1:"&amp;LEN((--TRIM(RIGHT(SUBSTITUTE(LEFT(A407,_xlfn.AGGREGATE(16,6,FIND({0,1,2,3,4,5,6,7,8,9},A407,ROW(INDIRECT("1:"&amp;LEN(A407)))),1))," ",REPT(" ",LEN(A407))),LEN(A407))))))), 0), ROW(INDIRECT("1:"&amp;LEN((--TRIM(RIGHT(SUBSTITUTE(LEFT(A407,_xlfn.AGGREGATE(16,6,FIND({0,1,2,3,4,5,6,7,8,9},A407,ROW(INDIRECT("1:"&amp;LEN(A407)))),1))," ",REPT(" ",LEN(A407))),LEN(A407))))))))+1, 1) * 10^ROW(INDIRECT("1:"&amp;LEN((--TRIM(RIGHT(SUBSTITUTE(LEFT(A407,_xlfn.AGGREGATE(16,6,FIND({0,1,2,3,4,5,6,7,8,9},A407,ROW(INDIRECT("1:"&amp;LEN(A407)))),1))," ",REPT(" ",LEN(A407))),LEN(A407)))))))/10))*1+1</f>
        <v>202 &amp; 502</v>
      </c>
      <c r="B408" s="115"/>
      <c r="C408" s="39"/>
      <c r="D408" s="39"/>
      <c r="E408" s="49">
        <v>0</v>
      </c>
      <c r="F408" s="49">
        <f>D408+E408</f>
        <v>0</v>
      </c>
      <c r="G408" s="49">
        <v>0</v>
      </c>
      <c r="H408" s="49">
        <f>F408*(($H$382)+1)+(IF(G408&lt;101,G408,IF(G408&lt;201,G408/2,IF(G408&lt;=301,G408/3,G408/4))))</f>
        <v>0</v>
      </c>
    </row>
    <row r="409" spans="1:8" hidden="1" x14ac:dyDescent="0.25">
      <c r="A409" s="114" t="str">
        <f ca="1">(SUMPRODUCT(MID(0&amp;(LEFT(A408,SUM(LEN(A408)-LEN(SUBSTITUTE(A408,{"0","1","2"},""))))), LARGE(INDEX(ISNUMBER(--MID((LEFT(A408,SUM(LEN(A408)-LEN(SUBSTITUTE(A408,{"0","1","2"},""))))), ROW(INDIRECT("1:"&amp;LEN((LEFT(A408,SUM(LEN(A408)-LEN(SUBSTITUTE(A408,{"0","1","2"},"")))))))), 1)) * ROW(INDIRECT("1:"&amp;LEN((LEFT(A408,SUM(LEN(A408)-LEN(SUBSTITUTE(A408,{"0","1","2"},"")))))))), 0), ROW(INDIRECT("1:"&amp;LEN((LEFT(A408,SUM(LEN(A408)-LEN(SUBSTITUTE(A408,{"0","1","2"},"")))))))))+1, 1) * 10^ROW(INDIRECT("1:"&amp;LEN((LEFT(A408,SUM(LEN(A408)-LEN(SUBSTITUTE(A408,{"0","1","2"},""))))))))/10))*1+1&amp;""&amp;" &amp; "&amp;""&amp;(SUMPRODUCT(MID(0&amp;(--TRIM(RIGHT(SUBSTITUTE(LEFT(A408,_xlfn.AGGREGATE(16,6,FIND({0,1,2,3,4,5,6,7,8,9},A408,ROW(INDIRECT("1:"&amp;LEN(A408)))),1))," ",REPT(" ",LEN(A408))),LEN(A408)))), LARGE(INDEX(ISNUMBER(--MID((--TRIM(RIGHT(SUBSTITUTE(LEFT(A408,_xlfn.AGGREGATE(16,6,FIND({0,1,2,3,4,5,6,7,8,9},A408,ROW(INDIRECT("1:"&amp;LEN(A408)))),1))," ",REPT(" ",LEN(A408))),LEN(A408)))), ROW(INDIRECT("1:"&amp;LEN((--TRIM(RIGHT(SUBSTITUTE(LEFT(A408,_xlfn.AGGREGATE(16,6,FIND({0,1,2,3,4,5,6,7,8,9},A408,ROW(INDIRECT("1:"&amp;LEN(A408)))),1))," ",REPT(" ",LEN(A408))),LEN(A408))))))), 1)) * ROW(INDIRECT("1:"&amp;LEN((--TRIM(RIGHT(SUBSTITUTE(LEFT(A408,_xlfn.AGGREGATE(16,6,FIND({0,1,2,3,4,5,6,7,8,9},A408,ROW(INDIRECT("1:"&amp;LEN(A408)))),1))," ",REPT(" ",LEN(A408))),LEN(A408))))))), 0), ROW(INDIRECT("1:"&amp;LEN((--TRIM(RIGHT(SUBSTITUTE(LEFT(A408,_xlfn.AGGREGATE(16,6,FIND({0,1,2,3,4,5,6,7,8,9},A408,ROW(INDIRECT("1:"&amp;LEN(A408)))),1))," ",REPT(" ",LEN(A408))),LEN(A408))))))))+1, 1) * 10^ROW(INDIRECT("1:"&amp;LEN((--TRIM(RIGHT(SUBSTITUTE(LEFT(A408,_xlfn.AGGREGATE(16,6,FIND({0,1,2,3,4,5,6,7,8,9},A408,ROW(INDIRECT("1:"&amp;LEN(A408)))),1))," ",REPT(" ",LEN(A408))),LEN(A408)))))))/10))*1+1</f>
        <v>203 &amp; 503</v>
      </c>
      <c r="B409" s="115"/>
      <c r="C409" s="39"/>
      <c r="D409" s="39"/>
      <c r="E409" s="49">
        <v>0</v>
      </c>
      <c r="F409" s="49">
        <f>D409+E409</f>
        <v>0</v>
      </c>
      <c r="G409" s="49">
        <v>0</v>
      </c>
      <c r="H409" s="49">
        <f>F409*(($H$382)+1)+(IF(G409&lt;101,G409,IF(G409&lt;201,G409/2,IF(G409&lt;=301,G409/3,G409/4))))</f>
        <v>0</v>
      </c>
    </row>
    <row r="410" spans="1:8" hidden="1" x14ac:dyDescent="0.25">
      <c r="A410" s="114" t="str">
        <f ca="1">(SUMPRODUCT(MID(0&amp;(LEFT(A409,SUM(LEN(A409)-LEN(SUBSTITUTE(A409,{"0","1","2"},""))))), LARGE(INDEX(ISNUMBER(--MID((LEFT(A409,SUM(LEN(A409)-LEN(SUBSTITUTE(A409,{"0","1","2"},""))))), ROW(INDIRECT("1:"&amp;LEN((LEFT(A409,SUM(LEN(A409)-LEN(SUBSTITUTE(A409,{"0","1","2"},"")))))))), 1)) * ROW(INDIRECT("1:"&amp;LEN((LEFT(A409,SUM(LEN(A409)-LEN(SUBSTITUTE(A409,{"0","1","2"},"")))))))), 0), ROW(INDIRECT("1:"&amp;LEN((LEFT(A409,SUM(LEN(A409)-LEN(SUBSTITUTE(A409,{"0","1","2"},"")))))))))+1, 1) * 10^ROW(INDIRECT("1:"&amp;LEN((LEFT(A409,SUM(LEN(A409)-LEN(SUBSTITUTE(A409,{"0","1","2"},""))))))))/10))*1+1&amp;""&amp;" &amp; "&amp;""&amp;(SUMPRODUCT(MID(0&amp;(--TRIM(RIGHT(SUBSTITUTE(LEFT(A409,_xlfn.AGGREGATE(16,6,FIND({0,1,2,3,4,5,6,7,8,9},A409,ROW(INDIRECT("1:"&amp;LEN(A409)))),1))," ",REPT(" ",LEN(A409))),LEN(A409)))), LARGE(INDEX(ISNUMBER(--MID((--TRIM(RIGHT(SUBSTITUTE(LEFT(A409,_xlfn.AGGREGATE(16,6,FIND({0,1,2,3,4,5,6,7,8,9},A409,ROW(INDIRECT("1:"&amp;LEN(A409)))),1))," ",REPT(" ",LEN(A409))),LEN(A409)))), ROW(INDIRECT("1:"&amp;LEN((--TRIM(RIGHT(SUBSTITUTE(LEFT(A409,_xlfn.AGGREGATE(16,6,FIND({0,1,2,3,4,5,6,7,8,9},A409,ROW(INDIRECT("1:"&amp;LEN(A409)))),1))," ",REPT(" ",LEN(A409))),LEN(A409))))))), 1)) * ROW(INDIRECT("1:"&amp;LEN((--TRIM(RIGHT(SUBSTITUTE(LEFT(A409,_xlfn.AGGREGATE(16,6,FIND({0,1,2,3,4,5,6,7,8,9},A409,ROW(INDIRECT("1:"&amp;LEN(A409)))),1))," ",REPT(" ",LEN(A409))),LEN(A409))))))), 0), ROW(INDIRECT("1:"&amp;LEN((--TRIM(RIGHT(SUBSTITUTE(LEFT(A409,_xlfn.AGGREGATE(16,6,FIND({0,1,2,3,4,5,6,7,8,9},A409,ROW(INDIRECT("1:"&amp;LEN(A409)))),1))," ",REPT(" ",LEN(A409))),LEN(A409))))))))+1, 1) * 10^ROW(INDIRECT("1:"&amp;LEN((--TRIM(RIGHT(SUBSTITUTE(LEFT(A409,_xlfn.AGGREGATE(16,6,FIND({0,1,2,3,4,5,6,7,8,9},A409,ROW(INDIRECT("1:"&amp;LEN(A409)))),1))," ",REPT(" ",LEN(A409))),LEN(A409)))))))/10))*1+1</f>
        <v>204 &amp; 504</v>
      </c>
      <c r="B410" s="115"/>
      <c r="C410" s="39"/>
      <c r="D410" s="39"/>
      <c r="E410" s="49">
        <v>0</v>
      </c>
      <c r="F410" s="49">
        <f>D410+E410</f>
        <v>0</v>
      </c>
      <c r="G410" s="49">
        <v>0</v>
      </c>
      <c r="H410" s="49">
        <f>F410*(($H$382)+1)+(IF(G410&lt;101,G410,IF(G410&lt;201,G410/2,IF(G410&lt;=301,G410/3,G410/4))))</f>
        <v>0</v>
      </c>
    </row>
    <row r="411" spans="1:8" hidden="1" x14ac:dyDescent="0.25">
      <c r="A411" s="114" t="str">
        <f ca="1">(SUMPRODUCT(MID(0&amp;(LEFT(A410,SUM(LEN(A410)-LEN(SUBSTITUTE(A410,{"0","1","2"},""))))), LARGE(INDEX(ISNUMBER(--MID((LEFT(A410,SUM(LEN(A410)-LEN(SUBSTITUTE(A410,{"0","1","2"},""))))), ROW(INDIRECT("1:"&amp;LEN((LEFT(A410,SUM(LEN(A410)-LEN(SUBSTITUTE(A410,{"0","1","2"},"")))))))), 1)) * ROW(INDIRECT("1:"&amp;LEN((LEFT(A410,SUM(LEN(A410)-LEN(SUBSTITUTE(A410,{"0","1","2"},"")))))))), 0), ROW(INDIRECT("1:"&amp;LEN((LEFT(A410,SUM(LEN(A410)-LEN(SUBSTITUTE(A410,{"0","1","2"},"")))))))))+1, 1) * 10^ROW(INDIRECT("1:"&amp;LEN((LEFT(A410,SUM(LEN(A410)-LEN(SUBSTITUTE(A410,{"0","1","2"},""))))))))/10))*1+1&amp;""&amp;" &amp; "&amp;""&amp;(SUMPRODUCT(MID(0&amp;(--TRIM(RIGHT(SUBSTITUTE(LEFT(A410,_xlfn.AGGREGATE(16,6,FIND({0,1,2,3,4,5,6,7,8,9},A410,ROW(INDIRECT("1:"&amp;LEN(A410)))),1))," ",REPT(" ",LEN(A410))),LEN(A410)))), LARGE(INDEX(ISNUMBER(--MID((--TRIM(RIGHT(SUBSTITUTE(LEFT(A410,_xlfn.AGGREGATE(16,6,FIND({0,1,2,3,4,5,6,7,8,9},A410,ROW(INDIRECT("1:"&amp;LEN(A410)))),1))," ",REPT(" ",LEN(A410))),LEN(A410)))), ROW(INDIRECT("1:"&amp;LEN((--TRIM(RIGHT(SUBSTITUTE(LEFT(A410,_xlfn.AGGREGATE(16,6,FIND({0,1,2,3,4,5,6,7,8,9},A410,ROW(INDIRECT("1:"&amp;LEN(A410)))),1))," ",REPT(" ",LEN(A410))),LEN(A410))))))), 1)) * ROW(INDIRECT("1:"&amp;LEN((--TRIM(RIGHT(SUBSTITUTE(LEFT(A410,_xlfn.AGGREGATE(16,6,FIND({0,1,2,3,4,5,6,7,8,9},A410,ROW(INDIRECT("1:"&amp;LEN(A410)))),1))," ",REPT(" ",LEN(A410))),LEN(A410))))))), 0), ROW(INDIRECT("1:"&amp;LEN((--TRIM(RIGHT(SUBSTITUTE(LEFT(A410,_xlfn.AGGREGATE(16,6,FIND({0,1,2,3,4,5,6,7,8,9},A410,ROW(INDIRECT("1:"&amp;LEN(A410)))),1))," ",REPT(" ",LEN(A410))),LEN(A410))))))))+1, 1) * 10^ROW(INDIRECT("1:"&amp;LEN((--TRIM(RIGHT(SUBSTITUTE(LEFT(A410,_xlfn.AGGREGATE(16,6,FIND({0,1,2,3,4,5,6,7,8,9},A410,ROW(INDIRECT("1:"&amp;LEN(A410)))),1))," ",REPT(" ",LEN(A410))),LEN(A410)))))))/10))*1+1</f>
        <v>205 &amp; 505</v>
      </c>
      <c r="B411" s="115"/>
      <c r="C411" s="39"/>
      <c r="D411" s="39"/>
      <c r="E411" s="49">
        <v>0</v>
      </c>
      <c r="F411" s="49">
        <f>D411+E411</f>
        <v>0</v>
      </c>
      <c r="G411" s="49">
        <v>0</v>
      </c>
      <c r="H411" s="49">
        <f>F411*(($H$382)+1)+(IF(G411&lt;101,G411,IF(G411&lt;201,G411/2,IF(G411&lt;=301,G411/3,G411/4))))</f>
        <v>0</v>
      </c>
    </row>
    <row r="412" spans="1:8" x14ac:dyDescent="0.25">
      <c r="A412" s="232" t="s">
        <v>64</v>
      </c>
      <c r="B412" s="232"/>
      <c r="C412" s="232"/>
      <c r="D412" s="232"/>
      <c r="E412" s="232"/>
      <c r="F412" s="232"/>
      <c r="G412" s="232"/>
      <c r="H412" s="232"/>
    </row>
    <row r="413" spans="1:8" x14ac:dyDescent="0.25">
      <c r="A413" s="41">
        <v>1</v>
      </c>
      <c r="B413" s="241" t="s">
        <v>367</v>
      </c>
      <c r="C413" s="242"/>
      <c r="D413" s="242"/>
      <c r="E413" s="242"/>
      <c r="F413" s="242"/>
      <c r="G413" s="242"/>
      <c r="H413" s="243"/>
    </row>
    <row r="414" spans="1:8" hidden="1" x14ac:dyDescent="0.25">
      <c r="A414" s="41" t="s">
        <v>152</v>
      </c>
      <c r="B414" s="241" t="str">
        <f>(IF(H381="Saleable area Loading :","We have considered Saleable area of Flats as per our Calculation.","We considered Saleable area of Flat as per Builder area Sheet."))</f>
        <v>We have considered Saleable area of Flats as per our Calculation.</v>
      </c>
      <c r="C414" s="242"/>
      <c r="D414" s="242"/>
      <c r="E414" s="242"/>
      <c r="F414" s="242"/>
      <c r="G414" s="242"/>
      <c r="H414" s="243"/>
    </row>
    <row r="415" spans="1:8" x14ac:dyDescent="0.25">
      <c r="A415" s="41">
        <f>A413+1</f>
        <v>2</v>
      </c>
      <c r="B415" s="241" t="str">
        <f>(IF(H127="Saleable area Loading :","We have considered Saleable area of Commercial as per our Calculation.","We considered Saleable area of Commercial as per Builder area Sheet."))</f>
        <v>We have considered Saleable area of Commercial as per our Calculation.</v>
      </c>
      <c r="C415" s="242"/>
      <c r="D415" s="242"/>
      <c r="E415" s="242"/>
      <c r="F415" s="242"/>
      <c r="G415" s="242"/>
      <c r="H415" s="243"/>
    </row>
    <row r="416" spans="1:8" x14ac:dyDescent="0.25">
      <c r="A416" s="83">
        <v>3</v>
      </c>
      <c r="B416" s="183" t="s">
        <v>119</v>
      </c>
      <c r="C416" s="184"/>
      <c r="D416" s="184"/>
      <c r="E416" s="184"/>
      <c r="F416" s="184"/>
      <c r="G416" s="184"/>
      <c r="H416" s="185"/>
    </row>
    <row r="417" spans="1:8" x14ac:dyDescent="0.25">
      <c r="A417" s="83">
        <v>4</v>
      </c>
      <c r="B417" s="183" t="s">
        <v>332</v>
      </c>
      <c r="C417" s="184"/>
      <c r="D417" s="184"/>
      <c r="E417" s="184"/>
      <c r="F417" s="184"/>
      <c r="G417" s="184"/>
      <c r="H417" s="185"/>
    </row>
    <row r="418" spans="1:8" x14ac:dyDescent="0.25">
      <c r="A418" s="83">
        <v>5</v>
      </c>
      <c r="B418" s="183" t="s">
        <v>151</v>
      </c>
      <c r="C418" s="184"/>
      <c r="D418" s="184"/>
      <c r="E418" s="184"/>
      <c r="F418" s="184"/>
      <c r="G418" s="184"/>
      <c r="H418" s="185"/>
    </row>
    <row r="419" spans="1:8" x14ac:dyDescent="0.25">
      <c r="A419" s="83">
        <v>6</v>
      </c>
      <c r="B419" s="183" t="s">
        <v>120</v>
      </c>
      <c r="C419" s="184"/>
      <c r="D419" s="184"/>
      <c r="E419" s="184"/>
      <c r="F419" s="184"/>
      <c r="G419" s="184"/>
      <c r="H419" s="185"/>
    </row>
    <row r="420" spans="1:8" ht="36" customHeight="1" x14ac:dyDescent="0.25">
      <c r="A420" s="83">
        <v>7</v>
      </c>
      <c r="B420" s="183" t="s">
        <v>153</v>
      </c>
      <c r="C420" s="184"/>
      <c r="D420" s="184"/>
      <c r="E420" s="184"/>
      <c r="F420" s="184"/>
      <c r="G420" s="184"/>
      <c r="H420" s="185"/>
    </row>
    <row r="421" spans="1:8" x14ac:dyDescent="0.25">
      <c r="A421" s="83">
        <v>8</v>
      </c>
      <c r="B421" s="183" t="s">
        <v>121</v>
      </c>
      <c r="C421" s="184"/>
      <c r="D421" s="184"/>
      <c r="E421" s="184"/>
      <c r="F421" s="184"/>
      <c r="G421" s="184"/>
      <c r="H421" s="185"/>
    </row>
    <row r="422" spans="1:8" s="20" customFormat="1" ht="34.5" customHeight="1" x14ac:dyDescent="0.25">
      <c r="A422" s="83">
        <v>9</v>
      </c>
      <c r="B422" s="241" t="s">
        <v>355</v>
      </c>
      <c r="C422" s="242"/>
      <c r="D422" s="242"/>
      <c r="E422" s="242"/>
      <c r="F422" s="242"/>
      <c r="G422" s="242"/>
      <c r="H422" s="243"/>
    </row>
    <row r="423" spans="1:8" s="20" customFormat="1" x14ac:dyDescent="0.25">
      <c r="A423" s="83">
        <v>10</v>
      </c>
      <c r="B423" s="241" t="s">
        <v>350</v>
      </c>
      <c r="C423" s="242"/>
      <c r="D423" s="242"/>
      <c r="E423" s="242"/>
      <c r="F423" s="242"/>
      <c r="G423" s="242"/>
      <c r="H423" s="243"/>
    </row>
    <row r="424" spans="1:8" s="20" customFormat="1" x14ac:dyDescent="0.25">
      <c r="A424" s="83">
        <v>11</v>
      </c>
      <c r="B424" s="241" t="s">
        <v>358</v>
      </c>
      <c r="C424" s="242"/>
      <c r="D424" s="242"/>
      <c r="E424" s="242"/>
      <c r="F424" s="242"/>
      <c r="G424" s="242"/>
      <c r="H424" s="243"/>
    </row>
    <row r="425" spans="1:8" s="20" customFormat="1" hidden="1" x14ac:dyDescent="0.25">
      <c r="A425" s="83">
        <f t="shared" ref="A425:A427" si="120">A423+1</f>
        <v>11</v>
      </c>
      <c r="B425" s="126" t="s">
        <v>354</v>
      </c>
      <c r="C425" s="127"/>
      <c r="D425" s="127"/>
      <c r="E425" s="127"/>
      <c r="F425" s="127"/>
      <c r="G425" s="127"/>
      <c r="H425" s="128"/>
    </row>
    <row r="426" spans="1:8" s="20" customFormat="1" x14ac:dyDescent="0.25">
      <c r="A426" s="83">
        <v>12</v>
      </c>
      <c r="B426" s="241" t="s">
        <v>339</v>
      </c>
      <c r="C426" s="242"/>
      <c r="D426" s="242"/>
      <c r="E426" s="242"/>
      <c r="F426" s="242"/>
      <c r="G426" s="242"/>
      <c r="H426" s="243"/>
    </row>
    <row r="427" spans="1:8" hidden="1" x14ac:dyDescent="0.25">
      <c r="A427" s="83">
        <f t="shared" si="120"/>
        <v>12</v>
      </c>
      <c r="B427" s="176" t="s">
        <v>173</v>
      </c>
      <c r="C427" s="177"/>
      <c r="D427" s="177"/>
      <c r="E427" s="177"/>
      <c r="F427" s="177"/>
      <c r="G427" s="177"/>
      <c r="H427" s="178"/>
    </row>
    <row r="428" spans="1:8" ht="31.5" customHeight="1" x14ac:dyDescent="0.25">
      <c r="A428" s="83">
        <v>13</v>
      </c>
      <c r="B428" s="241" t="s">
        <v>360</v>
      </c>
      <c r="C428" s="242"/>
      <c r="D428" s="242"/>
      <c r="E428" s="242"/>
      <c r="F428" s="242"/>
      <c r="G428" s="242"/>
      <c r="H428" s="243"/>
    </row>
    <row r="429" spans="1:8" x14ac:dyDescent="0.25">
      <c r="A429" s="149" t="s">
        <v>57</v>
      </c>
      <c r="B429" s="149"/>
      <c r="C429" s="149"/>
      <c r="D429" s="149"/>
      <c r="E429" s="149"/>
      <c r="F429" s="149"/>
      <c r="G429" s="149"/>
      <c r="H429" s="149"/>
    </row>
    <row r="430" spans="1:8" x14ac:dyDescent="0.25">
      <c r="A430" s="134" t="s">
        <v>58</v>
      </c>
      <c r="B430" s="134"/>
      <c r="C430" s="134"/>
      <c r="D430" s="134"/>
      <c r="E430" s="134"/>
      <c r="F430" s="134"/>
      <c r="G430" s="134"/>
      <c r="H430" s="134"/>
    </row>
    <row r="431" spans="1:8" x14ac:dyDescent="0.25">
      <c r="A431" s="167" t="s">
        <v>59</v>
      </c>
      <c r="B431" s="167"/>
      <c r="C431" s="167"/>
      <c r="D431" s="167"/>
      <c r="E431" s="167"/>
      <c r="F431" s="167"/>
      <c r="G431" s="167"/>
      <c r="H431" s="167"/>
    </row>
    <row r="432" spans="1:8" x14ac:dyDescent="0.25">
      <c r="A432" s="134" t="s">
        <v>60</v>
      </c>
      <c r="B432" s="134"/>
      <c r="C432" s="134"/>
      <c r="D432" s="134"/>
      <c r="E432" s="134"/>
      <c r="F432" s="134"/>
      <c r="G432" s="134"/>
      <c r="H432" s="134"/>
    </row>
    <row r="433" spans="1:8" x14ac:dyDescent="0.25">
      <c r="A433" s="134" t="s">
        <v>61</v>
      </c>
      <c r="B433" s="134"/>
      <c r="C433" s="134"/>
      <c r="D433" s="134"/>
      <c r="E433" s="134"/>
      <c r="F433" s="134"/>
      <c r="G433" s="134"/>
      <c r="H433" s="134"/>
    </row>
    <row r="434" spans="1:8" x14ac:dyDescent="0.25">
      <c r="A434" s="134" t="s">
        <v>122</v>
      </c>
      <c r="B434" s="134"/>
      <c r="C434" s="134"/>
      <c r="D434" s="134"/>
      <c r="E434" s="134"/>
      <c r="F434" s="134"/>
      <c r="G434" s="134"/>
      <c r="H434" s="134"/>
    </row>
    <row r="435" spans="1:8" x14ac:dyDescent="0.25">
      <c r="A435" s="140" t="s">
        <v>123</v>
      </c>
      <c r="B435" s="140"/>
      <c r="C435" s="140"/>
      <c r="D435" s="140"/>
      <c r="E435" s="140"/>
      <c r="F435" s="140"/>
      <c r="G435" s="140"/>
      <c r="H435" s="140"/>
    </row>
    <row r="436" spans="1:8" x14ac:dyDescent="0.25">
      <c r="A436" s="191" t="s">
        <v>72</v>
      </c>
      <c r="B436" s="191"/>
      <c r="C436" s="192" t="s">
        <v>363</v>
      </c>
      <c r="D436" s="192"/>
      <c r="E436" s="191" t="s">
        <v>100</v>
      </c>
      <c r="F436" s="191"/>
      <c r="G436" s="191" t="s">
        <v>362</v>
      </c>
      <c r="H436" s="191"/>
    </row>
    <row r="437" spans="1:8" x14ac:dyDescent="0.25">
      <c r="A437" s="190" t="s">
        <v>74</v>
      </c>
      <c r="B437" s="190"/>
      <c r="C437" s="190"/>
      <c r="D437" s="190"/>
      <c r="E437" s="190"/>
      <c r="F437" s="190"/>
      <c r="G437" s="190"/>
      <c r="H437" s="190"/>
    </row>
    <row r="438" spans="1:8" x14ac:dyDescent="0.25">
      <c r="A438" s="190"/>
      <c r="B438" s="190"/>
      <c r="C438" s="190"/>
      <c r="D438" s="190"/>
      <c r="E438" s="190"/>
      <c r="F438" s="190"/>
      <c r="G438" s="190"/>
      <c r="H438" s="190"/>
    </row>
    <row r="439" spans="1:8" x14ac:dyDescent="0.25">
      <c r="A439" s="190"/>
      <c r="B439" s="190"/>
      <c r="C439" s="190"/>
      <c r="D439" s="190"/>
      <c r="E439" s="190"/>
      <c r="F439" s="190"/>
      <c r="G439" s="190"/>
      <c r="H439" s="190"/>
    </row>
    <row r="440" spans="1:8" x14ac:dyDescent="0.25">
      <c r="A440" s="190"/>
      <c r="B440" s="190"/>
      <c r="C440" s="190"/>
      <c r="D440" s="190"/>
      <c r="E440" s="190"/>
      <c r="F440" s="190"/>
      <c r="G440" s="190"/>
      <c r="H440" s="190"/>
    </row>
    <row r="441" spans="1:8" x14ac:dyDescent="0.25">
      <c r="A441" s="35" t="s">
        <v>62</v>
      </c>
      <c r="B441" s="36"/>
      <c r="C441" s="36"/>
      <c r="D441" s="35" t="str">
        <f>E9</f>
        <v>Palava Signet 2</v>
      </c>
      <c r="F441" s="36"/>
      <c r="G441" s="36"/>
      <c r="H441" s="36"/>
    </row>
    <row r="442" spans="1:8" x14ac:dyDescent="0.25">
      <c r="A442" s="36"/>
      <c r="B442" s="36"/>
      <c r="C442" s="36"/>
      <c r="D442" s="36"/>
      <c r="E442" s="36"/>
      <c r="F442" s="36"/>
      <c r="G442" s="36"/>
      <c r="H442" s="36"/>
    </row>
    <row r="443" spans="1:8" x14ac:dyDescent="0.25">
      <c r="A443" s="36"/>
      <c r="B443" s="36"/>
      <c r="C443" s="36"/>
      <c r="D443" s="36"/>
      <c r="E443" s="36"/>
      <c r="F443" s="36"/>
      <c r="G443" s="36"/>
      <c r="H443" s="36"/>
    </row>
    <row r="484" spans="1:1" x14ac:dyDescent="0.25">
      <c r="A484" s="38" t="s">
        <v>361</v>
      </c>
    </row>
    <row r="527" spans="1:1" x14ac:dyDescent="0.25">
      <c r="A527" s="38" t="s">
        <v>160</v>
      </c>
    </row>
    <row r="570" spans="1:1" x14ac:dyDescent="0.25">
      <c r="A570" s="38" t="s">
        <v>63</v>
      </c>
    </row>
  </sheetData>
  <mergeCells count="625">
    <mergeCell ref="L133:M133"/>
    <mergeCell ref="A132:B132"/>
    <mergeCell ref="L132:M132"/>
    <mergeCell ref="C132:H133"/>
    <mergeCell ref="A174:B174"/>
    <mergeCell ref="A175:B175"/>
    <mergeCell ref="A176:B176"/>
    <mergeCell ref="A177:B177"/>
    <mergeCell ref="A178:B178"/>
    <mergeCell ref="A149:B149"/>
    <mergeCell ref="A150:B150"/>
    <mergeCell ref="A151:B151"/>
    <mergeCell ref="A152:B152"/>
    <mergeCell ref="A153:B153"/>
    <mergeCell ref="A154:B154"/>
    <mergeCell ref="A155:B155"/>
    <mergeCell ref="A141:B141"/>
    <mergeCell ref="L141:M141"/>
    <mergeCell ref="A142:B142"/>
    <mergeCell ref="L142:M142"/>
    <mergeCell ref="A143:B143"/>
    <mergeCell ref="L143:M143"/>
    <mergeCell ref="A144:B144"/>
    <mergeCell ref="A145:B145"/>
    <mergeCell ref="A179:B179"/>
    <mergeCell ref="A180:B180"/>
    <mergeCell ref="A181:B181"/>
    <mergeCell ref="A133:B133"/>
    <mergeCell ref="A165:B165"/>
    <mergeCell ref="A166:B166"/>
    <mergeCell ref="A167:B167"/>
    <mergeCell ref="A168:B168"/>
    <mergeCell ref="A169:B169"/>
    <mergeCell ref="A170:B170"/>
    <mergeCell ref="A171:B171"/>
    <mergeCell ref="A172:B172"/>
    <mergeCell ref="A173:B173"/>
    <mergeCell ref="A156:B156"/>
    <mergeCell ref="A157:B157"/>
    <mergeCell ref="A158:B158"/>
    <mergeCell ref="A159:B159"/>
    <mergeCell ref="A160:B160"/>
    <mergeCell ref="A161:B161"/>
    <mergeCell ref="A162:B162"/>
    <mergeCell ref="A163:B163"/>
    <mergeCell ref="A164:B164"/>
    <mergeCell ref="A147:B147"/>
    <mergeCell ref="A148:B148"/>
    <mergeCell ref="A146:B146"/>
    <mergeCell ref="A134:B134"/>
    <mergeCell ref="L134:M134"/>
    <mergeCell ref="A135:B135"/>
    <mergeCell ref="A136:B136"/>
    <mergeCell ref="A137:B137"/>
    <mergeCell ref="A138:B138"/>
    <mergeCell ref="A139:B139"/>
    <mergeCell ref="L139:M139"/>
    <mergeCell ref="A140:B140"/>
    <mergeCell ref="L140:M140"/>
    <mergeCell ref="A262:B262"/>
    <mergeCell ref="A263:B263"/>
    <mergeCell ref="A264:B264"/>
    <mergeCell ref="A265:B265"/>
    <mergeCell ref="A266:B266"/>
    <mergeCell ref="A267:B267"/>
    <mergeCell ref="A268:B268"/>
    <mergeCell ref="A269:B269"/>
    <mergeCell ref="A270:B270"/>
    <mergeCell ref="B424:H424"/>
    <mergeCell ref="A271:B271"/>
    <mergeCell ref="A272:B272"/>
    <mergeCell ref="A273:B273"/>
    <mergeCell ref="A274:B274"/>
    <mergeCell ref="A275:B275"/>
    <mergeCell ref="A276:B276"/>
    <mergeCell ref="A277:B277"/>
    <mergeCell ref="A278:B278"/>
    <mergeCell ref="A279:B279"/>
    <mergeCell ref="A362:B362"/>
    <mergeCell ref="A363:B363"/>
    <mergeCell ref="A364:B364"/>
    <mergeCell ref="A365:B365"/>
    <mergeCell ref="A366:B366"/>
    <mergeCell ref="A367:B367"/>
    <mergeCell ref="A368:B368"/>
    <mergeCell ref="A369:B369"/>
    <mergeCell ref="A370:B370"/>
    <mergeCell ref="B423:H423"/>
    <mergeCell ref="A371:B371"/>
    <mergeCell ref="A372:B372"/>
    <mergeCell ref="A373:B373"/>
    <mergeCell ref="A374:B374"/>
    <mergeCell ref="A256:B256"/>
    <mergeCell ref="A257:B257"/>
    <mergeCell ref="A258:B258"/>
    <mergeCell ref="A259:B259"/>
    <mergeCell ref="A260:B260"/>
    <mergeCell ref="A261:B261"/>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39:B239"/>
    <mergeCell ref="L239:M239"/>
    <mergeCell ref="A240:B240"/>
    <mergeCell ref="L240:M240"/>
    <mergeCell ref="A241:B241"/>
    <mergeCell ref="L241:M241"/>
    <mergeCell ref="A242:B242"/>
    <mergeCell ref="L242:M242"/>
    <mergeCell ref="A243:B243"/>
    <mergeCell ref="A231:H231"/>
    <mergeCell ref="L231:M231"/>
    <mergeCell ref="A233:B233"/>
    <mergeCell ref="L233:M233"/>
    <mergeCell ref="A234:B234"/>
    <mergeCell ref="A235:B235"/>
    <mergeCell ref="A236:B236"/>
    <mergeCell ref="A237:B237"/>
    <mergeCell ref="A238:B238"/>
    <mergeCell ref="L238:M238"/>
    <mergeCell ref="A232:B232"/>
    <mergeCell ref="L232:M232"/>
    <mergeCell ref="A375:B375"/>
    <mergeCell ref="A376:B376"/>
    <mergeCell ref="A377:B377"/>
    <mergeCell ref="A378:B378"/>
    <mergeCell ref="A379:B379"/>
    <mergeCell ref="A404:B404"/>
    <mergeCell ref="A405:B405"/>
    <mergeCell ref="A400:H400"/>
    <mergeCell ref="A394:H394"/>
    <mergeCell ref="A384:B384"/>
    <mergeCell ref="B415:H415"/>
    <mergeCell ref="A409:B409"/>
    <mergeCell ref="A406:H406"/>
    <mergeCell ref="A407:B407"/>
    <mergeCell ref="A408:B408"/>
    <mergeCell ref="A411:B411"/>
    <mergeCell ref="A410:B410"/>
    <mergeCell ref="B413:H413"/>
    <mergeCell ref="B414:H414"/>
    <mergeCell ref="A357:B357"/>
    <mergeCell ref="A358:B358"/>
    <mergeCell ref="A359:B359"/>
    <mergeCell ref="A360:B360"/>
    <mergeCell ref="A361:B361"/>
    <mergeCell ref="A344:B344"/>
    <mergeCell ref="A345:B345"/>
    <mergeCell ref="A346:B346"/>
    <mergeCell ref="A347:B347"/>
    <mergeCell ref="A348:B348"/>
    <mergeCell ref="A349:B349"/>
    <mergeCell ref="A350:B350"/>
    <mergeCell ref="A351:B351"/>
    <mergeCell ref="A352:B352"/>
    <mergeCell ref="A353:B353"/>
    <mergeCell ref="A354:B354"/>
    <mergeCell ref="L339:M339"/>
    <mergeCell ref="A340:B340"/>
    <mergeCell ref="L340:M340"/>
    <mergeCell ref="A341:B341"/>
    <mergeCell ref="L341:M341"/>
    <mergeCell ref="A342:B342"/>
    <mergeCell ref="L342:M342"/>
    <mergeCell ref="A343:B343"/>
    <mergeCell ref="A355:B355"/>
    <mergeCell ref="L330:M330"/>
    <mergeCell ref="A333:B333"/>
    <mergeCell ref="L333:M333"/>
    <mergeCell ref="A334:B334"/>
    <mergeCell ref="A335:B335"/>
    <mergeCell ref="A336:B336"/>
    <mergeCell ref="A337:B337"/>
    <mergeCell ref="A338:B338"/>
    <mergeCell ref="L338:M338"/>
    <mergeCell ref="A331:B331"/>
    <mergeCell ref="L331:M331"/>
    <mergeCell ref="A332:B332"/>
    <mergeCell ref="A228:B228"/>
    <mergeCell ref="A229:B229"/>
    <mergeCell ref="A230:B230"/>
    <mergeCell ref="B426:H426"/>
    <mergeCell ref="A202:B202"/>
    <mergeCell ref="B422:H42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330:H330"/>
    <mergeCell ref="A339:B339"/>
    <mergeCell ref="A356:B356"/>
    <mergeCell ref="A196:B196"/>
    <mergeCell ref="A197:B197"/>
    <mergeCell ref="A198:B198"/>
    <mergeCell ref="A199:B199"/>
    <mergeCell ref="A200:B200"/>
    <mergeCell ref="A201:B201"/>
    <mergeCell ref="A225:B225"/>
    <mergeCell ref="A226:B226"/>
    <mergeCell ref="A227:B227"/>
    <mergeCell ref="B428:H428"/>
    <mergeCell ref="A107:E107"/>
    <mergeCell ref="A123:B123"/>
    <mergeCell ref="E123:F123"/>
    <mergeCell ref="A112:E112"/>
    <mergeCell ref="G123:H123"/>
    <mergeCell ref="A118:B118"/>
    <mergeCell ref="C118:D118"/>
    <mergeCell ref="E118:F118"/>
    <mergeCell ref="G118:H118"/>
    <mergeCell ref="A122:B122"/>
    <mergeCell ref="C122:D122"/>
    <mergeCell ref="E122:F122"/>
    <mergeCell ref="G122:H122"/>
    <mergeCell ref="B420:H420"/>
    <mergeCell ref="A403:B403"/>
    <mergeCell ref="A392:B392"/>
    <mergeCell ref="A108:E108"/>
    <mergeCell ref="F108:H108"/>
    <mergeCell ref="A110:E110"/>
    <mergeCell ref="A193:B193"/>
    <mergeCell ref="A194:B194"/>
    <mergeCell ref="A195:B195"/>
    <mergeCell ref="A296:B296"/>
    <mergeCell ref="F102:H102"/>
    <mergeCell ref="A182:H182"/>
    <mergeCell ref="A187:B187"/>
    <mergeCell ref="B416:H416"/>
    <mergeCell ref="B417:H417"/>
    <mergeCell ref="A412:H412"/>
    <mergeCell ref="A49:B49"/>
    <mergeCell ref="C49:H49"/>
    <mergeCell ref="B418:H418"/>
    <mergeCell ref="F104:H104"/>
    <mergeCell ref="A104:E104"/>
    <mergeCell ref="D127:D128"/>
    <mergeCell ref="A106:E106"/>
    <mergeCell ref="A105:E105"/>
    <mergeCell ref="A102:E102"/>
    <mergeCell ref="F106:H106"/>
    <mergeCell ref="G127:G128"/>
    <mergeCell ref="A402:B402"/>
    <mergeCell ref="A79:B79"/>
    <mergeCell ref="A85:B85"/>
    <mergeCell ref="A86:B86"/>
    <mergeCell ref="A75:B75"/>
    <mergeCell ref="A73:B73"/>
    <mergeCell ref="C73:H73"/>
    <mergeCell ref="L192:M192"/>
    <mergeCell ref="A393:B393"/>
    <mergeCell ref="A390:B390"/>
    <mergeCell ref="A391:B391"/>
    <mergeCell ref="A401:B401"/>
    <mergeCell ref="A40:B40"/>
    <mergeCell ref="C40:H40"/>
    <mergeCell ref="F127:F128"/>
    <mergeCell ref="C117:D117"/>
    <mergeCell ref="E117:F117"/>
    <mergeCell ref="B127:B128"/>
    <mergeCell ref="A127:A128"/>
    <mergeCell ref="C381:C382"/>
    <mergeCell ref="G381:G382"/>
    <mergeCell ref="L191:M191"/>
    <mergeCell ref="L188:M188"/>
    <mergeCell ref="A385:B385"/>
    <mergeCell ref="G124:H124"/>
    <mergeCell ref="L189:M189"/>
    <mergeCell ref="A386:B386"/>
    <mergeCell ref="L190:M190"/>
    <mergeCell ref="C55:H55"/>
    <mergeCell ref="A387:B387"/>
    <mergeCell ref="A76:B76"/>
    <mergeCell ref="A39:B39"/>
    <mergeCell ref="C39:H39"/>
    <mergeCell ref="A46:D46"/>
    <mergeCell ref="L183:M183"/>
    <mergeCell ref="L182:M182"/>
    <mergeCell ref="L131:M131"/>
    <mergeCell ref="L130:M130"/>
    <mergeCell ref="A84:B84"/>
    <mergeCell ref="C121:D121"/>
    <mergeCell ref="E121:F121"/>
    <mergeCell ref="G121:H121"/>
    <mergeCell ref="A103:E103"/>
    <mergeCell ref="A129:H129"/>
    <mergeCell ref="E127:E128"/>
    <mergeCell ref="A47:D47"/>
    <mergeCell ref="A48:H48"/>
    <mergeCell ref="D64:H64"/>
    <mergeCell ref="A64:C64"/>
    <mergeCell ref="A83:B83"/>
    <mergeCell ref="A45:D45"/>
    <mergeCell ref="E77:F86"/>
    <mergeCell ref="G77:H86"/>
    <mergeCell ref="A81:B81"/>
    <mergeCell ref="A68:C68"/>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D68:H68"/>
    <mergeCell ref="C75:H75"/>
    <mergeCell ref="A78:B78"/>
    <mergeCell ref="A80:B80"/>
    <mergeCell ref="E76:F76"/>
    <mergeCell ref="A69:C69"/>
    <mergeCell ref="D69:H69"/>
    <mergeCell ref="A72:C72"/>
    <mergeCell ref="D72:H72"/>
    <mergeCell ref="A70:C70"/>
    <mergeCell ref="D71:H71"/>
    <mergeCell ref="A77:B77"/>
    <mergeCell ref="G76:H76"/>
    <mergeCell ref="A437:H440"/>
    <mergeCell ref="A436:B436"/>
    <mergeCell ref="E436:F436"/>
    <mergeCell ref="C436:D436"/>
    <mergeCell ref="G436:H436"/>
    <mergeCell ref="A115:H115"/>
    <mergeCell ref="A113:E113"/>
    <mergeCell ref="F113:H113"/>
    <mergeCell ref="A114:E114"/>
    <mergeCell ref="F114:H114"/>
    <mergeCell ref="A388:H388"/>
    <mergeCell ref="A121:B121"/>
    <mergeCell ref="A397:B397"/>
    <mergeCell ref="A117:B117"/>
    <mergeCell ref="A432:H432"/>
    <mergeCell ref="A119:H119"/>
    <mergeCell ref="A435:H435"/>
    <mergeCell ref="A433:H433"/>
    <mergeCell ref="A429:H429"/>
    <mergeCell ref="G120:H120"/>
    <mergeCell ref="A399:B399"/>
    <mergeCell ref="C127:C128"/>
    <mergeCell ref="B381:B382"/>
    <mergeCell ref="A430:H430"/>
    <mergeCell ref="F105:H105"/>
    <mergeCell ref="A109:E109"/>
    <mergeCell ref="F107:H107"/>
    <mergeCell ref="A186:B186"/>
    <mergeCell ref="A185:B185"/>
    <mergeCell ref="A380:H380"/>
    <mergeCell ref="E120:F120"/>
    <mergeCell ref="A125:H125"/>
    <mergeCell ref="A381:A382"/>
    <mergeCell ref="F381:F382"/>
    <mergeCell ref="A131:H131"/>
    <mergeCell ref="A130:H130"/>
    <mergeCell ref="A188:B188"/>
    <mergeCell ref="A189:B189"/>
    <mergeCell ref="A190:B190"/>
    <mergeCell ref="A191:B191"/>
    <mergeCell ref="A192:B192"/>
    <mergeCell ref="A218:B218"/>
    <mergeCell ref="A219:B219"/>
    <mergeCell ref="A220:B220"/>
    <mergeCell ref="A221:B221"/>
    <mergeCell ref="A222:B222"/>
    <mergeCell ref="A223:B223"/>
    <mergeCell ref="A224:B224"/>
    <mergeCell ref="A434:H434"/>
    <mergeCell ref="A431:H431"/>
    <mergeCell ref="A389:B389"/>
    <mergeCell ref="A120:B120"/>
    <mergeCell ref="D381:D382"/>
    <mergeCell ref="E381:E382"/>
    <mergeCell ref="F103:H103"/>
    <mergeCell ref="G117:H117"/>
    <mergeCell ref="F109:H109"/>
    <mergeCell ref="C116:D116"/>
    <mergeCell ref="C123:D123"/>
    <mergeCell ref="A383:H383"/>
    <mergeCell ref="A398:B398"/>
    <mergeCell ref="A395:B395"/>
    <mergeCell ref="A183:B183"/>
    <mergeCell ref="B427:H427"/>
    <mergeCell ref="A124:B124"/>
    <mergeCell ref="C124:D124"/>
    <mergeCell ref="E124:F124"/>
    <mergeCell ref="B421:H421"/>
    <mergeCell ref="B419:H419"/>
    <mergeCell ref="A282:B282"/>
    <mergeCell ref="A289:B289"/>
    <mergeCell ref="A295:B295"/>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12:H112"/>
    <mergeCell ref="F110:H110"/>
    <mergeCell ref="A396:B396"/>
    <mergeCell ref="A126:H126"/>
    <mergeCell ref="G116:H116"/>
    <mergeCell ref="A111:E111"/>
    <mergeCell ref="A184:B184"/>
    <mergeCell ref="A60:B60"/>
    <mergeCell ref="C60:E60"/>
    <mergeCell ref="D62:H62"/>
    <mergeCell ref="F111:H111"/>
    <mergeCell ref="E116:F116"/>
    <mergeCell ref="A116:B116"/>
    <mergeCell ref="C120:D120"/>
    <mergeCell ref="D70:H70"/>
    <mergeCell ref="A71:C71"/>
    <mergeCell ref="E43:H43"/>
    <mergeCell ref="A43:D43"/>
    <mergeCell ref="A82:B82"/>
    <mergeCell ref="A50:B50"/>
    <mergeCell ref="G52:H52"/>
    <mergeCell ref="A280:H280"/>
    <mergeCell ref="L280:M280"/>
    <mergeCell ref="L282:M282"/>
    <mergeCell ref="A283:B283"/>
    <mergeCell ref="L283:M283"/>
    <mergeCell ref="A284:B284"/>
    <mergeCell ref="A285:B285"/>
    <mergeCell ref="A286:B286"/>
    <mergeCell ref="A287:B287"/>
    <mergeCell ref="A288:B288"/>
    <mergeCell ref="L288:M288"/>
    <mergeCell ref="L289:M289"/>
    <mergeCell ref="A290:B290"/>
    <mergeCell ref="L290:M290"/>
    <mergeCell ref="A291:B291"/>
    <mergeCell ref="L291:M291"/>
    <mergeCell ref="A292:B292"/>
    <mergeCell ref="L292:M292"/>
    <mergeCell ref="A293:B293"/>
    <mergeCell ref="A294:B294"/>
    <mergeCell ref="A297:B297"/>
    <mergeCell ref="A298:B298"/>
    <mergeCell ref="A299:B299"/>
    <mergeCell ref="A317:B317"/>
    <mergeCell ref="A300:B300"/>
    <mergeCell ref="A301:B301"/>
    <mergeCell ref="A302:B302"/>
    <mergeCell ref="A303:B303"/>
    <mergeCell ref="A304:B304"/>
    <mergeCell ref="A305:B305"/>
    <mergeCell ref="A306:B306"/>
    <mergeCell ref="A307:B307"/>
    <mergeCell ref="A308:B308"/>
    <mergeCell ref="A327:B327"/>
    <mergeCell ref="A328:B328"/>
    <mergeCell ref="A329:B329"/>
    <mergeCell ref="A281:B281"/>
    <mergeCell ref="L281:M281"/>
    <mergeCell ref="C288:H295"/>
    <mergeCell ref="B425:H425"/>
    <mergeCell ref="A318:B318"/>
    <mergeCell ref="A319:B319"/>
    <mergeCell ref="A320:B320"/>
    <mergeCell ref="A321:B321"/>
    <mergeCell ref="A322:B322"/>
    <mergeCell ref="A323:B323"/>
    <mergeCell ref="A324:B324"/>
    <mergeCell ref="A325:B325"/>
    <mergeCell ref="A326:B326"/>
    <mergeCell ref="A309:B309"/>
    <mergeCell ref="A310:B310"/>
    <mergeCell ref="A311:B311"/>
    <mergeCell ref="A312:B312"/>
    <mergeCell ref="A313:B313"/>
    <mergeCell ref="A314:B314"/>
    <mergeCell ref="A315:B315"/>
    <mergeCell ref="A316:B316"/>
    <mergeCell ref="C101:D101"/>
    <mergeCell ref="E101:F101"/>
    <mergeCell ref="G101:H101"/>
    <mergeCell ref="A101:B101"/>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s>
  <dataValidations count="17">
    <dataValidation type="list" allowBlank="1" showInputMessage="1" showErrorMessage="1" sqref="E5:H5">
      <formula1>OFFSET($L$3,1,MATCH($E4,$L$3:$P$3,0)-1,10,1)</formula1>
    </dataValidation>
    <dataValidation type="list" allowBlank="1" showInputMessage="1" showErrorMessage="1" sqref="A17:B17">
      <formula1>"CTS No,As per RERA 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7:B128">
      <formula1>"Shop No. (Sale Plan),Sale / Rehab,Sale / Mhada"</formula1>
    </dataValidation>
    <dataValidation type="list" allowBlank="1" showInputMessage="1" showErrorMessage="1" sqref="B381:B38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381:E382">
      <formula1>"Fungible area,Balcony Area,Chajja Area,Cornice Area,AP Area,WS Area"</formula1>
    </dataValidation>
    <dataValidation type="list" allowBlank="1" showInputMessage="1" showErrorMessage="1" sqref="H128 H38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 type="list" allowBlank="1" showInputMessage="1" showErrorMessage="1" sqref="H127 H381">
      <formula1>"Saleable area Loading :,Builder Saleable Area"</formula1>
    </dataValidation>
    <dataValidation type="list" allowBlank="1" showInputMessage="1" showErrorMessage="1" sqref="D127:D128 D381:D38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440" max="7" man="1"/>
    <brk id="483" max="16383" man="1"/>
    <brk id="526" max="7" man="1"/>
    <brk id="56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7" t="s">
        <v>101</v>
      </c>
      <c r="C3" s="257"/>
      <c r="D3" s="257"/>
      <c r="E3" s="257"/>
      <c r="F3" s="257"/>
      <c r="G3" s="257"/>
      <c r="H3" s="257"/>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174</v>
      </c>
      <c r="E4" s="48" t="s">
        <v>184</v>
      </c>
      <c r="F4" s="48" t="s">
        <v>169</v>
      </c>
      <c r="G4" s="48" t="s">
        <v>189</v>
      </c>
      <c r="H4" s="48" t="s">
        <v>207</v>
      </c>
      <c r="J4" t="s">
        <v>189</v>
      </c>
      <c r="K4" t="s">
        <v>205</v>
      </c>
    </row>
    <row r="5" spans="2:11" x14ac:dyDescent="0.25">
      <c r="B5" s="47"/>
      <c r="C5" s="47"/>
      <c r="D5" s="48" t="s">
        <v>175</v>
      </c>
      <c r="E5" s="48" t="s">
        <v>182</v>
      </c>
      <c r="F5" s="48" t="s">
        <v>204</v>
      </c>
      <c r="G5" s="48" t="s">
        <v>190</v>
      </c>
      <c r="H5" s="48" t="s">
        <v>208</v>
      </c>
    </row>
    <row r="6" spans="2:11" x14ac:dyDescent="0.25">
      <c r="B6" s="47"/>
      <c r="C6" s="47"/>
      <c r="D6" s="48" t="s">
        <v>176</v>
      </c>
      <c r="E6" s="48" t="s">
        <v>183</v>
      </c>
      <c r="F6" s="48" t="s">
        <v>205</v>
      </c>
      <c r="G6" s="48" t="s">
        <v>191</v>
      </c>
      <c r="H6" s="48" t="s">
        <v>221</v>
      </c>
    </row>
    <row r="7" spans="2:11" x14ac:dyDescent="0.25">
      <c r="B7" s="47"/>
      <c r="C7" s="47"/>
      <c r="D7" s="48" t="s">
        <v>177</v>
      </c>
      <c r="E7" s="48" t="s">
        <v>185</v>
      </c>
      <c r="F7" s="48" t="s">
        <v>206</v>
      </c>
      <c r="G7" s="48" t="s">
        <v>192</v>
      </c>
      <c r="H7" s="48" t="s">
        <v>209</v>
      </c>
    </row>
    <row r="8" spans="2:11" x14ac:dyDescent="0.25">
      <c r="B8" s="47"/>
      <c r="C8" s="47"/>
      <c r="D8" s="48" t="s">
        <v>178</v>
      </c>
      <c r="E8" s="48" t="s">
        <v>186</v>
      </c>
      <c r="F8" s="48"/>
      <c r="G8" s="48" t="s">
        <v>193</v>
      </c>
      <c r="H8" s="48" t="s">
        <v>210</v>
      </c>
    </row>
    <row r="9" spans="2:11" x14ac:dyDescent="0.25">
      <c r="B9" s="47"/>
      <c r="C9" s="47"/>
      <c r="D9" s="48" t="s">
        <v>179</v>
      </c>
      <c r="E9" s="48" t="s">
        <v>184</v>
      </c>
      <c r="F9" s="48"/>
      <c r="G9" s="48" t="s">
        <v>194</v>
      </c>
      <c r="H9" s="48" t="s">
        <v>211</v>
      </c>
    </row>
    <row r="10" spans="2:11" x14ac:dyDescent="0.25">
      <c r="B10" s="47"/>
      <c r="C10" s="47"/>
      <c r="D10" s="48" t="s">
        <v>180</v>
      </c>
      <c r="E10" s="48" t="s">
        <v>187</v>
      </c>
      <c r="F10" s="48"/>
      <c r="G10" s="48" t="s">
        <v>195</v>
      </c>
      <c r="H10" s="48" t="s">
        <v>212</v>
      </c>
    </row>
    <row r="11" spans="2:11" x14ac:dyDescent="0.25">
      <c r="B11" s="47"/>
      <c r="C11" s="47"/>
      <c r="D11" s="48" t="s">
        <v>181</v>
      </c>
      <c r="E11" s="48" t="s">
        <v>188</v>
      </c>
      <c r="F11" s="48"/>
      <c r="G11" s="48" t="s">
        <v>196</v>
      </c>
      <c r="H11" s="48" t="s">
        <v>213</v>
      </c>
    </row>
    <row r="12" spans="2:11" x14ac:dyDescent="0.25">
      <c r="B12" s="47"/>
      <c r="C12" s="47"/>
      <c r="D12" s="48"/>
      <c r="E12" s="48"/>
      <c r="F12" s="48"/>
      <c r="G12" s="48" t="s">
        <v>197</v>
      </c>
      <c r="H12" s="48" t="s">
        <v>214</v>
      </c>
    </row>
    <row r="13" spans="2:11" x14ac:dyDescent="0.25">
      <c r="B13" s="47"/>
      <c r="C13" s="47"/>
      <c r="D13" s="48"/>
      <c r="E13" s="48"/>
      <c r="F13" s="48"/>
      <c r="G13" s="48" t="s">
        <v>198</v>
      </c>
      <c r="H13" s="48" t="s">
        <v>215</v>
      </c>
    </row>
    <row r="14" spans="2:11" x14ac:dyDescent="0.25">
      <c r="B14" s="47"/>
      <c r="C14" s="47"/>
      <c r="D14" s="48"/>
      <c r="E14" s="48"/>
      <c r="F14" s="48"/>
      <c r="G14" s="48" t="s">
        <v>199</v>
      </c>
      <c r="H14" s="48" t="s">
        <v>216</v>
      </c>
    </row>
    <row r="15" spans="2:11" x14ac:dyDescent="0.25">
      <c r="B15" s="47"/>
      <c r="C15" s="47"/>
      <c r="D15" s="48"/>
      <c r="E15" s="48"/>
      <c r="F15" s="48"/>
      <c r="G15" s="48" t="s">
        <v>200</v>
      </c>
      <c r="H15" s="48" t="s">
        <v>217</v>
      </c>
    </row>
    <row r="16" spans="2:11" x14ac:dyDescent="0.25">
      <c r="B16" s="47"/>
      <c r="C16" s="47"/>
      <c r="D16" s="48"/>
      <c r="E16" s="48"/>
      <c r="F16" s="48"/>
      <c r="G16" s="48" t="s">
        <v>201</v>
      </c>
      <c r="H16" s="48" t="s">
        <v>218</v>
      </c>
    </row>
    <row r="17" spans="2:8" x14ac:dyDescent="0.25">
      <c r="B17" s="47"/>
      <c r="C17" s="47"/>
      <c r="D17" s="48"/>
      <c r="E17" s="48"/>
      <c r="F17" s="48"/>
      <c r="G17" s="48" t="s">
        <v>202</v>
      </c>
      <c r="H17" s="48" t="s">
        <v>219</v>
      </c>
    </row>
    <row r="18" spans="2:8" x14ac:dyDescent="0.25">
      <c r="B18" s="47"/>
      <c r="C18" s="47"/>
      <c r="D18" s="48"/>
      <c r="E18" s="48"/>
      <c r="F18" s="48"/>
      <c r="G18" s="48" t="s">
        <v>203</v>
      </c>
      <c r="H18" s="48" t="s">
        <v>220</v>
      </c>
    </row>
    <row r="24" spans="2:8" x14ac:dyDescent="0.25">
      <c r="C24" t="s">
        <v>166</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166</v>
      </c>
    </row>
    <row r="33" spans="3:11" x14ac:dyDescent="0.25">
      <c r="J33">
        <v>1</v>
      </c>
      <c r="K33">
        <v>2</v>
      </c>
    </row>
    <row r="34" spans="3:11" x14ac:dyDescent="0.25">
      <c r="C34" s="51" t="s">
        <v>232</v>
      </c>
      <c r="D34" s="48" t="s">
        <v>230</v>
      </c>
      <c r="E34" s="48" t="s">
        <v>235</v>
      </c>
      <c r="F34" s="48" t="s">
        <v>233</v>
      </c>
      <c r="G34" s="48" t="s">
        <v>234</v>
      </c>
      <c r="H34" s="48" t="s">
        <v>236</v>
      </c>
      <c r="J34" t="s">
        <v>189</v>
      </c>
      <c r="K34" t="s">
        <v>205</v>
      </c>
    </row>
    <row r="35" spans="3:11" x14ac:dyDescent="0.25">
      <c r="C35" s="47" t="s">
        <v>231</v>
      </c>
      <c r="D35" s="48" t="s">
        <v>167</v>
      </c>
      <c r="E35" s="48" t="s">
        <v>240</v>
      </c>
      <c r="F35" s="48" t="s">
        <v>242</v>
      </c>
      <c r="G35" s="48" t="s">
        <v>244</v>
      </c>
      <c r="H35" s="48"/>
    </row>
    <row r="36" spans="3:11" x14ac:dyDescent="0.25">
      <c r="C36" s="47"/>
      <c r="D36" s="48" t="s">
        <v>237</v>
      </c>
      <c r="E36" s="48" t="s">
        <v>241</v>
      </c>
      <c r="F36" s="48" t="s">
        <v>243</v>
      </c>
      <c r="G36" s="48" t="s">
        <v>245</v>
      </c>
      <c r="H36" s="48"/>
    </row>
    <row r="37" spans="3:11" x14ac:dyDescent="0.25">
      <c r="C37" s="47"/>
      <c r="D37" s="48" t="s">
        <v>238</v>
      </c>
      <c r="E37" s="48"/>
      <c r="F37" s="48"/>
      <c r="G37" s="48" t="s">
        <v>246</v>
      </c>
      <c r="H37" s="48"/>
    </row>
    <row r="38" spans="3:11" x14ac:dyDescent="0.25">
      <c r="C38" s="47"/>
      <c r="D38" s="48" t="s">
        <v>239</v>
      </c>
      <c r="E38" s="48"/>
      <c r="F38" s="48"/>
      <c r="G38" s="48" t="s">
        <v>246</v>
      </c>
      <c r="H38" s="48"/>
    </row>
    <row r="39" spans="3:11" x14ac:dyDescent="0.25">
      <c r="C39" s="47"/>
      <c r="D39" s="48"/>
      <c r="E39" s="48"/>
      <c r="F39" s="48"/>
      <c r="G39" s="48" t="s">
        <v>247</v>
      </c>
      <c r="H39" s="48"/>
    </row>
    <row r="40" spans="3:11" x14ac:dyDescent="0.25">
      <c r="C40" s="47"/>
      <c r="D40" s="48"/>
      <c r="E40" s="48"/>
      <c r="F40" s="48"/>
      <c r="G40" s="48" t="s">
        <v>248</v>
      </c>
      <c r="H40" s="48"/>
    </row>
    <row r="41" spans="3:11" x14ac:dyDescent="0.25">
      <c r="C41" s="47"/>
      <c r="D41" s="48"/>
      <c r="E41" s="48"/>
      <c r="F41" s="48"/>
      <c r="G41" s="48"/>
      <c r="H41" s="48"/>
    </row>
    <row r="43" spans="3:11" x14ac:dyDescent="0.25">
      <c r="C43" t="s">
        <v>249</v>
      </c>
    </row>
    <row r="44" spans="3:11" x14ac:dyDescent="0.25">
      <c r="C44" t="s">
        <v>169</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E10" sqref="E10"/>
    </sheetView>
  </sheetViews>
  <sheetFormatPr defaultRowHeight="15" x14ac:dyDescent="0.25"/>
  <cols>
    <col min="2" max="2" width="3" bestFit="1" customWidth="1"/>
    <col min="3" max="3" width="130" customWidth="1"/>
  </cols>
  <sheetData>
    <row r="2" spans="2:3" ht="15" customHeight="1" x14ac:dyDescent="0.25">
      <c r="B2" s="52">
        <v>1</v>
      </c>
      <c r="C2" s="55" t="s">
        <v>280</v>
      </c>
    </row>
    <row r="3" spans="2:3" x14ac:dyDescent="0.25">
      <c r="B3" s="52">
        <v>2</v>
      </c>
      <c r="C3" s="53" t="s">
        <v>281</v>
      </c>
    </row>
    <row r="4" spans="2:3" x14ac:dyDescent="0.25">
      <c r="B4" s="52">
        <v>3</v>
      </c>
      <c r="C4" s="54" t="s">
        <v>282</v>
      </c>
    </row>
    <row r="5" spans="2:3" ht="30" x14ac:dyDescent="0.25">
      <c r="B5" s="52">
        <v>4</v>
      </c>
      <c r="C5" s="53" t="s">
        <v>283</v>
      </c>
    </row>
    <row r="6" spans="2:3" x14ac:dyDescent="0.25">
      <c r="B6" s="52">
        <v>5</v>
      </c>
      <c r="C6" s="54" t="s">
        <v>284</v>
      </c>
    </row>
    <row r="7" spans="2:3" ht="30" x14ac:dyDescent="0.25">
      <c r="B7" s="52">
        <v>6</v>
      </c>
      <c r="C7" s="53" t="s">
        <v>285</v>
      </c>
    </row>
    <row r="8" spans="2:3" ht="90" x14ac:dyDescent="0.25">
      <c r="B8" s="52">
        <v>7</v>
      </c>
      <c r="C8" s="53" t="s">
        <v>286</v>
      </c>
    </row>
    <row r="9" spans="2:3" x14ac:dyDescent="0.25">
      <c r="B9" s="52">
        <v>8</v>
      </c>
      <c r="C9" s="54" t="s">
        <v>287</v>
      </c>
    </row>
    <row r="10" spans="2:3" x14ac:dyDescent="0.25">
      <c r="B10" s="52">
        <v>9</v>
      </c>
      <c r="C10" s="54" t="s">
        <v>288</v>
      </c>
    </row>
    <row r="11" spans="2:3" x14ac:dyDescent="0.25">
      <c r="B11" s="52">
        <v>10</v>
      </c>
      <c r="C11" s="54" t="s">
        <v>289</v>
      </c>
    </row>
    <row r="12" spans="2:3" x14ac:dyDescent="0.25">
      <c r="B12" s="52">
        <v>11</v>
      </c>
      <c r="C12" s="54" t="s">
        <v>290</v>
      </c>
    </row>
    <row r="13" spans="2:3" x14ac:dyDescent="0.25">
      <c r="B13" s="52">
        <v>12</v>
      </c>
      <c r="C13" s="54" t="s">
        <v>291</v>
      </c>
    </row>
    <row r="14" spans="2:3" x14ac:dyDescent="0.25">
      <c r="B14" s="52">
        <v>13</v>
      </c>
      <c r="C14" s="54" t="s">
        <v>292</v>
      </c>
    </row>
    <row r="15" spans="2:3" x14ac:dyDescent="0.25">
      <c r="B15" s="52">
        <v>14</v>
      </c>
      <c r="C15" s="54" t="s">
        <v>282</v>
      </c>
    </row>
    <row r="16" spans="2:3" x14ac:dyDescent="0.25">
      <c r="B16" s="52">
        <v>15</v>
      </c>
      <c r="C16" s="54" t="s">
        <v>294</v>
      </c>
    </row>
    <row r="17" spans="2:3" ht="31.5" customHeight="1" x14ac:dyDescent="0.25">
      <c r="B17" s="58">
        <v>16</v>
      </c>
      <c r="C17" s="60" t="s">
        <v>295</v>
      </c>
    </row>
    <row r="18" spans="2:3" x14ac:dyDescent="0.25">
      <c r="B18" s="59">
        <v>17</v>
      </c>
      <c r="C18" s="60" t="s">
        <v>296</v>
      </c>
    </row>
    <row r="19" spans="2:3" x14ac:dyDescent="0.25">
      <c r="B19" s="58">
        <v>18</v>
      </c>
      <c r="C19" s="52" t="s">
        <v>297</v>
      </c>
    </row>
    <row r="20" spans="2:3" x14ac:dyDescent="0.25">
      <c r="B20" s="59">
        <v>19</v>
      </c>
      <c r="C20" s="52" t="s">
        <v>301</v>
      </c>
    </row>
    <row r="21" spans="2:3" x14ac:dyDescent="0.25">
      <c r="B21" s="61">
        <v>20</v>
      </c>
      <c r="C21" s="52"/>
    </row>
    <row r="22" spans="2:3" x14ac:dyDescent="0.25">
      <c r="B22" s="52"/>
      <c r="C22" s="52"/>
    </row>
    <row r="23" spans="2:3" x14ac:dyDescent="0.25">
      <c r="B23" s="52"/>
      <c r="C23" s="52"/>
    </row>
    <row r="24" spans="2:3" x14ac:dyDescent="0.25">
      <c r="B24" s="52"/>
      <c r="C24" s="52"/>
    </row>
    <row r="25" spans="2:3" x14ac:dyDescent="0.25">
      <c r="B25" s="52"/>
      <c r="C25" s="52"/>
    </row>
    <row r="26" spans="2:3" x14ac:dyDescent="0.25">
      <c r="B26" s="52"/>
      <c r="C26" s="52"/>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2025-07-16T08:00:34Z</cp:lastPrinted>
  <dcterms:created xsi:type="dcterms:W3CDTF">2019-07-16T09:29:46Z</dcterms:created>
  <dcterms:modified xsi:type="dcterms:W3CDTF">2025-07-16T08:03:17Z</dcterms:modified>
</cp:coreProperties>
</file>