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1" l="1"/>
  <c r="L76" i="1"/>
  <c r="D178" i="1" l="1"/>
  <c r="F178" i="1" s="1"/>
  <c r="D177" i="1"/>
  <c r="F177" i="1" s="1"/>
  <c r="D176" i="1"/>
  <c r="F176" i="1" s="1"/>
  <c r="D175" i="1"/>
  <c r="F175" i="1" s="1"/>
  <c r="G172" i="1"/>
  <c r="D172" i="1"/>
  <c r="F172" i="1" s="1"/>
  <c r="D170" i="1"/>
  <c r="D169" i="1"/>
  <c r="D168" i="1"/>
  <c r="D167" i="1"/>
  <c r="D164" i="1"/>
  <c r="D161" i="1"/>
  <c r="D153" i="1"/>
  <c r="D162" i="1"/>
  <c r="D160" i="1"/>
  <c r="D159" i="1"/>
  <c r="D158" i="1"/>
  <c r="D157" i="1"/>
  <c r="D156" i="1"/>
  <c r="D154" i="1"/>
  <c r="D147" i="1"/>
  <c r="D148" i="1"/>
  <c r="D146" i="1"/>
  <c r="D141" i="1"/>
  <c r="D139" i="1"/>
  <c r="G50" i="1"/>
  <c r="E131" i="1" l="1"/>
  <c r="C131" i="1"/>
  <c r="J155" i="1" l="1"/>
  <c r="I155" i="1"/>
  <c r="K127" i="1"/>
  <c r="E127" i="1"/>
  <c r="C15" i="1"/>
  <c r="D140" i="1"/>
  <c r="F140" i="1" s="1"/>
  <c r="K137" i="1" s="1"/>
  <c r="E3" i="1"/>
  <c r="C127" i="1" l="1"/>
  <c r="F170" i="1"/>
  <c r="F169" i="1"/>
  <c r="F168" i="1"/>
  <c r="F167" i="1"/>
  <c r="G164" i="1"/>
  <c r="F164" i="1"/>
  <c r="F162" i="1"/>
  <c r="F161" i="1"/>
  <c r="F147" i="1"/>
  <c r="F146" i="1"/>
  <c r="F148" i="1"/>
  <c r="L138" i="1" s="1"/>
  <c r="I147" i="1"/>
  <c r="J147" i="1"/>
  <c r="A147" i="1"/>
  <c r="A148" i="1" s="1"/>
  <c r="G146" i="1"/>
  <c r="D144" i="1"/>
  <c r="F144" i="1" s="1"/>
  <c r="D143" i="1"/>
  <c r="F143" i="1" s="1"/>
  <c r="D142" i="1"/>
  <c r="E7" i="1"/>
  <c r="E126" i="1" l="1"/>
  <c r="E128" i="1" s="1"/>
  <c r="C126" i="1"/>
  <c r="C128" i="1" s="1"/>
  <c r="J162" i="1"/>
  <c r="L127" i="1"/>
  <c r="I162" i="1"/>
  <c r="I161" i="1"/>
  <c r="J161" i="1"/>
  <c r="L137" i="1"/>
  <c r="L139" i="1" s="1"/>
  <c r="G127" i="1"/>
  <c r="E30" i="1"/>
  <c r="F154" i="1" l="1"/>
  <c r="F153" i="1"/>
  <c r="A154" i="1"/>
  <c r="G153" i="1"/>
  <c r="J154" i="1" l="1"/>
  <c r="I154" i="1"/>
  <c r="M127" i="1"/>
  <c r="J153" i="1"/>
  <c r="I153" i="1"/>
  <c r="F123" i="1"/>
  <c r="F141" i="1" l="1"/>
  <c r="K138" i="1" s="1"/>
  <c r="K139" i="1" s="1"/>
  <c r="F142" i="1"/>
  <c r="F139" i="1"/>
  <c r="G126" i="1" l="1"/>
  <c r="G128" i="1"/>
  <c r="B181" i="1"/>
  <c r="F160" i="1" l="1"/>
  <c r="F159" i="1"/>
  <c r="F157" i="1"/>
  <c r="F156" i="1"/>
  <c r="F158" i="1"/>
  <c r="G131" i="1" l="1"/>
  <c r="L157" i="1"/>
  <c r="J160" i="1"/>
  <c r="I160" i="1"/>
  <c r="I159" i="1"/>
  <c r="J159" i="1"/>
  <c r="J158" i="1"/>
  <c r="I158" i="1"/>
  <c r="I157" i="1"/>
  <c r="J157" i="1"/>
  <c r="M128" i="1"/>
  <c r="L128" i="1"/>
  <c r="J156" i="1"/>
  <c r="I156" i="1"/>
  <c r="B18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4" i="1"/>
  <c r="G156" i="1"/>
  <c r="A140" i="1"/>
  <c r="A141" i="1" s="1"/>
  <c r="A142" i="1" s="1"/>
  <c r="A143" i="1" s="1"/>
  <c r="A144" i="1" s="1"/>
  <c r="G139" i="1"/>
  <c r="J107" i="1"/>
  <c r="J106" i="1"/>
  <c r="J105" i="1"/>
  <c r="J104" i="1"/>
  <c r="C96" i="1"/>
  <c r="J93" i="1"/>
  <c r="J92" i="1"/>
  <c r="J91" i="1"/>
  <c r="J90" i="1"/>
  <c r="C82" i="1"/>
  <c r="J79" i="1"/>
  <c r="J78" i="1"/>
  <c r="J77" i="1"/>
  <c r="J76" i="1"/>
  <c r="C68" i="1"/>
  <c r="D55" i="1"/>
  <c r="C50" i="1"/>
  <c r="E43" i="1"/>
  <c r="E44" i="1" s="1"/>
  <c r="E27" i="1"/>
  <c r="E25" i="1"/>
  <c r="H69" i="1"/>
  <c r="H83" i="1"/>
  <c r="H97" i="1"/>
  <c r="D62" i="1" l="1"/>
  <c r="D93" i="1"/>
  <c r="D94" i="1"/>
  <c r="D95" i="1"/>
  <c r="D89" i="1"/>
  <c r="D90" i="1"/>
  <c r="D91" i="1"/>
  <c r="D92" i="1"/>
  <c r="C88" i="1"/>
  <c r="J82" i="1" s="1"/>
  <c r="J84" i="1" s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C102" i="1"/>
  <c r="J96" i="1" s="1"/>
  <c r="J98" i="1" s="1"/>
  <c r="J100" i="1"/>
  <c r="D109" i="1"/>
  <c r="D107" i="1"/>
  <c r="D105" i="1"/>
  <c r="D103" i="1"/>
  <c r="J101" i="1"/>
  <c r="C100" i="1" s="1"/>
  <c r="J99" i="1"/>
  <c r="J102" i="1"/>
  <c r="J103" i="1" s="1"/>
  <c r="J108" i="1" s="1"/>
  <c r="J109" i="1" s="1"/>
  <c r="C101" i="1" s="1"/>
  <c r="D108" i="1"/>
  <c r="D106" i="1"/>
  <c r="D104" i="1"/>
  <c r="J88" i="1"/>
  <c r="J89" i="1" s="1"/>
  <c r="J94" i="1" s="1"/>
  <c r="J95" i="1" s="1"/>
  <c r="C87" i="1" s="1"/>
  <c r="J86" i="1"/>
  <c r="J87" i="1"/>
  <c r="C86" i="1" s="1"/>
  <c r="J85" i="1"/>
  <c r="J75" i="1" l="1"/>
  <c r="J80" i="1" s="1"/>
  <c r="J81" i="1" s="1"/>
  <c r="C73" i="1" s="1"/>
  <c r="E72" i="1" s="1"/>
  <c r="D102" i="1"/>
  <c r="D100" i="1"/>
  <c r="D88" i="1"/>
  <c r="D74" i="1"/>
  <c r="J70" i="1"/>
  <c r="D72" i="1"/>
  <c r="E86" i="1"/>
  <c r="D87" i="1"/>
  <c r="G86" i="1"/>
  <c r="D86" i="1"/>
  <c r="J83" i="1" s="1"/>
  <c r="E100" i="1"/>
  <c r="D101" i="1"/>
  <c r="G100" i="1"/>
  <c r="G72" i="1" l="1"/>
  <c r="D66" i="1" s="1"/>
  <c r="D67" i="1" s="1"/>
  <c r="D73" i="1"/>
  <c r="I69" i="1" s="1"/>
  <c r="J69" i="1"/>
  <c r="I97" i="1"/>
  <c r="J97" i="1"/>
  <c r="I83" i="1"/>
  <c r="F67" i="1" l="1"/>
  <c r="I70" i="1"/>
  <c r="I68" i="1" s="1"/>
  <c r="C70" i="1" s="1"/>
  <c r="I98" i="1"/>
  <c r="I96" i="1" s="1"/>
  <c r="C98" i="1" s="1"/>
  <c r="I84" i="1"/>
  <c r="I82" i="1" s="1"/>
  <c r="C84" i="1" s="1"/>
</calcChain>
</file>

<file path=xl/sharedStrings.xml><?xml version="1.0" encoding="utf-8"?>
<sst xmlns="http://schemas.openxmlformats.org/spreadsheetml/2006/main" count="391" uniqueCount="242">
  <si>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</si>
  <si>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</si>
  <si>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</si>
  <si>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</si>
  <si>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</si>
  <si>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</si>
  <si>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</si>
  <si>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</si>
  <si>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</si>
  <si>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</si>
  <si>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</si>
  <si>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</si>
  <si>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</si>
  <si>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</si>
  <si>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</si>
  <si>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</si>
  <si>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</si>
  <si>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</si>
  <si>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</si>
  <si>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</si>
  <si>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</si>
  <si>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</si>
  <si>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</si>
  <si>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</si>
  <si>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</si>
  <si>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</si>
  <si>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</si>
  <si>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</si>
  <si>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</si>
  <si>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</si>
  <si>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</si>
  <si>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</si>
  <si>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</si>
  <si>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</si>
  <si>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</si>
  <si>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</si>
  <si>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</si>
  <si>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</si>
  <si>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</si>
  <si>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</si>
  <si>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</si>
  <si>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</si>
  <si>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</si>
  <si>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</si>
  <si>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</si>
  <si>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</si>
  <si>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</si>
  <si>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</si>
  <si>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</si>
  <si>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</si>
  <si>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</si>
  <si>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</si>
  <si>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</si>
  <si>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</si>
  <si>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</si>
  <si>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</si>
  <si>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</si>
  <si>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</si>
  <si>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</si>
  <si>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</si>
  <si>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</si>
  <si>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</si>
  <si>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</si>
  <si>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</si>
  <si>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</si>
  <si>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</si>
  <si>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</si>
  <si>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</si>
  <si>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</si>
  <si>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</si>
  <si>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</si>
  <si>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</si>
  <si>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</si>
  <si>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</si>
  <si>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</si>
  <si>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</si>
  <si>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</si>
  <si>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</si>
  <si>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</si>
  <si>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</si>
  <si>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</si>
  <si>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</si>
  <si>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</si>
  <si>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</si>
  <si>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</si>
  <si>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</si>
  <si>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</si>
  <si>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</si>
  <si>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</si>
  <si>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</si>
  <si>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</si>
  <si>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</si>
  <si>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</si>
  <si>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</si>
  <si>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</si>
  <si>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</si>
  <si>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</si>
  <si>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</si>
  <si>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</si>
  <si>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</si>
  <si>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</si>
  <si>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</si>
  <si>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</si>
  <si>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</si>
  <si>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</si>
  <si>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</si>
  <si>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</si>
  <si>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</si>
  <si>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</si>
  <si>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</si>
  <si>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</si>
  <si>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</si>
  <si>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</si>
  <si>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</si>
  <si>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</si>
  <si>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</si>
  <si>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</si>
  <si>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</si>
  <si>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</si>
  <si>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</si>
  <si>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</si>
  <si>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</si>
  <si>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</si>
  <si>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</si>
  <si>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</si>
  <si>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</si>
  <si>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</si>
  <si>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</si>
  <si>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</si>
  <si>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</si>
  <si>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</si>
  <si>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</si>
  <si>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</si>
  <si>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</si>
  <si>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</si>
  <si>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</si>
  <si>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</si>
  <si>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</si>
  <si>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</si>
  <si>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</si>
  <si>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</si>
  <si>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</si>
  <si>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</si>
  <si>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</si>
  <si>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</si>
  <si>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</si>
  <si>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</si>
  <si>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</si>
  <si>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</si>
  <si>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</si>
  <si>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</si>
  <si>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</si>
  <si>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</si>
  <si>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</si>
  <si>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</si>
  <si>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</si>
  <si>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</si>
  <si>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</si>
  <si>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</si>
  <si>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</si>
  <si>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</si>
  <si>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</si>
  <si>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</si>
  <si>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</si>
  <si>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</si>
  <si>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</si>
  <si>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</si>
  <si>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</si>
  <si>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</si>
  <si>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</si>
  <si>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</si>
  <si>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</si>
  <si>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</si>
  <si>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</si>
  <si>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</si>
  <si>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</si>
  <si>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</si>
  <si>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</si>
  <si>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</si>
  <si>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</si>
  <si>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Thane</t>
  </si>
  <si>
    <t>Adityaraj Builders &amp; Promoters</t>
  </si>
  <si>
    <t>Adishakti Chs Adityaraj Prime</t>
  </si>
  <si>
    <t>Miss. Charudalta (9619888991)</t>
  </si>
  <si>
    <t>Adityaraj Prime</t>
  </si>
  <si>
    <t>P51800045695</t>
  </si>
  <si>
    <t>Name / No of the Existing Building</t>
  </si>
  <si>
    <t>CTS No</t>
  </si>
  <si>
    <t>Hariyali</t>
  </si>
  <si>
    <t>Kannamwar Nagar</t>
  </si>
  <si>
    <t>Vikhroli (East)</t>
  </si>
  <si>
    <t>https://goo.gl/maps/Wzg3Wo7ko5dJKHPR9</t>
  </si>
  <si>
    <t>Mumbai</t>
  </si>
  <si>
    <t>Kurla</t>
  </si>
  <si>
    <t>394 last busstop kannamwar nagar</t>
  </si>
  <si>
    <t>1.9KM from Vikhroli Railway Station</t>
  </si>
  <si>
    <t>Open Plot/ Uc Building</t>
  </si>
  <si>
    <t>As per RERA - 31/03/2026</t>
  </si>
  <si>
    <t>Asmita College</t>
  </si>
  <si>
    <t>Ground Floor For Commercial &amp; Society Office</t>
  </si>
  <si>
    <t>Shop</t>
  </si>
  <si>
    <t>Office</t>
  </si>
  <si>
    <t>1BHK</t>
  </si>
  <si>
    <t>2BHK</t>
  </si>
  <si>
    <t>7th &amp; 14th Floor (Part Refuge Area)</t>
  </si>
  <si>
    <t>Refuge Area</t>
  </si>
  <si>
    <t>We considered Gross carpet area = Net carpet + Balcony + Chajja Area.</t>
  </si>
  <si>
    <t>Flats</t>
  </si>
  <si>
    <t>Approved Plans, CC, Sale Plans, Cost Sheet</t>
  </si>
  <si>
    <t>Building No. 81/Adishakti CHS.</t>
  </si>
  <si>
    <t>Road No.1</t>
  </si>
  <si>
    <t>Bus Stop/Road No.1</t>
  </si>
  <si>
    <t>Maharashtra Housing and Area Development Authority. (MHADA)</t>
  </si>
  <si>
    <t>356 (Pt), Existing Building Name - Adishakti CHS &amp; No. 81</t>
  </si>
  <si>
    <t>Cost Sheet</t>
  </si>
  <si>
    <t>Sheet</t>
  </si>
  <si>
    <t>https://www.magicbricks.com/adishakti-chs-adityaraj-prime-vikhroli-east-mumbai-pdpid-4d4235333630353435</t>
  </si>
  <si>
    <t>Housing</t>
  </si>
  <si>
    <t>https://housing.com/in/buy/projects/page/282475-chs-adityaraj-prime-by-adityaraj-group-in-vikhroli-east</t>
  </si>
  <si>
    <t>https://www.magicbricks.com/shops-for-sale-in-vikhroli-east-mumbai-pppfs</t>
  </si>
  <si>
    <t>https://www.magicbricks.com/office-space-for-sale-in-kannamwar-nagar-mumbai-pppfs</t>
  </si>
  <si>
    <t xml:space="preserve">11000 to 11300 </t>
  </si>
  <si>
    <t xml:space="preserve">Sanket </t>
  </si>
  <si>
    <t>Verbal</t>
  </si>
  <si>
    <t>MHADA-9/1069/2023</t>
  </si>
  <si>
    <t>Gr + 1st to 22nd Floor</t>
  </si>
  <si>
    <t>1st Floor For Commercial  &amp; Residential</t>
  </si>
  <si>
    <t>2nd to 6th, 8th to 13th, 15th to 20th &amp; 22nd Floor</t>
  </si>
  <si>
    <t>21st Floor (Part Refuge Area &amp; Fitness Center)</t>
  </si>
  <si>
    <t>Fitness Center</t>
  </si>
  <si>
    <t>Flats - 143, Shops - 06, Offices - 03</t>
  </si>
  <si>
    <t xml:space="preserve">We have updated revised approved floor plan &amp; C.C (on 07/08/2023).
</t>
  </si>
  <si>
    <t>MH/EE/(BP)/GM/MHADA-9/1069/2023/FCC/2/Amend</t>
  </si>
  <si>
    <t>This C.C. is further extended upto top of 22nd floor i.e. building comprising of Ground (pt) + Stilt (pt) + 1st part for office and part for residential + 2nd to 22nd upper floors (including O.H.T + L.M.R.) along with parking tower as per approved amended plan dtd. 17.07.2023.</t>
  </si>
  <si>
    <t>We have updated latest CC (On 20/10/2023).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</si>
  <si>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</si>
  <si>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Mr Narshi Bhimane 9925485818</t>
  </si>
  <si>
    <t>Documents Provided</t>
  </si>
  <si>
    <t>Validity of CC is expired on 25/05/2024. Please provide latest approved CC.</t>
  </si>
  <si>
    <t>Construction work is in process at the time of Visit. Internal photographs was not allowed.</t>
  </si>
  <si>
    <t>Gaurav Panchal</t>
  </si>
  <si>
    <t>Mr. Akash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</si>
</sst>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00"/>
    <numFmt numFmtId="169" formatCode="dd\/mm\/yyyy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Times New Roman"/>
      <family val="1"/>
    </font>
    <font>
      <b/>
      <sz val="11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1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6" fillId="0" borderId="0" xfId="0" applyFont="1" applyProtection="1">
      <protection hidden="1"/>
    </xf>
    <xf numFmtId="0" fontId="14" fillId="0" borderId="1" xfId="1" applyFont="1" applyBorder="1" applyAlignment="1" applyProtection="1">
      <alignment horizontal="center" vertical="top"/>
      <protection locked="0"/>
    </xf>
    <xf numFmtId="0" fontId="16" fillId="0" borderId="11" xfId="0" applyFont="1" applyBorder="1" applyProtection="1"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4" fillId="0" borderId="0" xfId="1" applyFont="1"/>
    <xf numFmtId="0" fontId="11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2" fillId="0" borderId="0" xfId="1" applyFont="1"/>
    <xf numFmtId="0" fontId="7" fillId="0" borderId="10" xfId="1" applyFont="1" applyBorder="1"/>
    <xf numFmtId="0" fontId="16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5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3" fillId="2" borderId="30" xfId="0" applyFont="1" applyFill="1" applyBorder="1"/>
    <xf numFmtId="0" fontId="24" fillId="0" borderId="31" xfId="0" applyFont="1" applyBorder="1"/>
    <xf numFmtId="0" fontId="24" fillId="0" borderId="1" xfId="0" applyFont="1" applyBorder="1"/>
    <xf numFmtId="0" fontId="24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11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1" fontId="11" fillId="0" borderId="1" xfId="1" applyNumberFormat="1" applyFont="1" applyBorder="1" applyAlignment="1">
      <alignment horizontal="center" vertical="center"/>
    </xf>
    <xf numFmtId="0" fontId="23" fillId="0" borderId="30" xfId="0" applyFont="1" applyBorder="1"/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9" fontId="11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25" fillId="0" borderId="0" xfId="10" applyAlignment="1">
      <alignment horizontal="center" vertical="center"/>
    </xf>
    <xf numFmtId="0" fontId="25" fillId="0" borderId="0" xfId="10"/>
    <xf numFmtId="0" fontId="7" fillId="0" borderId="0" xfId="1" applyFont="1" applyAlignment="1">
      <alignment horizontal="right"/>
    </xf>
    <xf numFmtId="1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14" fontId="7" fillId="2" borderId="0" xfId="1" applyNumberFormat="1" applyFont="1" applyFill="1"/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21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2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11" fillId="0" borderId="17" xfId="8" applyFont="1" applyFill="1" applyBorder="1" applyAlignment="1" applyProtection="1">
      <alignment horizontal="center" vertical="center" wrapText="1"/>
      <protection locked="0"/>
    </xf>
    <xf numFmtId="9" fontId="11" fillId="0" borderId="18" xfId="8" applyFont="1" applyFill="1" applyBorder="1" applyAlignment="1" applyProtection="1">
      <alignment horizontal="center" vertical="center" wrapText="1"/>
      <protection locked="0"/>
    </xf>
    <xf numFmtId="9" fontId="11" fillId="0" borderId="25" xfId="8" applyFont="1" applyFill="1" applyBorder="1" applyAlignment="1" applyProtection="1">
      <alignment horizontal="center" vertical="center" wrapText="1"/>
      <protection locked="0"/>
    </xf>
    <xf numFmtId="9" fontId="11" fillId="0" borderId="26" xfId="8" applyFont="1" applyFill="1" applyBorder="1" applyAlignment="1" applyProtection="1">
      <alignment horizontal="center" vertical="center" wrapText="1"/>
      <protection locked="0"/>
    </xf>
    <xf numFmtId="9" fontId="11" fillId="0" borderId="28" xfId="8" applyFont="1" applyFill="1" applyBorder="1" applyAlignment="1" applyProtection="1">
      <alignment horizontal="center" vertical="center" wrapText="1"/>
      <protection locked="0"/>
    </xf>
    <xf numFmtId="9" fontId="11" fillId="0" borderId="29" xfId="8" applyFont="1" applyFill="1" applyBorder="1" applyAlignment="1" applyProtection="1">
      <alignment horizontal="center" vertical="center" wrapText="1"/>
      <protection locked="0"/>
    </xf>
    <xf numFmtId="9" fontId="11" fillId="0" borderId="27" xfId="8" applyFont="1" applyFill="1" applyBorder="1" applyAlignment="1" applyProtection="1">
      <alignment horizontal="center" vertical="center" wrapText="1"/>
      <protection locked="0"/>
    </xf>
    <xf numFmtId="9" fontId="11" fillId="0" borderId="10" xfId="8" applyFont="1" applyFill="1" applyBorder="1" applyAlignment="1" applyProtection="1">
      <alignment horizontal="center" vertical="center" wrapText="1"/>
      <protection locked="0"/>
    </xf>
    <xf numFmtId="9" fontId="11" fillId="0" borderId="12" xfId="8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1" fillId="0" borderId="1" xfId="1" applyNumberFormat="1" applyFont="1" applyBorder="1" applyAlignment="1" applyProtection="1">
      <alignment horizontal="left" vertical="top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/>
      <protection locked="0"/>
    </xf>
    <xf numFmtId="169" fontId="26" fillId="0" borderId="8" xfId="0" applyNumberFormat="1" applyFont="1" applyBorder="1" applyAlignment="1" applyProtection="1">
      <alignment horizontal="left" vertical="top"/>
      <protection locked="0"/>
    </xf>
    <xf numFmtId="169" fontId="26" fillId="0" borderId="21" xfId="0" applyNumberFormat="1" applyFont="1" applyBorder="1" applyAlignment="1" applyProtection="1">
      <alignment horizontal="left" vertical="top"/>
      <protection locked="0"/>
    </xf>
    <xf numFmtId="169" fontId="26" fillId="0" borderId="9" xfId="0" applyNumberFormat="1" applyFont="1" applyBorder="1" applyAlignment="1" applyProtection="1">
      <alignment horizontal="left" vertical="top"/>
      <protection locked="0"/>
    </xf>
    <xf numFmtId="0" fontId="27" fillId="0" borderId="8" xfId="0" applyFont="1" applyBorder="1" applyAlignment="1" applyProtection="1">
      <alignment horizontal="center" vertical="top" wrapText="1"/>
      <protection locked="0"/>
    </xf>
    <xf numFmtId="0" fontId="27" fillId="0" borderId="21" xfId="0" applyFont="1" applyBorder="1" applyAlignment="1" applyProtection="1">
      <alignment horizontal="center" vertical="top" wrapText="1"/>
      <protection locked="0"/>
    </xf>
    <xf numFmtId="0" fontId="27" fillId="0" borderId="9" xfId="0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14" fontId="11" fillId="0" borderId="8" xfId="1" applyNumberFormat="1" applyFont="1" applyBorder="1" applyAlignment="1" applyProtection="1">
      <alignment horizontal="left" vertical="top" wrapText="1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247</xdr:row>
      <xdr:rowOff>19050</xdr:rowOff>
    </xdr:from>
    <xdr:to>
      <xdr:col>7</xdr:col>
      <xdr:colOff>137232</xdr:colOff>
      <xdr:row>270</xdr:row>
      <xdr:rowOff>98476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44796075"/>
          <a:ext cx="5556957" cy="4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6</xdr:col>
      <xdr:colOff>304800</xdr:colOff>
      <xdr:row>268</xdr:row>
      <xdr:rowOff>123825</xdr:rowOff>
    </xdr:from>
    <xdr:to>
      <xdr:col>6</xdr:col>
      <xdr:colOff>781051</xdr:colOff>
      <xdr:row>268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 flipH="1">
          <a:off x="5581650" y="49101375"/>
          <a:ext cx="476251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267</xdr:row>
      <xdr:rowOff>38100</xdr:rowOff>
    </xdr:from>
    <xdr:to>
      <xdr:col>7</xdr:col>
      <xdr:colOff>781050</xdr:colOff>
      <xdr:row>270</xdr:row>
      <xdr:rowOff>142875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5229225" y="48815625"/>
          <a:ext cx="1666875" cy="704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002060"/>
              </a:solidFill>
            </a:rPr>
            <a:t>N</a:t>
          </a:r>
        </a:p>
      </xdr:txBody>
    </xdr:sp>
    <xdr:clientData/>
  </xdr:twoCellAnchor>
  <xdr:twoCellAnchor editAs="oneCell">
    <xdr:from>
      <xdr:col>0</xdr:col>
      <xdr:colOff>762000</xdr:colOff>
      <xdr:row>291</xdr:row>
      <xdr:rowOff>0</xdr:rowOff>
    </xdr:from>
    <xdr:to>
      <xdr:col>7</xdr:col>
      <xdr:colOff>200532</xdr:colOff>
      <xdr:row>309</xdr:row>
      <xdr:rowOff>417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53578125"/>
          <a:ext cx="555358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309</xdr:row>
      <xdr:rowOff>177923</xdr:rowOff>
    </xdr:from>
    <xdr:to>
      <xdr:col>7</xdr:col>
      <xdr:colOff>200532</xdr:colOff>
      <xdr:row>327</xdr:row>
      <xdr:rowOff>177472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53457309"/>
          <a:ext cx="5127555" cy="35844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590551</xdr:colOff>
      <xdr:row>316</xdr:row>
      <xdr:rowOff>164523</xdr:rowOff>
    </xdr:from>
    <xdr:to>
      <xdr:col>3</xdr:col>
      <xdr:colOff>933451</xdr:colOff>
      <xdr:row>319</xdr:row>
      <xdr:rowOff>190500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997778" y="57037432"/>
          <a:ext cx="342900" cy="62345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285750</xdr:colOff>
      <xdr:row>316</xdr:row>
      <xdr:rowOff>51954</xdr:rowOff>
    </xdr:from>
    <xdr:to>
      <xdr:col>5</xdr:col>
      <xdr:colOff>640773</xdr:colOff>
      <xdr:row>317</xdr:row>
      <xdr:rowOff>77931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636818" y="54725454"/>
          <a:ext cx="1134341" cy="225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Adityaraj Prime</a:t>
          </a:r>
        </a:p>
      </xdr:txBody>
    </xdr:sp>
    <xdr:clientData/>
  </xdr:twoCellAnchor>
  <xdr:twoCellAnchor>
    <xdr:from>
      <xdr:col>3</xdr:col>
      <xdr:colOff>935182</xdr:colOff>
      <xdr:row>317</xdr:row>
      <xdr:rowOff>51954</xdr:rowOff>
    </xdr:from>
    <xdr:to>
      <xdr:col>4</xdr:col>
      <xdr:colOff>484909</xdr:colOff>
      <xdr:row>318</xdr:row>
      <xdr:rowOff>138545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CxnSpPr/>
      </xdr:nvCxnSpPr>
      <xdr:spPr>
        <a:xfrm flipH="1">
          <a:off x="3342409" y="54924613"/>
          <a:ext cx="493568" cy="2857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527050</xdr:colOff>
      <xdr:row>69</xdr:row>
      <xdr:rowOff>184150</xdr:rowOff>
    </xdr:from>
    <xdr:to>
      <xdr:col>15</xdr:col>
      <xdr:colOff>37650</xdr:colOff>
      <xdr:row>74</xdr:row>
      <xdr:rowOff>20720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1650" y="16459200"/>
          <a:ext cx="3600000" cy="12208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815340</xdr:colOff>
      <xdr:row>221</xdr:row>
      <xdr:rowOff>81349</xdr:rowOff>
    </xdr:from>
    <xdr:to>
      <xdr:col>10</xdr:col>
      <xdr:colOff>31254</xdr:colOff>
      <xdr:row>231</xdr:row>
      <xdr:rowOff>168662</xdr:rowOff>
    </xdr:to>
    <xdr:pic>
      <xdr:nvPicPr>
        <xdr:cNvPr id="34" name="Picture 33" descr="https://vsjcllp.vsjadon.com/upload/insp-214145-849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9965" y="40362574"/>
          <a:ext cx="1139964" cy="208756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204</xdr:row>
      <xdr:rowOff>180975</xdr:rowOff>
    </xdr:from>
    <xdr:to>
      <xdr:col>7</xdr:col>
      <xdr:colOff>624662</xdr:colOff>
      <xdr:row>241</xdr:row>
      <xdr:rowOff>143240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xmlns="" id="{552A2028-493C-4F17-AC7A-3F4B4785ABFE}"/>
            </a:ext>
          </a:extLst>
        </xdr:cNvPr>
        <xdr:cNvGrpSpPr/>
      </xdr:nvGrpSpPr>
      <xdr:grpSpPr>
        <a:xfrm>
          <a:off x="247650" y="37271325"/>
          <a:ext cx="6072962" cy="7353665"/>
          <a:chOff x="363070" y="277661"/>
          <a:chExt cx="6072962" cy="7353665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xmlns="" id="{0A934013-2DCA-4D3E-8739-6FAFBE38DA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277661"/>
            <a:ext cx="3007032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xmlns="" id="{4E3768CF-7218-4FE3-8D87-3E3CDA99D6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3070" y="277661"/>
            <a:ext cx="2878236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xmlns="" id="{039F076D-CA71-4CC5-9C93-7EF322B89B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3070" y="3693458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xmlns="" id="{424BBF67-C2AD-4D40-A8BB-25E37A6AD8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3450" y="3693458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xmlns="" id="{65BEEEAC-A312-4CCA-8C89-CDBF1E7DDE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6456" y="5831326"/>
            <a:ext cx="135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xmlns="" id="{AB8E8C5D-DBD9-4C8D-B3C2-1E1B8F4541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3831" y="3693458"/>
            <a:ext cx="2852201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xmlns="" id="{9A89ABB4-B461-4790-A1CD-60195A9600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19646" y="5831326"/>
            <a:ext cx="32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housing.com/in/buy/projects/page/282475-chs-adityaraj-prime-by-adityaraj-group-in-vikhroli-eas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magicbricks.com/adishakti-chs-adityaraj-prime-vikhroli-east-mumbai-pdpid-4d4235333630353435" TargetMode="External"/><Relationship Id="rId1" Type="http://schemas.openxmlformats.org/officeDocument/2006/relationships/hyperlink" Target="https://goo.gl/maps/Wzg3Wo7ko5dJKHPR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agicbricks.com/office-space-for-sale-in-kannamwar-nagar-mumbai-pppfs" TargetMode="External"/><Relationship Id="rId4" Type="http://schemas.openxmlformats.org/officeDocument/2006/relationships/hyperlink" Target="https://www.magicbricks.com/shops-for-sale-in-vikhroli-east-mumbai-pppf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89"/>
  <sheetViews>
    <sheetView tabSelected="1" view="pageBreakPreview" zoomScaleNormal="100" zoomScaleSheetLayoutView="100" workbookViewId="0">
      <selection activeCell="L4" sqref="L4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1.85546875" style="21" bestFit="1" customWidth="1"/>
    <col min="12" max="12" width="12.5703125" style="21" bestFit="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70" t="s">
        <v>235</v>
      </c>
      <c r="B1" s="171"/>
      <c r="C1" s="171"/>
      <c r="D1" s="171"/>
      <c r="E1" s="171"/>
      <c r="F1" s="171"/>
      <c r="G1" s="171"/>
      <c r="H1" s="172"/>
    </row>
    <row r="2" spans="1:12" ht="16.5" customHeight="1" x14ac:dyDescent="0.25">
      <c r="A2" s="160" t="s">
        <v>0</v>
      </c>
      <c r="B2" s="160"/>
      <c r="C2" s="160"/>
      <c r="D2" s="160"/>
      <c r="E2" s="160"/>
      <c r="F2" s="160"/>
      <c r="G2" s="160"/>
      <c r="H2" s="160"/>
    </row>
    <row r="3" spans="1:12" x14ac:dyDescent="0.25">
      <c r="A3" s="159" t="s">
        <v>1</v>
      </c>
      <c r="B3" s="159"/>
      <c r="C3" s="159"/>
      <c r="D3" s="159"/>
      <c r="E3" s="159" t="str">
        <f ca="1">TEXT(TODAY(),"DD/MM/YYYY")</f>
        <v>11/07/2025</v>
      </c>
      <c r="F3" s="159"/>
      <c r="G3" s="159"/>
      <c r="H3" s="159"/>
    </row>
    <row r="4" spans="1:12" ht="15" customHeight="1" x14ac:dyDescent="0.25">
      <c r="A4" s="159" t="s">
        <v>2</v>
      </c>
      <c r="B4" s="159"/>
      <c r="C4" s="159"/>
      <c r="D4" s="159"/>
      <c r="E4" s="159" t="s">
        <v>180</v>
      </c>
      <c r="F4" s="159"/>
      <c r="G4" s="159"/>
      <c r="H4" s="159"/>
    </row>
    <row r="5" spans="1:12" x14ac:dyDescent="0.25">
      <c r="A5" s="159" t="s">
        <v>3</v>
      </c>
      <c r="B5" s="159"/>
      <c r="C5" s="159"/>
      <c r="D5" s="159"/>
      <c r="E5" s="167">
        <v>45848</v>
      </c>
      <c r="F5" s="168"/>
      <c r="G5" s="168"/>
      <c r="H5" s="169"/>
    </row>
    <row r="6" spans="1:12" ht="16.5" customHeight="1" x14ac:dyDescent="0.25">
      <c r="A6" s="159" t="s">
        <v>4</v>
      </c>
      <c r="B6" s="159"/>
      <c r="C6" s="159"/>
      <c r="D6" s="159"/>
      <c r="E6" s="159" t="s">
        <v>181</v>
      </c>
      <c r="F6" s="159"/>
      <c r="G6" s="159"/>
      <c r="H6" s="159"/>
    </row>
    <row r="7" spans="1:12" ht="15" customHeight="1" x14ac:dyDescent="0.25">
      <c r="A7" s="159" t="s">
        <v>5</v>
      </c>
      <c r="B7" s="159"/>
      <c r="C7" s="159"/>
      <c r="D7" s="159"/>
      <c r="E7" s="159" t="str">
        <f>E6</f>
        <v>Adityaraj Builders &amp; Promoters</v>
      </c>
      <c r="F7" s="159"/>
      <c r="G7" s="159"/>
      <c r="H7" s="159"/>
    </row>
    <row r="8" spans="1:12" x14ac:dyDescent="0.25">
      <c r="A8" s="159" t="s">
        <v>6</v>
      </c>
      <c r="B8" s="159"/>
      <c r="C8" s="159"/>
      <c r="D8" s="159"/>
      <c r="E8" s="113" t="s">
        <v>182</v>
      </c>
      <c r="F8" s="113"/>
      <c r="G8" s="113"/>
      <c r="H8" s="113"/>
    </row>
    <row r="9" spans="1:12" x14ac:dyDescent="0.25">
      <c r="A9" s="159" t="s">
        <v>176</v>
      </c>
      <c r="B9" s="159"/>
      <c r="C9" s="159"/>
      <c r="D9" s="159"/>
      <c r="E9" s="159" t="s">
        <v>183</v>
      </c>
      <c r="F9" s="159"/>
      <c r="G9" s="159"/>
      <c r="H9" s="159"/>
    </row>
    <row r="10" spans="1:12" x14ac:dyDescent="0.25">
      <c r="A10" s="159" t="s">
        <v>177</v>
      </c>
      <c r="B10" s="159"/>
      <c r="C10" s="159"/>
      <c r="D10" s="159"/>
      <c r="E10" s="159" t="s">
        <v>236</v>
      </c>
      <c r="F10" s="159"/>
      <c r="G10" s="159"/>
      <c r="H10" s="159"/>
      <c r="I10" s="159" t="s">
        <v>236</v>
      </c>
      <c r="J10" s="159"/>
      <c r="K10" s="159"/>
      <c r="L10" s="159"/>
    </row>
    <row r="11" spans="1:12" x14ac:dyDescent="0.25">
      <c r="A11" s="159" t="s">
        <v>7</v>
      </c>
      <c r="B11" s="159"/>
      <c r="C11" s="159"/>
      <c r="D11" s="159"/>
      <c r="E11" s="159" t="s">
        <v>184</v>
      </c>
      <c r="F11" s="159"/>
      <c r="G11" s="159"/>
      <c r="H11" s="159"/>
    </row>
    <row r="12" spans="1:12" x14ac:dyDescent="0.25">
      <c r="A12" s="159" t="s">
        <v>186</v>
      </c>
      <c r="B12" s="159"/>
      <c r="C12" s="159"/>
      <c r="D12" s="159"/>
      <c r="E12" s="159" t="s">
        <v>209</v>
      </c>
      <c r="F12" s="159"/>
      <c r="G12" s="159"/>
      <c r="H12" s="159"/>
    </row>
    <row r="13" spans="1:12" x14ac:dyDescent="0.25">
      <c r="A13" s="159" t="s">
        <v>237</v>
      </c>
      <c r="B13" s="159"/>
      <c r="C13" s="159"/>
      <c r="D13" s="159"/>
      <c r="E13" s="91" t="s">
        <v>208</v>
      </c>
      <c r="F13" s="91"/>
      <c r="G13" s="91"/>
      <c r="H13" s="91"/>
    </row>
    <row r="14" spans="1:12" x14ac:dyDescent="0.25">
      <c r="A14" s="159" t="s">
        <v>8</v>
      </c>
      <c r="B14" s="159"/>
      <c r="C14" s="159"/>
      <c r="D14" s="159"/>
      <c r="E14" s="91" t="s">
        <v>185</v>
      </c>
      <c r="F14" s="159"/>
      <c r="G14" s="159"/>
      <c r="H14" s="159"/>
    </row>
    <row r="15" spans="1:12" ht="48.75" customHeight="1" x14ac:dyDescent="0.25">
      <c r="A15" s="91" t="s">
        <v>9</v>
      </c>
      <c r="B15" s="91"/>
      <c r="C15" s="9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Adishakti Chs Adityaraj Prime, CTS No.356 (Pt), Existing Building Name - Adishakti CHS &amp; No. 81, near 394 last busstop kannamwar nagar, Road No.1, Kannamwar Nagar, Hariyali, Vikhroli (East), Kurla, Mumbai - 400083.</v>
      </c>
      <c r="D15" s="91"/>
      <c r="E15" s="91"/>
      <c r="F15" s="91"/>
      <c r="G15" s="91"/>
      <c r="H15" s="91"/>
    </row>
    <row r="16" spans="1:12" x14ac:dyDescent="0.25">
      <c r="A16" s="91" t="s">
        <v>187</v>
      </c>
      <c r="B16" s="91"/>
      <c r="C16" s="91" t="s">
        <v>213</v>
      </c>
      <c r="D16" s="91"/>
      <c r="E16" s="91"/>
      <c r="F16" s="91"/>
      <c r="G16" s="91"/>
      <c r="H16" s="91"/>
    </row>
    <row r="17" spans="1:8" ht="15.75" customHeight="1" x14ac:dyDescent="0.25">
      <c r="A17" s="91" t="s">
        <v>175</v>
      </c>
      <c r="B17" s="91"/>
      <c r="C17" s="91" t="s">
        <v>189</v>
      </c>
      <c r="D17" s="91"/>
      <c r="E17" s="91"/>
      <c r="F17" s="91"/>
      <c r="G17" s="91"/>
      <c r="H17" s="91"/>
    </row>
    <row r="18" spans="1:8" ht="15.75" customHeight="1" x14ac:dyDescent="0.25">
      <c r="A18" s="91" t="s">
        <v>10</v>
      </c>
      <c r="B18" s="91"/>
      <c r="C18" s="159" t="s">
        <v>210</v>
      </c>
      <c r="D18" s="159"/>
      <c r="E18" s="91" t="s">
        <v>76</v>
      </c>
      <c r="F18" s="91"/>
      <c r="G18" s="91" t="s">
        <v>188</v>
      </c>
      <c r="H18" s="91"/>
    </row>
    <row r="19" spans="1:8" x14ac:dyDescent="0.25">
      <c r="A19" s="159" t="s">
        <v>12</v>
      </c>
      <c r="B19" s="159"/>
      <c r="C19" s="91" t="s">
        <v>190</v>
      </c>
      <c r="D19" s="91"/>
      <c r="E19" s="91" t="s">
        <v>11</v>
      </c>
      <c r="F19" s="91"/>
      <c r="G19" s="166" t="s">
        <v>192</v>
      </c>
      <c r="H19" s="166"/>
    </row>
    <row r="20" spans="1:8" x14ac:dyDescent="0.25">
      <c r="A20" s="159" t="s">
        <v>77</v>
      </c>
      <c r="B20" s="159"/>
      <c r="C20" s="91" t="s">
        <v>193</v>
      </c>
      <c r="D20" s="91"/>
      <c r="E20" s="91" t="s">
        <v>13</v>
      </c>
      <c r="F20" s="91"/>
      <c r="G20" s="91">
        <v>400083</v>
      </c>
      <c r="H20" s="91"/>
    </row>
    <row r="21" spans="1:8" ht="32.25" customHeight="1" x14ac:dyDescent="0.25">
      <c r="A21" s="159" t="s">
        <v>130</v>
      </c>
      <c r="B21" s="159"/>
      <c r="C21" s="91" t="s">
        <v>194</v>
      </c>
      <c r="D21" s="91"/>
      <c r="E21" s="91" t="s">
        <v>14</v>
      </c>
      <c r="F21" s="91"/>
      <c r="G21" s="91" t="s">
        <v>195</v>
      </c>
      <c r="H21" s="91"/>
    </row>
    <row r="22" spans="1:8" ht="15" customHeight="1" x14ac:dyDescent="0.25">
      <c r="A22" s="144" t="s">
        <v>80</v>
      </c>
      <c r="B22" s="144"/>
      <c r="C22" s="144"/>
      <c r="D22" s="144"/>
      <c r="E22" s="159" t="s">
        <v>15</v>
      </c>
      <c r="F22" s="159"/>
      <c r="G22" s="159"/>
      <c r="H22" s="159"/>
    </row>
    <row r="23" spans="1:8" ht="18.75" customHeight="1" x14ac:dyDescent="0.25">
      <c r="A23" s="144"/>
      <c r="B23" s="144"/>
      <c r="C23" s="144"/>
      <c r="D23" s="144"/>
      <c r="E23" s="159"/>
      <c r="F23" s="159"/>
      <c r="G23" s="159"/>
      <c r="H23" s="159"/>
    </row>
    <row r="24" spans="1:8" ht="15" customHeight="1" x14ac:dyDescent="0.25">
      <c r="A24" s="144" t="s">
        <v>16</v>
      </c>
      <c r="B24" s="144"/>
      <c r="C24" s="144"/>
      <c r="D24" s="144"/>
      <c r="E24" s="91" t="s">
        <v>17</v>
      </c>
      <c r="F24" s="91"/>
      <c r="G24" s="91"/>
      <c r="H24" s="91"/>
    </row>
    <row r="25" spans="1:8" ht="15" customHeight="1" x14ac:dyDescent="0.25">
      <c r="A25" s="105" t="s">
        <v>18</v>
      </c>
      <c r="B25" s="105"/>
      <c r="C25" s="105"/>
      <c r="D25" s="105"/>
      <c r="E25" s="91" t="str">
        <f>IF(AND(G19="Mumbai"),"Upper Class","Middle Class")</f>
        <v>Upper Class</v>
      </c>
      <c r="F25" s="91"/>
      <c r="G25" s="91"/>
      <c r="H25" s="91"/>
    </row>
    <row r="26" spans="1:8" x14ac:dyDescent="0.25">
      <c r="A26" s="105" t="s">
        <v>19</v>
      </c>
      <c r="B26" s="105"/>
      <c r="C26" s="105"/>
      <c r="D26" s="105"/>
      <c r="E26" s="91" t="s">
        <v>20</v>
      </c>
      <c r="F26" s="91"/>
      <c r="G26" s="91"/>
      <c r="H26" s="91"/>
    </row>
    <row r="27" spans="1:8" ht="15.75" customHeight="1" x14ac:dyDescent="0.25">
      <c r="A27" s="105" t="s">
        <v>21</v>
      </c>
      <c r="B27" s="105"/>
      <c r="C27" s="105"/>
      <c r="D27" s="105"/>
      <c r="E27" s="91" t="str">
        <f>IF(AND(G19="Mumbai"),"Developed","Developing")</f>
        <v>Developed</v>
      </c>
      <c r="F27" s="91"/>
      <c r="G27" s="91"/>
      <c r="H27" s="91"/>
    </row>
    <row r="28" spans="1:8" x14ac:dyDescent="0.25">
      <c r="A28" s="105" t="s">
        <v>22</v>
      </c>
      <c r="B28" s="105"/>
      <c r="C28" s="105"/>
      <c r="D28" s="105"/>
      <c r="E28" s="91" t="s">
        <v>23</v>
      </c>
      <c r="F28" s="91"/>
      <c r="G28" s="91"/>
      <c r="H28" s="91"/>
    </row>
    <row r="29" spans="1:8" ht="15.75" customHeight="1" x14ac:dyDescent="0.25">
      <c r="A29" s="105" t="s">
        <v>85</v>
      </c>
      <c r="B29" s="105"/>
      <c r="C29" s="105"/>
      <c r="D29" s="105"/>
      <c r="E29" s="91" t="s">
        <v>86</v>
      </c>
      <c r="F29" s="91"/>
      <c r="G29" s="91"/>
      <c r="H29" s="91"/>
    </row>
    <row r="30" spans="1:8" ht="15" customHeight="1" x14ac:dyDescent="0.25">
      <c r="A30" s="105" t="s">
        <v>34</v>
      </c>
      <c r="B30" s="105"/>
      <c r="C30" s="105"/>
      <c r="D30" s="105"/>
      <c r="E30" s="91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1"/>
      <c r="G30" s="91"/>
      <c r="H30" s="91"/>
    </row>
    <row r="31" spans="1:8" ht="15.75" customHeight="1" x14ac:dyDescent="0.25">
      <c r="A31" s="105" t="s">
        <v>97</v>
      </c>
      <c r="B31" s="105"/>
      <c r="C31" s="105"/>
      <c r="D31" s="105"/>
      <c r="E31" s="91" t="s">
        <v>35</v>
      </c>
      <c r="F31" s="91"/>
      <c r="G31" s="91"/>
      <c r="H31" s="91"/>
    </row>
    <row r="32" spans="1:8" s="22" customFormat="1" x14ac:dyDescent="0.25">
      <c r="A32" s="165" t="s">
        <v>98</v>
      </c>
      <c r="B32" s="165"/>
      <c r="C32" s="163" t="s">
        <v>28</v>
      </c>
      <c r="D32" s="163"/>
      <c r="E32" s="163"/>
      <c r="F32" s="163" t="s">
        <v>30</v>
      </c>
      <c r="G32" s="163"/>
      <c r="H32" s="163"/>
    </row>
    <row r="33" spans="1:8" s="22" customFormat="1" x14ac:dyDescent="0.25">
      <c r="A33" s="164" t="s">
        <v>24</v>
      </c>
      <c r="B33" s="164" t="s">
        <v>29</v>
      </c>
      <c r="C33" s="142" t="s">
        <v>29</v>
      </c>
      <c r="D33" s="142"/>
      <c r="E33" s="142"/>
      <c r="F33" s="142" t="s">
        <v>196</v>
      </c>
      <c r="G33" s="142"/>
      <c r="H33" s="142"/>
    </row>
    <row r="34" spans="1:8" x14ac:dyDescent="0.25">
      <c r="A34" s="164" t="s">
        <v>25</v>
      </c>
      <c r="B34" s="164" t="s">
        <v>29</v>
      </c>
      <c r="C34" s="142" t="s">
        <v>29</v>
      </c>
      <c r="D34" s="142"/>
      <c r="E34" s="142"/>
      <c r="F34" s="142" t="s">
        <v>211</v>
      </c>
      <c r="G34" s="142"/>
      <c r="H34" s="142"/>
    </row>
    <row r="35" spans="1:8" s="22" customFormat="1" x14ac:dyDescent="0.25">
      <c r="A35" s="164" t="s">
        <v>27</v>
      </c>
      <c r="B35" s="164" t="s">
        <v>29</v>
      </c>
      <c r="C35" s="142" t="s">
        <v>29</v>
      </c>
      <c r="D35" s="142"/>
      <c r="E35" s="142"/>
      <c r="F35" s="142" t="s">
        <v>210</v>
      </c>
      <c r="G35" s="142"/>
      <c r="H35" s="142"/>
    </row>
    <row r="36" spans="1:8" x14ac:dyDescent="0.25">
      <c r="A36" s="164" t="s">
        <v>26</v>
      </c>
      <c r="B36" s="164" t="s">
        <v>29</v>
      </c>
      <c r="C36" s="142" t="s">
        <v>29</v>
      </c>
      <c r="D36" s="142"/>
      <c r="E36" s="142"/>
      <c r="F36" s="142" t="s">
        <v>198</v>
      </c>
      <c r="G36" s="142"/>
      <c r="H36" s="142"/>
    </row>
    <row r="37" spans="1:8" x14ac:dyDescent="0.25">
      <c r="A37" s="105" t="s">
        <v>31</v>
      </c>
      <c r="B37" s="105"/>
      <c r="C37" s="105"/>
      <c r="D37" s="105"/>
      <c r="E37" s="105"/>
      <c r="F37" s="105"/>
      <c r="G37" s="105"/>
      <c r="H37" s="105"/>
    </row>
    <row r="38" spans="1:8" ht="15.75" customHeight="1" x14ac:dyDescent="0.25">
      <c r="A38" s="160" t="s">
        <v>32</v>
      </c>
      <c r="B38" s="160"/>
      <c r="C38" s="161">
        <v>19.120436999999999</v>
      </c>
      <c r="D38" s="161"/>
      <c r="E38" s="160" t="s">
        <v>33</v>
      </c>
      <c r="F38" s="160"/>
      <c r="G38" s="162">
        <v>72.938622300000006</v>
      </c>
      <c r="H38" s="162"/>
    </row>
    <row r="39" spans="1:8" x14ac:dyDescent="0.25">
      <c r="A39" s="160" t="s">
        <v>174</v>
      </c>
      <c r="B39" s="160"/>
      <c r="C39" s="90" t="s">
        <v>191</v>
      </c>
      <c r="D39" s="91"/>
      <c r="E39" s="91"/>
      <c r="F39" s="91"/>
      <c r="G39" s="91"/>
      <c r="H39" s="91"/>
    </row>
    <row r="40" spans="1:8" x14ac:dyDescent="0.25">
      <c r="A40" s="143" t="s">
        <v>36</v>
      </c>
      <c r="B40" s="143"/>
      <c r="C40" s="143"/>
      <c r="D40" s="143"/>
      <c r="E40" s="143"/>
      <c r="F40" s="143"/>
      <c r="G40" s="143"/>
      <c r="H40" s="143"/>
    </row>
    <row r="41" spans="1:8" x14ac:dyDescent="0.25">
      <c r="A41" s="105" t="s">
        <v>37</v>
      </c>
      <c r="B41" s="105"/>
      <c r="C41" s="105"/>
      <c r="D41" s="105"/>
      <c r="E41" s="141">
        <v>1026.94</v>
      </c>
      <c r="F41" s="141"/>
      <c r="G41" s="141"/>
      <c r="H41" s="141"/>
    </row>
    <row r="42" spans="1:8" x14ac:dyDescent="0.25">
      <c r="A42" s="105" t="s">
        <v>38</v>
      </c>
      <c r="B42" s="105"/>
      <c r="C42" s="105"/>
      <c r="D42" s="105"/>
      <c r="E42" s="157">
        <v>3</v>
      </c>
      <c r="F42" s="157"/>
      <c r="G42" s="157"/>
      <c r="H42" s="157"/>
    </row>
    <row r="43" spans="1:8" x14ac:dyDescent="0.25">
      <c r="A43" s="105" t="s">
        <v>39</v>
      </c>
      <c r="B43" s="105"/>
      <c r="C43" s="105"/>
      <c r="D43" s="105"/>
      <c r="E43" s="157">
        <f>E45/E41-E42</f>
        <v>2.1685395446666789</v>
      </c>
      <c r="F43" s="157"/>
      <c r="G43" s="157"/>
      <c r="H43" s="157"/>
    </row>
    <row r="44" spans="1:8" x14ac:dyDescent="0.25">
      <c r="A44" s="105" t="s">
        <v>40</v>
      </c>
      <c r="B44" s="105"/>
      <c r="C44" s="105"/>
      <c r="D44" s="105"/>
      <c r="E44" s="157">
        <f>E42+E43</f>
        <v>5.1685395446666789</v>
      </c>
      <c r="F44" s="157"/>
      <c r="G44" s="157"/>
      <c r="H44" s="157"/>
    </row>
    <row r="45" spans="1:8" x14ac:dyDescent="0.25">
      <c r="A45" s="105" t="s">
        <v>96</v>
      </c>
      <c r="B45" s="105"/>
      <c r="C45" s="105"/>
      <c r="D45" s="105"/>
      <c r="E45" s="158">
        <v>5307.78</v>
      </c>
      <c r="F45" s="158"/>
      <c r="G45" s="158"/>
      <c r="H45" s="158"/>
    </row>
    <row r="46" spans="1:8" x14ac:dyDescent="0.25">
      <c r="A46" s="159" t="s">
        <v>41</v>
      </c>
      <c r="B46" s="159"/>
      <c r="C46" s="159"/>
      <c r="D46" s="159"/>
      <c r="E46" s="159" t="s">
        <v>128</v>
      </c>
      <c r="F46" s="159"/>
      <c r="G46" s="159"/>
      <c r="H46" s="159"/>
    </row>
    <row r="47" spans="1:8" x14ac:dyDescent="0.25">
      <c r="A47" s="143" t="s">
        <v>42</v>
      </c>
      <c r="B47" s="143"/>
      <c r="C47" s="143"/>
      <c r="D47" s="143"/>
      <c r="E47" s="143"/>
      <c r="F47" s="143"/>
      <c r="G47" s="143"/>
      <c r="H47" s="143"/>
    </row>
    <row r="48" spans="1:8" ht="33.75" customHeight="1" x14ac:dyDescent="0.25">
      <c r="A48" s="92" t="s">
        <v>161</v>
      </c>
      <c r="B48" s="93"/>
      <c r="C48" s="94" t="s">
        <v>212</v>
      </c>
      <c r="D48" s="95"/>
      <c r="E48" s="95"/>
      <c r="F48" s="95"/>
      <c r="G48" s="95"/>
      <c r="H48" s="96"/>
    </row>
    <row r="49" spans="1:14" ht="15.75" customHeight="1" x14ac:dyDescent="0.25">
      <c r="A49" s="92" t="s">
        <v>43</v>
      </c>
      <c r="B49" s="93"/>
      <c r="C49" s="92" t="s">
        <v>224</v>
      </c>
      <c r="D49" s="204"/>
      <c r="E49" s="93"/>
      <c r="F49" s="55" t="s">
        <v>44</v>
      </c>
      <c r="G49" s="178">
        <v>45124</v>
      </c>
      <c r="H49" s="93"/>
    </row>
    <row r="50" spans="1:14" x14ac:dyDescent="0.25">
      <c r="A50" s="92" t="s">
        <v>45</v>
      </c>
      <c r="B50" s="93"/>
      <c r="C50" s="92" t="str">
        <f>C49</f>
        <v>MHADA-9/1069/2023</v>
      </c>
      <c r="D50" s="204"/>
      <c r="E50" s="93"/>
      <c r="F50" s="55" t="s">
        <v>44</v>
      </c>
      <c r="G50" s="178">
        <f>G49</f>
        <v>45124</v>
      </c>
      <c r="H50" s="93"/>
    </row>
    <row r="51" spans="1:14" s="23" customFormat="1" ht="30" customHeight="1" x14ac:dyDescent="0.25">
      <c r="A51" s="175" t="s">
        <v>165</v>
      </c>
      <c r="B51" s="177"/>
      <c r="C51" s="92" t="s">
        <v>232</v>
      </c>
      <c r="D51" s="204"/>
      <c r="E51" s="93"/>
      <c r="F51" s="55" t="s">
        <v>44</v>
      </c>
      <c r="G51" s="178">
        <v>45215</v>
      </c>
      <c r="H51" s="93"/>
    </row>
    <row r="52" spans="1:14" s="23" customFormat="1" ht="111" customHeight="1" x14ac:dyDescent="0.25">
      <c r="A52" s="179"/>
      <c r="B52" s="180"/>
      <c r="C52" s="92" t="s">
        <v>233</v>
      </c>
      <c r="D52" s="204"/>
      <c r="E52" s="93"/>
      <c r="F52" s="55" t="s">
        <v>129</v>
      </c>
      <c r="G52" s="178">
        <v>45437</v>
      </c>
      <c r="H52" s="93"/>
    </row>
    <row r="53" spans="1:14" x14ac:dyDescent="0.25">
      <c r="A53" s="209" t="s">
        <v>46</v>
      </c>
      <c r="B53" s="210"/>
      <c r="C53" s="209" t="s">
        <v>110</v>
      </c>
      <c r="D53" s="211"/>
      <c r="E53" s="210"/>
      <c r="F53" s="56" t="s">
        <v>44</v>
      </c>
      <c r="G53" s="94" t="s">
        <v>29</v>
      </c>
      <c r="H53" s="96"/>
    </row>
    <row r="54" spans="1:14" x14ac:dyDescent="0.25">
      <c r="A54" s="195" t="s">
        <v>48</v>
      </c>
      <c r="B54" s="195"/>
      <c r="C54" s="195"/>
      <c r="D54" s="195"/>
      <c r="E54" s="195"/>
      <c r="F54" s="195"/>
      <c r="G54" s="195"/>
      <c r="H54" s="195"/>
    </row>
    <row r="55" spans="1:14" x14ac:dyDescent="0.25">
      <c r="A55" s="144" t="s">
        <v>95</v>
      </c>
      <c r="B55" s="144"/>
      <c r="C55" s="144"/>
      <c r="D55" s="105">
        <f>E45</f>
        <v>5307.78</v>
      </c>
      <c r="E55" s="105"/>
      <c r="F55" s="105"/>
      <c r="G55" s="105"/>
      <c r="H55" s="105"/>
    </row>
    <row r="56" spans="1:14" x14ac:dyDescent="0.25">
      <c r="A56" s="91" t="s">
        <v>49</v>
      </c>
      <c r="B56" s="159"/>
      <c r="C56" s="159"/>
      <c r="D56" s="159" t="s">
        <v>230</v>
      </c>
      <c r="E56" s="159"/>
      <c r="F56" s="159"/>
      <c r="G56" s="159"/>
      <c r="H56" s="159"/>
      <c r="I56" s="24"/>
    </row>
    <row r="57" spans="1:14" x14ac:dyDescent="0.25">
      <c r="A57" s="175" t="s">
        <v>50</v>
      </c>
      <c r="B57" s="176"/>
      <c r="C57" s="177"/>
      <c r="D57" s="173" t="s">
        <v>225</v>
      </c>
      <c r="E57" s="174"/>
      <c r="F57" s="174"/>
      <c r="G57" s="174"/>
      <c r="H57" s="174"/>
    </row>
    <row r="58" spans="1:14" ht="15.75" customHeight="1" x14ac:dyDescent="0.25">
      <c r="A58" s="175" t="s">
        <v>93</v>
      </c>
      <c r="B58" s="176"/>
      <c r="C58" s="176"/>
      <c r="D58" s="91" t="s">
        <v>225</v>
      </c>
      <c r="E58" s="208"/>
      <c r="F58" s="208"/>
      <c r="G58" s="208"/>
      <c r="H58" s="208"/>
    </row>
    <row r="59" spans="1:14" ht="15.75" hidden="1" customHeight="1" x14ac:dyDescent="0.25">
      <c r="A59" s="205"/>
      <c r="B59" s="206"/>
      <c r="C59" s="206"/>
      <c r="D59" s="208" t="s">
        <v>156</v>
      </c>
      <c r="E59" s="208"/>
      <c r="F59" s="208"/>
      <c r="G59" s="208"/>
      <c r="H59" s="208"/>
    </row>
    <row r="60" spans="1:14" ht="15.75" hidden="1" customHeight="1" x14ac:dyDescent="0.25">
      <c r="A60" s="179"/>
      <c r="B60" s="207"/>
      <c r="C60" s="207"/>
      <c r="D60" s="208" t="s">
        <v>157</v>
      </c>
      <c r="E60" s="208"/>
      <c r="F60" s="208"/>
      <c r="G60" s="208"/>
      <c r="H60" s="208"/>
    </row>
    <row r="61" spans="1:14" ht="15.75" customHeight="1" x14ac:dyDescent="0.25">
      <c r="A61" s="105" t="s">
        <v>47</v>
      </c>
      <c r="B61" s="105"/>
      <c r="C61" s="105"/>
      <c r="D61" s="144" t="s">
        <v>197</v>
      </c>
      <c r="E61" s="144"/>
      <c r="F61" s="144"/>
      <c r="G61" s="144"/>
      <c r="H61" s="144"/>
      <c r="J61" s="25"/>
      <c r="K61" s="24"/>
      <c r="N61" s="24"/>
    </row>
    <row r="62" spans="1:14" ht="15.75" customHeight="1" x14ac:dyDescent="0.25">
      <c r="A62" s="105" t="s">
        <v>91</v>
      </c>
      <c r="B62" s="105"/>
      <c r="C62" s="105"/>
      <c r="D62" s="156" t="str">
        <f>(IF(G53="NA","60 Years After Completion",IF(G53&lt;&gt;"NA",""&amp;60-ROUNDDOWN((E3-G53)/360,0)&amp;" Years"," ")))</f>
        <v>60 Years After Completion</v>
      </c>
      <c r="E62" s="156"/>
      <c r="F62" s="156"/>
      <c r="G62" s="156"/>
      <c r="H62" s="156"/>
      <c r="N62" s="24"/>
    </row>
    <row r="63" spans="1:14" ht="15.75" customHeight="1" x14ac:dyDescent="0.25">
      <c r="A63" s="105" t="s">
        <v>92</v>
      </c>
      <c r="B63" s="105"/>
      <c r="C63" s="105"/>
      <c r="D63" s="144" t="s">
        <v>23</v>
      </c>
      <c r="E63" s="144"/>
      <c r="F63" s="144"/>
      <c r="G63" s="144"/>
      <c r="H63" s="144"/>
      <c r="J63" s="26"/>
      <c r="K63" s="26"/>
    </row>
    <row r="64" spans="1:14" ht="30" customHeight="1" x14ac:dyDescent="0.25">
      <c r="A64" s="105" t="s">
        <v>78</v>
      </c>
      <c r="B64" s="105"/>
      <c r="C64" s="105"/>
      <c r="D64" s="91" t="s">
        <v>179</v>
      </c>
      <c r="E64" s="144"/>
      <c r="F64" s="144"/>
      <c r="G64" s="144"/>
      <c r="H64" s="144"/>
    </row>
    <row r="65" spans="1:14" x14ac:dyDescent="0.25">
      <c r="A65" s="144" t="s">
        <v>158</v>
      </c>
      <c r="B65" s="144"/>
      <c r="C65" s="144"/>
      <c r="D65" s="144" t="s">
        <v>29</v>
      </c>
      <c r="E65" s="144"/>
      <c r="F65" s="144"/>
      <c r="G65" s="144"/>
      <c r="H65" s="144"/>
      <c r="I65" s="27"/>
      <c r="J65" s="27"/>
      <c r="K65" s="27"/>
      <c r="L65" s="27"/>
      <c r="M65" s="27"/>
      <c r="N65" s="27"/>
    </row>
    <row r="66" spans="1:14" ht="15.75" customHeight="1" x14ac:dyDescent="0.25">
      <c r="A66" s="187" t="s">
        <v>90</v>
      </c>
      <c r="B66" s="187"/>
      <c r="C66" s="187"/>
      <c r="D66" s="173" t="str">
        <f ca="1">(IF(G72&gt;95%,"Nothing",IF(G72&gt;0%,"Cement, Aggregate, Steel, etc",IF(G72=0%,"Work not yet Started"))))</f>
        <v>Cement, Aggregate, Steel, etc</v>
      </c>
      <c r="E66" s="173"/>
      <c r="F66" s="173"/>
      <c r="G66" s="173"/>
      <c r="H66" s="173"/>
      <c r="J66" s="26"/>
    </row>
    <row r="67" spans="1:14" ht="33.75" customHeight="1" thickBot="1" x14ac:dyDescent="0.3">
      <c r="A67" s="186" t="s">
        <v>123</v>
      </c>
      <c r="B67" s="186"/>
      <c r="C67" s="186"/>
      <c r="D67" s="173" t="str">
        <f ca="1">(IF(D66="Nothing","Yes",IF(D66="Cement, Aggregate, Steel, etc","Under Construction",IF(D66="Work not yet Started","Work not yet Started"))))</f>
        <v>Under Construction</v>
      </c>
      <c r="E67" s="173"/>
      <c r="F67" s="173" t="str">
        <f ca="1">(IF(D66="Nothing","Yes",IF(D66="Cement, Aggregate, Steel, etc","Under Construction",IF(D66="Work not yet Started","Work not yet Started"))))</f>
        <v>Under Construction</v>
      </c>
      <c r="G67" s="173"/>
      <c r="H67" s="173"/>
    </row>
    <row r="68" spans="1:14" ht="15.75" customHeight="1" x14ac:dyDescent="0.25">
      <c r="A68" s="181" t="s">
        <v>148</v>
      </c>
      <c r="B68" s="182"/>
      <c r="C68" s="183" t="str">
        <f>D58</f>
        <v>Gr + 1st to 22nd Floor</v>
      </c>
      <c r="D68" s="184"/>
      <c r="E68" s="184"/>
      <c r="F68" s="184"/>
      <c r="G68" s="184"/>
      <c r="H68" s="185"/>
      <c r="I68" s="58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 Completed, External Plaster upto 21 Floor, Flooring upto 15 Floor, Painting upto 7 Floor Completed</v>
      </c>
      <c r="J68" s="50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External Plaster upto 21 Floor, Flooring upto 15 Floor, Painting upto 7 Floor</v>
      </c>
    </row>
    <row r="69" spans="1:14" x14ac:dyDescent="0.25">
      <c r="A69" s="17" t="s">
        <v>150</v>
      </c>
      <c r="B69" s="47">
        <v>0</v>
      </c>
      <c r="C69" s="47" t="s">
        <v>75</v>
      </c>
      <c r="D69" s="47">
        <v>1</v>
      </c>
      <c r="E69" s="47" t="s">
        <v>74</v>
      </c>
      <c r="F69" s="47">
        <v>0</v>
      </c>
      <c r="G69" s="47" t="s">
        <v>84</v>
      </c>
      <c r="H69" s="18">
        <f ca="1">--TRIM(RIGHT(SUBSTITUTE(LEFT(C68,_xlfn.AGGREGATE(16,6,FIND({0,1,2,3,4,5,6,7,8,9},C68,ROW(INDIRECT("1:"&amp;LEN(C68)))),1))," ",REPT(" ",LEN(C68))),LEN(C68)))</f>
        <v>22</v>
      </c>
      <c r="I69" s="51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</v>
      </c>
      <c r="J69" s="52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47.25" customHeight="1" x14ac:dyDescent="0.25">
      <c r="A70" s="112" t="s">
        <v>94</v>
      </c>
      <c r="B70" s="113"/>
      <c r="C70" s="114" t="str">
        <f ca="1">I68</f>
        <v>Excavation, Plinth, RCC Slab, Brickwork, Internal Plaster Completed, External Plaster upto 21 Floor, Flooring upto 15 Floor, Painting upto 7 Floor Completed</v>
      </c>
      <c r="D70" s="114"/>
      <c r="E70" s="114"/>
      <c r="F70" s="114"/>
      <c r="G70" s="114"/>
      <c r="H70" s="115"/>
      <c r="I70" s="51" t="str">
        <f ca="1">IF(I69&lt;&gt;""," Completed","")</f>
        <v xml:space="preserve"> Completed</v>
      </c>
      <c r="J70" s="52" t="str">
        <f ca="1">IF(J68&lt;&gt;"","Completed","")</f>
        <v>Completed</v>
      </c>
    </row>
    <row r="71" spans="1:14" ht="15.75" customHeight="1" x14ac:dyDescent="0.25">
      <c r="A71" s="119" t="s">
        <v>51</v>
      </c>
      <c r="B71" s="120"/>
      <c r="C71" s="59" t="s">
        <v>147</v>
      </c>
      <c r="D71" s="59" t="s">
        <v>87</v>
      </c>
      <c r="E71" s="120" t="s">
        <v>89</v>
      </c>
      <c r="F71" s="120"/>
      <c r="G71" s="120" t="s">
        <v>88</v>
      </c>
      <c r="H71" s="188"/>
      <c r="I71" s="14" t="s">
        <v>149</v>
      </c>
      <c r="J71" s="28">
        <f ca="1">H69*25%</f>
        <v>5.5</v>
      </c>
    </row>
    <row r="72" spans="1:14" x14ac:dyDescent="0.25">
      <c r="A72" s="119" t="s">
        <v>136</v>
      </c>
      <c r="B72" s="120"/>
      <c r="C72" s="59">
        <f ca="1">J73</f>
        <v>22</v>
      </c>
      <c r="D72" s="60">
        <f ca="1">((100/H69)*C72)/100</f>
        <v>1.0000000000000002</v>
      </c>
      <c r="E72" s="145">
        <f ca="1">(((C73/H69*10)+(40/(D69+F69+H69)*C74)+(7.5/(H69)*C75)+(7.5/(H69)*C76)+(10/H69*C77)+(10/H69*C78)+(5/H69*C79)+(5/H69*C80)+(5/H69*C81))/100)</f>
        <v>0.82954545454545459</v>
      </c>
      <c r="F72" s="146"/>
      <c r="G72" s="145">
        <f ca="1">((((C72/H69)*20)+((C73/H69)*25)+(30/(H69+F69+D69)*C74)+(5/H69*C75)+(5/H69*C76)+(5/H69*C77)+(5/H69*C78)+(0/H69*C79)+(0/H69*C80)+(5/H69*C81))/100)</f>
        <v>0.93181818181818177</v>
      </c>
      <c r="H72" s="151"/>
      <c r="I72" s="14" t="s">
        <v>105</v>
      </c>
      <c r="J72" s="29">
        <f ca="1">H69*50%</f>
        <v>11</v>
      </c>
    </row>
    <row r="73" spans="1:14" x14ac:dyDescent="0.25">
      <c r="A73" s="119" t="s">
        <v>52</v>
      </c>
      <c r="B73" s="120"/>
      <c r="C73" s="61">
        <f ca="1">J81</f>
        <v>22</v>
      </c>
      <c r="D73" s="60">
        <f ca="1">((100/H69)*C73)/100</f>
        <v>1.0000000000000002</v>
      </c>
      <c r="E73" s="147"/>
      <c r="F73" s="148"/>
      <c r="G73" s="147"/>
      <c r="H73" s="152"/>
      <c r="I73" s="14" t="s">
        <v>106</v>
      </c>
      <c r="J73" s="29">
        <f ca="1">H69</f>
        <v>22</v>
      </c>
    </row>
    <row r="74" spans="1:14" ht="15.75" customHeight="1" x14ac:dyDescent="0.25">
      <c r="A74" s="119" t="s">
        <v>137</v>
      </c>
      <c r="B74" s="120"/>
      <c r="C74" s="59">
        <v>23</v>
      </c>
      <c r="D74" s="60">
        <f ca="1">((100/(D69+F69+H69))*C74)/100</f>
        <v>1</v>
      </c>
      <c r="E74" s="147"/>
      <c r="F74" s="148"/>
      <c r="G74" s="147"/>
      <c r="H74" s="152"/>
      <c r="I74" s="14" t="s">
        <v>107</v>
      </c>
      <c r="J74" s="30">
        <f ca="1">(IF(B69&gt;1,(H69/(B69+2)),H69/4))</f>
        <v>5.5</v>
      </c>
    </row>
    <row r="75" spans="1:14" ht="15.75" customHeight="1" x14ac:dyDescent="0.25">
      <c r="A75" s="119" t="s">
        <v>144</v>
      </c>
      <c r="B75" s="120" t="s">
        <v>138</v>
      </c>
      <c r="C75" s="59">
        <v>22</v>
      </c>
      <c r="D75" s="60">
        <f ca="1">((100/H69)*C75)/100</f>
        <v>1.0000000000000002</v>
      </c>
      <c r="E75" s="147"/>
      <c r="F75" s="148"/>
      <c r="G75" s="147"/>
      <c r="H75" s="152"/>
      <c r="I75" s="14" t="s">
        <v>108</v>
      </c>
      <c r="J75" s="30">
        <f ca="1">(IF(B69&gt;1,(H69/(B69+2)+J74),H69/4+J74))</f>
        <v>11</v>
      </c>
      <c r="L75" s="21">
        <f>0.91*22</f>
        <v>20.02</v>
      </c>
    </row>
    <row r="76" spans="1:14" ht="15.75" customHeight="1" x14ac:dyDescent="0.25">
      <c r="A76" s="119" t="s">
        <v>145</v>
      </c>
      <c r="B76" s="120" t="s">
        <v>138</v>
      </c>
      <c r="C76" s="59">
        <v>22</v>
      </c>
      <c r="D76" s="60">
        <f ca="1">((100/H69)*C76)/100</f>
        <v>1.0000000000000002</v>
      </c>
      <c r="E76" s="147"/>
      <c r="F76" s="148"/>
      <c r="G76" s="147"/>
      <c r="H76" s="152"/>
      <c r="I76" s="14" t="s">
        <v>154</v>
      </c>
      <c r="J76" s="30">
        <f>(IF(B69&gt;1,(H69/(B69+2)+J75),0))</f>
        <v>0</v>
      </c>
      <c r="L76" s="21">
        <f>0.69*23</f>
        <v>15.87</v>
      </c>
    </row>
    <row r="77" spans="1:14" ht="15" customHeight="1" x14ac:dyDescent="0.25">
      <c r="A77" s="119" t="s">
        <v>143</v>
      </c>
      <c r="B77" s="120" t="s">
        <v>140</v>
      </c>
      <c r="C77" s="59">
        <v>21</v>
      </c>
      <c r="D77" s="60">
        <f ca="1">((100/(H69))*C77)/100</f>
        <v>0.9545454545454547</v>
      </c>
      <c r="E77" s="147"/>
      <c r="F77" s="148"/>
      <c r="G77" s="147"/>
      <c r="H77" s="152"/>
      <c r="I77" s="14" t="s">
        <v>151</v>
      </c>
      <c r="J77" s="30">
        <f>(IF(B69&gt;2,(H69/(B69+2)+J76),0))</f>
        <v>0</v>
      </c>
    </row>
    <row r="78" spans="1:14" ht="15.75" customHeight="1" x14ac:dyDescent="0.25">
      <c r="A78" s="119" t="s">
        <v>139</v>
      </c>
      <c r="B78" s="120" t="s">
        <v>139</v>
      </c>
      <c r="C78" s="59">
        <v>15</v>
      </c>
      <c r="D78" s="60">
        <f ca="1">((100/H69)*C78)/100</f>
        <v>0.68181818181818188</v>
      </c>
      <c r="E78" s="147"/>
      <c r="F78" s="148"/>
      <c r="G78" s="147"/>
      <c r="H78" s="152"/>
      <c r="I78" s="14" t="s">
        <v>152</v>
      </c>
      <c r="J78" s="31">
        <f>(IF(B69&gt;3,(H69/(B69+2)+J77),0))</f>
        <v>0</v>
      </c>
    </row>
    <row r="79" spans="1:14" ht="15.75" customHeight="1" x14ac:dyDescent="0.25">
      <c r="A79" s="119" t="s">
        <v>146</v>
      </c>
      <c r="B79" s="120"/>
      <c r="C79" s="59">
        <v>7</v>
      </c>
      <c r="D79" s="60">
        <f ca="1">((100/H69)*C79)/100</f>
        <v>0.31818181818181818</v>
      </c>
      <c r="E79" s="147"/>
      <c r="F79" s="148"/>
      <c r="G79" s="147"/>
      <c r="H79" s="152"/>
      <c r="I79" s="14" t="s">
        <v>153</v>
      </c>
      <c r="J79" s="30">
        <f>(IF(B69&gt;4,(H69/(B69+2)+J78),0))</f>
        <v>0</v>
      </c>
    </row>
    <row r="80" spans="1:14" ht="15.75" customHeight="1" x14ac:dyDescent="0.25">
      <c r="A80" s="119" t="s">
        <v>141</v>
      </c>
      <c r="B80" s="120" t="s">
        <v>141</v>
      </c>
      <c r="C80" s="59">
        <v>0</v>
      </c>
      <c r="D80" s="60">
        <f ca="1">((100/(H69))*C80)/100</f>
        <v>0</v>
      </c>
      <c r="E80" s="147"/>
      <c r="F80" s="148"/>
      <c r="G80" s="147"/>
      <c r="H80" s="152"/>
      <c r="I80" s="14" t="s">
        <v>155</v>
      </c>
      <c r="J80" s="30">
        <f ca="1">(IF(B69=1,(H69/(B69+3)+J75),IF(B69=0,(H69/4+J75),IF(B69&gt;1,0))))</f>
        <v>16.5</v>
      </c>
    </row>
    <row r="81" spans="1:10" ht="16.5" thickBot="1" x14ac:dyDescent="0.3">
      <c r="A81" s="154" t="s">
        <v>142</v>
      </c>
      <c r="B81" s="155"/>
      <c r="C81" s="62">
        <v>0</v>
      </c>
      <c r="D81" s="63">
        <f ca="1">((100/(H69))*C81)/100</f>
        <v>0</v>
      </c>
      <c r="E81" s="149"/>
      <c r="F81" s="150"/>
      <c r="G81" s="149"/>
      <c r="H81" s="153"/>
      <c r="I81" s="16" t="s">
        <v>109</v>
      </c>
      <c r="J81" s="32">
        <f ca="1">(IF(B69&gt;1.5,(H69/(B69+2)+J75+MAX(0,J76-J75)+MAX(0,J77-J76)+MAX(0,J78-J77)+MAX(0,J79-J78)+MAX(0,J80-J79)),IF(B69=1,(H69/(B69+3)+J80),IF(B69=0,H69/4+J80))))</f>
        <v>22</v>
      </c>
    </row>
    <row r="82" spans="1:10" ht="15.75" hidden="1" customHeight="1" x14ac:dyDescent="0.25">
      <c r="A82" s="123" t="s">
        <v>148</v>
      </c>
      <c r="B82" s="124"/>
      <c r="C82" s="125" t="str">
        <f>D59</f>
        <v>B Wing = G + 1st to 20th Floor</v>
      </c>
      <c r="D82" s="126"/>
      <c r="E82" s="126"/>
      <c r="F82" s="126"/>
      <c r="G82" s="126"/>
      <c r="H82" s="127"/>
      <c r="I82" s="49" t="str">
        <f ca="1">IF(D95=100%,"All work Completed. Possession granted to the Building.",IF(D94=100%,"All work Completed, Waiting for OC",I83&amp;""&amp;I84&amp;""&amp;J83&amp;""&amp;J82&amp;" "&amp;J84))</f>
        <v xml:space="preserve">Excavation, Plinth, RCC Slab Completed </v>
      </c>
      <c r="J82" s="50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hidden="1" x14ac:dyDescent="0.25">
      <c r="A83" s="17" t="s">
        <v>150</v>
      </c>
      <c r="B83" s="15">
        <v>0</v>
      </c>
      <c r="C83" s="47" t="s">
        <v>75</v>
      </c>
      <c r="D83" s="47">
        <v>1</v>
      </c>
      <c r="E83" s="47" t="s">
        <v>74</v>
      </c>
      <c r="F83" s="15">
        <v>0</v>
      </c>
      <c r="G83" s="48" t="s">
        <v>84</v>
      </c>
      <c r="H83" s="18">
        <f ca="1">--TRIM(RIGHT(SUBSTITUTE(LEFT(C82,_xlfn.AGGREGATE(16,6,FIND({0,1,2,3,4,5,6,7,8,9},C82,ROW(INDIRECT("1:"&amp;LEN(C82)))),1))," ",REPT(" ",LEN(C82))),LEN(C82)))</f>
        <v>20</v>
      </c>
      <c r="I83" s="51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</v>
      </c>
      <c r="J83" s="52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.75" hidden="1" customHeight="1" x14ac:dyDescent="0.25">
      <c r="A84" s="112" t="s">
        <v>94</v>
      </c>
      <c r="B84" s="113"/>
      <c r="C84" s="114" t="str">
        <f ca="1">(IF($G$53="NA",I82,"All work Completed. OC Received."))</f>
        <v xml:space="preserve">Excavation, Plinth, RCC Slab Completed </v>
      </c>
      <c r="D84" s="114"/>
      <c r="E84" s="114"/>
      <c r="F84" s="114"/>
      <c r="G84" s="114"/>
      <c r="H84" s="115"/>
      <c r="I84" s="51" t="str">
        <f ca="1">IF(I83&lt;&gt;""," Completed","")</f>
        <v xml:space="preserve"> Completed</v>
      </c>
      <c r="J84" s="52" t="str">
        <f ca="1">IF(J82&lt;&gt;"","Completed","")</f>
        <v/>
      </c>
    </row>
    <row r="85" spans="1:10" ht="15.75" hidden="1" customHeight="1" x14ac:dyDescent="0.25">
      <c r="A85" s="97" t="s">
        <v>51</v>
      </c>
      <c r="B85" s="98"/>
      <c r="C85" s="44" t="s">
        <v>147</v>
      </c>
      <c r="D85" s="44" t="s">
        <v>87</v>
      </c>
      <c r="E85" s="98" t="s">
        <v>89</v>
      </c>
      <c r="F85" s="98"/>
      <c r="G85" s="98" t="s">
        <v>88</v>
      </c>
      <c r="H85" s="110"/>
      <c r="I85" s="14" t="s">
        <v>149</v>
      </c>
      <c r="J85" s="28">
        <f ca="1">H83*25%</f>
        <v>5</v>
      </c>
    </row>
    <row r="86" spans="1:10" hidden="1" x14ac:dyDescent="0.25">
      <c r="A86" s="97" t="s">
        <v>136</v>
      </c>
      <c r="B86" s="98"/>
      <c r="C86" s="44">
        <f ca="1">J87</f>
        <v>20</v>
      </c>
      <c r="D86" s="19">
        <f ca="1">((100/H83)*C86)/100</f>
        <v>1</v>
      </c>
      <c r="E86" s="99">
        <f ca="1">(((C87/H83*10)+(40/(D83+F83+H83)*C88)+(7.5/(H83)*C89)+(7.5/(H83)*C90)+(10/H83*C91)+(10/H83*C92)+(5/H83*C93)+(5/H83*C94)+(5/H83*C95))/100)</f>
        <v>0.5</v>
      </c>
      <c r="F86" s="135"/>
      <c r="G86" s="99">
        <f ca="1">((((C86/H83)*20)+((C87/H83)*25)+(30/(H83+F83+D83)*C88)+(5/H83*C89)+(5/H83*C90)+(5/H83*C91)+(5/H83*C92)+(0/H83*C93)+(0/H83*C94)+(5/H83*C95))/100)</f>
        <v>0.75</v>
      </c>
      <c r="H86" s="100"/>
      <c r="I86" s="14" t="s">
        <v>105</v>
      </c>
      <c r="J86" s="29">
        <f ca="1">H83*50%</f>
        <v>10</v>
      </c>
    </row>
    <row r="87" spans="1:10" hidden="1" x14ac:dyDescent="0.25">
      <c r="A87" s="97" t="s">
        <v>52</v>
      </c>
      <c r="B87" s="98"/>
      <c r="C87" s="44">
        <f ca="1">J95</f>
        <v>20</v>
      </c>
      <c r="D87" s="19">
        <f ca="1">((100/H83)*C87)/100</f>
        <v>1</v>
      </c>
      <c r="E87" s="101"/>
      <c r="F87" s="136"/>
      <c r="G87" s="101"/>
      <c r="H87" s="102"/>
      <c r="I87" s="14" t="s">
        <v>106</v>
      </c>
      <c r="J87" s="29">
        <f ca="1">H83</f>
        <v>20</v>
      </c>
    </row>
    <row r="88" spans="1:10" ht="15.75" hidden="1" customHeight="1" x14ac:dyDescent="0.25">
      <c r="A88" s="97" t="s">
        <v>137</v>
      </c>
      <c r="B88" s="98"/>
      <c r="C88" s="44">
        <f ca="1">D83+H83</f>
        <v>21</v>
      </c>
      <c r="D88" s="19">
        <f ca="1">((100/(D83+F83+H83))*C88)/100</f>
        <v>1</v>
      </c>
      <c r="E88" s="101"/>
      <c r="F88" s="136"/>
      <c r="G88" s="101"/>
      <c r="H88" s="102"/>
      <c r="I88" s="14" t="s">
        <v>107</v>
      </c>
      <c r="J88" s="30">
        <f ca="1">(IF(B83&gt;1,(H83/(B83+2)),H83/4))</f>
        <v>5</v>
      </c>
    </row>
    <row r="89" spans="1:10" ht="15.75" hidden="1" customHeight="1" x14ac:dyDescent="0.25">
      <c r="A89" s="97" t="s">
        <v>144</v>
      </c>
      <c r="B89" s="98" t="s">
        <v>138</v>
      </c>
      <c r="C89" s="44">
        <v>0</v>
      </c>
      <c r="D89" s="19">
        <f ca="1">((100/H83)*C89)/100</f>
        <v>0</v>
      </c>
      <c r="E89" s="101"/>
      <c r="F89" s="136"/>
      <c r="G89" s="101"/>
      <c r="H89" s="102"/>
      <c r="I89" s="14" t="s">
        <v>108</v>
      </c>
      <c r="J89" s="30">
        <f ca="1">(IF(B83&gt;1,(H83/(B83+2)+J88),H83/4+J88))</f>
        <v>10</v>
      </c>
    </row>
    <row r="90" spans="1:10" ht="15.75" hidden="1" customHeight="1" x14ac:dyDescent="0.25">
      <c r="A90" s="97" t="s">
        <v>145</v>
      </c>
      <c r="B90" s="98" t="s">
        <v>138</v>
      </c>
      <c r="C90" s="44">
        <v>0</v>
      </c>
      <c r="D90" s="19">
        <f ca="1">((100/H83)*C90)/100</f>
        <v>0</v>
      </c>
      <c r="E90" s="101"/>
      <c r="F90" s="136"/>
      <c r="G90" s="101"/>
      <c r="H90" s="102"/>
      <c r="I90" s="14" t="s">
        <v>154</v>
      </c>
      <c r="J90" s="30">
        <f>(IF(B83&gt;1,(H83/(B83+2)+J89),0))</f>
        <v>0</v>
      </c>
    </row>
    <row r="91" spans="1:10" ht="15" hidden="1" customHeight="1" x14ac:dyDescent="0.25">
      <c r="A91" s="97" t="s">
        <v>143</v>
      </c>
      <c r="B91" s="98" t="s">
        <v>140</v>
      </c>
      <c r="C91" s="44">
        <v>0</v>
      </c>
      <c r="D91" s="19">
        <f ca="1">((100/(H83))*C91)/100</f>
        <v>0</v>
      </c>
      <c r="E91" s="101"/>
      <c r="F91" s="136"/>
      <c r="G91" s="101"/>
      <c r="H91" s="102"/>
      <c r="I91" s="14" t="s">
        <v>151</v>
      </c>
      <c r="J91" s="30">
        <f>(IF(B83&gt;2,(H83/(B83+2)+J90),0))</f>
        <v>0</v>
      </c>
    </row>
    <row r="92" spans="1:10" ht="15.75" hidden="1" customHeight="1" x14ac:dyDescent="0.25">
      <c r="A92" s="97" t="s">
        <v>139</v>
      </c>
      <c r="B92" s="98" t="s">
        <v>139</v>
      </c>
      <c r="C92" s="44">
        <v>0</v>
      </c>
      <c r="D92" s="19">
        <f ca="1">((100/H83)*C92)/100</f>
        <v>0</v>
      </c>
      <c r="E92" s="101"/>
      <c r="F92" s="136"/>
      <c r="G92" s="101"/>
      <c r="H92" s="102"/>
      <c r="I92" s="14" t="s">
        <v>152</v>
      </c>
      <c r="J92" s="31">
        <f>(IF(B83&gt;3,(H83/(B83+2)+J91),0))</f>
        <v>0</v>
      </c>
    </row>
    <row r="93" spans="1:10" ht="15.75" hidden="1" customHeight="1" x14ac:dyDescent="0.25">
      <c r="A93" s="97" t="s">
        <v>146</v>
      </c>
      <c r="B93" s="98"/>
      <c r="C93" s="44">
        <v>0</v>
      </c>
      <c r="D93" s="19">
        <f ca="1">((100/H83)*C93)/100</f>
        <v>0</v>
      </c>
      <c r="E93" s="101"/>
      <c r="F93" s="136"/>
      <c r="G93" s="101"/>
      <c r="H93" s="102"/>
      <c r="I93" s="14" t="s">
        <v>153</v>
      </c>
      <c r="J93" s="30">
        <f>(IF(B83&gt;4,(H83/(B83+2)+J92),0))</f>
        <v>0</v>
      </c>
    </row>
    <row r="94" spans="1:10" ht="15.75" hidden="1" customHeight="1" x14ac:dyDescent="0.25">
      <c r="A94" s="97" t="s">
        <v>141</v>
      </c>
      <c r="B94" s="98" t="s">
        <v>141</v>
      </c>
      <c r="C94" s="44">
        <v>0</v>
      </c>
      <c r="D94" s="19">
        <f ca="1">((100/(H83))*C94)/100</f>
        <v>0</v>
      </c>
      <c r="E94" s="101"/>
      <c r="F94" s="136"/>
      <c r="G94" s="101"/>
      <c r="H94" s="102"/>
      <c r="I94" s="14" t="s">
        <v>155</v>
      </c>
      <c r="J94" s="30">
        <f ca="1">(IF(B83=1,(H83/(B83+3)+J89),IF(B83=0,(H83/4+J89),IF(B83&gt;1,0))))</f>
        <v>15</v>
      </c>
    </row>
    <row r="95" spans="1:10" ht="16.5" hidden="1" thickBot="1" x14ac:dyDescent="0.3">
      <c r="A95" s="138" t="s">
        <v>142</v>
      </c>
      <c r="B95" s="139"/>
      <c r="C95" s="45">
        <v>0</v>
      </c>
      <c r="D95" s="20">
        <f ca="1">((100/(H83))*C95)/100</f>
        <v>0</v>
      </c>
      <c r="E95" s="103"/>
      <c r="F95" s="137"/>
      <c r="G95" s="103"/>
      <c r="H95" s="104"/>
      <c r="I95" s="16" t="s">
        <v>109</v>
      </c>
      <c r="J95" s="32">
        <f ca="1">(IF(B83&gt;1.5,(H83/(B83+2)+J89+MAX(0,J90-J89)+MAX(0,J91-J90)+MAX(0,J92-J91)+MAX(0,J93-J92)+MAX(0,J94-J93)),IF(B83=1,(H83/(B83+3)+J94),IF(B83=0,H83/4+J94))))</f>
        <v>20</v>
      </c>
    </row>
    <row r="96" spans="1:10" ht="15.75" hidden="1" customHeight="1" x14ac:dyDescent="0.25">
      <c r="A96" s="123" t="s">
        <v>148</v>
      </c>
      <c r="B96" s="124"/>
      <c r="C96" s="125" t="str">
        <f>D60</f>
        <v>C Wing = G + 1st to 20th Floor</v>
      </c>
      <c r="D96" s="126"/>
      <c r="E96" s="126"/>
      <c r="F96" s="126"/>
      <c r="G96" s="126"/>
      <c r="H96" s="127"/>
      <c r="I96" s="49" t="str">
        <f ca="1">IF(D109=100%,"All work Completed. Possession granted to the Building.",IF(D108=100%,"All work Completed, Waiting for OC",I97&amp;""&amp;I98&amp;""&amp;J97&amp;""&amp;J96&amp;" "&amp;J98))</f>
        <v xml:space="preserve">Excavation, Plinth, RCC Slab Completed </v>
      </c>
      <c r="J96" s="50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3" hidden="1" x14ac:dyDescent="0.25">
      <c r="A97" s="17" t="s">
        <v>150</v>
      </c>
      <c r="B97" s="15">
        <v>0</v>
      </c>
      <c r="C97" s="47" t="s">
        <v>75</v>
      </c>
      <c r="D97" s="47">
        <v>1</v>
      </c>
      <c r="E97" s="47" t="s">
        <v>74</v>
      </c>
      <c r="F97" s="15">
        <v>0</v>
      </c>
      <c r="G97" s="48" t="s">
        <v>84</v>
      </c>
      <c r="H97" s="18">
        <f ca="1">--TRIM(RIGHT(SUBSTITUTE(LEFT(C96,_xlfn.AGGREGATE(16,6,FIND({0,1,2,3,4,5,6,7,8,9},C96,ROW(INDIRECT("1:"&amp;LEN(C96)))),1))," ",REPT(" ",LEN(C96))),LEN(C96)))</f>
        <v>20</v>
      </c>
      <c r="I97" s="51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52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3" ht="33" hidden="1" customHeight="1" x14ac:dyDescent="0.25">
      <c r="A98" s="112" t="s">
        <v>94</v>
      </c>
      <c r="B98" s="113"/>
      <c r="C98" s="114" t="str">
        <f ca="1">(IF($G$53="NA",I96,"All work Completed. OC Received."))</f>
        <v xml:space="preserve">Excavation, Plinth, RCC Slab Completed </v>
      </c>
      <c r="D98" s="114"/>
      <c r="E98" s="114"/>
      <c r="F98" s="114"/>
      <c r="G98" s="114"/>
      <c r="H98" s="115"/>
      <c r="I98" s="51" t="str">
        <f ca="1">IF(I97&lt;&gt;""," Completed","")</f>
        <v xml:space="preserve"> Completed</v>
      </c>
      <c r="J98" s="52" t="str">
        <f ca="1">IF(J96&lt;&gt;"","Completed","")</f>
        <v/>
      </c>
    </row>
    <row r="99" spans="1:13" ht="15.75" hidden="1" customHeight="1" x14ac:dyDescent="0.25">
      <c r="A99" s="97" t="s">
        <v>51</v>
      </c>
      <c r="B99" s="98"/>
      <c r="C99" s="44" t="s">
        <v>147</v>
      </c>
      <c r="D99" s="44" t="s">
        <v>87</v>
      </c>
      <c r="E99" s="98" t="s">
        <v>89</v>
      </c>
      <c r="F99" s="98"/>
      <c r="G99" s="98" t="s">
        <v>88</v>
      </c>
      <c r="H99" s="110"/>
      <c r="I99" s="14" t="s">
        <v>149</v>
      </c>
      <c r="J99" s="28">
        <f ca="1">H97*25%</f>
        <v>5</v>
      </c>
    </row>
    <row r="100" spans="1:13" hidden="1" x14ac:dyDescent="0.25">
      <c r="A100" s="97" t="s">
        <v>136</v>
      </c>
      <c r="B100" s="98"/>
      <c r="C100" s="44">
        <f ca="1">J101</f>
        <v>20</v>
      </c>
      <c r="D100" s="19">
        <f ca="1">((100/H97)*C100)/100</f>
        <v>1</v>
      </c>
      <c r="E100" s="99">
        <f ca="1">(((C101/H97*10)+(40/(D97+F97+H97)*C102)+(7.5/(H97)*C103)+(7.5/(H97)*C104)+(10/H97*C105)+(10/H97*C106)+(5/H97*C107)+(5/H97*C108)+(5/H97*C109))/100)</f>
        <v>0.5</v>
      </c>
      <c r="F100" s="135"/>
      <c r="G100" s="99">
        <f ca="1">((((C100/H97)*20)+((C101/H97)*25)+(30/(H97+F97+D97)*C102)+(5/H97*C103)+(5/H97*C104)+(5/H97*C105)+(5/H97*C106)+(0/H97*C107)+(0/H97*C108)+(5/H97*C109))/100)</f>
        <v>0.75</v>
      </c>
      <c r="H100" s="100"/>
      <c r="I100" s="14" t="s">
        <v>105</v>
      </c>
      <c r="J100" s="29">
        <f ca="1">H97*50%</f>
        <v>10</v>
      </c>
    </row>
    <row r="101" spans="1:13" hidden="1" x14ac:dyDescent="0.25">
      <c r="A101" s="97" t="s">
        <v>52</v>
      </c>
      <c r="B101" s="98"/>
      <c r="C101" s="44">
        <f ca="1">J109</f>
        <v>20</v>
      </c>
      <c r="D101" s="19">
        <f ca="1">((100/H97)*C101)/100</f>
        <v>1</v>
      </c>
      <c r="E101" s="101"/>
      <c r="F101" s="136"/>
      <c r="G101" s="101"/>
      <c r="H101" s="102"/>
      <c r="I101" s="14" t="s">
        <v>106</v>
      </c>
      <c r="J101" s="29">
        <f ca="1">H97</f>
        <v>20</v>
      </c>
    </row>
    <row r="102" spans="1:13" ht="15.75" hidden="1" customHeight="1" x14ac:dyDescent="0.25">
      <c r="A102" s="97" t="s">
        <v>137</v>
      </c>
      <c r="B102" s="98"/>
      <c r="C102" s="44">
        <f ca="1">D97+H97</f>
        <v>21</v>
      </c>
      <c r="D102" s="19">
        <f ca="1">((100/(D97+F97+H97))*C102)/100</f>
        <v>1</v>
      </c>
      <c r="E102" s="101"/>
      <c r="F102" s="136"/>
      <c r="G102" s="101"/>
      <c r="H102" s="102"/>
      <c r="I102" s="14" t="s">
        <v>107</v>
      </c>
      <c r="J102" s="30">
        <f ca="1">(IF(B97&gt;1,(H97/(B97+2)),H97/4))</f>
        <v>5</v>
      </c>
    </row>
    <row r="103" spans="1:13" ht="15.75" hidden="1" customHeight="1" x14ac:dyDescent="0.25">
      <c r="A103" s="97" t="s">
        <v>144</v>
      </c>
      <c r="B103" s="98" t="s">
        <v>138</v>
      </c>
      <c r="C103" s="44">
        <v>0</v>
      </c>
      <c r="D103" s="19">
        <f ca="1">((100/H97)*C103)/100</f>
        <v>0</v>
      </c>
      <c r="E103" s="101"/>
      <c r="F103" s="136"/>
      <c r="G103" s="101"/>
      <c r="H103" s="102"/>
      <c r="I103" s="14" t="s">
        <v>108</v>
      </c>
      <c r="J103" s="30">
        <f ca="1">(IF(B97&gt;1,(H97/(B97+2)+J102),H97/4+J102))</f>
        <v>10</v>
      </c>
    </row>
    <row r="104" spans="1:13" ht="15.75" hidden="1" customHeight="1" x14ac:dyDescent="0.25">
      <c r="A104" s="97" t="s">
        <v>145</v>
      </c>
      <c r="B104" s="98" t="s">
        <v>138</v>
      </c>
      <c r="C104" s="44">
        <v>0</v>
      </c>
      <c r="D104" s="19">
        <f ca="1">((100/H97)*C104)/100</f>
        <v>0</v>
      </c>
      <c r="E104" s="101"/>
      <c r="F104" s="136"/>
      <c r="G104" s="101"/>
      <c r="H104" s="102"/>
      <c r="I104" s="14" t="s">
        <v>154</v>
      </c>
      <c r="J104" s="30">
        <f>(IF(B97&gt;1,(H97/(B97+2)+J103),0))</f>
        <v>0</v>
      </c>
    </row>
    <row r="105" spans="1:13" ht="15" hidden="1" customHeight="1" x14ac:dyDescent="0.25">
      <c r="A105" s="97" t="s">
        <v>143</v>
      </c>
      <c r="B105" s="98" t="s">
        <v>140</v>
      </c>
      <c r="C105" s="44">
        <v>0</v>
      </c>
      <c r="D105" s="19">
        <f ca="1">((100/(H97))*C105)/100</f>
        <v>0</v>
      </c>
      <c r="E105" s="101"/>
      <c r="F105" s="136"/>
      <c r="G105" s="101"/>
      <c r="H105" s="102"/>
      <c r="I105" s="14" t="s">
        <v>151</v>
      </c>
      <c r="J105" s="30">
        <f>(IF(B97&gt;2,(H97/(B97+2)+J104),0))</f>
        <v>0</v>
      </c>
    </row>
    <row r="106" spans="1:13" ht="15.75" hidden="1" customHeight="1" x14ac:dyDescent="0.25">
      <c r="A106" s="97" t="s">
        <v>139</v>
      </c>
      <c r="B106" s="98" t="s">
        <v>139</v>
      </c>
      <c r="C106" s="44">
        <v>0</v>
      </c>
      <c r="D106" s="19">
        <f ca="1">((100/H97)*C106)/100</f>
        <v>0</v>
      </c>
      <c r="E106" s="101"/>
      <c r="F106" s="136"/>
      <c r="G106" s="101"/>
      <c r="H106" s="102"/>
      <c r="I106" s="14" t="s">
        <v>152</v>
      </c>
      <c r="J106" s="31">
        <f>(IF(B97&gt;3,(H97/(B97+2)+J105),0))</f>
        <v>0</v>
      </c>
    </row>
    <row r="107" spans="1:13" ht="15.75" hidden="1" customHeight="1" x14ac:dyDescent="0.25">
      <c r="A107" s="97" t="s">
        <v>146</v>
      </c>
      <c r="B107" s="98"/>
      <c r="C107" s="44">
        <v>0</v>
      </c>
      <c r="D107" s="19">
        <f ca="1">((100/H97)*C107)/100</f>
        <v>0</v>
      </c>
      <c r="E107" s="101"/>
      <c r="F107" s="136"/>
      <c r="G107" s="101"/>
      <c r="H107" s="102"/>
      <c r="I107" s="14" t="s">
        <v>153</v>
      </c>
      <c r="J107" s="30">
        <f>(IF(B97&gt;4,(H97/(B97+2)+J106),0))</f>
        <v>0</v>
      </c>
    </row>
    <row r="108" spans="1:13" ht="15.75" hidden="1" customHeight="1" x14ac:dyDescent="0.25">
      <c r="A108" s="97" t="s">
        <v>141</v>
      </c>
      <c r="B108" s="98" t="s">
        <v>141</v>
      </c>
      <c r="C108" s="44">
        <v>0</v>
      </c>
      <c r="D108" s="19">
        <f ca="1">((100/(H97))*C108)/100</f>
        <v>0</v>
      </c>
      <c r="E108" s="101"/>
      <c r="F108" s="136"/>
      <c r="G108" s="101"/>
      <c r="H108" s="102"/>
      <c r="I108" s="14" t="s">
        <v>155</v>
      </c>
      <c r="J108" s="30">
        <f ca="1">(IF(B97=1,(H97/(B97+3)+J103),IF(B97=0,(H97/4+J103),IF(B97&gt;1,0))))</f>
        <v>15</v>
      </c>
    </row>
    <row r="109" spans="1:13" ht="16.5" hidden="1" thickBot="1" x14ac:dyDescent="0.3">
      <c r="A109" s="138" t="s">
        <v>142</v>
      </c>
      <c r="B109" s="139"/>
      <c r="C109" s="45">
        <v>0</v>
      </c>
      <c r="D109" s="20">
        <f ca="1">((100/(H97))*C109)/100</f>
        <v>0</v>
      </c>
      <c r="E109" s="103"/>
      <c r="F109" s="137"/>
      <c r="G109" s="103"/>
      <c r="H109" s="104"/>
      <c r="I109" s="16" t="s">
        <v>109</v>
      </c>
      <c r="J109" s="32">
        <f ca="1">(IF(B97&gt;1.5,(H97/(B97+2)+J103+MAX(0,J104-J103)+MAX(0,J105-J104)+MAX(0,J106-J105)+MAX(0,J107-J106)+MAX(0,J108-J107)),IF(B97=1,(H97/(B97+3)+J108),IF(B97=0,H97/4+J108))))</f>
        <v>20</v>
      </c>
    </row>
    <row r="110" spans="1:13" x14ac:dyDescent="0.25">
      <c r="A110" s="111" t="s">
        <v>167</v>
      </c>
      <c r="B110" s="111"/>
      <c r="C110" s="111"/>
      <c r="D110" s="111"/>
      <c r="E110" s="111"/>
      <c r="F110" s="140" t="s">
        <v>172</v>
      </c>
      <c r="G110" s="140"/>
      <c r="H110" s="140"/>
    </row>
    <row r="111" spans="1:13" x14ac:dyDescent="0.25">
      <c r="A111" s="105" t="s">
        <v>170</v>
      </c>
      <c r="B111" s="105"/>
      <c r="C111" s="105"/>
      <c r="D111" s="105"/>
      <c r="E111" s="105"/>
      <c r="F111" s="213">
        <v>11500</v>
      </c>
      <c r="G111" s="213"/>
      <c r="H111" s="213"/>
      <c r="J111" s="70" t="s">
        <v>221</v>
      </c>
      <c r="K111" s="71">
        <v>45013</v>
      </c>
      <c r="L111" s="70" t="s">
        <v>222</v>
      </c>
      <c r="M111" s="70" t="s">
        <v>223</v>
      </c>
    </row>
    <row r="112" spans="1:13" x14ac:dyDescent="0.25">
      <c r="A112" s="105" t="s">
        <v>169</v>
      </c>
      <c r="B112" s="105"/>
      <c r="C112" s="105"/>
      <c r="D112" s="105"/>
      <c r="E112" s="105"/>
      <c r="F112" s="86">
        <v>23000</v>
      </c>
      <c r="G112" s="86"/>
      <c r="H112" s="86"/>
      <c r="J112" s="21">
        <v>11500</v>
      </c>
      <c r="K112" s="25">
        <v>45014</v>
      </c>
    </row>
    <row r="113" spans="1:13" x14ac:dyDescent="0.25">
      <c r="A113" s="105" t="s">
        <v>171</v>
      </c>
      <c r="B113" s="105"/>
      <c r="C113" s="105"/>
      <c r="D113" s="105"/>
      <c r="E113" s="105"/>
      <c r="F113" s="86">
        <v>17000</v>
      </c>
      <c r="G113" s="86"/>
      <c r="H113" s="86"/>
    </row>
    <row r="114" spans="1:13" s="33" customFormat="1" hidden="1" x14ac:dyDescent="0.25">
      <c r="A114" s="105" t="s">
        <v>168</v>
      </c>
      <c r="B114" s="105"/>
      <c r="C114" s="105"/>
      <c r="D114" s="105"/>
      <c r="E114" s="105"/>
      <c r="F114" s="86"/>
      <c r="G114" s="86"/>
      <c r="H114" s="86"/>
    </row>
    <row r="115" spans="1:13" s="33" customFormat="1" hidden="1" x14ac:dyDescent="0.25">
      <c r="A115" s="105" t="s">
        <v>99</v>
      </c>
      <c r="B115" s="105"/>
      <c r="C115" s="105"/>
      <c r="D115" s="105"/>
      <c r="E115" s="105"/>
      <c r="F115" s="86"/>
      <c r="G115" s="86"/>
      <c r="H115" s="86"/>
    </row>
    <row r="116" spans="1:13" s="33" customFormat="1" hidden="1" x14ac:dyDescent="0.25">
      <c r="A116" s="105" t="s">
        <v>100</v>
      </c>
      <c r="B116" s="105"/>
      <c r="C116" s="105"/>
      <c r="D116" s="105"/>
      <c r="E116" s="105"/>
      <c r="F116" s="86"/>
      <c r="G116" s="86"/>
      <c r="H116" s="86"/>
    </row>
    <row r="117" spans="1:13" s="33" customFormat="1" hidden="1" x14ac:dyDescent="0.25">
      <c r="A117" s="105" t="s">
        <v>173</v>
      </c>
      <c r="B117" s="105"/>
      <c r="C117" s="105"/>
      <c r="D117" s="105"/>
      <c r="E117" s="105"/>
      <c r="F117" s="86"/>
      <c r="G117" s="86"/>
      <c r="H117" s="86"/>
    </row>
    <row r="118" spans="1:13" s="33" customFormat="1" hidden="1" x14ac:dyDescent="0.25">
      <c r="A118" s="105" t="s">
        <v>101</v>
      </c>
      <c r="B118" s="105"/>
      <c r="C118" s="105"/>
      <c r="D118" s="105"/>
      <c r="E118" s="105"/>
      <c r="F118" s="86"/>
      <c r="G118" s="86"/>
      <c r="H118" s="86"/>
    </row>
    <row r="119" spans="1:13" s="33" customFormat="1" hidden="1" x14ac:dyDescent="0.25">
      <c r="A119" s="105" t="s">
        <v>102</v>
      </c>
      <c r="B119" s="105"/>
      <c r="C119" s="105"/>
      <c r="D119" s="105"/>
      <c r="E119" s="105"/>
      <c r="F119" s="86"/>
      <c r="G119" s="86"/>
      <c r="H119" s="86"/>
    </row>
    <row r="120" spans="1:13" s="33" customFormat="1" hidden="1" x14ac:dyDescent="0.25">
      <c r="A120" s="105" t="s">
        <v>103</v>
      </c>
      <c r="B120" s="105"/>
      <c r="C120" s="105"/>
      <c r="D120" s="105"/>
      <c r="E120" s="105"/>
      <c r="F120" s="86"/>
      <c r="G120" s="86"/>
      <c r="H120" s="86"/>
    </row>
    <row r="121" spans="1:13" s="33" customFormat="1" hidden="1" x14ac:dyDescent="0.25">
      <c r="A121" s="105" t="s">
        <v>104</v>
      </c>
      <c r="B121" s="105"/>
      <c r="C121" s="105"/>
      <c r="D121" s="105"/>
      <c r="E121" s="105"/>
      <c r="F121" s="86"/>
      <c r="G121" s="86"/>
      <c r="H121" s="86"/>
    </row>
    <row r="122" spans="1:13" x14ac:dyDescent="0.25">
      <c r="A122" s="105" t="s">
        <v>53</v>
      </c>
      <c r="B122" s="105"/>
      <c r="C122" s="105"/>
      <c r="D122" s="105"/>
      <c r="E122" s="105"/>
      <c r="F122" s="86">
        <v>600000</v>
      </c>
      <c r="G122" s="86"/>
      <c r="H122" s="86"/>
      <c r="I122" s="66" t="s">
        <v>220</v>
      </c>
    </row>
    <row r="123" spans="1:13" s="34" customFormat="1" x14ac:dyDescent="0.25">
      <c r="A123" s="143" t="s">
        <v>54</v>
      </c>
      <c r="B123" s="143"/>
      <c r="C123" s="143"/>
      <c r="D123" s="143"/>
      <c r="E123" s="143"/>
      <c r="F123" s="86">
        <f>F111*0.8</f>
        <v>9200</v>
      </c>
      <c r="G123" s="86"/>
      <c r="H123" s="86"/>
      <c r="I123" s="66" t="s">
        <v>219</v>
      </c>
    </row>
    <row r="124" spans="1:13" s="35" customFormat="1" ht="15.75" customHeight="1" x14ac:dyDescent="0.25">
      <c r="A124" s="193" t="s">
        <v>79</v>
      </c>
      <c r="B124" s="193"/>
      <c r="C124" s="193"/>
      <c r="D124" s="193"/>
      <c r="E124" s="193"/>
      <c r="F124" s="193"/>
      <c r="G124" s="193"/>
      <c r="H124" s="193"/>
      <c r="I124" s="65" t="s">
        <v>218</v>
      </c>
    </row>
    <row r="125" spans="1:13" s="35" customFormat="1" ht="15.75" customHeight="1" x14ac:dyDescent="0.25">
      <c r="A125" s="197" t="s">
        <v>55</v>
      </c>
      <c r="B125" s="197"/>
      <c r="C125" s="201" t="s">
        <v>82</v>
      </c>
      <c r="D125" s="201"/>
      <c r="E125" s="85" t="s">
        <v>56</v>
      </c>
      <c r="F125" s="85"/>
      <c r="G125" s="197" t="s">
        <v>57</v>
      </c>
      <c r="H125" s="197"/>
      <c r="I125" s="65" t="s">
        <v>216</v>
      </c>
      <c r="L125" s="65"/>
    </row>
    <row r="126" spans="1:13" s="35" customFormat="1" x14ac:dyDescent="0.25">
      <c r="A126" s="194" t="s">
        <v>200</v>
      </c>
      <c r="B126" s="194"/>
      <c r="C126" s="121">
        <f>COUNT(D139:D144)</f>
        <v>6</v>
      </c>
      <c r="D126" s="198"/>
      <c r="E126" s="122">
        <f>SUM(D139:D144)</f>
        <v>1821.9227129999999</v>
      </c>
      <c r="F126" s="199"/>
      <c r="G126" s="122">
        <f>SUM(F139:F144)</f>
        <v>2915.0763408000003</v>
      </c>
      <c r="H126" s="199"/>
      <c r="J126" s="35" t="s">
        <v>214</v>
      </c>
      <c r="K126" s="35" t="s">
        <v>215</v>
      </c>
      <c r="L126" s="35" t="s">
        <v>117</v>
      </c>
      <c r="M126" s="35" t="s">
        <v>217</v>
      </c>
    </row>
    <row r="127" spans="1:13" s="35" customFormat="1" x14ac:dyDescent="0.25">
      <c r="A127" s="194" t="s">
        <v>201</v>
      </c>
      <c r="B127" s="194"/>
      <c r="C127" s="121">
        <f>COUNT(D146:D148)</f>
        <v>3</v>
      </c>
      <c r="D127" s="198"/>
      <c r="E127" s="122">
        <f>SUM(D146:D148)</f>
        <v>2764.3838248000002</v>
      </c>
      <c r="F127" s="199"/>
      <c r="G127" s="122">
        <f>SUM(F146:F148)</f>
        <v>4423.0141196799996</v>
      </c>
      <c r="H127" s="199"/>
      <c r="J127" s="35">
        <v>19500</v>
      </c>
      <c r="K127" s="64">
        <f>20000/1.55</f>
        <v>12903.225806451612</v>
      </c>
      <c r="L127" s="64">
        <f>7800000/F162</f>
        <v>13610.136285099688</v>
      </c>
      <c r="M127" s="64">
        <f>7000000/F154</f>
        <v>12214.22487124331</v>
      </c>
    </row>
    <row r="128" spans="1:13" s="35" customFormat="1" x14ac:dyDescent="0.25">
      <c r="A128" s="193" t="s">
        <v>160</v>
      </c>
      <c r="B128" s="193"/>
      <c r="C128" s="202">
        <f>SUM(C126:C127)</f>
        <v>9</v>
      </c>
      <c r="D128" s="201"/>
      <c r="E128" s="203">
        <f>SUM(E126:E127)</f>
        <v>4586.3065378000001</v>
      </c>
      <c r="F128" s="85"/>
      <c r="G128" s="197">
        <f>SUM(G126:G127)</f>
        <v>7338.0904604799998</v>
      </c>
      <c r="H128" s="197"/>
      <c r="L128" s="64">
        <f>9500000/F156</f>
        <v>11948.650483870259</v>
      </c>
      <c r="M128" s="64">
        <f>8700000/F156</f>
        <v>10942.448337860133</v>
      </c>
    </row>
    <row r="129" spans="1:14" s="35" customFormat="1" x14ac:dyDescent="0.25">
      <c r="A129" s="193" t="s">
        <v>73</v>
      </c>
      <c r="B129" s="193"/>
      <c r="C129" s="193"/>
      <c r="D129" s="193"/>
      <c r="E129" s="193"/>
      <c r="F129" s="193"/>
      <c r="G129" s="193"/>
      <c r="H129" s="193"/>
    </row>
    <row r="130" spans="1:14" s="35" customFormat="1" ht="15.75" customHeight="1" x14ac:dyDescent="0.25">
      <c r="A130" s="197" t="s">
        <v>55</v>
      </c>
      <c r="B130" s="197"/>
      <c r="C130" s="201" t="s">
        <v>82</v>
      </c>
      <c r="D130" s="201"/>
      <c r="E130" s="85" t="s">
        <v>56</v>
      </c>
      <c r="F130" s="85"/>
      <c r="G130" s="197" t="s">
        <v>57</v>
      </c>
      <c r="H130" s="197"/>
    </row>
    <row r="131" spans="1:14" s="35" customFormat="1" x14ac:dyDescent="0.25">
      <c r="A131" s="194" t="s">
        <v>207</v>
      </c>
      <c r="B131" s="194"/>
      <c r="C131" s="121">
        <f>COUNT(D153:D154)+COUNT(D156:D162)*18+COUNT(D164,D167:D170)*2+COUNT(D172,D175:D178)</f>
        <v>143</v>
      </c>
      <c r="D131" s="121"/>
      <c r="E131" s="122">
        <f t="shared" ref="E131" si="0">SUM(D153:D154)+SUM(D156:D162)*18+SUM(D164,D167:D170)*2+SUM(D172,D175:D178)</f>
        <v>60022.303966399995</v>
      </c>
      <c r="F131" s="122"/>
      <c r="G131" s="122">
        <f>SUM(F153:F154)+SUM(F156:F162)*18+SUM(F164,F167:F170)*2+SUM(F172,F175:F178)</f>
        <v>93034.571147920011</v>
      </c>
      <c r="H131" s="122"/>
    </row>
    <row r="132" spans="1:14" s="35" customFormat="1" hidden="1" x14ac:dyDescent="0.25">
      <c r="A132" s="194"/>
      <c r="B132" s="194"/>
      <c r="C132" s="198"/>
      <c r="D132" s="198"/>
      <c r="E132" s="199"/>
      <c r="F132" s="199"/>
      <c r="G132" s="200"/>
      <c r="H132" s="200"/>
    </row>
    <row r="133" spans="1:14" s="35" customFormat="1" hidden="1" x14ac:dyDescent="0.25">
      <c r="A133" s="193" t="s">
        <v>160</v>
      </c>
      <c r="B133" s="193"/>
      <c r="C133" s="201"/>
      <c r="D133" s="201"/>
      <c r="E133" s="85"/>
      <c r="F133" s="85"/>
      <c r="G133" s="197"/>
      <c r="H133" s="197"/>
    </row>
    <row r="134" spans="1:14" s="34" customFormat="1" x14ac:dyDescent="0.25">
      <c r="A134" s="160" t="s">
        <v>58</v>
      </c>
      <c r="B134" s="160"/>
      <c r="C134" s="160"/>
      <c r="D134" s="160"/>
      <c r="E134" s="160"/>
      <c r="F134" s="160"/>
      <c r="G134" s="160"/>
      <c r="H134" s="160"/>
    </row>
    <row r="135" spans="1:14" x14ac:dyDescent="0.25">
      <c r="A135" s="160" t="s">
        <v>59</v>
      </c>
      <c r="B135" s="160"/>
      <c r="C135" s="160"/>
      <c r="D135" s="160"/>
      <c r="E135" s="160"/>
      <c r="F135" s="160"/>
      <c r="G135" s="160"/>
      <c r="H135" s="160"/>
    </row>
    <row r="136" spans="1:14" ht="47.25" customHeight="1" x14ac:dyDescent="0.25">
      <c r="A136" s="106" t="s">
        <v>125</v>
      </c>
      <c r="B136" s="106" t="s">
        <v>124</v>
      </c>
      <c r="C136" s="106" t="s">
        <v>60</v>
      </c>
      <c r="D136" s="106" t="s">
        <v>61</v>
      </c>
      <c r="E136" s="131" t="s">
        <v>166</v>
      </c>
      <c r="F136" s="43" t="s">
        <v>159</v>
      </c>
      <c r="G136" s="117" t="s">
        <v>63</v>
      </c>
      <c r="H136" s="133"/>
      <c r="K136" s="67" t="s">
        <v>200</v>
      </c>
      <c r="L136" s="67" t="s">
        <v>201</v>
      </c>
    </row>
    <row r="137" spans="1:14" s="37" customFormat="1" x14ac:dyDescent="0.25">
      <c r="A137" s="107"/>
      <c r="B137" s="107"/>
      <c r="C137" s="107"/>
      <c r="D137" s="107"/>
      <c r="E137" s="132"/>
      <c r="F137" s="13">
        <v>0.6</v>
      </c>
      <c r="G137" s="118"/>
      <c r="H137" s="134"/>
      <c r="J137" s="53">
        <v>10.763999999999999</v>
      </c>
      <c r="K137" s="36">
        <f>7600000/F140</f>
        <v>25757.23142406093</v>
      </c>
      <c r="L137" s="68">
        <f>17000000/F147</f>
        <v>15468.709842774288</v>
      </c>
    </row>
    <row r="138" spans="1:14" s="37" customFormat="1" x14ac:dyDescent="0.25">
      <c r="A138" s="128" t="s">
        <v>199</v>
      </c>
      <c r="B138" s="129"/>
      <c r="C138" s="129"/>
      <c r="D138" s="129"/>
      <c r="E138" s="129"/>
      <c r="F138" s="129"/>
      <c r="G138" s="129"/>
      <c r="H138" s="130"/>
      <c r="J138" s="36"/>
      <c r="K138" s="36">
        <f>9800000/F141</f>
        <v>20844.029936491868</v>
      </c>
      <c r="L138" s="68">
        <f>31000000/F148</f>
        <v>15827.978170764867</v>
      </c>
    </row>
    <row r="139" spans="1:14" s="37" customFormat="1" ht="15.75" customHeight="1" x14ac:dyDescent="0.25">
      <c r="A139" s="108">
        <v>1</v>
      </c>
      <c r="B139" s="109"/>
      <c r="C139" s="42" t="s">
        <v>200</v>
      </c>
      <c r="D139" s="57">
        <f>(4.13*6.65+3.5*4.29+0.5*4.13*0.4)*10.764</f>
        <v>466.14040199999999</v>
      </c>
      <c r="E139" s="42">
        <v>0</v>
      </c>
      <c r="F139" s="42">
        <f>(D139+E139)*(($F$137)+1)</f>
        <v>745.82464320000008</v>
      </c>
      <c r="G139" s="78" t="str">
        <f>A138</f>
        <v>Ground Floor For Commercial &amp; Society Office</v>
      </c>
      <c r="H139" s="79"/>
      <c r="I139" s="36"/>
      <c r="K139" s="36">
        <f>AVERAGE(K137:K138)</f>
        <v>23300.630680276401</v>
      </c>
      <c r="L139" s="68">
        <f>AVERAGE(L137:L138)</f>
        <v>15648.344006769577</v>
      </c>
      <c r="M139" s="69"/>
      <c r="N139" s="36"/>
    </row>
    <row r="140" spans="1:14" s="37" customFormat="1" ht="15.75" customHeight="1" x14ac:dyDescent="0.25">
      <c r="A140" s="108">
        <f t="shared" ref="A140:A144" si="1">A139+1</f>
        <v>2</v>
      </c>
      <c r="B140" s="109"/>
      <c r="C140" s="42" t="s">
        <v>200</v>
      </c>
      <c r="D140" s="53">
        <f>(2.75*6.03+0.5*2.75*0.4)*10.764</f>
        <v>184.41423</v>
      </c>
      <c r="E140" s="42">
        <v>0</v>
      </c>
      <c r="F140" s="42">
        <f>(D140+E140)*(($F$137)+1)</f>
        <v>295.06276800000001</v>
      </c>
      <c r="G140" s="80"/>
      <c r="H140" s="81"/>
      <c r="I140" s="36"/>
      <c r="L140" s="76"/>
      <c r="M140" s="76"/>
      <c r="N140" s="36"/>
    </row>
    <row r="141" spans="1:14" s="37" customFormat="1" ht="15.75" customHeight="1" x14ac:dyDescent="0.25">
      <c r="A141" s="108">
        <f t="shared" si="1"/>
        <v>3</v>
      </c>
      <c r="B141" s="109"/>
      <c r="C141" s="42" t="s">
        <v>200</v>
      </c>
      <c r="D141" s="53">
        <f>(3.99*4.88+0.75*2.73+0.5*2.03*3.23+0.5*1.31*3.82)*10.764</f>
        <v>293.84912699999995</v>
      </c>
      <c r="E141" s="42">
        <v>0</v>
      </c>
      <c r="F141" s="42">
        <f t="shared" ref="F141:F142" si="2">(D141+E141)*(($F$137)+1)</f>
        <v>470.15860319999996</v>
      </c>
      <c r="G141" s="80"/>
      <c r="H141" s="81"/>
      <c r="I141" s="36"/>
      <c r="L141" s="76"/>
      <c r="M141" s="76"/>
      <c r="N141" s="36"/>
    </row>
    <row r="142" spans="1:14" s="37" customFormat="1" ht="15.75" customHeight="1" x14ac:dyDescent="0.25">
      <c r="A142" s="108">
        <f t="shared" si="1"/>
        <v>4</v>
      </c>
      <c r="B142" s="109"/>
      <c r="C142" s="42" t="s">
        <v>200</v>
      </c>
      <c r="D142" s="53">
        <f>(4.25*4.88+0.75*2.73)*10.764</f>
        <v>245.28464999999997</v>
      </c>
      <c r="E142" s="42">
        <v>0</v>
      </c>
      <c r="F142" s="42">
        <f t="shared" si="2"/>
        <v>392.45543999999995</v>
      </c>
      <c r="G142" s="80"/>
      <c r="H142" s="81"/>
      <c r="I142" s="36"/>
      <c r="L142" s="76"/>
      <c r="M142" s="76"/>
      <c r="N142" s="36"/>
    </row>
    <row r="143" spans="1:14" s="37" customFormat="1" ht="15.75" customHeight="1" x14ac:dyDescent="0.25">
      <c r="A143" s="108">
        <f t="shared" si="1"/>
        <v>5</v>
      </c>
      <c r="B143" s="109"/>
      <c r="C143" s="42" t="s">
        <v>200</v>
      </c>
      <c r="D143" s="53">
        <f>(5.65*4.48)*10.764</f>
        <v>272.45836800000001</v>
      </c>
      <c r="E143" s="42">
        <v>0</v>
      </c>
      <c r="F143" s="42">
        <f t="shared" ref="F143:F144" si="3">(D143+E143)*(($F$137)+1)</f>
        <v>435.93338880000005</v>
      </c>
      <c r="G143" s="80"/>
      <c r="H143" s="81"/>
      <c r="I143" s="36"/>
      <c r="L143" s="76"/>
      <c r="M143" s="76"/>
      <c r="N143" s="36"/>
    </row>
    <row r="144" spans="1:14" s="37" customFormat="1" ht="15.75" customHeight="1" x14ac:dyDescent="0.25">
      <c r="A144" s="108">
        <f t="shared" si="1"/>
        <v>6</v>
      </c>
      <c r="B144" s="109"/>
      <c r="C144" s="42" t="s">
        <v>200</v>
      </c>
      <c r="D144" s="53">
        <f>(4*4.48+1.05*4.48+4*2.7)*10.764</f>
        <v>359.77593600000006</v>
      </c>
      <c r="E144" s="42">
        <v>0</v>
      </c>
      <c r="F144" s="42">
        <f t="shared" si="3"/>
        <v>575.64149760000009</v>
      </c>
      <c r="G144" s="82"/>
      <c r="H144" s="83"/>
      <c r="I144" s="36"/>
      <c r="L144" s="76"/>
      <c r="M144" s="76"/>
      <c r="N144" s="36"/>
    </row>
    <row r="145" spans="1:14" s="37" customFormat="1" x14ac:dyDescent="0.25">
      <c r="A145" s="128" t="s">
        <v>226</v>
      </c>
      <c r="B145" s="129"/>
      <c r="C145" s="129"/>
      <c r="D145" s="129"/>
      <c r="E145" s="129"/>
      <c r="F145" s="129"/>
      <c r="G145" s="129"/>
      <c r="H145" s="130"/>
      <c r="J145" s="36"/>
    </row>
    <row r="146" spans="1:14" s="37" customFormat="1" ht="15.75" customHeight="1" x14ac:dyDescent="0.25">
      <c r="A146" s="108">
        <v>1</v>
      </c>
      <c r="B146" s="109"/>
      <c r="C146" s="42" t="s">
        <v>201</v>
      </c>
      <c r="D146" s="53">
        <f>(3.16*2.72+5.8*4.83+3.05*2.75+4*2.75+5.05*2.45+1.15*1.3+1.8*1.15+0.75*(5.8+4))*10.764</f>
        <v>853.41512879999993</v>
      </c>
      <c r="E146" s="42">
        <v>0</v>
      </c>
      <c r="F146" s="42">
        <f>(D146+E146)*(($F$137)+1)</f>
        <v>1365.4642060799999</v>
      </c>
      <c r="G146" s="78" t="str">
        <f>A145</f>
        <v>1st Floor For Commercial  &amp; Residential</v>
      </c>
      <c r="H146" s="79"/>
      <c r="I146" s="36"/>
      <c r="L146" s="76"/>
      <c r="M146" s="76"/>
      <c r="N146" s="36"/>
    </row>
    <row r="147" spans="1:14" s="37" customFormat="1" ht="15.75" customHeight="1" x14ac:dyDescent="0.25">
      <c r="A147" s="108">
        <f t="shared" ref="A147:A148" si="4">A146+1</f>
        <v>2</v>
      </c>
      <c r="B147" s="109"/>
      <c r="C147" s="42" t="s">
        <v>201</v>
      </c>
      <c r="D147" s="53">
        <f>(1.95*5.65+1*5.3+2.95*3.5+1.15*2+4.25*4.01+2.75*2.23+0.75*(1+1.95+2.95+4.25+2+2.75))*10.764+3.17+2.42</f>
        <v>686.87046999999995</v>
      </c>
      <c r="E147" s="42">
        <v>0</v>
      </c>
      <c r="F147" s="42">
        <f t="shared" ref="F147:F148" si="5">(D147+E147)*(($F$137)+1)</f>
        <v>1098.9927519999999</v>
      </c>
      <c r="G147" s="80"/>
      <c r="H147" s="81"/>
      <c r="I147" s="54">
        <f>0.5*2.2*2.2</f>
        <v>2.4200000000000004</v>
      </c>
      <c r="J147" s="37">
        <f>0.5*2.4*2</f>
        <v>2.4</v>
      </c>
      <c r="L147" s="76"/>
      <c r="M147" s="76"/>
      <c r="N147" s="36"/>
    </row>
    <row r="148" spans="1:14" s="37" customFormat="1" ht="15.75" customHeight="1" x14ac:dyDescent="0.25">
      <c r="A148" s="108">
        <f t="shared" si="4"/>
        <v>3</v>
      </c>
      <c r="B148" s="109"/>
      <c r="C148" s="42" t="s">
        <v>201</v>
      </c>
      <c r="D148" s="53">
        <f>(3.13+7.1*5.42+4.38*2.65+0.89*1+3.5*4+2.15*1.1+2*1.1+5.95*1.45+2.9*1.55+5.05*2.45+1.1*1.9+0.75*(5.55+4.85+4.65+2.9))*10.764</f>
        <v>1224.0982260000001</v>
      </c>
      <c r="E148" s="42">
        <v>0</v>
      </c>
      <c r="F148" s="42">
        <f t="shared" si="5"/>
        <v>1958.5571616000002</v>
      </c>
      <c r="G148" s="82"/>
      <c r="H148" s="83"/>
      <c r="I148" s="36"/>
      <c r="L148" s="76"/>
      <c r="M148" s="76"/>
      <c r="N148" s="36"/>
    </row>
    <row r="149" spans="1:14" s="37" customFormat="1" x14ac:dyDescent="0.25">
      <c r="A149" s="108"/>
      <c r="B149" s="116"/>
      <c r="C149" s="116"/>
      <c r="D149" s="116"/>
      <c r="E149" s="116"/>
      <c r="F149" s="116"/>
      <c r="G149" s="116"/>
      <c r="H149" s="109"/>
      <c r="I149" s="36"/>
      <c r="N149" s="36"/>
    </row>
    <row r="150" spans="1:14" ht="47.25" customHeight="1" x14ac:dyDescent="0.25">
      <c r="A150" s="117" t="s">
        <v>126</v>
      </c>
      <c r="B150" s="117" t="s">
        <v>127</v>
      </c>
      <c r="C150" s="106" t="s">
        <v>60</v>
      </c>
      <c r="D150" s="106" t="s">
        <v>61</v>
      </c>
      <c r="E150" s="131" t="s">
        <v>62</v>
      </c>
      <c r="F150" s="43" t="s">
        <v>159</v>
      </c>
      <c r="G150" s="117" t="s">
        <v>63</v>
      </c>
      <c r="H150" s="133"/>
      <c r="I150" s="36"/>
    </row>
    <row r="151" spans="1:14" s="37" customFormat="1" x14ac:dyDescent="0.25">
      <c r="A151" s="118"/>
      <c r="B151" s="118"/>
      <c r="C151" s="107"/>
      <c r="D151" s="107"/>
      <c r="E151" s="132"/>
      <c r="F151" s="13">
        <v>0.55000000000000004</v>
      </c>
      <c r="G151" s="118"/>
      <c r="H151" s="134"/>
      <c r="I151" s="36"/>
    </row>
    <row r="152" spans="1:14" s="37" customFormat="1" x14ac:dyDescent="0.25">
      <c r="A152" s="128" t="s">
        <v>226</v>
      </c>
      <c r="B152" s="129"/>
      <c r="C152" s="129"/>
      <c r="D152" s="129"/>
      <c r="E152" s="129"/>
      <c r="F152" s="129"/>
      <c r="G152" s="129"/>
      <c r="H152" s="130"/>
      <c r="J152" s="36"/>
    </row>
    <row r="153" spans="1:14" s="37" customFormat="1" ht="15.75" customHeight="1" x14ac:dyDescent="0.25">
      <c r="A153" s="108">
        <v>6</v>
      </c>
      <c r="B153" s="109"/>
      <c r="C153" s="42" t="s">
        <v>202</v>
      </c>
      <c r="D153" s="53">
        <f>(2.75*3.8+2.25*2.45+2.75*3.5+1.4*0.9+2*1.1+1.1*2.15)*10.764+30+2.12</f>
        <v>370.24414999999999</v>
      </c>
      <c r="E153" s="42">
        <v>0</v>
      </c>
      <c r="F153" s="42">
        <f>D153*(($F$151)+1)+(IF(E153&lt;101,E153,IF(E153&lt;201,E153/2,IF(E153&lt;=301,E153/3,E153/4))))</f>
        <v>573.87843250000003</v>
      </c>
      <c r="G153" s="78" t="str">
        <f>A152</f>
        <v>1st Floor For Commercial  &amp; Residential</v>
      </c>
      <c r="H153" s="79"/>
      <c r="I153" s="36">
        <f t="shared" ref="I153:I162" si="6">12500*F153</f>
        <v>7173480.40625</v>
      </c>
      <c r="J153" s="37">
        <f t="shared" ref="J153:J162" si="7">11000*F153</f>
        <v>6312662.7575000003</v>
      </c>
      <c r="L153" s="76"/>
      <c r="M153" s="76"/>
      <c r="N153" s="36"/>
    </row>
    <row r="154" spans="1:14" s="37" customFormat="1" ht="15.75" customHeight="1" x14ac:dyDescent="0.25">
      <c r="A154" s="108">
        <f t="shared" ref="A154" si="8">A153+1</f>
        <v>7</v>
      </c>
      <c r="B154" s="109"/>
      <c r="C154" s="42" t="s">
        <v>202</v>
      </c>
      <c r="D154" s="53">
        <f>(2.75*4.2+2.1*2.45+1*2.37+1.4*0.9+2.75*3.5+1.1*2+2*1.1)*10.764</f>
        <v>369.74340000000007</v>
      </c>
      <c r="E154" s="42">
        <v>0</v>
      </c>
      <c r="F154" s="42">
        <f>D154*(($F$151)+1)+(IF(E154&lt;101,E154,IF(E154&lt;201,E154/2,IF(E154&lt;=301,E154/3,E154/4))))</f>
        <v>573.10227000000009</v>
      </c>
      <c r="G154" s="82"/>
      <c r="H154" s="83"/>
      <c r="I154" s="36">
        <f t="shared" si="6"/>
        <v>7163778.3750000009</v>
      </c>
      <c r="J154" s="37">
        <f t="shared" si="7"/>
        <v>6304124.9700000007</v>
      </c>
      <c r="L154" s="76"/>
      <c r="M154" s="76"/>
      <c r="N154" s="36"/>
    </row>
    <row r="155" spans="1:14" s="37" customFormat="1" x14ac:dyDescent="0.25">
      <c r="A155" s="75" t="s">
        <v>227</v>
      </c>
      <c r="B155" s="75"/>
      <c r="C155" s="75"/>
      <c r="D155" s="75"/>
      <c r="E155" s="75"/>
      <c r="F155" s="75"/>
      <c r="G155" s="75"/>
      <c r="H155" s="75"/>
      <c r="I155" s="36">
        <f t="shared" si="6"/>
        <v>0</v>
      </c>
      <c r="J155" s="37">
        <f t="shared" si="7"/>
        <v>0</v>
      </c>
      <c r="L155" s="76"/>
      <c r="M155" s="76"/>
    </row>
    <row r="156" spans="1:14" s="37" customFormat="1" ht="15.75" customHeight="1" x14ac:dyDescent="0.25">
      <c r="A156" s="77">
        <v>1</v>
      </c>
      <c r="B156" s="77"/>
      <c r="C156" s="42" t="s">
        <v>203</v>
      </c>
      <c r="D156" s="53">
        <f>(2.75*4.83+1.05*1.48+2*3.75+2.9*2.45+4*2.75+2.1*1.15+1.85*1.15+0.9*1.45+1.05*1.3)*10.764</f>
        <v>512.94765600000005</v>
      </c>
      <c r="E156" s="42">
        <v>0</v>
      </c>
      <c r="F156" s="42">
        <f t="shared" ref="F156:F157" si="9">D156*(($F$151)+1)+(IF(E156&lt;101,E156,IF(E156&lt;201,E156/2,IF(E156&lt;=301,E156/3,E156/4))))</f>
        <v>795.06886680000014</v>
      </c>
      <c r="G156" s="78" t="str">
        <f>A155</f>
        <v>2nd to 6th, 8th to 13th, 15th to 20th &amp; 22nd Floor</v>
      </c>
      <c r="H156" s="79"/>
      <c r="I156" s="36">
        <f t="shared" si="6"/>
        <v>9938360.8350000009</v>
      </c>
      <c r="J156" s="37">
        <f t="shared" si="7"/>
        <v>8745757.5348000024</v>
      </c>
      <c r="N156" s="36"/>
    </row>
    <row r="157" spans="1:14" s="37" customFormat="1" ht="15.75" customHeight="1" x14ac:dyDescent="0.25">
      <c r="A157" s="77">
        <v>2</v>
      </c>
      <c r="B157" s="77"/>
      <c r="C157" s="42" t="s">
        <v>202</v>
      </c>
      <c r="D157" s="53">
        <f>(2.75*4.85+2.1*3.5+2.75*3.5+2*1.1+1.1*2+1*0.9)*10.764</f>
        <v>383.33295000000004</v>
      </c>
      <c r="E157" s="42">
        <v>0</v>
      </c>
      <c r="F157" s="42">
        <f t="shared" si="9"/>
        <v>594.16607250000004</v>
      </c>
      <c r="G157" s="80"/>
      <c r="H157" s="81"/>
      <c r="I157" s="36">
        <f t="shared" si="6"/>
        <v>7427075.9062500009</v>
      </c>
      <c r="J157" s="37">
        <f t="shared" si="7"/>
        <v>6535826.7975000003</v>
      </c>
      <c r="L157" s="37">
        <f>7900000/F160</f>
        <v>13480.480456268191</v>
      </c>
      <c r="N157" s="36"/>
    </row>
    <row r="158" spans="1:14" s="37" customFormat="1" ht="15.75" customHeight="1" x14ac:dyDescent="0.25">
      <c r="A158" s="77">
        <v>3</v>
      </c>
      <c r="B158" s="77"/>
      <c r="C158" s="42" t="s">
        <v>202</v>
      </c>
      <c r="D158" s="53">
        <f>(4.48*2.75+2.75*3.5+2*1.1+1.1*2+2.1*3.5)*10.764+20+30</f>
        <v>412.69297999999998</v>
      </c>
      <c r="E158" s="42">
        <v>0</v>
      </c>
      <c r="F158" s="42">
        <f>D158*(($F$151)+1)+(IF(E158&lt;101,E158,IF(E158&lt;201,E158/2,IF(E158&lt;=301,E158/3,E158/4))))</f>
        <v>639.67411900000002</v>
      </c>
      <c r="G158" s="80"/>
      <c r="H158" s="81"/>
      <c r="I158" s="36">
        <f t="shared" si="6"/>
        <v>7995926.4874999998</v>
      </c>
      <c r="J158" s="37">
        <f t="shared" si="7"/>
        <v>7036415.3090000004</v>
      </c>
      <c r="N158" s="36"/>
    </row>
    <row r="159" spans="1:14" s="37" customFormat="1" ht="15.75" customHeight="1" x14ac:dyDescent="0.25">
      <c r="A159" s="77">
        <v>4</v>
      </c>
      <c r="B159" s="77"/>
      <c r="C159" s="42" t="s">
        <v>203</v>
      </c>
      <c r="D159" s="53">
        <f>(4.79*2.75+1.94*1.05+3.75*2+2.45*2.9+2.75*3.15+2.11*0.86+1.15*1.85+1.15*2.1+1.15*1.05+1.45*0.9)*10.764</f>
        <v>509.63880239999992</v>
      </c>
      <c r="E159" s="42">
        <v>0</v>
      </c>
      <c r="F159" s="42">
        <f>D159*(($F$151)+1)+(IF(E159&lt;101,E159,IF(E159&lt;201,E159/2,IF(E159&lt;=301,E159/3,E159/4))))</f>
        <v>789.94014371999992</v>
      </c>
      <c r="G159" s="80"/>
      <c r="H159" s="81"/>
      <c r="I159" s="36">
        <f t="shared" si="6"/>
        <v>9874251.7964999992</v>
      </c>
      <c r="J159" s="37">
        <f t="shared" si="7"/>
        <v>8689341.5809199996</v>
      </c>
      <c r="N159" s="36"/>
    </row>
    <row r="160" spans="1:14" s="37" customFormat="1" ht="15.75" customHeight="1" x14ac:dyDescent="0.25">
      <c r="A160" s="77">
        <v>5</v>
      </c>
      <c r="B160" s="77"/>
      <c r="C160" s="42" t="s">
        <v>202</v>
      </c>
      <c r="D160" s="53">
        <f>(2.75*4.38+1*2.65+2.1*2.45+2.75*3.5+1.1*2+2*1.1+1.4*0.9)*10.764</f>
        <v>378.08549999999997</v>
      </c>
      <c r="E160" s="42">
        <v>0</v>
      </c>
      <c r="F160" s="42">
        <f>D160*(($F$151)+1)+(IF(E160&lt;101,E160,IF(E160&lt;201,E160/2,IF(E160&lt;=301,E160/3,E160/4))))</f>
        <v>586.03252499999996</v>
      </c>
      <c r="G160" s="80"/>
      <c r="H160" s="81"/>
      <c r="I160" s="36">
        <f t="shared" si="6"/>
        <v>7325406.5625</v>
      </c>
      <c r="J160" s="37">
        <f t="shared" si="7"/>
        <v>6446357.7749999994</v>
      </c>
      <c r="N160" s="36"/>
    </row>
    <row r="161" spans="1:14" s="37" customFormat="1" ht="15.75" customHeight="1" x14ac:dyDescent="0.25">
      <c r="A161" s="77">
        <v>6</v>
      </c>
      <c r="B161" s="77"/>
      <c r="C161" s="42" t="s">
        <v>202</v>
      </c>
      <c r="D161" s="53">
        <f>(2.75*3.8+2.25*2.45+2.75*3.5+1.4*0.9+2*1.1+1.1*2.15)*10.764+2.12+30</f>
        <v>370.24414999999999</v>
      </c>
      <c r="E161" s="42">
        <v>0</v>
      </c>
      <c r="F161" s="42">
        <f>D161*(($F$151)+1)+(IF(E161&lt;101,E161,IF(E161&lt;201,E161/2,IF(E161&lt;=301,E161/3,E161/4))))</f>
        <v>573.87843250000003</v>
      </c>
      <c r="G161" s="80"/>
      <c r="H161" s="81"/>
      <c r="I161" s="36">
        <f t="shared" si="6"/>
        <v>7173480.40625</v>
      </c>
      <c r="J161" s="37">
        <f t="shared" si="7"/>
        <v>6312662.7575000003</v>
      </c>
      <c r="N161" s="36"/>
    </row>
    <row r="162" spans="1:14" s="37" customFormat="1" ht="15.75" customHeight="1" x14ac:dyDescent="0.25">
      <c r="A162" s="77">
        <v>7</v>
      </c>
      <c r="B162" s="77"/>
      <c r="C162" s="42" t="s">
        <v>202</v>
      </c>
      <c r="D162" s="53">
        <f>(2.75*4.2+2.1*2.45+1*2.37+1.4*0.9+2.75*3.5+1.1*2+2*1.1)*10.764</f>
        <v>369.74340000000007</v>
      </c>
      <c r="E162" s="42">
        <v>0</v>
      </c>
      <c r="F162" s="42">
        <f>D162*(($F$151)+1)+(IF(E162&lt;101,E162,IF(E162&lt;201,E162/2,IF(E162&lt;=301,E162/3,E162/4))))</f>
        <v>573.10227000000009</v>
      </c>
      <c r="G162" s="82"/>
      <c r="H162" s="83"/>
      <c r="I162" s="36">
        <f t="shared" si="6"/>
        <v>7163778.3750000009</v>
      </c>
      <c r="J162" s="37">
        <f t="shared" si="7"/>
        <v>6304124.9700000007</v>
      </c>
      <c r="N162" s="36"/>
    </row>
    <row r="163" spans="1:14" s="37" customFormat="1" x14ac:dyDescent="0.25">
      <c r="A163" s="75" t="s">
        <v>204</v>
      </c>
      <c r="B163" s="75"/>
      <c r="C163" s="75"/>
      <c r="D163" s="75"/>
      <c r="E163" s="75"/>
      <c r="F163" s="75"/>
      <c r="G163" s="75"/>
      <c r="H163" s="75"/>
      <c r="I163" s="36"/>
      <c r="L163" s="76"/>
      <c r="M163" s="76"/>
    </row>
    <row r="164" spans="1:14" s="37" customFormat="1" ht="15.75" customHeight="1" x14ac:dyDescent="0.25">
      <c r="A164" s="77">
        <v>1</v>
      </c>
      <c r="B164" s="77"/>
      <c r="C164" s="42" t="s">
        <v>203</v>
      </c>
      <c r="D164" s="53">
        <f>(2.75*4.83+1.05*1.48+2*3.75+2.9*2.45+4*2.75+2.1*1.15+1.85*1.15+0.9*1.45+1.05*1.3)*10.764</f>
        <v>512.94765600000005</v>
      </c>
      <c r="E164" s="42">
        <v>0</v>
      </c>
      <c r="F164" s="42">
        <f t="shared" ref="F164" si="10">D164*(($F$151)+1)+(IF(E164&lt;101,E164,IF(E164&lt;201,E164/2,IF(E164&lt;=301,E164/3,E164/4))))</f>
        <v>795.06886680000014</v>
      </c>
      <c r="G164" s="78" t="str">
        <f>A163</f>
        <v>7th &amp; 14th Floor (Part Refuge Area)</v>
      </c>
      <c r="H164" s="79"/>
      <c r="I164" s="36"/>
      <c r="N164" s="36"/>
    </row>
    <row r="165" spans="1:14" s="37" customFormat="1" ht="15.75" customHeight="1" x14ac:dyDescent="0.25">
      <c r="A165" s="77">
        <v>2</v>
      </c>
      <c r="B165" s="77"/>
      <c r="C165" s="78" t="s">
        <v>205</v>
      </c>
      <c r="D165" s="84"/>
      <c r="E165" s="84"/>
      <c r="F165" s="79"/>
      <c r="G165" s="80"/>
      <c r="H165" s="81"/>
      <c r="I165" s="36"/>
      <c r="N165" s="36"/>
    </row>
    <row r="166" spans="1:14" s="37" customFormat="1" ht="15.75" customHeight="1" x14ac:dyDescent="0.25">
      <c r="A166" s="77">
        <v>3</v>
      </c>
      <c r="B166" s="77"/>
      <c r="C166" s="82"/>
      <c r="D166" s="214"/>
      <c r="E166" s="214"/>
      <c r="F166" s="83"/>
      <c r="G166" s="80"/>
      <c r="H166" s="81"/>
      <c r="I166" s="36"/>
      <c r="N166" s="36"/>
    </row>
    <row r="167" spans="1:14" s="37" customFormat="1" ht="15.75" customHeight="1" x14ac:dyDescent="0.25">
      <c r="A167" s="77">
        <v>4</v>
      </c>
      <c r="B167" s="77"/>
      <c r="C167" s="42" t="s">
        <v>203</v>
      </c>
      <c r="D167" s="53">
        <f>(4.79*2.75+1.94*1.05+3.75*2+2.45*2.9+2.75*3.15+2.11*0.86+1.15*1.85+1.15*2.1+1.15*1.05+1.45*0.9)*10.764</f>
        <v>509.63880239999992</v>
      </c>
      <c r="E167" s="42">
        <v>0</v>
      </c>
      <c r="F167" s="42">
        <f>D167*(($F$151)+1)+(IF(E167&lt;101,E167,IF(E167&lt;201,E167/2,IF(E167&lt;=301,E167/3,E167/4))))</f>
        <v>789.94014371999992</v>
      </c>
      <c r="G167" s="80"/>
      <c r="H167" s="81"/>
      <c r="I167" s="36"/>
      <c r="N167" s="36"/>
    </row>
    <row r="168" spans="1:14" s="37" customFormat="1" ht="15.75" customHeight="1" x14ac:dyDescent="0.25">
      <c r="A168" s="77">
        <v>5</v>
      </c>
      <c r="B168" s="77"/>
      <c r="C168" s="42" t="s">
        <v>202</v>
      </c>
      <c r="D168" s="53">
        <f>(2.75*4.38+1*2.65+2.1*2.45+2.75*3.5+1.1*2+2*1.1+1.4*0.9)*10.764</f>
        <v>378.08549999999997</v>
      </c>
      <c r="E168" s="42">
        <v>0</v>
      </c>
      <c r="F168" s="42">
        <f>D168*(($F$151)+1)+(IF(E168&lt;101,E168,IF(E168&lt;201,E168/2,IF(E168&lt;=301,E168/3,E168/4))))</f>
        <v>586.03252499999996</v>
      </c>
      <c r="G168" s="80"/>
      <c r="H168" s="81"/>
      <c r="I168" s="36"/>
      <c r="N168" s="36"/>
    </row>
    <row r="169" spans="1:14" s="37" customFormat="1" ht="15.75" customHeight="1" x14ac:dyDescent="0.25">
      <c r="A169" s="77">
        <v>6</v>
      </c>
      <c r="B169" s="77"/>
      <c r="C169" s="42" t="s">
        <v>202</v>
      </c>
      <c r="D169" s="53">
        <f>(2.75*3.8+2.25*2.45+2.75*3.5+1.4*0.9+2*1.1+1.1*2.15)*10.764+2.12+30</f>
        <v>370.24414999999999</v>
      </c>
      <c r="E169" s="42">
        <v>0</v>
      </c>
      <c r="F169" s="42">
        <f>D169*(($F$151)+1)+(IF(E169&lt;101,E169,IF(E169&lt;201,E169/2,IF(E169&lt;=301,E169/3,E169/4))))</f>
        <v>573.87843250000003</v>
      </c>
      <c r="G169" s="80"/>
      <c r="H169" s="81"/>
      <c r="I169" s="36"/>
      <c r="N169" s="36"/>
    </row>
    <row r="170" spans="1:14" s="37" customFormat="1" ht="15.75" customHeight="1" x14ac:dyDescent="0.25">
      <c r="A170" s="77">
        <v>7</v>
      </c>
      <c r="B170" s="77"/>
      <c r="C170" s="42" t="s">
        <v>202</v>
      </c>
      <c r="D170" s="53">
        <f>(2.75*4.2+2.1*2.45+1*2.37+1.4*0.9+2.75*3.5+1.1*2+2*1.1)*10.764</f>
        <v>369.74340000000007</v>
      </c>
      <c r="E170" s="42">
        <v>0</v>
      </c>
      <c r="F170" s="42">
        <f>D170*(($F$151)+1)+(IF(E170&lt;101,E170,IF(E170&lt;201,E170/2,IF(E170&lt;=301,E170/3,E170/4))))</f>
        <v>573.10227000000009</v>
      </c>
      <c r="G170" s="82"/>
      <c r="H170" s="83"/>
      <c r="I170" s="36"/>
      <c r="N170" s="36"/>
    </row>
    <row r="171" spans="1:14" s="37" customFormat="1" x14ac:dyDescent="0.25">
      <c r="A171" s="75" t="s">
        <v>228</v>
      </c>
      <c r="B171" s="75"/>
      <c r="C171" s="75"/>
      <c r="D171" s="75"/>
      <c r="E171" s="75"/>
      <c r="F171" s="75"/>
      <c r="G171" s="75"/>
      <c r="H171" s="75"/>
      <c r="I171" s="36"/>
      <c r="L171" s="76"/>
      <c r="M171" s="76"/>
    </row>
    <row r="172" spans="1:14" s="37" customFormat="1" ht="15.75" customHeight="1" x14ac:dyDescent="0.25">
      <c r="A172" s="77">
        <v>1</v>
      </c>
      <c r="B172" s="77"/>
      <c r="C172" s="42" t="s">
        <v>203</v>
      </c>
      <c r="D172" s="53">
        <f>(2.75*4.83+1.05*1.48+2*3.75+2.9*2.45+4*2.75+2.1*1.15+1.85*1.15+0.9*1.45+1.05*1.3)*10.764</f>
        <v>512.94765600000005</v>
      </c>
      <c r="E172" s="42">
        <v>0</v>
      </c>
      <c r="F172" s="42">
        <f t="shared" ref="F172" si="11">D172*(($F$151)+1)+(IF(E172&lt;101,E172,IF(E172&lt;201,E172/2,IF(E172&lt;=301,E172/3,E172/4))))</f>
        <v>795.06886680000014</v>
      </c>
      <c r="G172" s="78" t="str">
        <f>A171</f>
        <v>21st Floor (Part Refuge Area &amp; Fitness Center)</v>
      </c>
      <c r="H172" s="79"/>
      <c r="I172" s="36"/>
      <c r="N172" s="36"/>
    </row>
    <row r="173" spans="1:14" s="37" customFormat="1" ht="15.75" customHeight="1" x14ac:dyDescent="0.25">
      <c r="A173" s="77">
        <v>2</v>
      </c>
      <c r="B173" s="77"/>
      <c r="C173" s="78" t="s">
        <v>205</v>
      </c>
      <c r="D173" s="84"/>
      <c r="E173" s="84"/>
      <c r="F173" s="79"/>
      <c r="G173" s="80"/>
      <c r="H173" s="81"/>
      <c r="I173" s="36"/>
      <c r="N173" s="36"/>
    </row>
    <row r="174" spans="1:14" s="37" customFormat="1" ht="15.75" customHeight="1" x14ac:dyDescent="0.25">
      <c r="A174" s="77">
        <v>3</v>
      </c>
      <c r="B174" s="77"/>
      <c r="C174" s="77" t="s">
        <v>229</v>
      </c>
      <c r="D174" s="77"/>
      <c r="E174" s="77"/>
      <c r="F174" s="77"/>
      <c r="G174" s="80"/>
      <c r="H174" s="81"/>
      <c r="I174" s="36"/>
      <c r="N174" s="36"/>
    </row>
    <row r="175" spans="1:14" s="37" customFormat="1" ht="15.75" customHeight="1" x14ac:dyDescent="0.25">
      <c r="A175" s="77">
        <v>4</v>
      </c>
      <c r="B175" s="77"/>
      <c r="C175" s="42" t="s">
        <v>203</v>
      </c>
      <c r="D175" s="53">
        <f>(4.79*2.75+1.94*1.05+3.75*2+2.45*2.9+2.75*3.15+2.11*0.86+1.15*1.85+1.15*2.1+1.15*1.05+1.45*0.9)*10.764</f>
        <v>509.63880239999992</v>
      </c>
      <c r="E175" s="42">
        <v>0</v>
      </c>
      <c r="F175" s="42">
        <f>D175*(($F$151)+1)+(IF(E175&lt;101,E175,IF(E175&lt;201,E175/2,IF(E175&lt;=301,E175/3,E175/4))))</f>
        <v>789.94014371999992</v>
      </c>
      <c r="G175" s="80"/>
      <c r="H175" s="81"/>
      <c r="I175" s="36"/>
      <c r="N175" s="36"/>
    </row>
    <row r="176" spans="1:14" s="37" customFormat="1" ht="15.75" customHeight="1" x14ac:dyDescent="0.25">
      <c r="A176" s="77">
        <v>5</v>
      </c>
      <c r="B176" s="77"/>
      <c r="C176" s="42" t="s">
        <v>202</v>
      </c>
      <c r="D176" s="53">
        <f>(2.75*4.38+1*2.65+2.1*2.45+2.75*3.5+1.1*2+2*1.1+1.4*0.9)*10.764</f>
        <v>378.08549999999997</v>
      </c>
      <c r="E176" s="42">
        <v>0</v>
      </c>
      <c r="F176" s="42">
        <f>D176*(($F$151)+1)+(IF(E176&lt;101,E176,IF(E176&lt;201,E176/2,IF(E176&lt;=301,E176/3,E176/4))))</f>
        <v>586.03252499999996</v>
      </c>
      <c r="G176" s="80"/>
      <c r="H176" s="81"/>
      <c r="I176" s="36"/>
      <c r="N176" s="36"/>
    </row>
    <row r="177" spans="1:14" s="37" customFormat="1" ht="15.75" customHeight="1" x14ac:dyDescent="0.25">
      <c r="A177" s="77">
        <v>6</v>
      </c>
      <c r="B177" s="77"/>
      <c r="C177" s="42" t="s">
        <v>202</v>
      </c>
      <c r="D177" s="53">
        <f>(2.75*3.8+2.25*2.45+2.75*3.5+1.4*0.9+2*1.1+1.1*2.15)*10.764+2.12+30</f>
        <v>370.24414999999999</v>
      </c>
      <c r="E177" s="42">
        <v>0</v>
      </c>
      <c r="F177" s="42">
        <f>D177*(($F$151)+1)+(IF(E177&lt;101,E177,IF(E177&lt;201,E177/2,IF(E177&lt;=301,E177/3,E177/4))))</f>
        <v>573.87843250000003</v>
      </c>
      <c r="G177" s="80"/>
      <c r="H177" s="81"/>
      <c r="I177" s="36"/>
      <c r="N177" s="36"/>
    </row>
    <row r="178" spans="1:14" s="37" customFormat="1" ht="15.75" customHeight="1" x14ac:dyDescent="0.25">
      <c r="A178" s="77">
        <v>7</v>
      </c>
      <c r="B178" s="77"/>
      <c r="C178" s="42" t="s">
        <v>202</v>
      </c>
      <c r="D178" s="53">
        <f>(2.75*4.2+2.1*2.45+1*2.37+1.4*0.9+2.75*3.5+1.1*2+2*1.1)*10.764</f>
        <v>369.74340000000007</v>
      </c>
      <c r="E178" s="42">
        <v>0</v>
      </c>
      <c r="F178" s="42">
        <f>D178*(($F$151)+1)+(IF(E178&lt;101,E178,IF(E178&lt;201,E178/2,IF(E178&lt;=301,E178/3,E178/4))))</f>
        <v>573.10227000000009</v>
      </c>
      <c r="G178" s="82"/>
      <c r="H178" s="83"/>
      <c r="I178" s="36"/>
      <c r="N178" s="36"/>
    </row>
    <row r="179" spans="1:14" s="35" customFormat="1" x14ac:dyDescent="0.25">
      <c r="A179" s="196" t="s">
        <v>71</v>
      </c>
      <c r="B179" s="196"/>
      <c r="C179" s="196"/>
      <c r="D179" s="196"/>
      <c r="E179" s="196"/>
      <c r="F179" s="196"/>
      <c r="G179" s="196"/>
      <c r="H179" s="196"/>
    </row>
    <row r="180" spans="1:14" s="35" customFormat="1" x14ac:dyDescent="0.25">
      <c r="A180" s="46" t="s">
        <v>163</v>
      </c>
      <c r="B180" s="87" t="s">
        <v>239</v>
      </c>
      <c r="C180" s="88"/>
      <c r="D180" s="88"/>
      <c r="E180" s="88"/>
      <c r="F180" s="88"/>
      <c r="G180" s="88"/>
      <c r="H180" s="89"/>
    </row>
    <row r="181" spans="1:14" s="35" customFormat="1" x14ac:dyDescent="0.25">
      <c r="A181" s="46" t="s">
        <v>163</v>
      </c>
      <c r="B181" s="87" t="str">
        <f>(IF(F150="Saleable area Loading :","We have considered Saleable area of Flats as per our Calculation.","We considered Saleable area of Flat as per Builder area Sheet."))</f>
        <v>We have considered Saleable area of Flats as per our Calculation.</v>
      </c>
      <c r="C181" s="88"/>
      <c r="D181" s="88"/>
      <c r="E181" s="88"/>
      <c r="F181" s="88"/>
      <c r="G181" s="88"/>
      <c r="H181" s="89"/>
    </row>
    <row r="182" spans="1:14" s="35" customFormat="1" x14ac:dyDescent="0.25">
      <c r="A182" s="46" t="s">
        <v>163</v>
      </c>
      <c r="B182" s="87" t="str">
        <f>(IF(F136="Saleable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2" s="88"/>
      <c r="D182" s="88"/>
      <c r="E182" s="88"/>
      <c r="F182" s="88"/>
      <c r="G182" s="88"/>
      <c r="H182" s="89"/>
    </row>
    <row r="183" spans="1:14" s="35" customFormat="1" x14ac:dyDescent="0.25">
      <c r="A183" s="46" t="s">
        <v>163</v>
      </c>
      <c r="B183" s="87" t="s">
        <v>131</v>
      </c>
      <c r="C183" s="88"/>
      <c r="D183" s="88"/>
      <c r="E183" s="88"/>
      <c r="F183" s="88"/>
      <c r="G183" s="88"/>
      <c r="H183" s="89"/>
    </row>
    <row r="184" spans="1:14" s="35" customFormat="1" x14ac:dyDescent="0.25">
      <c r="A184" s="46" t="s">
        <v>163</v>
      </c>
      <c r="B184" s="87" t="s">
        <v>206</v>
      </c>
      <c r="C184" s="88"/>
      <c r="D184" s="88"/>
      <c r="E184" s="88"/>
      <c r="F184" s="88"/>
      <c r="G184" s="88"/>
      <c r="H184" s="89"/>
    </row>
    <row r="185" spans="1:14" s="35" customFormat="1" x14ac:dyDescent="0.25">
      <c r="A185" s="46" t="s">
        <v>163</v>
      </c>
      <c r="B185" s="87" t="s">
        <v>162</v>
      </c>
      <c r="C185" s="88"/>
      <c r="D185" s="88"/>
      <c r="E185" s="88"/>
      <c r="F185" s="88"/>
      <c r="G185" s="88"/>
      <c r="H185" s="89"/>
    </row>
    <row r="186" spans="1:14" s="35" customFormat="1" x14ac:dyDescent="0.25">
      <c r="A186" s="46" t="s">
        <v>163</v>
      </c>
      <c r="B186" s="87" t="s">
        <v>132</v>
      </c>
      <c r="C186" s="88"/>
      <c r="D186" s="88"/>
      <c r="E186" s="88"/>
      <c r="F186" s="88"/>
      <c r="G186" s="88"/>
      <c r="H186" s="89"/>
    </row>
    <row r="187" spans="1:14" s="35" customFormat="1" ht="34.5" customHeight="1" x14ac:dyDescent="0.25">
      <c r="A187" s="46" t="s">
        <v>163</v>
      </c>
      <c r="B187" s="87" t="s">
        <v>164</v>
      </c>
      <c r="C187" s="88"/>
      <c r="D187" s="88"/>
      <c r="E187" s="88"/>
      <c r="F187" s="88"/>
      <c r="G187" s="88"/>
      <c r="H187" s="89"/>
    </row>
    <row r="188" spans="1:14" s="35" customFormat="1" x14ac:dyDescent="0.25">
      <c r="A188" s="46" t="s">
        <v>163</v>
      </c>
      <c r="B188" s="87" t="s">
        <v>133</v>
      </c>
      <c r="C188" s="88"/>
      <c r="D188" s="88"/>
      <c r="E188" s="88"/>
      <c r="F188" s="88"/>
      <c r="G188" s="88"/>
      <c r="H188" s="89"/>
    </row>
    <row r="189" spans="1:14" s="35" customFormat="1" x14ac:dyDescent="0.25">
      <c r="A189" s="46" t="s">
        <v>163</v>
      </c>
      <c r="B189" s="72" t="s">
        <v>231</v>
      </c>
      <c r="C189" s="73"/>
      <c r="D189" s="73"/>
      <c r="E189" s="73"/>
      <c r="F189" s="73"/>
      <c r="G189" s="73"/>
      <c r="H189" s="74"/>
    </row>
    <row r="190" spans="1:14" s="35" customFormat="1" x14ac:dyDescent="0.25">
      <c r="A190" s="46" t="s">
        <v>163</v>
      </c>
      <c r="B190" s="72" t="s">
        <v>234</v>
      </c>
      <c r="C190" s="73"/>
      <c r="D190" s="73"/>
      <c r="E190" s="73"/>
      <c r="F190" s="73"/>
      <c r="G190" s="73"/>
      <c r="H190" s="74"/>
    </row>
    <row r="191" spans="1:14" s="35" customFormat="1" hidden="1" x14ac:dyDescent="0.25">
      <c r="A191" s="46" t="s">
        <v>163</v>
      </c>
      <c r="B191" s="72" t="s">
        <v>238</v>
      </c>
      <c r="C191" s="73"/>
      <c r="D191" s="73"/>
      <c r="E191" s="73"/>
      <c r="F191" s="73"/>
      <c r="G191" s="73"/>
      <c r="H191" s="74"/>
    </row>
    <row r="192" spans="1:14" x14ac:dyDescent="0.25">
      <c r="A192" s="195" t="s">
        <v>64</v>
      </c>
      <c r="B192" s="195"/>
      <c r="C192" s="195"/>
      <c r="D192" s="195"/>
      <c r="E192" s="195"/>
      <c r="F192" s="195"/>
      <c r="G192" s="195"/>
      <c r="H192" s="195"/>
    </row>
    <row r="193" spans="1:8" x14ac:dyDescent="0.25">
      <c r="A193" s="105" t="s">
        <v>65</v>
      </c>
      <c r="B193" s="105"/>
      <c r="C193" s="105"/>
      <c r="D193" s="105"/>
      <c r="E193" s="105"/>
      <c r="F193" s="105"/>
      <c r="G193" s="105"/>
      <c r="H193" s="105"/>
    </row>
    <row r="194" spans="1:8" ht="15.75" customHeight="1" x14ac:dyDescent="0.25">
      <c r="A194" s="212" t="s">
        <v>66</v>
      </c>
      <c r="B194" s="212"/>
      <c r="C194" s="212"/>
      <c r="D194" s="212"/>
      <c r="E194" s="212"/>
      <c r="F194" s="212"/>
      <c r="G194" s="212"/>
      <c r="H194" s="212"/>
    </row>
    <row r="195" spans="1:8" x14ac:dyDescent="0.25">
      <c r="A195" s="105" t="s">
        <v>67</v>
      </c>
      <c r="B195" s="105"/>
      <c r="C195" s="105"/>
      <c r="D195" s="105"/>
      <c r="E195" s="105"/>
      <c r="F195" s="105"/>
      <c r="G195" s="105"/>
      <c r="H195" s="105"/>
    </row>
    <row r="196" spans="1:8" x14ac:dyDescent="0.25">
      <c r="A196" s="105" t="s">
        <v>68</v>
      </c>
      <c r="B196" s="105"/>
      <c r="C196" s="105"/>
      <c r="D196" s="105"/>
      <c r="E196" s="105"/>
      <c r="F196" s="105"/>
      <c r="G196" s="105"/>
      <c r="H196" s="105"/>
    </row>
    <row r="197" spans="1:8" x14ac:dyDescent="0.25">
      <c r="A197" s="105" t="s">
        <v>134</v>
      </c>
      <c r="B197" s="105"/>
      <c r="C197" s="105"/>
      <c r="D197" s="105"/>
      <c r="E197" s="105"/>
      <c r="F197" s="105"/>
      <c r="G197" s="105"/>
      <c r="H197" s="105"/>
    </row>
    <row r="198" spans="1:8" x14ac:dyDescent="0.25">
      <c r="A198" s="144" t="s">
        <v>135</v>
      </c>
      <c r="B198" s="144"/>
      <c r="C198" s="144"/>
      <c r="D198" s="144"/>
      <c r="E198" s="144"/>
      <c r="F198" s="144"/>
      <c r="G198" s="144"/>
      <c r="H198" s="144"/>
    </row>
    <row r="199" spans="1:8" x14ac:dyDescent="0.25">
      <c r="A199" s="190" t="s">
        <v>81</v>
      </c>
      <c r="B199" s="190"/>
      <c r="C199" s="190" t="s">
        <v>241</v>
      </c>
      <c r="D199" s="190"/>
      <c r="E199" s="190" t="s">
        <v>111</v>
      </c>
      <c r="F199" s="190"/>
      <c r="G199" s="191" t="s">
        <v>240</v>
      </c>
      <c r="H199" s="192"/>
    </row>
    <row r="200" spans="1:8" x14ac:dyDescent="0.25">
      <c r="A200" s="189" t="s">
        <v>83</v>
      </c>
      <c r="B200" s="189"/>
      <c r="C200" s="189"/>
      <c r="D200" s="189"/>
      <c r="E200" s="189"/>
      <c r="F200" s="189"/>
      <c r="G200" s="189"/>
      <c r="H200" s="189"/>
    </row>
    <row r="201" spans="1:8" x14ac:dyDescent="0.25">
      <c r="A201" s="189"/>
      <c r="B201" s="189"/>
      <c r="C201" s="189"/>
      <c r="D201" s="189"/>
      <c r="E201" s="189"/>
      <c r="F201" s="189"/>
      <c r="G201" s="189"/>
      <c r="H201" s="189"/>
    </row>
    <row r="202" spans="1:8" x14ac:dyDescent="0.25">
      <c r="A202" s="189"/>
      <c r="B202" s="189"/>
      <c r="C202" s="189"/>
      <c r="D202" s="189"/>
      <c r="E202" s="189"/>
      <c r="F202" s="189"/>
      <c r="G202" s="189"/>
      <c r="H202" s="189"/>
    </row>
    <row r="203" spans="1:8" x14ac:dyDescent="0.25">
      <c r="A203" s="189"/>
      <c r="B203" s="189"/>
      <c r="C203" s="189"/>
      <c r="D203" s="189"/>
      <c r="E203" s="189"/>
      <c r="F203" s="189"/>
      <c r="G203" s="189"/>
      <c r="H203" s="189"/>
    </row>
    <row r="204" spans="1:8" x14ac:dyDescent="0.25">
      <c r="A204" s="38" t="s">
        <v>69</v>
      </c>
      <c r="B204" s="39"/>
      <c r="C204" s="39"/>
      <c r="D204" s="38" t="str">
        <f>E8</f>
        <v>Adishakti Chs Adityaraj Prime</v>
      </c>
      <c r="F204" s="39"/>
      <c r="G204" s="39"/>
      <c r="H204" s="39"/>
    </row>
    <row r="205" spans="1:8" x14ac:dyDescent="0.25">
      <c r="A205" s="39"/>
      <c r="B205" s="39"/>
      <c r="C205" s="39"/>
      <c r="D205" s="39"/>
      <c r="E205" s="39"/>
      <c r="F205" s="39"/>
      <c r="G205" s="39"/>
      <c r="H205" s="39"/>
    </row>
    <row r="206" spans="1:8" x14ac:dyDescent="0.25">
      <c r="A206" s="39"/>
      <c r="B206" s="39"/>
      <c r="C206" s="39"/>
      <c r="D206" s="39"/>
      <c r="E206" s="39"/>
      <c r="F206" s="39"/>
      <c r="G206" s="39"/>
      <c r="H206" s="39"/>
    </row>
    <row r="207" spans="1:8" ht="15" customHeight="1" x14ac:dyDescent="0.25"/>
    <row r="245" spans="1:1" x14ac:dyDescent="0.25">
      <c r="A245" s="41" t="s">
        <v>178</v>
      </c>
    </row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spans="1:1" x14ac:dyDescent="0.25">
      <c r="A289" s="41" t="s">
        <v>70</v>
      </c>
    </row>
  </sheetData>
  <mergeCells count="363">
    <mergeCell ref="I10:L10"/>
    <mergeCell ref="B191:H191"/>
    <mergeCell ref="A168:B168"/>
    <mergeCell ref="A169:B169"/>
    <mergeCell ref="A170:B170"/>
    <mergeCell ref="C165:F166"/>
    <mergeCell ref="A163:H163"/>
    <mergeCell ref="L163:M163"/>
    <mergeCell ref="A164:B164"/>
    <mergeCell ref="A165:B165"/>
    <mergeCell ref="A166:B166"/>
    <mergeCell ref="A167:B167"/>
    <mergeCell ref="G164:H170"/>
    <mergeCell ref="L148:M148"/>
    <mergeCell ref="L143:M143"/>
    <mergeCell ref="A144:B144"/>
    <mergeCell ref="L144:M144"/>
    <mergeCell ref="A145:H145"/>
    <mergeCell ref="A146:B146"/>
    <mergeCell ref="L146:M146"/>
    <mergeCell ref="A147:B147"/>
    <mergeCell ref="L147:M147"/>
    <mergeCell ref="G139:H144"/>
    <mergeCell ref="G146:H148"/>
    <mergeCell ref="L142:M142"/>
    <mergeCell ref="L141:M141"/>
    <mergeCell ref="L140:M140"/>
    <mergeCell ref="A17:B17"/>
    <mergeCell ref="C17:H17"/>
    <mergeCell ref="E42:H42"/>
    <mergeCell ref="A42:D42"/>
    <mergeCell ref="A197:H197"/>
    <mergeCell ref="A194:H194"/>
    <mergeCell ref="A156:B156"/>
    <mergeCell ref="A130:B130"/>
    <mergeCell ref="D150:D151"/>
    <mergeCell ref="E150:E151"/>
    <mergeCell ref="G150:H151"/>
    <mergeCell ref="A90:B90"/>
    <mergeCell ref="A91:B91"/>
    <mergeCell ref="A92:B92"/>
    <mergeCell ref="A82:B82"/>
    <mergeCell ref="C82:H82"/>
    <mergeCell ref="A106:B106"/>
    <mergeCell ref="A77:B77"/>
    <mergeCell ref="F111:H111"/>
    <mergeCell ref="G126:H126"/>
    <mergeCell ref="A109:B109"/>
    <mergeCell ref="A49:B49"/>
    <mergeCell ref="C49:E49"/>
    <mergeCell ref="C52:E52"/>
    <mergeCell ref="G52:H52"/>
    <mergeCell ref="G49:H49"/>
    <mergeCell ref="G51:H51"/>
    <mergeCell ref="D55:H55"/>
    <mergeCell ref="C51:E51"/>
    <mergeCell ref="A58:C60"/>
    <mergeCell ref="D58:H58"/>
    <mergeCell ref="D59:H59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D60:H60"/>
    <mergeCell ref="B136:B137"/>
    <mergeCell ref="A136:A137"/>
    <mergeCell ref="C150:C151"/>
    <mergeCell ref="C133:D133"/>
    <mergeCell ref="A152:H152"/>
    <mergeCell ref="F120:H120"/>
    <mergeCell ref="E125:F125"/>
    <mergeCell ref="A125:B125"/>
    <mergeCell ref="A127:B127"/>
    <mergeCell ref="C125:D125"/>
    <mergeCell ref="F121:H121"/>
    <mergeCell ref="A135:H135"/>
    <mergeCell ref="G125:H125"/>
    <mergeCell ref="A120:E120"/>
    <mergeCell ref="C126:D126"/>
    <mergeCell ref="E126:F126"/>
    <mergeCell ref="A121:E121"/>
    <mergeCell ref="C127:D127"/>
    <mergeCell ref="E127:F127"/>
    <mergeCell ref="G127:H127"/>
    <mergeCell ref="A128:B128"/>
    <mergeCell ref="C128:D128"/>
    <mergeCell ref="E128:F128"/>
    <mergeCell ref="G128:H128"/>
    <mergeCell ref="A192:H192"/>
    <mergeCell ref="A193:H193"/>
    <mergeCell ref="E130:F130"/>
    <mergeCell ref="B189:H189"/>
    <mergeCell ref="B186:H186"/>
    <mergeCell ref="B182:H182"/>
    <mergeCell ref="A134:H134"/>
    <mergeCell ref="B180:H180"/>
    <mergeCell ref="B181:H181"/>
    <mergeCell ref="B183:H183"/>
    <mergeCell ref="B184:H184"/>
    <mergeCell ref="A179:H179"/>
    <mergeCell ref="C136:C137"/>
    <mergeCell ref="A143:B143"/>
    <mergeCell ref="A148:B148"/>
    <mergeCell ref="A161:B161"/>
    <mergeCell ref="G133:H133"/>
    <mergeCell ref="A132:B132"/>
    <mergeCell ref="C132:D132"/>
    <mergeCell ref="E132:F132"/>
    <mergeCell ref="G132:H132"/>
    <mergeCell ref="C130:D130"/>
    <mergeCell ref="G130:H130"/>
    <mergeCell ref="A133:B133"/>
    <mergeCell ref="A65:C65"/>
    <mergeCell ref="D65:H65"/>
    <mergeCell ref="A66:C66"/>
    <mergeCell ref="D66:H66"/>
    <mergeCell ref="A72:B72"/>
    <mergeCell ref="G71:H71"/>
    <mergeCell ref="A200:H203"/>
    <mergeCell ref="A199:B199"/>
    <mergeCell ref="E199:F199"/>
    <mergeCell ref="C199:D199"/>
    <mergeCell ref="G199:H199"/>
    <mergeCell ref="A124:H124"/>
    <mergeCell ref="A122:E122"/>
    <mergeCell ref="F122:H122"/>
    <mergeCell ref="A123:E123"/>
    <mergeCell ref="F123:H123"/>
    <mergeCell ref="A155:H155"/>
    <mergeCell ref="A131:B131"/>
    <mergeCell ref="A126:B126"/>
    <mergeCell ref="A195:H195"/>
    <mergeCell ref="A129:H129"/>
    <mergeCell ref="A198:H198"/>
    <mergeCell ref="A196:H196"/>
    <mergeCell ref="G100:H109"/>
    <mergeCell ref="A45:D45"/>
    <mergeCell ref="A46:D46"/>
    <mergeCell ref="A47:H47"/>
    <mergeCell ref="D57:H57"/>
    <mergeCell ref="A57:C57"/>
    <mergeCell ref="G50:H50"/>
    <mergeCell ref="A51:B52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A11:D11"/>
    <mergeCell ref="E11:H11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G38:H38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F33:H33"/>
    <mergeCell ref="F34:H34"/>
    <mergeCell ref="A40:H40"/>
    <mergeCell ref="A61:C61"/>
    <mergeCell ref="A62:C62"/>
    <mergeCell ref="D61:H61"/>
    <mergeCell ref="E72:F81"/>
    <mergeCell ref="G72:H81"/>
    <mergeCell ref="A80:B80"/>
    <mergeCell ref="A81:B81"/>
    <mergeCell ref="D62:H62"/>
    <mergeCell ref="A43:D43"/>
    <mergeCell ref="E43:H43"/>
    <mergeCell ref="E44:H44"/>
    <mergeCell ref="E45:H45"/>
    <mergeCell ref="E46:H46"/>
    <mergeCell ref="A44:D44"/>
    <mergeCell ref="F36:H36"/>
    <mergeCell ref="A38:B38"/>
    <mergeCell ref="E38:F38"/>
    <mergeCell ref="C38:D38"/>
    <mergeCell ref="A39:B39"/>
    <mergeCell ref="A79:B79"/>
    <mergeCell ref="C131:D131"/>
    <mergeCell ref="E131:F131"/>
    <mergeCell ref="G131:H131"/>
    <mergeCell ref="F117:H117"/>
    <mergeCell ref="A111:E111"/>
    <mergeCell ref="A96:B96"/>
    <mergeCell ref="C96:H96"/>
    <mergeCell ref="A138:H138"/>
    <mergeCell ref="E136:E137"/>
    <mergeCell ref="G136:H137"/>
    <mergeCell ref="A86:B86"/>
    <mergeCell ref="E86:F95"/>
    <mergeCell ref="A93:B93"/>
    <mergeCell ref="A94:B94"/>
    <mergeCell ref="A95:B95"/>
    <mergeCell ref="A100:B100"/>
    <mergeCell ref="E100:F109"/>
    <mergeCell ref="F110:H110"/>
    <mergeCell ref="F115:H115"/>
    <mergeCell ref="A84:B84"/>
    <mergeCell ref="C84:H84"/>
    <mergeCell ref="A85:B85"/>
    <mergeCell ref="E85:F85"/>
    <mergeCell ref="L155:M155"/>
    <mergeCell ref="A149:H149"/>
    <mergeCell ref="A150:A151"/>
    <mergeCell ref="A160:B160"/>
    <mergeCell ref="A157:B157"/>
    <mergeCell ref="A158:B158"/>
    <mergeCell ref="A159:B159"/>
    <mergeCell ref="L153:M153"/>
    <mergeCell ref="A154:B154"/>
    <mergeCell ref="L154:M154"/>
    <mergeCell ref="B150:B151"/>
    <mergeCell ref="A153:B153"/>
    <mergeCell ref="G153:H154"/>
    <mergeCell ref="G156:H162"/>
    <mergeCell ref="A162:B162"/>
    <mergeCell ref="G85:H85"/>
    <mergeCell ref="A116:E116"/>
    <mergeCell ref="F116:H116"/>
    <mergeCell ref="A117:E117"/>
    <mergeCell ref="A119:E119"/>
    <mergeCell ref="F113:H113"/>
    <mergeCell ref="A118:E118"/>
    <mergeCell ref="A103:B103"/>
    <mergeCell ref="A104:B104"/>
    <mergeCell ref="A105:B105"/>
    <mergeCell ref="A107:B107"/>
    <mergeCell ref="A108:B108"/>
    <mergeCell ref="A113:E113"/>
    <mergeCell ref="A110:E110"/>
    <mergeCell ref="F114:H114"/>
    <mergeCell ref="G99:H99"/>
    <mergeCell ref="A98:B98"/>
    <mergeCell ref="C98:H98"/>
    <mergeCell ref="E99:F99"/>
    <mergeCell ref="A99:B99"/>
    <mergeCell ref="E133:F133"/>
    <mergeCell ref="F118:H118"/>
    <mergeCell ref="F119:H119"/>
    <mergeCell ref="B188:H188"/>
    <mergeCell ref="C39:H39"/>
    <mergeCell ref="B187:H187"/>
    <mergeCell ref="A48:B48"/>
    <mergeCell ref="C48:H48"/>
    <mergeCell ref="B185:H185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D136:D137"/>
    <mergeCell ref="A114:E114"/>
    <mergeCell ref="A139:B139"/>
    <mergeCell ref="A140:B140"/>
    <mergeCell ref="A141:B141"/>
    <mergeCell ref="A142:B142"/>
    <mergeCell ref="A115:E115"/>
    <mergeCell ref="B190:H190"/>
    <mergeCell ref="A171:H171"/>
    <mergeCell ref="L171:M171"/>
    <mergeCell ref="A172:B172"/>
    <mergeCell ref="G172:H178"/>
    <mergeCell ref="A173:B173"/>
    <mergeCell ref="A174:B174"/>
    <mergeCell ref="A175:B175"/>
    <mergeCell ref="A176:B176"/>
    <mergeCell ref="A177:B177"/>
    <mergeCell ref="A178:B178"/>
    <mergeCell ref="C173:F173"/>
    <mergeCell ref="C174:F174"/>
  </mergeCells>
  <hyperlinks>
    <hyperlink ref="C39" r:id="rId1"/>
    <hyperlink ref="I125" r:id="rId2"/>
    <hyperlink ref="I124" r:id="rId3"/>
    <hyperlink ref="I123" r:id="rId4"/>
    <hyperlink ref="I122" r:id="rId5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6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203" max="16383" man="1"/>
    <brk id="244" max="16383" man="1"/>
    <brk id="288" max="16383" man="1"/>
  </rowBreaks>
  <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5" t="s">
        <v>112</v>
      </c>
      <c r="C3" s="215"/>
      <c r="D3" s="215"/>
      <c r="E3" s="215"/>
      <c r="F3" s="215"/>
      <c r="G3" s="215"/>
      <c r="H3" s="215"/>
    </row>
    <row r="4" spans="1:9" x14ac:dyDescent="0.25">
      <c r="A4" s="2"/>
      <c r="B4" s="3" t="s">
        <v>113</v>
      </c>
      <c r="C4" s="3" t="s">
        <v>114</v>
      </c>
      <c r="D4" s="3" t="s">
        <v>72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2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2025-07-11T07:29:05Z</cp:lastPrinted>
  <dcterms:created xsi:type="dcterms:W3CDTF">2019-07-16T09:29:46Z</dcterms:created>
  <dcterms:modified xsi:type="dcterms:W3CDTF">2025-07-11T07:36:43Z</dcterms:modified>
</cp:coreProperties>
</file>