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D:\Gaurav\July 25\Dump\"/>
    </mc:Choice>
  </mc:AlternateContent>
  <xr:revisionPtr revIDLastSave="0" documentId="13_ncr:1_{E1C23310-FDD7-47F9-B489-E346AA78CCE2}" xr6:coauthVersionLast="36" xr6:coauthVersionMax="47" xr10:uidLastSave="{00000000-0000-0000-0000-000000000000}"/>
  <bookViews>
    <workbookView xWindow="0" yWindow="0" windowWidth="20490" windowHeight="7125"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5" i="1" l="1"/>
  <c r="E180" i="1"/>
  <c r="E179" i="1"/>
  <c r="E178" i="1"/>
  <c r="E177" i="1"/>
  <c r="E176" i="1"/>
  <c r="E175" i="1"/>
  <c r="E174" i="1"/>
  <c r="E172" i="1"/>
  <c r="E171" i="1"/>
  <c r="E170" i="1"/>
  <c r="E169" i="1"/>
  <c r="E168" i="1"/>
  <c r="E167" i="1"/>
  <c r="E166" i="1"/>
  <c r="E162" i="1"/>
  <c r="E158" i="1"/>
  <c r="D180" i="1" l="1"/>
  <c r="D179" i="1"/>
  <c r="F179" i="1" s="1"/>
  <c r="H179" i="1" s="1"/>
  <c r="D178" i="1"/>
  <c r="D177" i="1"/>
  <c r="D176" i="1"/>
  <c r="D175" i="1"/>
  <c r="F175" i="1" s="1"/>
  <c r="H175" i="1" s="1"/>
  <c r="D174" i="1"/>
  <c r="D172" i="1"/>
  <c r="D171" i="1"/>
  <c r="D170" i="1"/>
  <c r="F170" i="1" s="1"/>
  <c r="H170" i="1" s="1"/>
  <c r="D169" i="1"/>
  <c r="D168" i="1"/>
  <c r="D167" i="1"/>
  <c r="D166" i="1"/>
  <c r="F166" i="1" s="1"/>
  <c r="H166" i="1" s="1"/>
  <c r="D165" i="1"/>
  <c r="G162" i="1"/>
  <c r="G161" i="1"/>
  <c r="G160" i="1"/>
  <c r="G159" i="1"/>
  <c r="G158" i="1"/>
  <c r="D162" i="1"/>
  <c r="E161" i="1"/>
  <c r="D161" i="1"/>
  <c r="E160" i="1"/>
  <c r="D160" i="1"/>
  <c r="E159" i="1"/>
  <c r="F159" i="1" s="1"/>
  <c r="H159" i="1" s="1"/>
  <c r="D159" i="1"/>
  <c r="D158" i="1"/>
  <c r="D149" i="1"/>
  <c r="F149" i="1" s="1"/>
  <c r="H149" i="1" s="1"/>
  <c r="D148" i="1"/>
  <c r="F148" i="1" s="1"/>
  <c r="H148" i="1" s="1"/>
  <c r="D147" i="1"/>
  <c r="D146" i="1"/>
  <c r="D145" i="1"/>
  <c r="D144" i="1"/>
  <c r="I172" i="1"/>
  <c r="J159" i="1"/>
  <c r="J158" i="1"/>
  <c r="I159" i="1"/>
  <c r="I158" i="1"/>
  <c r="A157" i="1"/>
  <c r="A158" i="1" s="1"/>
  <c r="A159" i="1" s="1"/>
  <c r="A160" i="1" s="1"/>
  <c r="A161" i="1" s="1"/>
  <c r="A162" i="1" s="1"/>
  <c r="A163" i="1" s="1"/>
  <c r="I147" i="1"/>
  <c r="I145" i="1"/>
  <c r="C134" i="1" l="1"/>
  <c r="C135" i="1" s="1"/>
  <c r="C130" i="1"/>
  <c r="C131" i="1" s="1"/>
  <c r="F171" i="1"/>
  <c r="H171" i="1" s="1"/>
  <c r="F176" i="1"/>
  <c r="H176" i="1" s="1"/>
  <c r="F169" i="1"/>
  <c r="H169" i="1" s="1"/>
  <c r="F178" i="1"/>
  <c r="H178" i="1" s="1"/>
  <c r="F180" i="1"/>
  <c r="H180" i="1" s="1"/>
  <c r="F158" i="1"/>
  <c r="H158" i="1" s="1"/>
  <c r="F168" i="1"/>
  <c r="H168" i="1" s="1"/>
  <c r="F172" i="1"/>
  <c r="H172" i="1" s="1"/>
  <c r="F177" i="1"/>
  <c r="H177" i="1" s="1"/>
  <c r="F165" i="1"/>
  <c r="H165" i="1" s="1"/>
  <c r="J165" i="1" s="1"/>
  <c r="F174" i="1"/>
  <c r="H174" i="1" s="1"/>
  <c r="F167" i="1"/>
  <c r="H167" i="1" s="1"/>
  <c r="F162" i="1"/>
  <c r="H162" i="1" s="1"/>
  <c r="F161" i="1"/>
  <c r="H161" i="1" s="1"/>
  <c r="F160" i="1"/>
  <c r="H160" i="1" s="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L42" i="7" l="1"/>
  <c r="K42" i="7" s="1"/>
  <c r="E42" i="7"/>
  <c r="D42" i="7" s="1"/>
  <c r="D44" i="7" s="1"/>
  <c r="I42" i="7"/>
  <c r="H42" i="7" s="1"/>
  <c r="G134" i="1"/>
  <c r="G135" i="1" s="1"/>
  <c r="E134" i="1"/>
  <c r="E135" i="1" s="1"/>
  <c r="E44" i="7" l="1"/>
  <c r="E31" i="1"/>
  <c r="B214" i="1" l="1"/>
  <c r="F145" i="1" l="1"/>
  <c r="H145" i="1" s="1"/>
  <c r="F146" i="1"/>
  <c r="H146" i="1" s="1"/>
  <c r="F147" i="1"/>
  <c r="H147" i="1" s="1"/>
  <c r="F144" i="1"/>
  <c r="H144" i="1" l="1"/>
  <c r="G130" i="1" s="1"/>
  <c r="G131" i="1" s="1"/>
  <c r="E130" i="1"/>
  <c r="E131" i="1" s="1"/>
  <c r="G58" i="1"/>
  <c r="C58" i="1"/>
  <c r="S33" i="1" l="1"/>
  <c r="F11" i="5" l="1"/>
  <c r="G11" i="5" s="1"/>
  <c r="F10" i="5"/>
  <c r="G10" i="5" s="1"/>
  <c r="F9" i="5"/>
  <c r="G9" i="5" s="1"/>
  <c r="G8" i="5"/>
  <c r="F8" i="5"/>
  <c r="G7" i="5"/>
  <c r="F7" i="5"/>
  <c r="F6" i="5"/>
  <c r="G6" i="5" s="1"/>
  <c r="F5" i="5"/>
  <c r="G5" i="5" s="1"/>
  <c r="G12" i="5" s="1"/>
  <c r="D236" i="1"/>
  <c r="B215" i="1"/>
  <c r="F211" i="1"/>
  <c r="H211" i="1" s="1"/>
  <c r="F210" i="1"/>
  <c r="H210" i="1" s="1"/>
  <c r="F209" i="1"/>
  <c r="H209" i="1" s="1"/>
  <c r="F208" i="1"/>
  <c r="H208" i="1" s="1"/>
  <c r="F207" i="1"/>
  <c r="H207" i="1" s="1"/>
  <c r="F205" i="1"/>
  <c r="H205" i="1" s="1"/>
  <c r="F204" i="1"/>
  <c r="H204" i="1" s="1"/>
  <c r="F203" i="1"/>
  <c r="H203" i="1" s="1"/>
  <c r="F202" i="1"/>
  <c r="H202" i="1" s="1"/>
  <c r="F201" i="1"/>
  <c r="H201" i="1" s="1"/>
  <c r="F199" i="1"/>
  <c r="H199" i="1" s="1"/>
  <c r="F198" i="1"/>
  <c r="H198" i="1" s="1"/>
  <c r="F197" i="1"/>
  <c r="H197" i="1" s="1"/>
  <c r="F196" i="1"/>
  <c r="H196" i="1" s="1"/>
  <c r="F195" i="1"/>
  <c r="H195" i="1" s="1"/>
  <c r="F193" i="1"/>
  <c r="H193" i="1" s="1"/>
  <c r="F192" i="1"/>
  <c r="H192" i="1" s="1"/>
  <c r="F191" i="1"/>
  <c r="H191" i="1" s="1"/>
  <c r="F190" i="1"/>
  <c r="H190" i="1" s="1"/>
  <c r="F189" i="1"/>
  <c r="H189" i="1" s="1"/>
  <c r="A189" i="1"/>
  <c r="A190" i="1" s="1"/>
  <c r="A191" i="1" s="1"/>
  <c r="A192" i="1" s="1"/>
  <c r="A193" i="1" s="1"/>
  <c r="F187" i="1"/>
  <c r="H187" i="1" s="1"/>
  <c r="F186" i="1"/>
  <c r="H186" i="1" s="1"/>
  <c r="F185" i="1"/>
  <c r="H185" i="1" s="1"/>
  <c r="A185" i="1"/>
  <c r="A186" i="1" s="1"/>
  <c r="A187" i="1" s="1"/>
  <c r="F184" i="1"/>
  <c r="H184" i="1" s="1"/>
  <c r="A145" i="1"/>
  <c r="A146" i="1" s="1"/>
  <c r="A147" i="1" s="1"/>
  <c r="A148" i="1" s="1"/>
  <c r="A149" i="1" s="1"/>
  <c r="G136" i="1"/>
  <c r="E136" i="1"/>
  <c r="C136" i="1"/>
  <c r="F127" i="1"/>
  <c r="C101" i="1"/>
  <c r="C87" i="1"/>
  <c r="C73" i="1"/>
  <c r="D67" i="1"/>
  <c r="C51" i="1"/>
  <c r="C52" i="1" s="1"/>
  <c r="E44" i="1"/>
  <c r="E45" i="1" s="1"/>
  <c r="E28" i="1"/>
  <c r="E26" i="1"/>
  <c r="C16" i="1"/>
  <c r="I15" i="1"/>
  <c r="Z13" i="1"/>
  <c r="E8" i="1"/>
  <c r="E3" i="1"/>
  <c r="H74" i="1"/>
  <c r="H88" i="1"/>
  <c r="A201" i="1"/>
  <c r="H102" i="1"/>
  <c r="A195" i="1"/>
  <c r="A207" i="1"/>
  <c r="J73" i="1" l="1"/>
  <c r="J75" i="1" s="1"/>
  <c r="J76" i="1"/>
  <c r="J77" i="1"/>
  <c r="J78" i="1"/>
  <c r="C77" i="1" s="1"/>
  <c r="J92" i="1"/>
  <c r="E91" i="1"/>
  <c r="D96" i="1"/>
  <c r="D98" i="1"/>
  <c r="D92" i="1"/>
  <c r="J91" i="1"/>
  <c r="D97" i="1"/>
  <c r="J87" i="1"/>
  <c r="J89" i="1" s="1"/>
  <c r="D95" i="1"/>
  <c r="J90" i="1"/>
  <c r="D94" i="1"/>
  <c r="D100" i="1"/>
  <c r="D99" i="1"/>
  <c r="D93" i="1"/>
  <c r="D81" i="1"/>
  <c r="D83" i="1"/>
  <c r="D82" i="1"/>
  <c r="D86" i="1"/>
  <c r="D80" i="1"/>
  <c r="D85" i="1"/>
  <c r="D79" i="1"/>
  <c r="D84" i="1"/>
  <c r="C107" i="1"/>
  <c r="J101" i="1" s="1"/>
  <c r="J103" i="1" s="1"/>
  <c r="D110" i="1"/>
  <c r="D112" i="1"/>
  <c r="J106" i="1"/>
  <c r="C105" i="1" s="1"/>
  <c r="D105" i="1" s="1"/>
  <c r="D111" i="1"/>
  <c r="J105" i="1"/>
  <c r="D109" i="1"/>
  <c r="J104" i="1"/>
  <c r="D108" i="1"/>
  <c r="D114" i="1"/>
  <c r="D113" i="1"/>
  <c r="B102" i="1"/>
  <c r="B88" i="1"/>
  <c r="B74" i="1"/>
  <c r="J79" i="1" s="1"/>
  <c r="C78" i="1" s="1"/>
  <c r="A208" i="1"/>
  <c r="A196" i="1"/>
  <c r="A202" i="1"/>
  <c r="C91" i="1" l="1"/>
  <c r="D91" i="1" s="1"/>
  <c r="I88" i="1" s="1"/>
  <c r="I89" i="1" s="1"/>
  <c r="D77" i="1"/>
  <c r="D107" i="1"/>
  <c r="J112" i="1"/>
  <c r="J109" i="1"/>
  <c r="J111" i="1"/>
  <c r="J110" i="1"/>
  <c r="J107" i="1"/>
  <c r="J108" i="1" s="1"/>
  <c r="J113" i="1" s="1"/>
  <c r="J114" i="1" s="1"/>
  <c r="C106" i="1" s="1"/>
  <c r="E105" i="1" s="1"/>
  <c r="J98" i="1"/>
  <c r="J95" i="1"/>
  <c r="J97" i="1"/>
  <c r="J96" i="1"/>
  <c r="J93" i="1"/>
  <c r="J94" i="1" s="1"/>
  <c r="J83" i="1"/>
  <c r="J82" i="1"/>
  <c r="J80" i="1"/>
  <c r="J85" i="1" s="1"/>
  <c r="J84" i="1"/>
  <c r="A209" i="1"/>
  <c r="A203" i="1"/>
  <c r="A197" i="1"/>
  <c r="J81" i="1" l="1"/>
  <c r="J86" i="1" s="1"/>
  <c r="G91" i="1"/>
  <c r="J99" i="1"/>
  <c r="J100" i="1" s="1"/>
  <c r="J88" i="1" s="1"/>
  <c r="I87" i="1" s="1"/>
  <c r="C89" i="1" s="1"/>
  <c r="D106" i="1"/>
  <c r="I102" i="1" s="1"/>
  <c r="J102" i="1"/>
  <c r="G105" i="1"/>
  <c r="A198" i="1"/>
  <c r="A210" i="1"/>
  <c r="A204" i="1"/>
  <c r="J74" i="1" l="1"/>
  <c r="E77" i="1"/>
  <c r="D78" i="1"/>
  <c r="I74" i="1" s="1"/>
  <c r="I75" i="1" s="1"/>
  <c r="G77" i="1"/>
  <c r="D71" i="1" s="1"/>
  <c r="F72" i="1" s="1"/>
  <c r="I103" i="1"/>
  <c r="I101" i="1" s="1"/>
  <c r="C103" i="1" s="1"/>
  <c r="A199" i="1"/>
  <c r="A211" i="1"/>
  <c r="A205" i="1"/>
  <c r="I73" i="1" l="1"/>
  <c r="C75" i="1" s="1"/>
  <c r="D7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0"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2"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<sst xmlns="http://schemas.openxmlformats.org/spreadsheetml/2006/main" count="687" uniqueCount="391">
  <si>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</si>
  <si>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</si>
  <si>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</si>
  <si>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</si>
  <si>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</si>
  <si>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</si>
  <si>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</si>
  <si>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</si>
  <si>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</si>
  <si>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</si>
  <si>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</si>
  <si>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</si>
  <si>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</si>
  <si>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</si>
  <si>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</si>
  <si>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</si>
  <si>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</si>
  <si>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</si>
  <si>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</si>
  <si>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</si>
  <si>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</si>
  <si>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</si>
  <si>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</si>
  <si>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</si>
  <si>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</si>
  <si>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</si>
  <si>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</si>
  <si>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</si>
  <si>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</si>
  <si>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</si>
  <si>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</si>
  <si>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</si>
  <si>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</si>
  <si>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</si>
  <si>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</si>
  <si>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</si>
  <si>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</si>
  <si>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</si>
  <si>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</si>
  <si>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</si>
  <si>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</si>
  <si>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</si>
  <si>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</si>
  <si>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</si>
  <si>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</si>
  <si>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</si>
  <si>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</si>
  <si>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</si>
  <si>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</si>
  <si>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</si>
  <si>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</si>
  <si>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</si>
  <si>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</si>
  <si>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</si>
  <si>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</si>
  <si>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</si>
  <si>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</si>
  <si>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</si>
  <si>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</si>
  <si>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</si>
  <si>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</si>
  <si>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</si>
  <si>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</si>
  <si>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</si>
  <si>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</si>
  <si>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</si>
  <si>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</si>
  <si>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</si>
  <si>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</si>
  <si>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</si>
  <si>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</si>
  <si>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</si>
  <si>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</si>
  <si>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</si>
  <si>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</si>
  <si>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</si>
  <si>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</si>
  <si>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</si>
  <si>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</si>
  <si>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</si>
  <si>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</si>
  <si>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</si>
  <si>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</si>
  <si>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</si>
  <si>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</si>
  <si>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 xml:space="preserve">Stage of construction: </t>
  </si>
  <si>
    <t>Approved area of building (Sq.Mt)</t>
  </si>
  <si>
    <t>Total Approved Builtup area of the project (Sq.Mt)</t>
  </si>
  <si>
    <t>Restrictive Covenants in regard to Land Use</t>
  </si>
  <si>
    <t>Boundries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</si>
  <si>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</si>
  <si>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</si>
  <si>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</si>
  <si>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</si>
  <si>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</si>
  <si>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</si>
  <si>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</si>
  <si>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</si>
  <si>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</si>
  <si>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</si>
  <si>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</si>
  <si>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</si>
  <si>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</si>
  <si>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</si>
  <si>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</si>
  <si>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</si>
  <si>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</si>
  <si>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</si>
  <si>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</si>
  <si>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</si>
  <si>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</si>
  <si>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</si>
  <si>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</si>
  <si>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</si>
  <si>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</si>
  <si>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</si>
  <si>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</si>
  <si>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</si>
  <si>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</si>
  <si>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</si>
  <si>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</si>
  <si>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</si>
  <si>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</si>
  <si>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</si>
  <si>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</si>
  <si>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</si>
  <si>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</si>
  <si>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</si>
  <si>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</si>
  <si>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</si>
  <si>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</si>
  <si>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</si>
  <si>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</si>
  <si>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</si>
  <si>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</si>
  <si>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</si>
  <si>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</si>
  <si>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</si>
  <si>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</si>
  <si>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</si>
  <si>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</si>
  <si>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</si>
  <si>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</si>
  <si>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</si>
  <si>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</si>
  <si>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</si>
  <si>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</si>
  <si>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</si>
  <si>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</si>
  <si>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</si>
  <si>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</si>
  <si>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</si>
  <si>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</si>
  <si>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</si>
  <si>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</si>
  <si>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</si>
  <si>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</si>
  <si>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</si>
  <si>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</si>
  <si>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</si>
  <si>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</si>
  <si>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</si>
  <si>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</si>
  <si>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</si>
  <si>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</si>
  <si>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</si>
  <si>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</si>
  <si>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</si>
  <si>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</si>
  <si>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</si>
  <si>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</si>
  <si>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</si>
  <si>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</si>
  <si>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</si>
  <si>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</si>
  <si>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</si>
  <si>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</si>
  <si>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</si>
  <si>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</si>
  <si>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</si>
  <si>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</si>
  <si>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</si>
  <si>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</si>
  <si>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</si>
  <si>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</si>
  <si>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</si>
  <si>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</si>
  <si>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</si>
  <si>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</si>
  <si>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</si>
  <si>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</si>
  <si>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</si>
  <si>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</si>
  <si>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</si>
  <si>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</si>
  <si>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</si>
  <si>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</si>
  <si>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</si>
  <si>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</si>
  <si>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</si>
  <si>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</si>
  <si>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</si>
  <si>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</si>
  <si>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</si>
  <si>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</si>
  <si>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</si>
  <si>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</si>
  <si>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</si>
  <si>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</si>
  <si>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</si>
  <si>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</si>
  <si>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</si>
  <si>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</si>
  <si>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</si>
  <si>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</si>
  <si>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</si>
  <si>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</si>
  <si>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</si>
  <si>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</si>
  <si>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</si>
  <si>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</si>
  <si>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</si>
  <si>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</si>
  <si>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</si>
  <si>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</si>
  <si>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</si>
  <si>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</si>
  <si>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</si>
  <si>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</si>
  <si>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</si>
  <si>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</si>
  <si>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</si>
  <si>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</si>
  <si>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</si>
  <si>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</si>
  <si>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</si>
  <si>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</si>
  <si>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</si>
  <si>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</si>
  <si>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</si>
  <si>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</si>
  <si>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</si>
  <si>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</si>
  <si>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</si>
  <si>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</si>
  <si>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</si>
  <si>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</si>
  <si>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</si>
  <si>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</si>
  <si>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</si>
  <si>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</si>
  <si>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</si>
  <si>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</si>
  <si>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</si>
  <si>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</si>
  <si>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</si>
  <si>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</si>
  <si>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</si>
  <si>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</si>
  <si>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</si>
  <si>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</si>
  <si>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</si>
  <si>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</si>
  <si>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</si>
  <si>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</si>
  <si>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</si>
  <si>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</si>
  <si>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</si>
  <si>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</si>
  <si>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</si>
  <si>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</si>
  <si>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</si>
  <si>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</si>
  <si>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</si>
  <si>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</si>
  <si>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</si>
  <si>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</si>
  <si>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</si>
  <si>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</si>
  <si>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</si>
  <si>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</si>
  <si>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</si>
  <si>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</si>
  <si>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</si>
  <si>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</si>
  <si>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</si>
  <si>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</si>
  <si>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</si>
  <si>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</si>
  <si>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</si>
  <si>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</si>
  <si>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</si>
  <si>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</si>
  <si>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</si>
  <si>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</si>
  <si>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</si>
  <si>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</si>
  <si>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</si>
  <si>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</si>
  <si>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</si>
  <si>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</si>
  <si>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</si>
  <si>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</si>
  <si>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</si>
  <si>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</si>
  <si>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</si>
  <si>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</si>
  <si>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</si>
  <si>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</si>
  <si>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</si>
  <si>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</si>
  <si>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</si>
  <si>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</si>
  <si>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</si>
  <si>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</si>
  <si>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</si>
  <si>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</si>
  <si>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</si>
  <si>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</si>
  <si>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</si>
  <si>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</si>
  <si>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</si>
  <si>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</si>
  <si>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</si>
  <si>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</si>
  <si>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</si>
  <si>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</si>
  <si>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</si>
  <si>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</si>
  <si>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</si>
  <si>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</si>
  <si>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</si>
  <si>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</si>
  <si>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 xml:space="preserve">Vihang Infrastructure Pvt Ltd
</t>
  </si>
  <si>
    <t>Elita D3</t>
  </si>
  <si>
    <t xml:space="preserve">Mr. Indrajit Mali 8424964646
</t>
  </si>
  <si>
    <t>P51700034754</t>
  </si>
  <si>
    <t>Survey No</t>
  </si>
  <si>
    <t>Owale</t>
  </si>
  <si>
    <t>Kasarvadavli</t>
  </si>
  <si>
    <t>Haware City Road</t>
  </si>
  <si>
    <t>9.8 KM from Thane Railway Station</t>
  </si>
  <si>
    <t>Thane West</t>
  </si>
  <si>
    <t>Rose Gardnia Building</t>
  </si>
  <si>
    <t>69/1, 69/3A, 69/4, 69/5, 69/6, 72/4A, 72/4B, 74/1/3, 74/1/1, 74/1/2, 74/2A, 74/2B, 74/3, 74/4, 74/5, 75/1, 75/2, 77/1, 77/2, 77/3, 78/1, 78/3A, 78/3B, 78/4 &amp; 76</t>
  </si>
  <si>
    <t>Survey No. 77/3</t>
  </si>
  <si>
    <t>30 M W Road</t>
  </si>
  <si>
    <t>Other Plot</t>
  </si>
  <si>
    <t>Survey No. 69/1/1</t>
  </si>
  <si>
    <t>Survey No. 74/4</t>
  </si>
  <si>
    <t>19.2664037,72.9618984</t>
  </si>
  <si>
    <t>https://maps.app.goo.gl/5Uazzhq5M8dHeG6B8</t>
  </si>
  <si>
    <t>S06/0315/18/(2008/37)/TMC/TDD/4478/23</t>
  </si>
  <si>
    <t>Wing D3 = 2B + G(Pt)/St(Pt) + 2P(Pt) + 1st to 41st Floors (Recreational Floor)</t>
  </si>
  <si>
    <t>Building No.7 (Wing D3)</t>
  </si>
  <si>
    <t>As per RERA - 31/12/2030</t>
  </si>
  <si>
    <t xml:space="preserve">Building No. 7 (Wing D3) = 2B + G + 2P + 1st to 41st Floor
</t>
  </si>
  <si>
    <t xml:space="preserve">Approved no of Floors
</t>
  </si>
  <si>
    <t xml:space="preserve">Proposed no of Floors
</t>
  </si>
  <si>
    <t>Ground Floor For Commercial, Society Office, Drivers Room &amp; Parking</t>
  </si>
  <si>
    <t>Shop</t>
  </si>
  <si>
    <t>1st Podium Floor For Parking</t>
  </si>
  <si>
    <t>2nd Podium Floor For Residential &amp; Parking</t>
  </si>
  <si>
    <t>Parking</t>
  </si>
  <si>
    <t>1.5BHK</t>
  </si>
  <si>
    <t>1BHK</t>
  </si>
  <si>
    <t>2BHK</t>
  </si>
  <si>
    <t>1st to 5th, 7th to 10th, 12th to 15th, 17th to 20th, 22nd to 25th, 27th to 30th, 32nd to 35th, 37th to 40th Floor For Residential</t>
  </si>
  <si>
    <t>6th, 11th, 16th, 21st, 26th, 31st, 36th Floor (Part Refuge Area)</t>
  </si>
  <si>
    <t>Refuge Area</t>
  </si>
  <si>
    <t>Mr. Ajay Songare</t>
  </si>
  <si>
    <t>Shops</t>
  </si>
  <si>
    <t xml:space="preserve">Vitrified tiles flooring, Granite Kitchen Platform, Decorative Enternace, Landscaping &amp; Garden, etc
</t>
  </si>
  <si>
    <t>Flats</t>
  </si>
  <si>
    <t>41st Floor For Recreational Floor</t>
  </si>
  <si>
    <t>Flats - 318, Shops - 6</t>
  </si>
  <si>
    <t>Approved Plans, CC, Sale Plans, Cost Sheet</t>
  </si>
  <si>
    <t>Type D2</t>
  </si>
  <si>
    <t>Sonal Laxmi Apartments</t>
  </si>
  <si>
    <r>
      <t xml:space="preserve">Proposed Amenities :                                                                                                                                                                                                                         </t>
    </r>
    <r>
      <rPr>
        <b/>
        <sz val="12"/>
        <rFont val="Times New Roman"/>
        <family val="1"/>
      </rPr>
      <t xml:space="preserve">                                               </t>
    </r>
  </si>
  <si>
    <r>
      <t xml:space="preserve">Shop No.
</t>
    </r>
    <r>
      <rPr>
        <b/>
        <sz val="11"/>
        <rFont val="Times New Roman"/>
        <family val="1"/>
      </rPr>
      <t>(Approved Plan)</t>
    </r>
  </si>
  <si>
    <t>Other Charges</t>
  </si>
  <si>
    <t>2nd &amp; 1st Basement For Flushing Tank, Fire Tank, Domestic Tank &amp; Parking</t>
  </si>
  <si>
    <t>SIA/MH/INFRA2/418305/2023</t>
  </si>
  <si>
    <t>S. No. 69/1 (1/1,1/2),69/3A (3A/1, 3A/2),69/4, 5 (5/1,5/2),6,72(4B), 72(4C),72(4D),72(4E),74/1/3A,74/1/3B,74/ 1/1B,74/1/2B,74/1/2A,74/3 (3/1, 3/2),74/5,2B,74/2A,(2A/1,2A/2),74/4,74/5,7 5/1A,75/1B,75/2B,75/2C,77/1 (1/2, 1/3),77/2,77/3,78/1B,78/1D,78/1E,78/3A (3A/1, 3A/2),78/4A,78/4B,78/3B(3B/1, 3B/2, 3B/3),76 
Proposed Builtup Area = 177491.61 Sq.M 
Proposed No. of Floors Type D3 = 2B + Gr/St (Pt) + 2P (Pt) + 1st to 42nd Upper Floor</t>
  </si>
  <si>
    <t xml:space="preserve">Please check for Fire Noc.
</t>
  </si>
  <si>
    <t>Building No.7 (Type D3)</t>
  </si>
  <si>
    <t>We considered Gross carpet area = Net carpet + Dry Balcony + Chajja</t>
  </si>
  <si>
    <t>Construction work is the same as last visit (dtd.07/10/2024), but work is in process at the time of the visit. (Slow Speed)</t>
  </si>
  <si>
    <t xml:space="preserve">Construction work is in process at the time of the visit. (Slow Speed)
</t>
  </si>
  <si>
    <t>Gaurav Panchal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</si>
</sst>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26">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15" fillId="0" borderId="1" xfId="1" applyNumberFormat="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164" fontId="7" fillId="0" borderId="0" xfId="1" applyNumberFormat="1" applyFont="1" applyAlignment="1">
      <alignment horizontal="center" vertical="center"/>
    </xf>
    <xf numFmtId="1" fontId="7" fillId="0" borderId="1" xfId="1" applyNumberFormat="1" applyFont="1" applyBorder="1" applyAlignment="1">
      <alignment horizontal="center" vertical="center"/>
    </xf>
    <xf numFmtId="0" fontId="12" fillId="0" borderId="1" xfId="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7" fillId="0" borderId="5"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8" fillId="0" borderId="16" xfId="1" applyFont="1" applyBorder="1" applyAlignment="1" applyProtection="1">
      <alignment horizontal="center" vertical="top"/>
      <protection locked="0"/>
    </xf>
    <xf numFmtId="1" fontId="6" fillId="0" borderId="21"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 fontId="10" fillId="0" borderId="1" xfId="0" applyNumberFormat="1" applyFont="1" applyBorder="1" applyAlignment="1" applyProtection="1">
      <alignment horizontal="center" vertical="center"/>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7" fillId="0" borderId="0" xfId="1" applyFont="1" applyAlignment="1">
      <alignment horizontal="center" vertical="center"/>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0" fontId="12" fillId="0" borderId="3"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8" fillId="0" borderId="16" xfId="1" applyFont="1" applyBorder="1" applyAlignment="1" applyProtection="1">
      <alignment horizontal="left" vertical="top"/>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1" fontId="7" fillId="0" borderId="1" xfId="1" applyNumberFormat="1" applyFont="1" applyBorder="1" applyAlignment="1" applyProtection="1">
      <alignment horizontal="center" vertical="top" wrapText="1"/>
      <protection locked="0"/>
    </xf>
    <xf numFmtId="0" fontId="7" fillId="0" borderId="25" xfId="0" applyFont="1" applyBorder="1" applyAlignment="1">
      <alignment horizontal="center" vertical="center" wrapText="1"/>
    </xf>
    <xf numFmtId="0" fontId="7" fillId="0" borderId="0" xfId="0" applyFont="1" applyBorder="1" applyAlignment="1">
      <alignment horizontal="center" vertical="center" wrapText="1"/>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9</xdr:col>
      <xdr:colOff>152400</xdr:colOff>
      <xdr:row>233</xdr:row>
      <xdr:rowOff>190500</xdr:rowOff>
    </xdr:from>
    <xdr:to>
      <xdr:col>11</xdr:col>
      <xdr:colOff>695325</xdr:colOff>
      <xdr:row>235</xdr:row>
      <xdr:rowOff>142875</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7839075" y="38338125"/>
          <a:ext cx="20097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Building No. 7 (Wing</a:t>
          </a:r>
          <a:r>
            <a:rPr lang="en-IN" sz="1400" b="1" baseline="0">
              <a:solidFill>
                <a:srgbClr val="FF0000"/>
              </a:solidFill>
            </a:rPr>
            <a:t> D3</a:t>
          </a:r>
          <a:r>
            <a:rPr lang="en-IN" sz="1400" b="1">
              <a:solidFill>
                <a:srgbClr val="FF0000"/>
              </a:solidFill>
            </a:rPr>
            <a:t>)</a:t>
          </a:r>
        </a:p>
      </xdr:txBody>
    </xdr:sp>
    <xdr:clientData/>
  </xdr:twoCellAnchor>
  <xdr:twoCellAnchor editAs="oneCell">
    <xdr:from>
      <xdr:col>8</xdr:col>
      <xdr:colOff>257176</xdr:colOff>
      <xdr:row>41</xdr:row>
      <xdr:rowOff>152400</xdr:rowOff>
    </xdr:from>
    <xdr:to>
      <xdr:col>13</xdr:col>
      <xdr:colOff>540102</xdr:colOff>
      <xdr:row>51</xdr:row>
      <xdr:rowOff>83550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572251" y="10153650"/>
          <a:ext cx="4626327" cy="2160000"/>
        </a:xfrm>
        <a:prstGeom prst="rect">
          <a:avLst/>
        </a:prstGeom>
      </xdr:spPr>
    </xdr:pic>
    <xdr:clientData/>
  </xdr:twoCellAnchor>
  <xdr:twoCellAnchor editAs="oneCell">
    <xdr:from>
      <xdr:col>1</xdr:col>
      <xdr:colOff>806265</xdr:colOff>
      <xdr:row>273</xdr:row>
      <xdr:rowOff>44824</xdr:rowOff>
    </xdr:from>
    <xdr:to>
      <xdr:col>5</xdr:col>
      <xdr:colOff>495302</xdr:colOff>
      <xdr:row>291</xdr:row>
      <xdr:rowOff>62193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rot="5400000">
          <a:off x="1292040" y="48528755"/>
          <a:ext cx="3648075" cy="3095625"/>
        </a:xfrm>
        <a:prstGeom prst="rect">
          <a:avLst/>
        </a:prstGeom>
        <a:ln>
          <a:solidFill>
            <a:schemeClr val="tx1"/>
          </a:solidFill>
        </a:ln>
      </xdr:spPr>
    </xdr:pic>
    <xdr:clientData/>
  </xdr:twoCellAnchor>
  <xdr:twoCellAnchor editAs="oneCell">
    <xdr:from>
      <xdr:col>1</xdr:col>
      <xdr:colOff>251011</xdr:colOff>
      <xdr:row>315</xdr:row>
      <xdr:rowOff>8405</xdr:rowOff>
    </xdr:from>
    <xdr:to>
      <xdr:col>6</xdr:col>
      <xdr:colOff>429295</xdr:colOff>
      <xdr:row>334</xdr:row>
      <xdr:rowOff>135994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1013011" y="56672630"/>
          <a:ext cx="4312134" cy="3928064"/>
        </a:xfrm>
        <a:prstGeom prst="rect">
          <a:avLst/>
        </a:prstGeom>
        <a:ln>
          <a:solidFill>
            <a:schemeClr val="tx1"/>
          </a:solidFill>
        </a:ln>
      </xdr:spPr>
    </xdr:pic>
    <xdr:clientData/>
  </xdr:twoCellAnchor>
  <xdr:twoCellAnchor>
    <xdr:from>
      <xdr:col>1</xdr:col>
      <xdr:colOff>156882</xdr:colOff>
      <xdr:row>292</xdr:row>
      <xdr:rowOff>19494</xdr:rowOff>
    </xdr:from>
    <xdr:to>
      <xdr:col>6</xdr:col>
      <xdr:colOff>617220</xdr:colOff>
      <xdr:row>312</xdr:row>
      <xdr:rowOff>45720</xdr:rowOff>
    </xdr:to>
    <xdr:grpSp>
      <xdr:nvGrpSpPr>
        <xdr:cNvPr id="29" name="Group 28">
          <a:extLst>
            <a:ext uri="{FF2B5EF4-FFF2-40B4-BE49-F238E27FC236}">
              <a16:creationId xmlns:a16="http://schemas.microsoft.com/office/drawing/2014/main" id="{F02825D2-06C7-DE34-1B5D-7D1C9A108919}"/>
            </a:ext>
          </a:extLst>
        </xdr:cNvPr>
        <xdr:cNvGrpSpPr/>
      </xdr:nvGrpSpPr>
      <xdr:grpSpPr>
        <a:xfrm>
          <a:off x="918882" y="49206594"/>
          <a:ext cx="4594188" cy="4026726"/>
          <a:chOff x="941742" y="48985614"/>
          <a:chExt cx="4603713" cy="4483586"/>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a:stretch>
            <a:fillRect/>
          </a:stretch>
        </xdr:blipFill>
        <xdr:spPr>
          <a:xfrm>
            <a:off x="941742" y="48985614"/>
            <a:ext cx="4462519" cy="4483586"/>
          </a:xfrm>
          <a:prstGeom prst="rect">
            <a:avLst/>
          </a:prstGeom>
          <a:ln>
            <a:solidFill>
              <a:schemeClr val="tx1"/>
            </a:solidFill>
          </a:ln>
        </xdr:spPr>
      </xdr:pic>
      <xdr:sp macro="" textlink="">
        <xdr:nvSpPr>
          <xdr:cNvPr id="9" name="Rectangle 8">
            <a:extLst>
              <a:ext uri="{FF2B5EF4-FFF2-40B4-BE49-F238E27FC236}">
                <a16:creationId xmlns:a16="http://schemas.microsoft.com/office/drawing/2014/main" id="{00000000-0008-0000-0000-000009000000}"/>
              </a:ext>
            </a:extLst>
          </xdr:cNvPr>
          <xdr:cNvSpPr/>
        </xdr:nvSpPr>
        <xdr:spPr>
          <a:xfrm rot="561744">
            <a:off x="4299620" y="51313577"/>
            <a:ext cx="591289" cy="7182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3802380" y="51090195"/>
            <a:ext cx="1743075" cy="3486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0000"/>
                </a:solidFill>
              </a:rPr>
              <a:t>Building No. 7 (Wing</a:t>
            </a:r>
            <a:r>
              <a:rPr lang="en-IN" sz="1100" b="1" baseline="0">
                <a:solidFill>
                  <a:srgbClr val="FF0000"/>
                </a:solidFill>
              </a:rPr>
              <a:t> D3</a:t>
            </a:r>
            <a:r>
              <a:rPr lang="en-IN" sz="1100" b="1">
                <a:solidFill>
                  <a:srgbClr val="FF0000"/>
                </a:solidFill>
              </a:rPr>
              <a:t>)</a:t>
            </a:r>
          </a:p>
        </xdr:txBody>
      </xdr:sp>
    </xdr:grpSp>
    <xdr:clientData/>
  </xdr:twoCellAnchor>
  <xdr:twoCellAnchor>
    <xdr:from>
      <xdr:col>1</xdr:col>
      <xdr:colOff>144780</xdr:colOff>
      <xdr:row>335</xdr:row>
      <xdr:rowOff>57151</xdr:rowOff>
    </xdr:from>
    <xdr:to>
      <xdr:col>6</xdr:col>
      <xdr:colOff>586740</xdr:colOff>
      <xdr:row>355</xdr:row>
      <xdr:rowOff>30480</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906780" y="57845326"/>
          <a:ext cx="4575810" cy="3973829"/>
          <a:chOff x="866774" y="59112150"/>
          <a:chExt cx="4671628" cy="4320000"/>
        </a:xfrm>
      </xdr:grpSpPr>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5"/>
          <a:stretch>
            <a:fillRect/>
          </a:stretch>
        </xdr:blipFill>
        <xdr:spPr>
          <a:xfrm>
            <a:off x="866774" y="59112150"/>
            <a:ext cx="4671628" cy="4320000"/>
          </a:xfrm>
          <a:prstGeom prst="rect">
            <a:avLst/>
          </a:prstGeom>
          <a:ln>
            <a:solidFill>
              <a:schemeClr val="tx1"/>
            </a:solidFill>
          </a:ln>
        </xdr:spPr>
      </xdr:pic>
      <xdr:sp macro="" textlink="">
        <xdr:nvSpPr>
          <xdr:cNvPr id="7" name="Rectangle 6">
            <a:extLst>
              <a:ext uri="{FF2B5EF4-FFF2-40B4-BE49-F238E27FC236}">
                <a16:creationId xmlns:a16="http://schemas.microsoft.com/office/drawing/2014/main" id="{00000000-0008-0000-0000-000007000000}"/>
              </a:ext>
            </a:extLst>
          </xdr:cNvPr>
          <xdr:cNvSpPr/>
        </xdr:nvSpPr>
        <xdr:spPr>
          <a:xfrm rot="448001">
            <a:off x="2633934" y="60547148"/>
            <a:ext cx="713298" cy="978883"/>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2181225" y="61588650"/>
            <a:ext cx="182880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FF00"/>
                </a:solidFill>
              </a:rPr>
              <a:t>Building No. 7 (Wing</a:t>
            </a:r>
            <a:r>
              <a:rPr lang="en-IN" sz="1200" b="1" baseline="0">
                <a:solidFill>
                  <a:srgbClr val="FFFF00"/>
                </a:solidFill>
              </a:rPr>
              <a:t> D3</a:t>
            </a:r>
            <a:r>
              <a:rPr lang="en-IN" sz="1200" b="1">
                <a:solidFill>
                  <a:srgbClr val="FFFF00"/>
                </a:solidFill>
              </a:rPr>
              <a:t>)</a:t>
            </a:r>
          </a:p>
        </xdr:txBody>
      </xdr:sp>
    </xdr:grpSp>
    <xdr:clientData/>
  </xdr:twoCellAnchor>
  <xdr:twoCellAnchor>
    <xdr:from>
      <xdr:col>9</xdr:col>
      <xdr:colOff>406400</xdr:colOff>
      <xdr:row>236</xdr:row>
      <xdr:rowOff>142875</xdr:rowOff>
    </xdr:from>
    <xdr:to>
      <xdr:col>11</xdr:col>
      <xdr:colOff>958850</xdr:colOff>
      <xdr:row>238</xdr:row>
      <xdr:rowOff>98425</xdr:rowOff>
    </xdr:to>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8470900" y="38065075"/>
          <a:ext cx="2089150"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Building No. 7 (Wing</a:t>
          </a:r>
          <a:r>
            <a:rPr lang="en-IN" sz="1400" b="1" baseline="0">
              <a:solidFill>
                <a:srgbClr val="FF0000"/>
              </a:solidFill>
            </a:rPr>
            <a:t> D3</a:t>
          </a:r>
          <a:r>
            <a:rPr lang="en-IN" sz="1400" b="1">
              <a:solidFill>
                <a:srgbClr val="FF0000"/>
              </a:solidFill>
            </a:rPr>
            <a:t>)</a:t>
          </a:r>
        </a:p>
      </xdr:txBody>
    </xdr:sp>
    <xdr:clientData/>
  </xdr:twoCellAnchor>
  <xdr:twoCellAnchor editAs="oneCell">
    <xdr:from>
      <xdr:col>13</xdr:col>
      <xdr:colOff>121303</xdr:colOff>
      <xdr:row>248</xdr:row>
      <xdr:rowOff>69066</xdr:rowOff>
    </xdr:from>
    <xdr:to>
      <xdr:col>15</xdr:col>
      <xdr:colOff>15591</xdr:colOff>
      <xdr:row>259</xdr:row>
      <xdr:rowOff>63716</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0989328" y="40855116"/>
          <a:ext cx="1542113" cy="2194925"/>
        </a:xfrm>
        <a:prstGeom prst="rect">
          <a:avLst/>
        </a:prstGeom>
        <a:ln>
          <a:solidFill>
            <a:schemeClr val="tx1"/>
          </a:solidFill>
        </a:ln>
      </xdr:spPr>
    </xdr:pic>
    <xdr:clientData/>
  </xdr:twoCellAnchor>
  <xdr:twoCellAnchor editAs="oneCell">
    <xdr:from>
      <xdr:col>8</xdr:col>
      <xdr:colOff>828675</xdr:colOff>
      <xdr:row>235</xdr:row>
      <xdr:rowOff>127000</xdr:rowOff>
    </xdr:from>
    <xdr:to>
      <xdr:col>12</xdr:col>
      <xdr:colOff>272311</xdr:colOff>
      <xdr:row>247</xdr:row>
      <xdr:rowOff>111150</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7353300" y="38322250"/>
          <a:ext cx="2996461" cy="2374925"/>
        </a:xfrm>
        <a:prstGeom prst="rect">
          <a:avLst/>
        </a:prstGeom>
        <a:ln>
          <a:solidFill>
            <a:schemeClr val="tx1"/>
          </a:solidFill>
        </a:ln>
      </xdr:spPr>
    </xdr:pic>
    <xdr:clientData/>
  </xdr:twoCellAnchor>
  <xdr:twoCellAnchor editAs="oneCell">
    <xdr:from>
      <xdr:col>9</xdr:col>
      <xdr:colOff>406923</xdr:colOff>
      <xdr:row>248</xdr:row>
      <xdr:rowOff>69066</xdr:rowOff>
    </xdr:from>
    <xdr:to>
      <xdr:col>12</xdr:col>
      <xdr:colOff>766481</xdr:colOff>
      <xdr:row>259</xdr:row>
      <xdr:rowOff>63716</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8093598" y="40855116"/>
          <a:ext cx="2750333" cy="2194925"/>
        </a:xfrm>
        <a:prstGeom prst="rect">
          <a:avLst/>
        </a:prstGeom>
        <a:ln>
          <a:solidFill>
            <a:schemeClr val="tx1"/>
          </a:solidFill>
        </a:ln>
      </xdr:spPr>
    </xdr:pic>
    <xdr:clientData/>
  </xdr:twoCellAnchor>
  <xdr:twoCellAnchor editAs="oneCell">
    <xdr:from>
      <xdr:col>12</xdr:col>
      <xdr:colOff>417708</xdr:colOff>
      <xdr:row>235</xdr:row>
      <xdr:rowOff>127000</xdr:rowOff>
    </xdr:from>
    <xdr:to>
      <xdr:col>16</xdr:col>
      <xdr:colOff>159794</xdr:colOff>
      <xdr:row>247</xdr:row>
      <xdr:rowOff>111150</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0495158" y="38322250"/>
          <a:ext cx="2961536" cy="2374925"/>
        </a:xfrm>
        <a:prstGeom prst="rect">
          <a:avLst/>
        </a:prstGeom>
        <a:ln>
          <a:solidFill>
            <a:schemeClr val="tx1"/>
          </a:solidFill>
        </a:ln>
      </xdr:spPr>
    </xdr:pic>
    <xdr:clientData/>
  </xdr:twoCellAnchor>
  <xdr:twoCellAnchor>
    <xdr:from>
      <xdr:col>8</xdr:col>
      <xdr:colOff>765810</xdr:colOff>
      <xdr:row>236</xdr:row>
      <xdr:rowOff>66675</xdr:rowOff>
    </xdr:from>
    <xdr:to>
      <xdr:col>16</xdr:col>
      <xdr:colOff>285750</xdr:colOff>
      <xdr:row>258</xdr:row>
      <xdr:rowOff>141901</xdr:rowOff>
    </xdr:to>
    <xdr:grpSp>
      <xdr:nvGrpSpPr>
        <xdr:cNvPr id="6" name="Group 5">
          <a:extLst>
            <a:ext uri="{FF2B5EF4-FFF2-40B4-BE49-F238E27FC236}">
              <a16:creationId xmlns:a16="http://schemas.microsoft.com/office/drawing/2014/main" id="{130A61CD-D548-4A73-6581-8D80BFC46EEF}"/>
            </a:ext>
          </a:extLst>
        </xdr:cNvPr>
        <xdr:cNvGrpSpPr/>
      </xdr:nvGrpSpPr>
      <xdr:grpSpPr>
        <a:xfrm>
          <a:off x="7290435" y="38461950"/>
          <a:ext cx="6292215" cy="4466251"/>
          <a:chOff x="-55605" y="305768"/>
          <a:chExt cx="6841494" cy="4845346"/>
        </a:xfrm>
      </xdr:grpSpPr>
      <xdr:grpSp>
        <xdr:nvGrpSpPr>
          <xdr:cNvPr id="8" name="Group 7">
            <a:extLst>
              <a:ext uri="{FF2B5EF4-FFF2-40B4-BE49-F238E27FC236}">
                <a16:creationId xmlns:a16="http://schemas.microsoft.com/office/drawing/2014/main" id="{6EE2B23B-9569-1FE7-86C6-BCBA2AA3C0F6}"/>
              </a:ext>
            </a:extLst>
          </xdr:cNvPr>
          <xdr:cNvGrpSpPr/>
        </xdr:nvGrpSpPr>
        <xdr:grpSpPr>
          <a:xfrm>
            <a:off x="1053462" y="2991114"/>
            <a:ext cx="4623361" cy="2160000"/>
            <a:chOff x="782297" y="2991114"/>
            <a:chExt cx="4623361" cy="2160000"/>
          </a:xfrm>
        </xdr:grpSpPr>
        <xdr:pic>
          <xdr:nvPicPr>
            <xdr:cNvPr id="25" name="Picture 24">
              <a:extLst>
                <a:ext uri="{FF2B5EF4-FFF2-40B4-BE49-F238E27FC236}">
                  <a16:creationId xmlns:a16="http://schemas.microsoft.com/office/drawing/2014/main" id="{5EEAB334-612A-52FE-4598-2C84B4956DE6}"/>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782297" y="2991114"/>
              <a:ext cx="2877333" cy="2160000"/>
            </a:xfrm>
            <a:prstGeom prst="rect">
              <a:avLst/>
            </a:prstGeom>
            <a:ln>
              <a:solidFill>
                <a:schemeClr val="tx1"/>
              </a:solidFill>
            </a:ln>
          </xdr:spPr>
        </xdr:pic>
        <xdr:pic>
          <xdr:nvPicPr>
            <xdr:cNvPr id="28" name="Picture 27">
              <a:extLst>
                <a:ext uri="{FF2B5EF4-FFF2-40B4-BE49-F238E27FC236}">
                  <a16:creationId xmlns:a16="http://schemas.microsoft.com/office/drawing/2014/main" id="{D85DC1DD-6A6C-10B2-A74F-04D74CADD078}"/>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787346" y="2991114"/>
              <a:ext cx="1618312" cy="2160000"/>
            </a:xfrm>
            <a:prstGeom prst="rect">
              <a:avLst/>
            </a:prstGeom>
            <a:ln>
              <a:solidFill>
                <a:schemeClr val="tx1"/>
              </a:solidFill>
            </a:ln>
          </xdr:spPr>
        </xdr:pic>
      </xdr:grpSp>
      <xdr:grpSp>
        <xdr:nvGrpSpPr>
          <xdr:cNvPr id="13" name="Group 12">
            <a:extLst>
              <a:ext uri="{FF2B5EF4-FFF2-40B4-BE49-F238E27FC236}">
                <a16:creationId xmlns:a16="http://schemas.microsoft.com/office/drawing/2014/main" id="{943C58F2-CF4F-C3D8-5DB3-382F9FB52E11}"/>
              </a:ext>
            </a:extLst>
          </xdr:cNvPr>
          <xdr:cNvGrpSpPr/>
        </xdr:nvGrpSpPr>
        <xdr:grpSpPr>
          <a:xfrm>
            <a:off x="-55605" y="305768"/>
            <a:ext cx="6841494" cy="2520000"/>
            <a:chOff x="-55605" y="305768"/>
            <a:chExt cx="6841494" cy="2520000"/>
          </a:xfrm>
        </xdr:grpSpPr>
        <xdr:pic>
          <xdr:nvPicPr>
            <xdr:cNvPr id="14" name="Picture 13">
              <a:extLst>
                <a:ext uri="{FF2B5EF4-FFF2-40B4-BE49-F238E27FC236}">
                  <a16:creationId xmlns:a16="http://schemas.microsoft.com/office/drawing/2014/main" id="{519F1FD4-6405-99C5-0D1C-A4BFB893FE2C}"/>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55605" y="305768"/>
              <a:ext cx="3356889" cy="2520000"/>
            </a:xfrm>
            <a:prstGeom prst="rect">
              <a:avLst/>
            </a:prstGeom>
            <a:ln>
              <a:solidFill>
                <a:schemeClr val="tx1"/>
              </a:solidFill>
            </a:ln>
          </xdr:spPr>
        </xdr:pic>
        <xdr:pic>
          <xdr:nvPicPr>
            <xdr:cNvPr id="15" name="Picture 14">
              <a:extLst>
                <a:ext uri="{FF2B5EF4-FFF2-40B4-BE49-F238E27FC236}">
                  <a16:creationId xmlns:a16="http://schemas.microsoft.com/office/drawing/2014/main" id="{A898C005-2D69-EF39-8E6E-1515D1C469F5}"/>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429000" y="305768"/>
              <a:ext cx="3356889" cy="2520000"/>
            </a:xfrm>
            <a:prstGeom prst="rect">
              <a:avLst/>
            </a:prstGeom>
            <a:ln>
              <a:solidFill>
                <a:schemeClr val="tx1"/>
              </a:solidFill>
            </a:ln>
          </xdr:spPr>
        </xdr:pic>
      </xdr:grpSp>
    </xdr:grpSp>
    <xdr:clientData/>
  </xdr:twoCellAnchor>
  <xdr:twoCellAnchor>
    <xdr:from>
      <xdr:col>0</xdr:col>
      <xdr:colOff>638175</xdr:colOff>
      <xdr:row>237</xdr:row>
      <xdr:rowOff>0</xdr:rowOff>
    </xdr:from>
    <xdr:to>
      <xdr:col>7</xdr:col>
      <xdr:colOff>408900</xdr:colOff>
      <xdr:row>271</xdr:row>
      <xdr:rowOff>64082</xdr:rowOff>
    </xdr:to>
    <xdr:grpSp>
      <xdr:nvGrpSpPr>
        <xdr:cNvPr id="27" name="Group 26">
          <a:extLst>
            <a:ext uri="{FF2B5EF4-FFF2-40B4-BE49-F238E27FC236}">
              <a16:creationId xmlns:a16="http://schemas.microsoft.com/office/drawing/2014/main" id="{26194FEB-9DB8-4B99-B0AB-FE6884EFF787}"/>
            </a:ext>
          </a:extLst>
        </xdr:cNvPr>
        <xdr:cNvGrpSpPr/>
      </xdr:nvGrpSpPr>
      <xdr:grpSpPr>
        <a:xfrm>
          <a:off x="638175" y="38595300"/>
          <a:ext cx="5400000" cy="6455357"/>
          <a:chOff x="573741" y="276643"/>
          <a:chExt cx="5400000" cy="6455357"/>
        </a:xfrm>
      </xdr:grpSpPr>
      <xdr:pic>
        <xdr:nvPicPr>
          <xdr:cNvPr id="30" name="Picture 29">
            <a:extLst>
              <a:ext uri="{FF2B5EF4-FFF2-40B4-BE49-F238E27FC236}">
                <a16:creationId xmlns:a16="http://schemas.microsoft.com/office/drawing/2014/main" id="{AC16EF94-4AA7-459B-9912-C63F600C0FA8}"/>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573741" y="276643"/>
            <a:ext cx="5400000" cy="4053754"/>
          </a:xfrm>
          <a:prstGeom prst="rect">
            <a:avLst/>
          </a:prstGeom>
          <a:ln>
            <a:solidFill>
              <a:schemeClr val="tx1"/>
            </a:solidFill>
          </a:ln>
        </xdr:spPr>
      </xdr:pic>
      <xdr:pic>
        <xdr:nvPicPr>
          <xdr:cNvPr id="31" name="Picture 30">
            <a:extLst>
              <a:ext uri="{FF2B5EF4-FFF2-40B4-BE49-F238E27FC236}">
                <a16:creationId xmlns:a16="http://schemas.microsoft.com/office/drawing/2014/main" id="{94B5572E-67D2-4958-A4CA-990EC45AC1D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557327" y="4572000"/>
            <a:ext cx="1618312" cy="2160000"/>
          </a:xfrm>
          <a:prstGeom prst="rect">
            <a:avLst/>
          </a:prstGeom>
          <a:ln>
            <a:solidFill>
              <a:schemeClr val="tx1"/>
            </a:solidFill>
          </a:ln>
        </xdr:spPr>
      </xdr:pic>
      <xdr:pic>
        <xdr:nvPicPr>
          <xdr:cNvPr id="32" name="Picture 31">
            <a:extLst>
              <a:ext uri="{FF2B5EF4-FFF2-40B4-BE49-F238E27FC236}">
                <a16:creationId xmlns:a16="http://schemas.microsoft.com/office/drawing/2014/main" id="{2404D401-161C-4176-AC81-9BE357F22919}"/>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3375213" y="4572000"/>
            <a:ext cx="1618312"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15</xdr:col>
      <xdr:colOff>101974</xdr:colOff>
      <xdr:row>52</xdr:row>
      <xdr:rowOff>76200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2706" y="2678206"/>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5Uazzhq5M8dHeG6B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15"/>
  <sheetViews>
    <sheetView tabSelected="1" view="pageBreakPreview" topLeftCell="A236" zoomScaleNormal="100" zoomScaleSheetLayoutView="100" zoomScalePageLayoutView="85" workbookViewId="0">
      <selection activeCell="J10" sqref="J10"/>
    </sheetView>
  </sheetViews>
  <sheetFormatPr defaultColWidth="9.140625" defaultRowHeight="15.75" x14ac:dyDescent="0.25"/>
  <cols>
    <col min="1" max="1" width="11.42578125" style="40" customWidth="1"/>
    <col min="2" max="3" width="12.7109375" style="40" customWidth="1"/>
    <col min="4" max="4" width="13.7109375" style="40" customWidth="1"/>
    <col min="5" max="5" width="11.7109375" style="40" customWidth="1"/>
    <col min="6" max="6" width="11.140625" style="40" customWidth="1"/>
    <col min="7" max="7" width="11" style="40" customWidth="1"/>
    <col min="8" max="8" width="13.42578125"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81" t="s">
        <v>164</v>
      </c>
      <c r="B1" s="181"/>
      <c r="C1" s="181"/>
      <c r="D1" s="181"/>
      <c r="E1" s="181"/>
      <c r="F1" s="181"/>
      <c r="G1" s="181"/>
      <c r="H1" s="181"/>
    </row>
    <row r="2" spans="1:26" ht="16.5" customHeight="1" x14ac:dyDescent="0.25">
      <c r="A2" s="182" t="s">
        <v>0</v>
      </c>
      <c r="B2" s="182"/>
      <c r="C2" s="182"/>
      <c r="D2" s="182"/>
      <c r="E2" s="182"/>
      <c r="F2" s="182"/>
      <c r="G2" s="182"/>
      <c r="H2" s="182"/>
    </row>
    <row r="3" spans="1:26" x14ac:dyDescent="0.25">
      <c r="A3" s="108" t="s">
        <v>1</v>
      </c>
      <c r="B3" s="108"/>
      <c r="C3" s="108"/>
      <c r="D3" s="108"/>
      <c r="E3" s="108" t="str">
        <f ca="1">TEXT(TODAY(),"DD/MM/YYYY")</f>
        <v>16/07/2025</v>
      </c>
      <c r="F3" s="108"/>
      <c r="G3" s="108"/>
      <c r="H3" s="108"/>
      <c r="K3" s="55" t="s">
        <v>237</v>
      </c>
      <c r="L3" s="54" t="s">
        <v>235</v>
      </c>
      <c r="M3" s="54" t="s">
        <v>240</v>
      </c>
      <c r="N3" s="54" t="s">
        <v>238</v>
      </c>
      <c r="O3" s="54" t="s">
        <v>239</v>
      </c>
      <c r="P3" s="54" t="s">
        <v>241</v>
      </c>
    </row>
    <row r="4" spans="1:26" ht="15" customHeight="1" x14ac:dyDescent="0.25">
      <c r="A4" s="108" t="s">
        <v>234</v>
      </c>
      <c r="B4" s="108"/>
      <c r="C4" s="108"/>
      <c r="D4" s="108"/>
      <c r="E4" s="108" t="s">
        <v>235</v>
      </c>
      <c r="F4" s="108"/>
      <c r="G4" s="108"/>
      <c r="H4" s="108"/>
      <c r="K4" s="53" t="s">
        <v>236</v>
      </c>
      <c r="L4" s="54" t="s">
        <v>170</v>
      </c>
      <c r="M4" s="54" t="s">
        <v>245</v>
      </c>
      <c r="N4" s="54" t="s">
        <v>247</v>
      </c>
      <c r="O4" s="54" t="s">
        <v>249</v>
      </c>
      <c r="P4" s="54"/>
    </row>
    <row r="5" spans="1:26" ht="15" customHeight="1" x14ac:dyDescent="0.25">
      <c r="A5" s="108" t="s">
        <v>2</v>
      </c>
      <c r="B5" s="108"/>
      <c r="C5" s="108"/>
      <c r="D5" s="108"/>
      <c r="E5" s="108" t="s">
        <v>243</v>
      </c>
      <c r="F5" s="108"/>
      <c r="G5" s="108"/>
      <c r="H5" s="108"/>
      <c r="K5" s="53"/>
      <c r="L5" s="54" t="s">
        <v>242</v>
      </c>
      <c r="M5" s="54" t="s">
        <v>246</v>
      </c>
      <c r="N5" s="54" t="s">
        <v>248</v>
      </c>
      <c r="O5" s="54" t="s">
        <v>250</v>
      </c>
      <c r="P5" s="54"/>
    </row>
    <row r="6" spans="1:26" x14ac:dyDescent="0.25">
      <c r="A6" s="108" t="s">
        <v>3</v>
      </c>
      <c r="B6" s="108"/>
      <c r="C6" s="108"/>
      <c r="D6" s="108"/>
      <c r="E6" s="184">
        <v>45846</v>
      </c>
      <c r="F6" s="108"/>
      <c r="G6" s="108"/>
      <c r="H6" s="108"/>
      <c r="K6" s="53"/>
      <c r="L6" s="54" t="s">
        <v>243</v>
      </c>
      <c r="M6" s="54"/>
      <c r="N6" s="54"/>
      <c r="O6" s="54" t="s">
        <v>251</v>
      </c>
      <c r="P6" s="54"/>
    </row>
    <row r="7" spans="1:26" ht="16.5" customHeight="1" x14ac:dyDescent="0.25">
      <c r="A7" s="108" t="s">
        <v>4</v>
      </c>
      <c r="B7" s="108"/>
      <c r="C7" s="108"/>
      <c r="D7" s="108"/>
      <c r="E7" s="107" t="s">
        <v>333</v>
      </c>
      <c r="F7" s="108"/>
      <c r="G7" s="108"/>
      <c r="H7" s="108"/>
      <c r="K7" s="53"/>
      <c r="L7" s="54" t="s">
        <v>244</v>
      </c>
      <c r="M7" s="54"/>
      <c r="N7" s="54"/>
      <c r="O7" s="54" t="s">
        <v>251</v>
      </c>
      <c r="P7" s="54"/>
    </row>
    <row r="8" spans="1:26" ht="15" customHeight="1" x14ac:dyDescent="0.25">
      <c r="A8" s="108" t="s">
        <v>5</v>
      </c>
      <c r="B8" s="108"/>
      <c r="C8" s="108"/>
      <c r="D8" s="108"/>
      <c r="E8" s="108" t="str">
        <f>E7</f>
        <v xml:space="preserve">Vihang Infrastructure Pvt Ltd
</v>
      </c>
      <c r="F8" s="108"/>
      <c r="G8" s="108"/>
      <c r="H8" s="108"/>
      <c r="K8" s="53"/>
      <c r="L8" s="54"/>
      <c r="M8" s="54"/>
      <c r="N8" s="54"/>
      <c r="O8" s="54" t="s">
        <v>252</v>
      </c>
      <c r="P8" s="54"/>
    </row>
    <row r="9" spans="1:26" x14ac:dyDescent="0.25">
      <c r="A9" s="108" t="s">
        <v>6</v>
      </c>
      <c r="B9" s="108"/>
      <c r="C9" s="108"/>
      <c r="D9" s="108"/>
      <c r="E9" s="165" t="s">
        <v>334</v>
      </c>
      <c r="F9" s="183"/>
      <c r="G9" s="183"/>
      <c r="H9" s="183"/>
      <c r="K9" s="53"/>
      <c r="L9" s="54"/>
      <c r="M9" s="54"/>
      <c r="N9" s="54"/>
      <c r="O9" s="54" t="s">
        <v>253</v>
      </c>
      <c r="P9" s="54"/>
    </row>
    <row r="10" spans="1:26" x14ac:dyDescent="0.25">
      <c r="A10" s="108" t="s">
        <v>167</v>
      </c>
      <c r="B10" s="108"/>
      <c r="C10" s="108"/>
      <c r="D10" s="108"/>
      <c r="E10" s="107" t="s">
        <v>335</v>
      </c>
      <c r="F10" s="108"/>
      <c r="G10" s="108"/>
      <c r="H10" s="108"/>
      <c r="K10" s="53"/>
      <c r="L10" s="54"/>
      <c r="M10" s="54"/>
      <c r="N10" s="54"/>
      <c r="O10" s="54"/>
      <c r="P10" s="54"/>
    </row>
    <row r="11" spans="1:26" x14ac:dyDescent="0.25">
      <c r="A11" s="108" t="s">
        <v>168</v>
      </c>
      <c r="B11" s="108"/>
      <c r="C11" s="108"/>
      <c r="D11" s="108"/>
      <c r="E11" s="108" t="s">
        <v>28</v>
      </c>
      <c r="F11" s="108"/>
      <c r="G11" s="108"/>
      <c r="H11" s="108"/>
    </row>
    <row r="12" spans="1:26" x14ac:dyDescent="0.25">
      <c r="A12" s="108" t="s">
        <v>7</v>
      </c>
      <c r="B12" s="108"/>
      <c r="C12" s="108"/>
      <c r="D12" s="108"/>
      <c r="E12" s="108" t="s">
        <v>386</v>
      </c>
      <c r="F12" s="108"/>
      <c r="G12" s="108"/>
      <c r="H12" s="108"/>
    </row>
    <row r="13" spans="1:26" x14ac:dyDescent="0.25">
      <c r="A13" s="108" t="s">
        <v>171</v>
      </c>
      <c r="B13" s="108"/>
      <c r="C13" s="108"/>
      <c r="D13" s="108"/>
      <c r="E13" s="108" t="s">
        <v>28</v>
      </c>
      <c r="F13" s="108"/>
      <c r="G13" s="108"/>
      <c r="H13" s="108"/>
      <c r="S13" s="54" t="s">
        <v>179</v>
      </c>
      <c r="T13" s="54" t="s">
        <v>189</v>
      </c>
      <c r="U13" s="54" t="s">
        <v>172</v>
      </c>
      <c r="V13" s="54" t="s">
        <v>194</v>
      </c>
      <c r="W13" s="54" t="s">
        <v>212</v>
      </c>
      <c r="X13"/>
      <c r="Y13" t="s">
        <v>194</v>
      </c>
      <c r="Z13" t="e">
        <f ca="1">OFFSET($S$13,1,MATCH($G20,$S$13:$W$13,0)-1,15,1)</f>
        <v>#VALUE!</v>
      </c>
    </row>
    <row r="14" spans="1:26" x14ac:dyDescent="0.25">
      <c r="A14" s="86" t="s">
        <v>280</v>
      </c>
      <c r="B14" s="86"/>
      <c r="C14" s="86"/>
      <c r="D14" s="86"/>
      <c r="E14" s="107" t="s">
        <v>376</v>
      </c>
      <c r="F14" s="107"/>
      <c r="G14" s="107"/>
      <c r="H14" s="107"/>
      <c r="S14" s="54" t="s">
        <v>180</v>
      </c>
      <c r="T14" s="54" t="s">
        <v>187</v>
      </c>
      <c r="U14" s="54" t="s">
        <v>209</v>
      </c>
      <c r="V14" s="54" t="s">
        <v>195</v>
      </c>
      <c r="W14" s="54" t="s">
        <v>213</v>
      </c>
      <c r="X14"/>
      <c r="Y14"/>
      <c r="Z14"/>
    </row>
    <row r="15" spans="1:26" x14ac:dyDescent="0.25">
      <c r="A15" s="86" t="s">
        <v>8</v>
      </c>
      <c r="B15" s="86"/>
      <c r="C15" s="86"/>
      <c r="D15" s="86"/>
      <c r="E15" s="107" t="s">
        <v>336</v>
      </c>
      <c r="F15" s="108"/>
      <c r="G15" s="108"/>
      <c r="H15" s="108"/>
      <c r="I15" s="79" t="e">
        <f ca="1">OFFSET($D$5,1,MATCH($J13,$D$5:$H$5,0)-1,15,1)</f>
        <v>#N/A</v>
      </c>
      <c r="J15" s="80"/>
      <c r="K15" s="80"/>
      <c r="L15" s="80"/>
      <c r="M15" s="80"/>
      <c r="N15" s="80"/>
      <c r="O15" s="80"/>
      <c r="P15" s="80"/>
      <c r="S15" s="54" t="s">
        <v>181</v>
      </c>
      <c r="T15" s="54" t="s">
        <v>188</v>
      </c>
      <c r="U15" s="54" t="s">
        <v>210</v>
      </c>
      <c r="V15" s="54" t="s">
        <v>196</v>
      </c>
      <c r="W15" s="54" t="s">
        <v>226</v>
      </c>
      <c r="X15"/>
      <c r="Y15"/>
      <c r="Z15"/>
    </row>
    <row r="16" spans="1:26" ht="63.75" customHeight="1" x14ac:dyDescent="0.25">
      <c r="A16" s="92" t="s">
        <v>9</v>
      </c>
      <c r="B16" s="92"/>
      <c r="C16" s="92" t="str">
        <f>CONCATENATE((IF(OR(E9="",E9="NA"),"",E9)),", ",(IF(OR(A17="",A17="NA"),"",A17)),".",(IF(OR(C17="",C17="NA"),"",C17)),", near ",(IF(OR(C22="",C22="NA"),"",C22)),", ",(IF(OR(C19="",C19="NA"),"",C19)),", ",(IF(OR(C18="",C18="NA"),"",C18)),", ",(IF(OR(G19="",G19="NA"),"",G19)),", ",(IF(OR(C20="",C20="NA"),"",C20)),", ",(IF(OR(C21="",C21="NA"),"",C21)),", ",(IF(OR(G20="",G20="NA"),"",G20))," - ",(IF(OR(G21="",G21="NA"),"",G21)),".")</f>
        <v>Elita D3, Survey No.69/1, 69/3A, 69/4, 69/5, 69/6, 72/4A, 72/4B, 74/1/3, 74/1/1, 74/1/2, 74/2A, 74/2B, 74/3, 74/4, 74/5, 75/1, 75/2, 77/1, 77/2, 77/3, 78/1, 78/3A, 78/3B, 78/4 &amp; 76, near Rose Gardnia Building, Haware City Road, Kasarvadavli, Owale, Thane West, Thane, Thane  - 400615.</v>
      </c>
      <c r="D16" s="92"/>
      <c r="E16" s="92"/>
      <c r="F16" s="92"/>
      <c r="G16" s="92"/>
      <c r="H16" s="92"/>
      <c r="S16" s="54" t="s">
        <v>182</v>
      </c>
      <c r="T16" s="54" t="s">
        <v>190</v>
      </c>
      <c r="U16" s="54" t="s">
        <v>211</v>
      </c>
      <c r="V16" s="54" t="s">
        <v>197</v>
      </c>
      <c r="W16" s="54" t="s">
        <v>214</v>
      </c>
      <c r="X16"/>
      <c r="Y16"/>
      <c r="Z16"/>
    </row>
    <row r="17" spans="1:26" ht="34.5" customHeight="1" x14ac:dyDescent="0.25">
      <c r="A17" s="107" t="s">
        <v>337</v>
      </c>
      <c r="B17" s="107"/>
      <c r="C17" s="107" t="s">
        <v>344</v>
      </c>
      <c r="D17" s="107"/>
      <c r="E17" s="107"/>
      <c r="F17" s="107"/>
      <c r="G17" s="107"/>
      <c r="H17" s="107"/>
      <c r="S17" s="54" t="s">
        <v>183</v>
      </c>
      <c r="T17" s="54" t="s">
        <v>191</v>
      </c>
      <c r="U17" s="54" t="s">
        <v>172</v>
      </c>
      <c r="V17" s="54" t="s">
        <v>198</v>
      </c>
      <c r="W17" s="54" t="s">
        <v>215</v>
      </c>
      <c r="X17"/>
      <c r="Y17"/>
      <c r="Z17"/>
    </row>
    <row r="18" spans="1:26" ht="15.75" customHeight="1" x14ac:dyDescent="0.25">
      <c r="A18" s="107" t="s">
        <v>162</v>
      </c>
      <c r="B18" s="107"/>
      <c r="C18" s="107" t="s">
        <v>339</v>
      </c>
      <c r="D18" s="107"/>
      <c r="E18" s="107"/>
      <c r="F18" s="107"/>
      <c r="G18" s="107"/>
      <c r="H18" s="107"/>
      <c r="S18" s="54" t="s">
        <v>184</v>
      </c>
      <c r="T18" s="54" t="s">
        <v>189</v>
      </c>
      <c r="U18" s="54"/>
      <c r="V18" s="54" t="s">
        <v>199</v>
      </c>
      <c r="W18" s="54" t="s">
        <v>216</v>
      </c>
      <c r="X18"/>
      <c r="Y18"/>
      <c r="Z18"/>
    </row>
    <row r="19" spans="1:26" ht="15.75" customHeight="1" x14ac:dyDescent="0.25">
      <c r="A19" s="92" t="s">
        <v>10</v>
      </c>
      <c r="B19" s="92"/>
      <c r="C19" s="108" t="s">
        <v>340</v>
      </c>
      <c r="D19" s="108"/>
      <c r="E19" s="92" t="s">
        <v>69</v>
      </c>
      <c r="F19" s="92"/>
      <c r="G19" s="107" t="s">
        <v>338</v>
      </c>
      <c r="H19" s="107"/>
      <c r="S19" s="54" t="s">
        <v>185</v>
      </c>
      <c r="T19" s="54" t="s">
        <v>192</v>
      </c>
      <c r="U19" s="54"/>
      <c r="V19" s="54" t="s">
        <v>200</v>
      </c>
      <c r="W19" s="54" t="s">
        <v>217</v>
      </c>
      <c r="X19"/>
      <c r="Y19"/>
      <c r="Z19"/>
    </row>
    <row r="20" spans="1:26" x14ac:dyDescent="0.25">
      <c r="A20" s="86" t="s">
        <v>12</v>
      </c>
      <c r="B20" s="86"/>
      <c r="C20" s="107" t="s">
        <v>342</v>
      </c>
      <c r="D20" s="107"/>
      <c r="E20" s="92" t="s">
        <v>11</v>
      </c>
      <c r="F20" s="92"/>
      <c r="G20" s="188" t="s">
        <v>179</v>
      </c>
      <c r="H20" s="188"/>
      <c r="S20" s="54" t="s">
        <v>186</v>
      </c>
      <c r="T20" s="54" t="s">
        <v>193</v>
      </c>
      <c r="U20" s="54"/>
      <c r="V20" s="54" t="s">
        <v>201</v>
      </c>
      <c r="W20" s="54" t="s">
        <v>218</v>
      </c>
      <c r="X20"/>
      <c r="Y20"/>
      <c r="Z20"/>
    </row>
    <row r="21" spans="1:26" x14ac:dyDescent="0.25">
      <c r="A21" s="86" t="s">
        <v>70</v>
      </c>
      <c r="B21" s="86"/>
      <c r="C21" s="107" t="s">
        <v>180</v>
      </c>
      <c r="D21" s="107"/>
      <c r="E21" s="92" t="s">
        <v>13</v>
      </c>
      <c r="F21" s="92"/>
      <c r="G21" s="107">
        <v>400615</v>
      </c>
      <c r="H21" s="107"/>
      <c r="S21" s="54"/>
      <c r="T21" s="54"/>
      <c r="U21" s="54"/>
      <c r="V21" s="54" t="s">
        <v>202</v>
      </c>
      <c r="W21" s="54" t="s">
        <v>219</v>
      </c>
      <c r="X21"/>
      <c r="Y21"/>
      <c r="Z21"/>
    </row>
    <row r="22" spans="1:26" ht="32.25" customHeight="1" x14ac:dyDescent="0.25">
      <c r="A22" s="86" t="s">
        <v>118</v>
      </c>
      <c r="B22" s="86"/>
      <c r="C22" s="107" t="s">
        <v>343</v>
      </c>
      <c r="D22" s="107"/>
      <c r="E22" s="92" t="s">
        <v>14</v>
      </c>
      <c r="F22" s="92"/>
      <c r="G22" s="107" t="s">
        <v>341</v>
      </c>
      <c r="H22" s="107"/>
      <c r="S22" s="54"/>
      <c r="T22" s="54"/>
      <c r="U22" s="54"/>
      <c r="V22" s="54" t="s">
        <v>203</v>
      </c>
      <c r="W22" s="54" t="s">
        <v>220</v>
      </c>
      <c r="X22"/>
      <c r="Y22"/>
      <c r="Z22"/>
    </row>
    <row r="23" spans="1:26" ht="15" customHeight="1" x14ac:dyDescent="0.25">
      <c r="A23" s="92" t="s">
        <v>72</v>
      </c>
      <c r="B23" s="92"/>
      <c r="C23" s="92"/>
      <c r="D23" s="92"/>
      <c r="E23" s="108" t="s">
        <v>15</v>
      </c>
      <c r="F23" s="108"/>
      <c r="G23" s="108"/>
      <c r="H23" s="108"/>
      <c r="S23" s="54"/>
      <c r="T23" s="54"/>
      <c r="U23" s="54"/>
      <c r="V23" s="54" t="s">
        <v>204</v>
      </c>
      <c r="W23" s="54" t="s">
        <v>221</v>
      </c>
      <c r="X23"/>
      <c r="Y23"/>
      <c r="Z23"/>
    </row>
    <row r="24" spans="1:26" ht="18.75" customHeight="1" x14ac:dyDescent="0.25">
      <c r="A24" s="92"/>
      <c r="B24" s="92"/>
      <c r="C24" s="92"/>
      <c r="D24" s="92"/>
      <c r="E24" s="108"/>
      <c r="F24" s="108"/>
      <c r="G24" s="108"/>
      <c r="H24" s="108"/>
      <c r="S24" s="54"/>
      <c r="T24" s="54"/>
      <c r="U24" s="54"/>
      <c r="V24" s="54" t="s">
        <v>205</v>
      </c>
      <c r="W24" s="54" t="s">
        <v>222</v>
      </c>
      <c r="X24"/>
      <c r="Y24"/>
      <c r="Z24"/>
    </row>
    <row r="25" spans="1:26" ht="15" customHeight="1" x14ac:dyDescent="0.25">
      <c r="A25" s="92" t="s">
        <v>16</v>
      </c>
      <c r="B25" s="92"/>
      <c r="C25" s="92"/>
      <c r="D25" s="92"/>
      <c r="E25" s="107" t="s">
        <v>17</v>
      </c>
      <c r="F25" s="107"/>
      <c r="G25" s="107"/>
      <c r="H25" s="107"/>
      <c r="S25" s="54"/>
      <c r="T25" s="54"/>
      <c r="U25" s="54"/>
      <c r="V25" s="54" t="s">
        <v>206</v>
      </c>
      <c r="W25" s="54" t="s">
        <v>223</v>
      </c>
      <c r="X25"/>
      <c r="Y25"/>
      <c r="Z25"/>
    </row>
    <row r="26" spans="1:26" ht="15" customHeight="1" x14ac:dyDescent="0.25">
      <c r="A26" s="86" t="s">
        <v>18</v>
      </c>
      <c r="B26" s="86"/>
      <c r="C26" s="86"/>
      <c r="D26" s="86"/>
      <c r="E26" s="107" t="str">
        <f>IF(AND(G20="Mumbai"),"Upper Class","Middle Class")</f>
        <v>Middle Class</v>
      </c>
      <c r="F26" s="107"/>
      <c r="G26" s="107"/>
      <c r="H26" s="107"/>
      <c r="S26" s="54"/>
      <c r="T26" s="54"/>
      <c r="U26" s="54"/>
      <c r="V26" s="54" t="s">
        <v>207</v>
      </c>
      <c r="W26" s="54" t="s">
        <v>224</v>
      </c>
      <c r="X26"/>
      <c r="Y26"/>
      <c r="Z26"/>
    </row>
    <row r="27" spans="1:26" x14ac:dyDescent="0.25">
      <c r="A27" s="86" t="s">
        <v>19</v>
      </c>
      <c r="B27" s="86"/>
      <c r="C27" s="86"/>
      <c r="D27" s="86"/>
      <c r="E27" s="107" t="s">
        <v>20</v>
      </c>
      <c r="F27" s="107"/>
      <c r="G27" s="107"/>
      <c r="H27" s="107"/>
      <c r="S27" s="54"/>
      <c r="T27" s="54"/>
      <c r="U27" s="54"/>
      <c r="V27" s="54" t="s">
        <v>208</v>
      </c>
      <c r="W27" s="54" t="s">
        <v>225</v>
      </c>
      <c r="X27"/>
      <c r="Y27"/>
      <c r="Z27"/>
    </row>
    <row r="28" spans="1:26" ht="15.75" customHeight="1" x14ac:dyDescent="0.25">
      <c r="A28" s="86" t="s">
        <v>21</v>
      </c>
      <c r="B28" s="86"/>
      <c r="C28" s="86"/>
      <c r="D28" s="86"/>
      <c r="E28" s="107" t="str">
        <f>IF(AND(G20="Mumbai"),"Developed","Developing")</f>
        <v>Developing</v>
      </c>
      <c r="F28" s="107"/>
      <c r="G28" s="107"/>
      <c r="H28" s="107"/>
    </row>
    <row r="29" spans="1:26" x14ac:dyDescent="0.25">
      <c r="A29" s="86" t="s">
        <v>22</v>
      </c>
      <c r="B29" s="86"/>
      <c r="C29" s="86"/>
      <c r="D29" s="86"/>
      <c r="E29" s="107" t="s">
        <v>23</v>
      </c>
      <c r="F29" s="107"/>
      <c r="G29" s="107"/>
      <c r="H29" s="107"/>
    </row>
    <row r="30" spans="1:26" ht="15.75" customHeight="1" x14ac:dyDescent="0.25">
      <c r="A30" s="86" t="s">
        <v>77</v>
      </c>
      <c r="B30" s="86"/>
      <c r="C30" s="86"/>
      <c r="D30" s="86"/>
      <c r="E30" s="107" t="s">
        <v>78</v>
      </c>
      <c r="F30" s="107"/>
      <c r="G30" s="107"/>
      <c r="H30" s="107"/>
    </row>
    <row r="31" spans="1:26" ht="15" customHeight="1" x14ac:dyDescent="0.25">
      <c r="A31" s="86" t="s">
        <v>30</v>
      </c>
      <c r="B31" s="86"/>
      <c r="C31" s="86"/>
      <c r="D31" s="86"/>
      <c r="E31" s="10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07"/>
      <c r="G31" s="107"/>
      <c r="H31" s="107"/>
    </row>
    <row r="32" spans="1:26" ht="15.75" customHeight="1" x14ac:dyDescent="0.25">
      <c r="A32" s="86" t="s">
        <v>88</v>
      </c>
      <c r="B32" s="86"/>
      <c r="C32" s="86"/>
      <c r="D32" s="86"/>
      <c r="E32" s="107" t="s">
        <v>31</v>
      </c>
      <c r="F32" s="107"/>
      <c r="G32" s="107"/>
      <c r="H32" s="107"/>
    </row>
    <row r="33" spans="1:19" s="22" customFormat="1" x14ac:dyDescent="0.25">
      <c r="A33" s="193" t="s">
        <v>89</v>
      </c>
      <c r="B33" s="193"/>
      <c r="C33" s="190" t="s">
        <v>173</v>
      </c>
      <c r="D33" s="191"/>
      <c r="E33" s="192"/>
      <c r="F33" s="190" t="s">
        <v>29</v>
      </c>
      <c r="G33" s="191"/>
      <c r="H33" s="192"/>
      <c r="S33" s="22" t="e">
        <f ca="1">OFFSET($S$13,1,MATCH($G20,$S$13:$W$13,0)-1,15,1)</f>
        <v>#VALUE!</v>
      </c>
    </row>
    <row r="34" spans="1:19" s="22" customFormat="1" x14ac:dyDescent="0.25">
      <c r="A34" s="189" t="s">
        <v>24</v>
      </c>
      <c r="B34" s="189" t="s">
        <v>28</v>
      </c>
      <c r="C34" s="185" t="s">
        <v>346</v>
      </c>
      <c r="D34" s="186"/>
      <c r="E34" s="187"/>
      <c r="F34" s="185" t="s">
        <v>10</v>
      </c>
      <c r="G34" s="186"/>
      <c r="H34" s="187"/>
    </row>
    <row r="35" spans="1:19" x14ac:dyDescent="0.25">
      <c r="A35" s="189" t="s">
        <v>25</v>
      </c>
      <c r="B35" s="189" t="s">
        <v>28</v>
      </c>
      <c r="C35" s="185" t="s">
        <v>349</v>
      </c>
      <c r="D35" s="186"/>
      <c r="E35" s="187"/>
      <c r="F35" s="185" t="s">
        <v>347</v>
      </c>
      <c r="G35" s="186"/>
      <c r="H35" s="187"/>
    </row>
    <row r="36" spans="1:19" s="22" customFormat="1" x14ac:dyDescent="0.25">
      <c r="A36" s="189" t="s">
        <v>27</v>
      </c>
      <c r="B36" s="189" t="s">
        <v>28</v>
      </c>
      <c r="C36" s="185" t="s">
        <v>345</v>
      </c>
      <c r="D36" s="186"/>
      <c r="E36" s="187"/>
      <c r="F36" s="185" t="s">
        <v>377</v>
      </c>
      <c r="G36" s="186"/>
      <c r="H36" s="187"/>
    </row>
    <row r="37" spans="1:19" x14ac:dyDescent="0.25">
      <c r="A37" s="189" t="s">
        <v>26</v>
      </c>
      <c r="B37" s="189" t="s">
        <v>28</v>
      </c>
      <c r="C37" s="185" t="s">
        <v>348</v>
      </c>
      <c r="D37" s="186"/>
      <c r="E37" s="187"/>
      <c r="F37" s="185" t="s">
        <v>378</v>
      </c>
      <c r="G37" s="186"/>
      <c r="H37" s="187"/>
    </row>
    <row r="38" spans="1:19" x14ac:dyDescent="0.25">
      <c r="A38" s="86" t="s">
        <v>281</v>
      </c>
      <c r="B38" s="86"/>
      <c r="C38" s="86"/>
      <c r="D38" s="86"/>
      <c r="E38" s="86"/>
      <c r="F38" s="86"/>
      <c r="G38" s="86"/>
      <c r="H38" s="86"/>
    </row>
    <row r="39" spans="1:19" ht="15.75" customHeight="1" x14ac:dyDescent="0.25">
      <c r="A39" s="86" t="s">
        <v>165</v>
      </c>
      <c r="B39" s="86"/>
      <c r="C39" s="177" t="s">
        <v>350</v>
      </c>
      <c r="D39" s="177"/>
      <c r="E39" s="177"/>
      <c r="F39" s="177"/>
      <c r="G39" s="177"/>
      <c r="H39" s="177"/>
    </row>
    <row r="40" spans="1:19" x14ac:dyDescent="0.25">
      <c r="A40" s="86" t="s">
        <v>161</v>
      </c>
      <c r="B40" s="86"/>
      <c r="C40" s="206" t="s">
        <v>351</v>
      </c>
      <c r="D40" s="107"/>
      <c r="E40" s="107"/>
      <c r="F40" s="107"/>
      <c r="G40" s="107"/>
      <c r="H40" s="107"/>
    </row>
    <row r="41" spans="1:19" x14ac:dyDescent="0.25">
      <c r="A41" s="177" t="s">
        <v>32</v>
      </c>
      <c r="B41" s="177"/>
      <c r="C41" s="177"/>
      <c r="D41" s="177"/>
      <c r="E41" s="177"/>
      <c r="F41" s="177"/>
      <c r="G41" s="177"/>
      <c r="H41" s="177"/>
    </row>
    <row r="42" spans="1:19" x14ac:dyDescent="0.25">
      <c r="A42" s="86" t="s">
        <v>33</v>
      </c>
      <c r="B42" s="86"/>
      <c r="C42" s="86"/>
      <c r="D42" s="86"/>
      <c r="E42" s="197">
        <v>33848.5</v>
      </c>
      <c r="F42" s="197"/>
      <c r="G42" s="197"/>
      <c r="H42" s="197"/>
    </row>
    <row r="43" spans="1:19" x14ac:dyDescent="0.25">
      <c r="A43" s="86" t="s">
        <v>34</v>
      </c>
      <c r="B43" s="86"/>
      <c r="C43" s="86"/>
      <c r="D43" s="86"/>
      <c r="E43" s="94">
        <v>1.1000000000000001</v>
      </c>
      <c r="F43" s="94"/>
      <c r="G43" s="94"/>
      <c r="H43" s="94"/>
    </row>
    <row r="44" spans="1:19" x14ac:dyDescent="0.25">
      <c r="A44" s="86" t="s">
        <v>35</v>
      </c>
      <c r="B44" s="86"/>
      <c r="C44" s="86"/>
      <c r="D44" s="86"/>
      <c r="E44" s="94">
        <f>E46/E42-E43</f>
        <v>1.9864413489519475</v>
      </c>
      <c r="F44" s="94"/>
      <c r="G44" s="94"/>
      <c r="H44" s="94"/>
    </row>
    <row r="45" spans="1:19" x14ac:dyDescent="0.25">
      <c r="A45" s="86" t="s">
        <v>36</v>
      </c>
      <c r="B45" s="86"/>
      <c r="C45" s="86"/>
      <c r="D45" s="86"/>
      <c r="E45" s="94">
        <f>E43+E44</f>
        <v>3.0864413489519475</v>
      </c>
      <c r="F45" s="94"/>
      <c r="G45" s="94"/>
      <c r="H45" s="94"/>
    </row>
    <row r="46" spans="1:19" x14ac:dyDescent="0.25">
      <c r="A46" s="86" t="s">
        <v>87</v>
      </c>
      <c r="B46" s="86"/>
      <c r="C46" s="86"/>
      <c r="D46" s="86"/>
      <c r="E46" s="200">
        <v>104471.41</v>
      </c>
      <c r="F46" s="200"/>
      <c r="G46" s="200"/>
      <c r="H46" s="200"/>
    </row>
    <row r="47" spans="1:19" x14ac:dyDescent="0.25">
      <c r="A47" s="108" t="s">
        <v>37</v>
      </c>
      <c r="B47" s="108"/>
      <c r="C47" s="108"/>
      <c r="D47" s="108"/>
      <c r="E47" s="108" t="s">
        <v>117</v>
      </c>
      <c r="F47" s="108"/>
      <c r="G47" s="108"/>
      <c r="H47" s="108"/>
    </row>
    <row r="48" spans="1:19" x14ac:dyDescent="0.25">
      <c r="A48" s="177" t="s">
        <v>38</v>
      </c>
      <c r="B48" s="177"/>
      <c r="C48" s="177"/>
      <c r="D48" s="177"/>
      <c r="E48" s="177"/>
      <c r="F48" s="177"/>
      <c r="G48" s="177"/>
      <c r="H48" s="177"/>
    </row>
    <row r="49" spans="1:24" ht="33.75" customHeight="1" x14ac:dyDescent="0.25">
      <c r="A49" s="102" t="s">
        <v>150</v>
      </c>
      <c r="B49" s="103"/>
      <c r="C49" s="214" t="s">
        <v>261</v>
      </c>
      <c r="D49" s="215"/>
      <c r="E49" s="215"/>
      <c r="F49" s="215"/>
      <c r="G49" s="215"/>
      <c r="H49" s="216"/>
      <c r="R49" t="s">
        <v>254</v>
      </c>
      <c r="S49" t="s">
        <v>172</v>
      </c>
      <c r="T49" t="s">
        <v>179</v>
      </c>
      <c r="U49" t="s">
        <v>194</v>
      </c>
      <c r="V49" t="s">
        <v>189</v>
      </c>
    </row>
    <row r="50" spans="1:24" ht="15.75" customHeight="1" x14ac:dyDescent="0.25">
      <c r="A50" s="102" t="s">
        <v>39</v>
      </c>
      <c r="B50" s="103"/>
      <c r="C50" s="102" t="s">
        <v>352</v>
      </c>
      <c r="D50" s="104"/>
      <c r="E50" s="103"/>
      <c r="F50" s="18" t="s">
        <v>40</v>
      </c>
      <c r="G50" s="105">
        <v>45219</v>
      </c>
      <c r="H50" s="103"/>
      <c r="R50"/>
      <c r="S50" t="s">
        <v>255</v>
      </c>
      <c r="T50" t="s">
        <v>260</v>
      </c>
      <c r="U50" t="s">
        <v>271</v>
      </c>
      <c r="V50" t="s">
        <v>276</v>
      </c>
    </row>
    <row r="51" spans="1:24" x14ac:dyDescent="0.25">
      <c r="A51" s="102" t="s">
        <v>41</v>
      </c>
      <c r="B51" s="103"/>
      <c r="C51" s="102" t="str">
        <f>C50</f>
        <v>S06/0315/18/(2008/37)/TMC/TDD/4478/23</v>
      </c>
      <c r="D51" s="104"/>
      <c r="E51" s="103"/>
      <c r="F51" s="18" t="s">
        <v>40</v>
      </c>
      <c r="G51" s="105">
        <v>45219</v>
      </c>
      <c r="H51" s="103"/>
      <c r="R51"/>
      <c r="S51" t="s">
        <v>256</v>
      </c>
      <c r="T51" t="s">
        <v>261</v>
      </c>
      <c r="U51" t="s">
        <v>269</v>
      </c>
      <c r="V51" t="s">
        <v>277</v>
      </c>
    </row>
    <row r="52" spans="1:24" s="23" customFormat="1" ht="15.75" customHeight="1" x14ac:dyDescent="0.25">
      <c r="A52" s="119" t="s">
        <v>154</v>
      </c>
      <c r="B52" s="120"/>
      <c r="C52" s="102" t="str">
        <f>C51</f>
        <v>S06/0315/18/(2008/37)/TMC/TDD/4478/23</v>
      </c>
      <c r="D52" s="104"/>
      <c r="E52" s="103"/>
      <c r="F52" s="18" t="s">
        <v>40</v>
      </c>
      <c r="G52" s="105">
        <v>45219</v>
      </c>
      <c r="H52" s="103"/>
      <c r="R52"/>
      <c r="S52" t="s">
        <v>257</v>
      </c>
      <c r="T52" t="s">
        <v>262</v>
      </c>
      <c r="U52" t="s">
        <v>259</v>
      </c>
      <c r="V52" t="s">
        <v>278</v>
      </c>
    </row>
    <row r="53" spans="1:24" s="23" customFormat="1" ht="18" customHeight="1" x14ac:dyDescent="0.25">
      <c r="A53" s="121"/>
      <c r="B53" s="122"/>
      <c r="C53" s="102" t="s">
        <v>353</v>
      </c>
      <c r="D53" s="104"/>
      <c r="E53" s="104"/>
      <c r="F53" s="104"/>
      <c r="G53" s="104"/>
      <c r="H53" s="103"/>
      <c r="R53"/>
      <c r="S53" t="s">
        <v>258</v>
      </c>
      <c r="T53" t="s">
        <v>265</v>
      </c>
      <c r="U53" t="s">
        <v>272</v>
      </c>
    </row>
    <row r="54" spans="1:24" s="23" customFormat="1" hidden="1" x14ac:dyDescent="0.25">
      <c r="A54" s="111" t="s">
        <v>282</v>
      </c>
      <c r="B54" s="112"/>
      <c r="C54" s="102"/>
      <c r="D54" s="104"/>
      <c r="E54" s="103"/>
      <c r="F54" s="18" t="s">
        <v>40</v>
      </c>
      <c r="G54" s="102"/>
      <c r="H54" s="103"/>
      <c r="R54"/>
      <c r="S54" t="s">
        <v>257</v>
      </c>
      <c r="T54" t="s">
        <v>262</v>
      </c>
      <c r="U54" t="s">
        <v>259</v>
      </c>
      <c r="V54" t="s">
        <v>278</v>
      </c>
    </row>
    <row r="55" spans="1:24" s="23" customFormat="1" ht="32.25" hidden="1" customHeight="1" x14ac:dyDescent="0.25">
      <c r="A55" s="113"/>
      <c r="B55" s="114"/>
      <c r="C55" s="211"/>
      <c r="D55" s="212"/>
      <c r="E55" s="212"/>
      <c r="F55" s="212"/>
      <c r="G55" s="212"/>
      <c r="H55" s="213"/>
      <c r="R55"/>
      <c r="S55" t="s">
        <v>259</v>
      </c>
      <c r="T55" t="s">
        <v>263</v>
      </c>
      <c r="U55" t="s">
        <v>273</v>
      </c>
      <c r="V55" s="21"/>
      <c r="W55" s="21"/>
      <c r="X55" s="21"/>
    </row>
    <row r="56" spans="1:24" s="23" customFormat="1" ht="27" customHeight="1" x14ac:dyDescent="0.25">
      <c r="A56" s="115" t="s">
        <v>283</v>
      </c>
      <c r="B56" s="116"/>
      <c r="C56" s="102" t="s">
        <v>383</v>
      </c>
      <c r="D56" s="104"/>
      <c r="E56" s="103"/>
      <c r="F56" s="18" t="s">
        <v>40</v>
      </c>
      <c r="G56" s="105">
        <v>45083</v>
      </c>
      <c r="H56" s="103"/>
      <c r="R56"/>
      <c r="S56" s="21"/>
      <c r="T56" t="s">
        <v>264</v>
      </c>
      <c r="U56" t="s">
        <v>274</v>
      </c>
      <c r="V56" s="21"/>
      <c r="W56" s="21"/>
      <c r="X56" s="21"/>
    </row>
    <row r="57" spans="1:24" s="23" customFormat="1" ht="127.5" customHeight="1" x14ac:dyDescent="0.25">
      <c r="A57" s="117"/>
      <c r="B57" s="118"/>
      <c r="C57" s="102" t="s">
        <v>384</v>
      </c>
      <c r="D57" s="104"/>
      <c r="E57" s="104"/>
      <c r="F57" s="104"/>
      <c r="G57" s="104"/>
      <c r="H57" s="103"/>
      <c r="R57"/>
      <c r="S57" s="21"/>
      <c r="T57" t="s">
        <v>266</v>
      </c>
      <c r="U57" t="s">
        <v>275</v>
      </c>
      <c r="V57" s="21"/>
      <c r="W57" s="21"/>
      <c r="X57" s="21"/>
    </row>
    <row r="58" spans="1:24" s="23" customFormat="1" ht="15.75" hidden="1" customHeight="1" x14ac:dyDescent="0.25">
      <c r="A58" s="111" t="s">
        <v>284</v>
      </c>
      <c r="B58" s="112"/>
      <c r="C58" s="102" t="str">
        <f>C57</f>
        <v>S. No. 69/1 (1/1,1/2),69/3A (3A/1, 3A/2),69/4, 5 (5/1,5/2),6,72(4B), 72(4C),72(4D),72(4E),74/1/3A,74/1/3B,74/ 1/1B,74/1/2B,74/1/2A,74/3 (3/1, 3/2),74/5,2B,74/2A,(2A/1,2A/2),74/4,74/5,7 5/1A,75/1B,75/2B,75/2C,77/1 (1/2, 1/3),77/2,77/3,78/1B,78/1D,78/1E,78/3A (3A/1, 3A/2),78/4A,78/4B,78/3B(3B/1, 3B/2, 3B/3),76 
Proposed Builtup Area = 177491.61 Sq.M 
Proposed No. of Floors Type D3 = 2B + Gr/St (Pt) + 2P (Pt) + 1st to 42nd Upper Floor</v>
      </c>
      <c r="D58" s="104"/>
      <c r="E58" s="103"/>
      <c r="F58" s="18" t="s">
        <v>40</v>
      </c>
      <c r="G58" s="102">
        <f>G57</f>
        <v>0</v>
      </c>
      <c r="H58" s="103"/>
      <c r="R58"/>
      <c r="S58" s="21"/>
      <c r="T58" t="s">
        <v>267</v>
      </c>
      <c r="U58" s="21" t="s">
        <v>298</v>
      </c>
      <c r="V58" s="21"/>
      <c r="W58" s="21"/>
      <c r="X58" s="21"/>
    </row>
    <row r="59" spans="1:24" s="23" customFormat="1" ht="33.75" hidden="1" customHeight="1" x14ac:dyDescent="0.25">
      <c r="A59" s="113"/>
      <c r="B59" s="114"/>
      <c r="C59" s="102"/>
      <c r="D59" s="104"/>
      <c r="E59" s="104"/>
      <c r="F59" s="104"/>
      <c r="G59" s="104"/>
      <c r="H59" s="103"/>
      <c r="R59"/>
      <c r="S59" s="21"/>
      <c r="T59" t="s">
        <v>268</v>
      </c>
      <c r="U59" s="21"/>
      <c r="V59" s="21"/>
      <c r="W59" s="21"/>
      <c r="X59" s="21"/>
    </row>
    <row r="60" spans="1:24" x14ac:dyDescent="0.25">
      <c r="A60" s="87" t="s">
        <v>42</v>
      </c>
      <c r="B60" s="88"/>
      <c r="C60" s="87" t="s">
        <v>100</v>
      </c>
      <c r="D60" s="89"/>
      <c r="E60" s="88"/>
      <c r="F60" s="45" t="s">
        <v>40</v>
      </c>
      <c r="G60" s="109" t="s">
        <v>28</v>
      </c>
      <c r="H60" s="110"/>
      <c r="R60"/>
      <c r="T60" t="s">
        <v>270</v>
      </c>
    </row>
    <row r="61" spans="1:24" x14ac:dyDescent="0.25">
      <c r="A61" s="106" t="s">
        <v>44</v>
      </c>
      <c r="B61" s="106"/>
      <c r="C61" s="106"/>
      <c r="D61" s="106"/>
      <c r="E61" s="106"/>
      <c r="F61" s="106"/>
      <c r="G61" s="106"/>
      <c r="H61" s="106"/>
      <c r="T61" t="s">
        <v>279</v>
      </c>
    </row>
    <row r="62" spans="1:24" x14ac:dyDescent="0.25">
      <c r="A62" s="92" t="s">
        <v>86</v>
      </c>
      <c r="B62" s="92"/>
      <c r="C62" s="92"/>
      <c r="D62" s="86">
        <v>24048.37</v>
      </c>
      <c r="E62" s="86"/>
      <c r="F62" s="86"/>
      <c r="G62" s="86"/>
      <c r="H62" s="86"/>
      <c r="R62"/>
    </row>
    <row r="63" spans="1:24" x14ac:dyDescent="0.25">
      <c r="A63" s="107" t="s">
        <v>45</v>
      </c>
      <c r="B63" s="108"/>
      <c r="C63" s="108"/>
      <c r="D63" s="108" t="s">
        <v>375</v>
      </c>
      <c r="E63" s="108"/>
      <c r="F63" s="108"/>
      <c r="G63" s="108"/>
      <c r="H63" s="108"/>
      <c r="I63" s="24"/>
      <c r="R63"/>
    </row>
    <row r="64" spans="1:24" x14ac:dyDescent="0.25">
      <c r="A64" s="115" t="s">
        <v>357</v>
      </c>
      <c r="B64" s="141"/>
      <c r="C64" s="116"/>
      <c r="D64" s="164" t="s">
        <v>356</v>
      </c>
      <c r="E64" s="205"/>
      <c r="F64" s="205"/>
      <c r="G64" s="205"/>
      <c r="H64" s="205"/>
      <c r="R64"/>
    </row>
    <row r="65" spans="1:19" x14ac:dyDescent="0.25">
      <c r="A65" s="115" t="s">
        <v>358</v>
      </c>
      <c r="B65" s="141"/>
      <c r="C65" s="141"/>
      <c r="D65" s="107" t="s">
        <v>356</v>
      </c>
      <c r="E65" s="108"/>
      <c r="F65" s="108"/>
      <c r="G65" s="108"/>
      <c r="H65" s="108"/>
      <c r="R65"/>
    </row>
    <row r="66" spans="1:19" ht="15.75" customHeight="1" x14ac:dyDescent="0.25">
      <c r="A66" s="86" t="s">
        <v>43</v>
      </c>
      <c r="B66" s="86"/>
      <c r="C66" s="86"/>
      <c r="D66" s="198" t="s">
        <v>355</v>
      </c>
      <c r="E66" s="198"/>
      <c r="F66" s="198"/>
      <c r="G66" s="198"/>
      <c r="H66" s="198"/>
      <c r="J66" s="25"/>
      <c r="K66" s="24"/>
      <c r="N66" s="24"/>
      <c r="S66"/>
    </row>
    <row r="67" spans="1:19" ht="15.75" customHeight="1" x14ac:dyDescent="0.25">
      <c r="A67" s="86" t="s">
        <v>83</v>
      </c>
      <c r="B67" s="86"/>
      <c r="C67" s="86"/>
      <c r="D67" s="199" t="str">
        <f>(IF(G60="NA","60 Years After Completion",IF(G60&lt;&gt;"NA",""&amp;60-ROUNDDOWN((E3-G60)/360,0)&amp;" Years"," ")))</f>
        <v>60 Years After Completion</v>
      </c>
      <c r="E67" s="199"/>
      <c r="F67" s="199"/>
      <c r="G67" s="199"/>
      <c r="H67" s="199"/>
      <c r="N67" s="24"/>
      <c r="S67"/>
    </row>
    <row r="68" spans="1:19" ht="15.75" customHeight="1" x14ac:dyDescent="0.25">
      <c r="A68" s="86" t="s">
        <v>84</v>
      </c>
      <c r="B68" s="86"/>
      <c r="C68" s="86"/>
      <c r="D68" s="92" t="s">
        <v>23</v>
      </c>
      <c r="E68" s="92"/>
      <c r="F68" s="92"/>
      <c r="G68" s="92"/>
      <c r="H68" s="92"/>
      <c r="J68" s="26"/>
      <c r="K68" s="26"/>
      <c r="S68"/>
    </row>
    <row r="69" spans="1:19" ht="33" customHeight="1" x14ac:dyDescent="0.25">
      <c r="A69" s="108" t="s">
        <v>379</v>
      </c>
      <c r="B69" s="108"/>
      <c r="C69" s="108"/>
      <c r="D69" s="107" t="s">
        <v>372</v>
      </c>
      <c r="E69" s="92"/>
      <c r="F69" s="92"/>
      <c r="G69" s="92"/>
      <c r="H69" s="92"/>
      <c r="S69"/>
    </row>
    <row r="70" spans="1:19" x14ac:dyDescent="0.25">
      <c r="A70" s="92" t="s">
        <v>146</v>
      </c>
      <c r="B70" s="92"/>
      <c r="C70" s="92"/>
      <c r="D70" s="92" t="s">
        <v>28</v>
      </c>
      <c r="E70" s="92"/>
      <c r="F70" s="92"/>
      <c r="G70" s="92"/>
      <c r="H70" s="92"/>
      <c r="I70" s="27"/>
      <c r="J70" s="27"/>
      <c r="K70" s="27"/>
      <c r="L70" s="27"/>
      <c r="M70" s="27"/>
      <c r="N70" s="27"/>
    </row>
    <row r="71" spans="1:19" ht="15.75" customHeight="1" x14ac:dyDescent="0.25">
      <c r="A71" s="93" t="s">
        <v>82</v>
      </c>
      <c r="B71" s="93"/>
      <c r="C71" s="93"/>
      <c r="D71" s="164" t="str">
        <f ca="1">(IF(G77&gt;95%,"Nothing",IF(G77&gt;0%,"Cement, Aggregate, Steel, etc",IF(G77=0%,"Work not yet Started"))))</f>
        <v>Cement, Aggregate, Steel, etc</v>
      </c>
      <c r="E71" s="164"/>
      <c r="F71" s="164"/>
      <c r="G71" s="164"/>
      <c r="H71" s="164"/>
      <c r="J71" s="26"/>
      <c r="S71"/>
    </row>
    <row r="72" spans="1:19" ht="33.75" customHeight="1" thickBot="1" x14ac:dyDescent="0.3">
      <c r="A72" s="163" t="s">
        <v>113</v>
      </c>
      <c r="B72" s="163"/>
      <c r="C72" s="163"/>
      <c r="D72" s="164" t="str">
        <f ca="1">(IF(D71="Nothing","Yes",IF(D71="Cement, Aggregate, Steel, etc","Under Construction",IF(D71="Work not yet Started","Work not yet Started"))))</f>
        <v>Under Construction</v>
      </c>
      <c r="E72" s="164"/>
      <c r="F72" s="164" t="str">
        <f ca="1">(IF(D71="Nothing","Yes",IF(D71="Cement, Aggregate, Steel, etc","Under Construction",IF(D71="Work not yet Started","Work not yet Started"))))</f>
        <v>Under Construction</v>
      </c>
      <c r="G72" s="164"/>
      <c r="H72" s="164"/>
      <c r="S72"/>
    </row>
    <row r="73" spans="1:19" ht="15.75" customHeight="1" x14ac:dyDescent="0.25">
      <c r="A73" s="95" t="s">
        <v>136</v>
      </c>
      <c r="B73" s="96"/>
      <c r="C73" s="97" t="str">
        <f>D65</f>
        <v xml:space="preserve">Building No. 7 (Wing D3) = 2B + G + 2P + 1st to 41st Floor
</v>
      </c>
      <c r="D73" s="98"/>
      <c r="E73" s="98"/>
      <c r="F73" s="98"/>
      <c r="G73" s="98"/>
      <c r="H73" s="99"/>
      <c r="I73" s="49" t="str">
        <f ca="1">IF(D86=100%,"All work Completed. Possession granted to the Building.",IF(D85=100%,"All work Completed, Waiting for OC",I74&amp;""&amp;I75&amp;""&amp;J74&amp;""&amp;J73&amp;" "&amp;J75))</f>
        <v xml:space="preserve">Excavation Completed, Footing work is process </v>
      </c>
      <c r="J73" s="50"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c>
      <c r="S73"/>
    </row>
    <row r="74" spans="1:19" x14ac:dyDescent="0.25">
      <c r="A74" s="16" t="s">
        <v>138</v>
      </c>
      <c r="B74" s="47">
        <f>IF(AND(ISNUMBER(SEARCH("1B",C73))),1,IF(AND(ISNUMBER(SEARCH("2B",C73))),2,IF(AND(ISNUMBER(SEARCH("3B",C73))),3,IF(AND(ISNUMBER(SEARCH("4B",C73))),4,IF(ISNUMBER(SEARCH("5B",C73)),5,0)))))</f>
        <v>2</v>
      </c>
      <c r="C74" s="47" t="s">
        <v>68</v>
      </c>
      <c r="D74" s="47">
        <v>1</v>
      </c>
      <c r="E74" s="47" t="s">
        <v>67</v>
      </c>
      <c r="F74" s="47">
        <v>0</v>
      </c>
      <c r="G74" s="48" t="s">
        <v>76</v>
      </c>
      <c r="H74" s="17">
        <f ca="1">--TRIM(RIGHT(SUBSTITUTE(LEFT(C73,_xlfn.AGGREGATE(16,6,FIND({0,1,2,3,4,5,6,7,8,9},C73,ROW(INDIRECT("1:"&amp;LEN(C73)))),1))," ",REPT(" ",LEN(C73))),LEN(C73)))</f>
        <v>41</v>
      </c>
      <c r="I74" s="51" t="str">
        <f ca="1">IF(D77=100%,"Excavation","")&amp;IF(D78=100%,", Plinth","")&amp;IF(D79=100%,", RCC Slab","")&amp;IF(D80=100%,", Brickwork","")&amp;IF(D81=100%,", Internal Plaster","")&amp;IF(D82=100%,", External Plaster","")&amp;IF(D83=100%,", Flooring","")&amp;IF(D84=100%,", Painting","")&amp;IF(D85=100%,", Building common Amenities","")</f>
        <v>Excavation</v>
      </c>
      <c r="J74" s="52"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Footing work is process</v>
      </c>
      <c r="S74"/>
    </row>
    <row r="75" spans="1:19" x14ac:dyDescent="0.25">
      <c r="A75" s="201" t="s">
        <v>85</v>
      </c>
      <c r="B75" s="183"/>
      <c r="C75" s="165" t="str">
        <f ca="1">I73</f>
        <v xml:space="preserve">Excavation Completed, Footing work is process </v>
      </c>
      <c r="D75" s="165"/>
      <c r="E75" s="165"/>
      <c r="F75" s="165"/>
      <c r="G75" s="165"/>
      <c r="H75" s="166"/>
      <c r="I75" s="51" t="str">
        <f ca="1">IF(I74&lt;&gt;""," Completed","")</f>
        <v xml:space="preserve"> Completed</v>
      </c>
      <c r="J75" s="52" t="str">
        <f ca="1">IF(J73&lt;&gt;"","Completed","")</f>
        <v/>
      </c>
      <c r="S75"/>
    </row>
    <row r="76" spans="1:19" ht="15.75" customHeight="1" x14ac:dyDescent="0.25">
      <c r="A76" s="100" t="s">
        <v>46</v>
      </c>
      <c r="B76" s="101"/>
      <c r="C76" s="43" t="s">
        <v>135</v>
      </c>
      <c r="D76" s="43" t="s">
        <v>79</v>
      </c>
      <c r="E76" s="101" t="s">
        <v>81</v>
      </c>
      <c r="F76" s="101"/>
      <c r="G76" s="101" t="s">
        <v>80</v>
      </c>
      <c r="H76" s="145"/>
      <c r="I76" s="13" t="s">
        <v>137</v>
      </c>
      <c r="J76" s="28">
        <f ca="1">H74*25%</f>
        <v>10.25</v>
      </c>
      <c r="S76"/>
    </row>
    <row r="77" spans="1:19" x14ac:dyDescent="0.25">
      <c r="A77" s="100" t="s">
        <v>124</v>
      </c>
      <c r="B77" s="101"/>
      <c r="C77" s="76">
        <f ca="1">J78</f>
        <v>41</v>
      </c>
      <c r="D77" s="19">
        <f ca="1">((100/H74)*C77)/100</f>
        <v>1</v>
      </c>
      <c r="E77" s="146">
        <f ca="1">(((C78/H74*10)+(40/(D74+F74+H74)*C79)+(7.5/(H74)*C80)+(7.5/(H74)*C81)+(10/H74*C82)+(10/H74*C83)+(5/H74*C84)+(5/H74*C85)+(5/H74*C86))/100)</f>
        <v>2.5000000000000001E-2</v>
      </c>
      <c r="F77" s="147"/>
      <c r="G77" s="146">
        <f ca="1">((((C77/H74)*20)+((C78/H74)*25)+(30/(H74+F74+D74)*C79)+(5/H74*C80)+(5/H74*C81)+(5/H74*C82)+(5/H74*C83)+(0/H74*C84)+(0/H74*C85)+(5/H74*C86))/100)</f>
        <v>0.26250000000000001</v>
      </c>
      <c r="H77" s="194"/>
      <c r="I77" s="13" t="s">
        <v>95</v>
      </c>
      <c r="J77" s="29">
        <f ca="1">H74*50%</f>
        <v>20.5</v>
      </c>
    </row>
    <row r="78" spans="1:19" x14ac:dyDescent="0.25">
      <c r="A78" s="100" t="s">
        <v>47</v>
      </c>
      <c r="B78" s="101"/>
      <c r="C78" s="223">
        <f ca="1">J79</f>
        <v>10.25</v>
      </c>
      <c r="D78" s="19">
        <f ca="1">((100/H74)*C78)/100</f>
        <v>0.25</v>
      </c>
      <c r="E78" s="148"/>
      <c r="F78" s="149"/>
      <c r="G78" s="148"/>
      <c r="H78" s="195"/>
      <c r="I78" s="13" t="s">
        <v>96</v>
      </c>
      <c r="J78" s="29">
        <f ca="1">H74</f>
        <v>41</v>
      </c>
      <c r="S78"/>
    </row>
    <row r="79" spans="1:19" ht="15.75" customHeight="1" x14ac:dyDescent="0.25">
      <c r="A79" s="100" t="s">
        <v>125</v>
      </c>
      <c r="B79" s="101"/>
      <c r="C79" s="43">
        <v>0</v>
      </c>
      <c r="D79" s="19">
        <f ca="1">((100/(D74+F74+H74))*C79)/100</f>
        <v>0</v>
      </c>
      <c r="E79" s="148"/>
      <c r="F79" s="149"/>
      <c r="G79" s="148"/>
      <c r="H79" s="195"/>
      <c r="I79" s="13" t="s">
        <v>97</v>
      </c>
      <c r="J79" s="30">
        <f ca="1">(IF(B74&gt;1,(H74/(B74+2)),H74/4))</f>
        <v>10.25</v>
      </c>
      <c r="S79"/>
    </row>
    <row r="80" spans="1:19" ht="15.75" customHeight="1" x14ac:dyDescent="0.25">
      <c r="A80" s="100" t="s">
        <v>132</v>
      </c>
      <c r="B80" s="101" t="s">
        <v>126</v>
      </c>
      <c r="C80" s="43">
        <v>0</v>
      </c>
      <c r="D80" s="19">
        <f ca="1">((100/H74)*C80)/100</f>
        <v>0</v>
      </c>
      <c r="E80" s="148"/>
      <c r="F80" s="149"/>
      <c r="G80" s="148"/>
      <c r="H80" s="195"/>
      <c r="I80" s="13" t="s">
        <v>98</v>
      </c>
      <c r="J80" s="30">
        <f ca="1">(IF(B74&gt;1,(H74/(B74+2)+J79),H74/4+J79))</f>
        <v>20.5</v>
      </c>
    </row>
    <row r="81" spans="1:10" ht="15.75" customHeight="1" x14ac:dyDescent="0.25">
      <c r="A81" s="100" t="s">
        <v>133</v>
      </c>
      <c r="B81" s="101" t="s">
        <v>126</v>
      </c>
      <c r="C81" s="43">
        <v>0</v>
      </c>
      <c r="D81" s="19">
        <f ca="1">((100/H74)*C81)/100</f>
        <v>0</v>
      </c>
      <c r="E81" s="148"/>
      <c r="F81" s="149"/>
      <c r="G81" s="148"/>
      <c r="H81" s="195"/>
      <c r="I81" s="13" t="s">
        <v>144</v>
      </c>
      <c r="J81" s="30">
        <f ca="1">(IF(B74&gt;1,(H74/(B74+2)+J80),0))</f>
        <v>30.75</v>
      </c>
    </row>
    <row r="82" spans="1:10" ht="15" customHeight="1" x14ac:dyDescent="0.25">
      <c r="A82" s="100" t="s">
        <v>131</v>
      </c>
      <c r="B82" s="101" t="s">
        <v>128</v>
      </c>
      <c r="C82" s="43">
        <v>0</v>
      </c>
      <c r="D82" s="19">
        <f ca="1">((100/(H74))*C82)/100</f>
        <v>0</v>
      </c>
      <c r="E82" s="148"/>
      <c r="F82" s="149"/>
      <c r="G82" s="148"/>
      <c r="H82" s="195"/>
      <c r="I82" s="13" t="s">
        <v>139</v>
      </c>
      <c r="J82" s="30">
        <f>(IF(B74&gt;2,(H74/(B74+2)+J81),0))</f>
        <v>0</v>
      </c>
    </row>
    <row r="83" spans="1:10" ht="15.75" customHeight="1" x14ac:dyDescent="0.25">
      <c r="A83" s="100" t="s">
        <v>127</v>
      </c>
      <c r="B83" s="101" t="s">
        <v>127</v>
      </c>
      <c r="C83" s="43">
        <v>0</v>
      </c>
      <c r="D83" s="19">
        <f ca="1">((100/H74)*C83)/100</f>
        <v>0</v>
      </c>
      <c r="E83" s="148"/>
      <c r="F83" s="149"/>
      <c r="G83" s="148"/>
      <c r="H83" s="195"/>
      <c r="I83" s="13" t="s">
        <v>140</v>
      </c>
      <c r="J83" s="31">
        <f>(IF(B74&gt;3,(H74/(B74+2)+J82),0))</f>
        <v>0</v>
      </c>
    </row>
    <row r="84" spans="1:10" ht="15.75" customHeight="1" x14ac:dyDescent="0.25">
      <c r="A84" s="100" t="s">
        <v>134</v>
      </c>
      <c r="B84" s="101"/>
      <c r="C84" s="43">
        <v>0</v>
      </c>
      <c r="D84" s="19">
        <f ca="1">((100/H74)*C84)/100</f>
        <v>0</v>
      </c>
      <c r="E84" s="148"/>
      <c r="F84" s="149"/>
      <c r="G84" s="148"/>
      <c r="H84" s="195"/>
      <c r="I84" s="13" t="s">
        <v>141</v>
      </c>
      <c r="J84" s="30">
        <f>(IF(B74&gt;4,(H74/(B74+2)+J83),0))</f>
        <v>0</v>
      </c>
    </row>
    <row r="85" spans="1:10" ht="15.75" customHeight="1" x14ac:dyDescent="0.25">
      <c r="A85" s="100" t="s">
        <v>129</v>
      </c>
      <c r="B85" s="101" t="s">
        <v>129</v>
      </c>
      <c r="C85" s="43">
        <v>0</v>
      </c>
      <c r="D85" s="19">
        <f ca="1">((100/(H74))*C85)/100</f>
        <v>0</v>
      </c>
      <c r="E85" s="148"/>
      <c r="F85" s="149"/>
      <c r="G85" s="148"/>
      <c r="H85" s="195"/>
      <c r="I85" s="13" t="s">
        <v>145</v>
      </c>
      <c r="J85" s="30">
        <f>(IF(B74=1,(H74/(B74+3)+J80),IF(B74=0,(H74/4+J80),IF(B74&gt;1,0))))</f>
        <v>0</v>
      </c>
    </row>
    <row r="86" spans="1:10" ht="16.5" thickBot="1" x14ac:dyDescent="0.3">
      <c r="A86" s="131" t="s">
        <v>130</v>
      </c>
      <c r="B86" s="132"/>
      <c r="C86" s="44">
        <v>0</v>
      </c>
      <c r="D86" s="20">
        <f ca="1">((100/(H74))*C86)/100</f>
        <v>0</v>
      </c>
      <c r="E86" s="150"/>
      <c r="F86" s="151"/>
      <c r="G86" s="150"/>
      <c r="H86" s="196"/>
      <c r="I86" s="15" t="s">
        <v>99</v>
      </c>
      <c r="J86" s="32">
        <f ca="1">(IF(B74&gt;1.5,(H74/(B74+2)+J80+MAX(0,J81-J80)+MAX(0,J82-J81)+MAX(0,J83-J82)+MAX(0,J84-J83)+MAX(0,J85-J84)),IF(B74=1,(H74/(B74+3)+J85),IF(B74=0,H74/4+J85))))</f>
        <v>41</v>
      </c>
    </row>
    <row r="87" spans="1:10" ht="15.75" hidden="1" customHeight="1" x14ac:dyDescent="0.25">
      <c r="A87" s="95" t="s">
        <v>136</v>
      </c>
      <c r="B87" s="96"/>
      <c r="C87" s="97" t="e">
        <f>#REF!</f>
        <v>#REF!</v>
      </c>
      <c r="D87" s="98"/>
      <c r="E87" s="98"/>
      <c r="F87" s="98"/>
      <c r="G87" s="98"/>
      <c r="H87" s="99"/>
      <c r="I87" s="49" t="e">
        <f ca="1">IF(D100=100%,"All work Completed. Possession granted to the Building.",IF(D99=100%,"All work Completed, Waiting for OC",I88&amp;""&amp;I89&amp;""&amp;J88&amp;""&amp;J87&amp;" "&amp;J89))</f>
        <v>#REF!</v>
      </c>
      <c r="J87" s="50" t="e">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#REF!</v>
      </c>
    </row>
    <row r="88" spans="1:10" hidden="1" x14ac:dyDescent="0.25">
      <c r="A88" s="16" t="s">
        <v>138</v>
      </c>
      <c r="B88" s="47">
        <f>IF(AND(ISNUMBER(SEARCH("1B",C87))),1,IF(AND(ISNUMBER(SEARCH("2B",C87))),2,IF(AND(ISNUMBER(SEARCH("3B",C87))),3,IF(AND(ISNUMBER(SEARCH("4B",C87))),4,IF(ISNUMBER(SEARCH("5B",C87)),5,0)))))</f>
        <v>0</v>
      </c>
      <c r="C88" s="47" t="s">
        <v>68</v>
      </c>
      <c r="D88" s="47">
        <v>1</v>
      </c>
      <c r="E88" s="47" t="s">
        <v>67</v>
      </c>
      <c r="F88" s="14">
        <v>0</v>
      </c>
      <c r="G88" s="48" t="s">
        <v>76</v>
      </c>
      <c r="H88" s="17" t="e">
        <f ca="1">--TRIM(RIGHT(SUBSTITUTE(LEFT(C87,_xlfn.AGGREGATE(16,6,FIND({0,1,2,3,4,5,6,7,8,9},C87,ROW(INDIRECT("1:"&amp;LEN(C87)))),1))," ",REPT(" ",LEN(C87))),LEN(C87)))</f>
        <v>#REF!</v>
      </c>
      <c r="I88" s="51" t="e">
        <f ca="1">IF(D91=100%,"Excavation","")&amp;IF(D92=100%,", Plinth","")&amp;IF(D93=100%,", RCC Slab","")&amp;IF(D94=100%,", Brickwork","")&amp;IF(D95=100%,", Internal Plaster","")&amp;IF(D96=100%,", External Plaster","")&amp;IF(D97=100%,", Flooring","")&amp;IF(D98=100%,", Painting","")&amp;IF(D99=100%,", Building common Amenities","")</f>
        <v>#REF!</v>
      </c>
      <c r="J88" s="52" t="e">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#REF!</v>
      </c>
    </row>
    <row r="89" spans="1:10" hidden="1" x14ac:dyDescent="0.25">
      <c r="A89" s="201" t="s">
        <v>85</v>
      </c>
      <c r="B89" s="183"/>
      <c r="C89" s="165" t="e">
        <f ca="1">(IF($G$60="NA",I87,"All work Completed. OC Received."))</f>
        <v>#REF!</v>
      </c>
      <c r="D89" s="165"/>
      <c r="E89" s="165"/>
      <c r="F89" s="165"/>
      <c r="G89" s="165"/>
      <c r="H89" s="166"/>
      <c r="I89" s="51" t="e">
        <f ca="1">IF(I88&lt;&gt;""," Completed","")</f>
        <v>#REF!</v>
      </c>
      <c r="J89" s="52" t="e">
        <f ca="1">IF(J87&lt;&gt;"","Completed","")</f>
        <v>#REF!</v>
      </c>
    </row>
    <row r="90" spans="1:10" ht="15.75" hidden="1" customHeight="1" x14ac:dyDescent="0.25">
      <c r="A90" s="100" t="s">
        <v>46</v>
      </c>
      <c r="B90" s="101"/>
      <c r="C90" s="43" t="s">
        <v>135</v>
      </c>
      <c r="D90" s="43" t="s">
        <v>79</v>
      </c>
      <c r="E90" s="101" t="s">
        <v>81</v>
      </c>
      <c r="F90" s="101"/>
      <c r="G90" s="101" t="s">
        <v>80</v>
      </c>
      <c r="H90" s="145"/>
      <c r="I90" s="13" t="s">
        <v>137</v>
      </c>
      <c r="J90" s="28" t="e">
        <f ca="1">H88*25%</f>
        <v>#REF!</v>
      </c>
    </row>
    <row r="91" spans="1:10" hidden="1" x14ac:dyDescent="0.25">
      <c r="A91" s="100" t="s">
        <v>124</v>
      </c>
      <c r="B91" s="101"/>
      <c r="C91" s="59" t="e">
        <f ca="1">J92</f>
        <v>#REF!</v>
      </c>
      <c r="D91" s="19" t="e">
        <f ca="1">((100/H88)*C91)/100</f>
        <v>#REF!</v>
      </c>
      <c r="E91" s="146" t="e">
        <f ca="1">(((C92/H88*10)+(40/(D88+F88+H88)*C93)+(7.5/(H88)*C94)+(7.5/(H88)*C95)+(10/H88*C96)+(10/H88*C97)+(5/H88*C98)+(5/H88*C99)+(5/H88*C100))/100)</f>
        <v>#REF!</v>
      </c>
      <c r="F91" s="147"/>
      <c r="G91" s="146" t="e">
        <f ca="1">((((C91/H88)*20)+((C92/H88)*25)+(30/(H88+F88+D88)*C93)+(5/H88*C94)+(5/H88*C95)+(5/H88*C96)+(5/H88*C97)+(0/H88*C98)+(0/H88*C99)+(5/H88*C100))/100)</f>
        <v>#REF!</v>
      </c>
      <c r="H91" s="194"/>
      <c r="I91" s="13" t="s">
        <v>95</v>
      </c>
      <c r="J91" s="29" t="e">
        <f ca="1">H88*50%</f>
        <v>#REF!</v>
      </c>
    </row>
    <row r="92" spans="1:10" hidden="1" x14ac:dyDescent="0.25">
      <c r="A92" s="100" t="s">
        <v>47</v>
      </c>
      <c r="B92" s="101"/>
      <c r="C92" s="60">
        <v>19</v>
      </c>
      <c r="D92" s="19" t="e">
        <f ca="1">((100/H88)*C92)/100</f>
        <v>#REF!</v>
      </c>
      <c r="E92" s="148"/>
      <c r="F92" s="149"/>
      <c r="G92" s="148"/>
      <c r="H92" s="195"/>
      <c r="I92" s="13" t="s">
        <v>96</v>
      </c>
      <c r="J92" s="29" t="e">
        <f ca="1">H88</f>
        <v>#REF!</v>
      </c>
    </row>
    <row r="93" spans="1:10" ht="15.75" hidden="1" customHeight="1" x14ac:dyDescent="0.25">
      <c r="A93" s="100" t="s">
        <v>125</v>
      </c>
      <c r="B93" s="101"/>
      <c r="C93" s="43">
        <v>0</v>
      </c>
      <c r="D93" s="19" t="e">
        <f ca="1">((100/(D88+F88+H88))*C93)/100</f>
        <v>#REF!</v>
      </c>
      <c r="E93" s="148"/>
      <c r="F93" s="149"/>
      <c r="G93" s="148"/>
      <c r="H93" s="195"/>
      <c r="I93" s="13" t="s">
        <v>97</v>
      </c>
      <c r="J93" s="30" t="e">
        <f ca="1">(IF(B88&gt;1,(H88/(B88+2)),H88/4))</f>
        <v>#REF!</v>
      </c>
    </row>
    <row r="94" spans="1:10" ht="15.75" hidden="1" customHeight="1" x14ac:dyDescent="0.25">
      <c r="A94" s="100" t="s">
        <v>132</v>
      </c>
      <c r="B94" s="101" t="s">
        <v>126</v>
      </c>
      <c r="C94" s="43">
        <v>0</v>
      </c>
      <c r="D94" s="19" t="e">
        <f ca="1">((100/H88)*C94)/100</f>
        <v>#REF!</v>
      </c>
      <c r="E94" s="148"/>
      <c r="F94" s="149"/>
      <c r="G94" s="148"/>
      <c r="H94" s="195"/>
      <c r="I94" s="13" t="s">
        <v>98</v>
      </c>
      <c r="J94" s="30" t="e">
        <f ca="1">(IF(B88&gt;1,(H88/(B88+2)+J93),H88/4+J93))</f>
        <v>#REF!</v>
      </c>
    </row>
    <row r="95" spans="1:10" ht="15.75" hidden="1" customHeight="1" x14ac:dyDescent="0.25">
      <c r="A95" s="100" t="s">
        <v>133</v>
      </c>
      <c r="B95" s="101" t="s">
        <v>126</v>
      </c>
      <c r="C95" s="43">
        <v>0</v>
      </c>
      <c r="D95" s="19" t="e">
        <f ca="1">((100/H88)*C95)/100</f>
        <v>#REF!</v>
      </c>
      <c r="E95" s="148"/>
      <c r="F95" s="149"/>
      <c r="G95" s="148"/>
      <c r="H95" s="195"/>
      <c r="I95" s="13" t="s">
        <v>144</v>
      </c>
      <c r="J95" s="30">
        <f>(IF(B88&gt;1,(H88/(B88+2)+J94),0))</f>
        <v>0</v>
      </c>
    </row>
    <row r="96" spans="1:10" ht="15" hidden="1" customHeight="1" x14ac:dyDescent="0.25">
      <c r="A96" s="100" t="s">
        <v>131</v>
      </c>
      <c r="B96" s="101" t="s">
        <v>128</v>
      </c>
      <c r="C96" s="43">
        <v>0</v>
      </c>
      <c r="D96" s="19" t="e">
        <f ca="1">((100/(H88))*C96)/100</f>
        <v>#REF!</v>
      </c>
      <c r="E96" s="148"/>
      <c r="F96" s="149"/>
      <c r="G96" s="148"/>
      <c r="H96" s="195"/>
      <c r="I96" s="13" t="s">
        <v>139</v>
      </c>
      <c r="J96" s="30">
        <f>(IF(B88&gt;2,(H88/(B88+2)+J95),0))</f>
        <v>0</v>
      </c>
    </row>
    <row r="97" spans="1:10" ht="15.75" hidden="1" customHeight="1" x14ac:dyDescent="0.25">
      <c r="A97" s="100" t="s">
        <v>127</v>
      </c>
      <c r="B97" s="101" t="s">
        <v>127</v>
      </c>
      <c r="C97" s="43">
        <v>0</v>
      </c>
      <c r="D97" s="19" t="e">
        <f ca="1">((100/H88)*C97)/100</f>
        <v>#REF!</v>
      </c>
      <c r="E97" s="148"/>
      <c r="F97" s="149"/>
      <c r="G97" s="148"/>
      <c r="H97" s="195"/>
      <c r="I97" s="13" t="s">
        <v>140</v>
      </c>
      <c r="J97" s="31">
        <f>(IF(B88&gt;3,(H88/(B88+2)+J96),0))</f>
        <v>0</v>
      </c>
    </row>
    <row r="98" spans="1:10" ht="15.75" hidden="1" customHeight="1" x14ac:dyDescent="0.25">
      <c r="A98" s="100" t="s">
        <v>134</v>
      </c>
      <c r="B98" s="101"/>
      <c r="C98" s="43">
        <v>0</v>
      </c>
      <c r="D98" s="19" t="e">
        <f ca="1">((100/H88)*C98)/100</f>
        <v>#REF!</v>
      </c>
      <c r="E98" s="148"/>
      <c r="F98" s="149"/>
      <c r="G98" s="148"/>
      <c r="H98" s="195"/>
      <c r="I98" s="13" t="s">
        <v>141</v>
      </c>
      <c r="J98" s="30">
        <f>(IF(B88&gt;4,(H88/(B88+2)+J97),0))</f>
        <v>0</v>
      </c>
    </row>
    <row r="99" spans="1:10" ht="15.75" hidden="1" customHeight="1" x14ac:dyDescent="0.25">
      <c r="A99" s="100" t="s">
        <v>129</v>
      </c>
      <c r="B99" s="101" t="s">
        <v>129</v>
      </c>
      <c r="C99" s="43">
        <v>0</v>
      </c>
      <c r="D99" s="19" t="e">
        <f ca="1">((100/(H88))*C99)/100</f>
        <v>#REF!</v>
      </c>
      <c r="E99" s="148"/>
      <c r="F99" s="149"/>
      <c r="G99" s="148"/>
      <c r="H99" s="195"/>
      <c r="I99" s="13" t="s">
        <v>145</v>
      </c>
      <c r="J99" s="30" t="e">
        <f ca="1">(IF(B88=1,(H88/(B88+3)+J94),IF(B88=0,(H88/4+J94),IF(B88&gt;1,0))))</f>
        <v>#REF!</v>
      </c>
    </row>
    <row r="100" spans="1:10" ht="16.5" hidden="1" thickBot="1" x14ac:dyDescent="0.3">
      <c r="A100" s="131" t="s">
        <v>130</v>
      </c>
      <c r="B100" s="132"/>
      <c r="C100" s="44">
        <v>0</v>
      </c>
      <c r="D100" s="20" t="e">
        <f ca="1">((100/(H88))*C100)/100</f>
        <v>#REF!</v>
      </c>
      <c r="E100" s="150"/>
      <c r="F100" s="151"/>
      <c r="G100" s="150"/>
      <c r="H100" s="196"/>
      <c r="I100" s="15" t="s">
        <v>99</v>
      </c>
      <c r="J100" s="32" t="e">
        <f ca="1">(IF(B88&gt;1.5,(H88/(B88+2)+J94+MAX(0,J95-J94)+MAX(0,J96-J95)+MAX(0,J97-J96)+MAX(0,J98-J97)+MAX(0,J99-J98)),IF(B88=1,(H88/(B88+3)+J99),IF(B88=0,H88/4+J99))))</f>
        <v>#REF!</v>
      </c>
    </row>
    <row r="101" spans="1:10" ht="15.75" hidden="1" customHeight="1" x14ac:dyDescent="0.25">
      <c r="A101" s="95" t="s">
        <v>136</v>
      </c>
      <c r="B101" s="96"/>
      <c r="C101" s="97" t="e">
        <f>#REF!</f>
        <v>#REF!</v>
      </c>
      <c r="D101" s="98"/>
      <c r="E101" s="98"/>
      <c r="F101" s="98"/>
      <c r="G101" s="98"/>
      <c r="H101" s="99"/>
      <c r="I101" s="49" t="e">
        <f ca="1">IF(D114=100%,"All work Completed. Possession granted to the Building.",IF(D113=100%,"All work Completed, Waiting for OC",I102&amp;""&amp;I103&amp;""&amp;J102&amp;""&amp;J101&amp;" "&amp;J103))</f>
        <v>#REF!</v>
      </c>
      <c r="J101" s="50" t="e">
        <f ca="1">(IF(C107=(D102+F102+H102),"",IF(C107&gt;0,", RCC upto "&amp;C107&amp;" Slab","")))&amp;(IF(C108=H102,"",IF(C108&gt;0,", Brickwork upto "&amp;C108&amp;" Floor","")))&amp;(IF(C109=H102,"",IF(C109&gt;0,", Internal Plaster upto "&amp;C109&amp;" Floor","")))&amp;(IF(C110=H102,"",IF(C110&gt;0,", External Plaster upto "&amp;C110&amp;" Floor","")))&amp;(IF(C111=H102,"",IF(C111&gt;0,", Flooring upto "&amp;C111&amp;" Floor","")))&amp;(IF(C112=H102,"",IF(C112&gt;0,", Painting upto "&amp;C112&amp;" Floor","")))&amp;(IF(C113=H102,"",IF(C113&gt;0,", Finishing upto "&amp;C113&amp;" Floor","")))&amp;(IF(C114=H102,"",IF(C114&gt;0,", Possession upto "&amp;C114&amp;" Floor","")))</f>
        <v>#REF!</v>
      </c>
    </row>
    <row r="102" spans="1:10" hidden="1" x14ac:dyDescent="0.25">
      <c r="A102" s="16" t="s">
        <v>138</v>
      </c>
      <c r="B102" s="47">
        <f>IF(AND(ISNUMBER(SEARCH("1B",C101))),1,IF(AND(ISNUMBER(SEARCH("2B",C101))),2,IF(AND(ISNUMBER(SEARCH("3B",C101))),3,IF(AND(ISNUMBER(SEARCH("4B",C101))),4,IF(ISNUMBER(SEARCH("5B",C101)),5,0)))))</f>
        <v>0</v>
      </c>
      <c r="C102" s="47" t="s">
        <v>68</v>
      </c>
      <c r="D102" s="47">
        <v>1</v>
      </c>
      <c r="E102" s="47" t="s">
        <v>67</v>
      </c>
      <c r="F102" s="14">
        <v>0</v>
      </c>
      <c r="G102" s="48" t="s">
        <v>76</v>
      </c>
      <c r="H102" s="17" t="e">
        <f ca="1">--TRIM(RIGHT(SUBSTITUTE(LEFT(C101,_xlfn.AGGREGATE(16,6,FIND({0,1,2,3,4,5,6,7,8,9},C101,ROW(INDIRECT("1:"&amp;LEN(C101)))),1))," ",REPT(" ",LEN(C101))),LEN(C101)))</f>
        <v>#REF!</v>
      </c>
      <c r="I102" s="51" t="e">
        <f ca="1">IF(D105=100%,"Excavation","")&amp;IF(D106=100%,", Plinth","")&amp;IF(D107=100%,", RCC Slab","")&amp;IF(D108=100%,", Brickwork","")&amp;IF(D109=100%,", Internal Plaster","")&amp;IF(D110=100%,", External Plaster","")&amp;IF(D111=100%,", Flooring","")&amp;IF(D112=100%,", Painting","")&amp;IF(D113=100%,", Building common Amenities","")</f>
        <v>#REF!</v>
      </c>
      <c r="J102" s="52" t="e">
        <f ca="1">(IF(C105=0,"Work not yet Started.",IF(D105=25%,"Piling work in process",IF(D105=50%,"Excavation work in process",IF(D105=100%,"","0")))))&amp;(IF(C106=0%,"",IF(C106=J107,", Footing work is process",IF(C106=J108,", Footing work Completed",IF(C106=J109,", 1st Basement Completed",IF(C106=J110,", 1st &amp; 2nd Basement Completed",IF(C106=J111,", 1st to 3rd Basement Completed",IF(C106=J112,", 1st to 4th Basement Completed",IF(C106=J113,", Plinth work is process",IF(C106=J114,"","0"))))))))))</f>
        <v>#REF!</v>
      </c>
    </row>
    <row r="103" spans="1:10" hidden="1" x14ac:dyDescent="0.25">
      <c r="A103" s="201" t="s">
        <v>85</v>
      </c>
      <c r="B103" s="183"/>
      <c r="C103" s="165" t="e">
        <f ca="1">(IF($G$60="NA",I101,"All work Completed. OC Received."))</f>
        <v>#REF!</v>
      </c>
      <c r="D103" s="165"/>
      <c r="E103" s="165"/>
      <c r="F103" s="165"/>
      <c r="G103" s="165"/>
      <c r="H103" s="166"/>
      <c r="I103" s="51" t="e">
        <f ca="1">IF(I102&lt;&gt;""," Completed","")</f>
        <v>#REF!</v>
      </c>
      <c r="J103" s="52" t="e">
        <f ca="1">IF(J101&lt;&gt;"","Completed","")</f>
        <v>#REF!</v>
      </c>
    </row>
    <row r="104" spans="1:10" ht="15.75" hidden="1" customHeight="1" x14ac:dyDescent="0.25">
      <c r="A104" s="100" t="s">
        <v>46</v>
      </c>
      <c r="B104" s="101"/>
      <c r="C104" s="43" t="s">
        <v>135</v>
      </c>
      <c r="D104" s="43" t="s">
        <v>79</v>
      </c>
      <c r="E104" s="101" t="s">
        <v>81</v>
      </c>
      <c r="F104" s="101"/>
      <c r="G104" s="101" t="s">
        <v>80</v>
      </c>
      <c r="H104" s="145"/>
      <c r="I104" s="13" t="s">
        <v>137</v>
      </c>
      <c r="J104" s="28" t="e">
        <f ca="1">H102*25%</f>
        <v>#REF!</v>
      </c>
    </row>
    <row r="105" spans="1:10" hidden="1" x14ac:dyDescent="0.25">
      <c r="A105" s="100" t="s">
        <v>124</v>
      </c>
      <c r="B105" s="101"/>
      <c r="C105" s="43" t="e">
        <f ca="1">J106</f>
        <v>#REF!</v>
      </c>
      <c r="D105" s="19" t="e">
        <f ca="1">((100/H102)*C105)/100</f>
        <v>#REF!</v>
      </c>
      <c r="E105" s="146" t="e">
        <f ca="1">(((C106/H102*10)+(40/(D102+F102+H102)*C107)+(7.5/(H102)*C108)+(7.5/(H102)*C109)+(10/H102*C110)+(10/H102*C111)+(5/H102*C112)+(5/H102*C113)+(5/H102*C114))/100)</f>
        <v>#REF!</v>
      </c>
      <c r="F105" s="147"/>
      <c r="G105" s="146" t="e">
        <f ca="1">((((C105/H102)*20)+((C106/H102)*25)+(30/(H102+F102+D102)*C107)+(5/H102*C108)+(5/H102*C109)+(5/H102*C110)+(5/H102*C111)+(0/H102*C112)+(0/H102*C113)+(5/H102*C114))/100)</f>
        <v>#REF!</v>
      </c>
      <c r="H105" s="194"/>
      <c r="I105" s="13" t="s">
        <v>95</v>
      </c>
      <c r="J105" s="29" t="e">
        <f ca="1">H102*50%</f>
        <v>#REF!</v>
      </c>
    </row>
    <row r="106" spans="1:10" hidden="1" x14ac:dyDescent="0.25">
      <c r="A106" s="100" t="s">
        <v>47</v>
      </c>
      <c r="B106" s="101"/>
      <c r="C106" s="43" t="e">
        <f ca="1">J114</f>
        <v>#REF!</v>
      </c>
      <c r="D106" s="19" t="e">
        <f ca="1">((100/H102)*C106)/100</f>
        <v>#REF!</v>
      </c>
      <c r="E106" s="148"/>
      <c r="F106" s="149"/>
      <c r="G106" s="148"/>
      <c r="H106" s="195"/>
      <c r="I106" s="13" t="s">
        <v>96</v>
      </c>
      <c r="J106" s="29" t="e">
        <f ca="1">H102</f>
        <v>#REF!</v>
      </c>
    </row>
    <row r="107" spans="1:10" ht="15.75" hidden="1" customHeight="1" x14ac:dyDescent="0.25">
      <c r="A107" s="100" t="s">
        <v>125</v>
      </c>
      <c r="B107" s="101"/>
      <c r="C107" s="43" t="e">
        <f ca="1">D102+H102</f>
        <v>#REF!</v>
      </c>
      <c r="D107" s="19" t="e">
        <f ca="1">((100/(D102+F102+H102))*C107)/100</f>
        <v>#REF!</v>
      </c>
      <c r="E107" s="148"/>
      <c r="F107" s="149"/>
      <c r="G107" s="148"/>
      <c r="H107" s="195"/>
      <c r="I107" s="13" t="s">
        <v>97</v>
      </c>
      <c r="J107" s="30" t="e">
        <f ca="1">(IF(B102&gt;1,(H102/(B102+2)),H102/4))</f>
        <v>#REF!</v>
      </c>
    </row>
    <row r="108" spans="1:10" ht="15.75" hidden="1" customHeight="1" x14ac:dyDescent="0.25">
      <c r="A108" s="100" t="s">
        <v>132</v>
      </c>
      <c r="B108" s="101" t="s">
        <v>126</v>
      </c>
      <c r="C108" s="43">
        <v>0</v>
      </c>
      <c r="D108" s="19" t="e">
        <f ca="1">((100/H102)*C108)/100</f>
        <v>#REF!</v>
      </c>
      <c r="E108" s="148"/>
      <c r="F108" s="149"/>
      <c r="G108" s="148"/>
      <c r="H108" s="195"/>
      <c r="I108" s="13" t="s">
        <v>98</v>
      </c>
      <c r="J108" s="30" t="e">
        <f ca="1">(IF(B102&gt;1,(H102/(B102+2)+J107),H102/4+J107))</f>
        <v>#REF!</v>
      </c>
    </row>
    <row r="109" spans="1:10" ht="15.75" hidden="1" customHeight="1" x14ac:dyDescent="0.25">
      <c r="A109" s="100" t="s">
        <v>133</v>
      </c>
      <c r="B109" s="101" t="s">
        <v>126</v>
      </c>
      <c r="C109" s="43">
        <v>0</v>
      </c>
      <c r="D109" s="19" t="e">
        <f ca="1">((100/H102)*C109)/100</f>
        <v>#REF!</v>
      </c>
      <c r="E109" s="148"/>
      <c r="F109" s="149"/>
      <c r="G109" s="148"/>
      <c r="H109" s="195"/>
      <c r="I109" s="13" t="s">
        <v>144</v>
      </c>
      <c r="J109" s="30">
        <f>(IF(B102&gt;1,(H102/(B102+2)+J108),0))</f>
        <v>0</v>
      </c>
    </row>
    <row r="110" spans="1:10" ht="15" hidden="1" customHeight="1" x14ac:dyDescent="0.25">
      <c r="A110" s="100" t="s">
        <v>131</v>
      </c>
      <c r="B110" s="101" t="s">
        <v>128</v>
      </c>
      <c r="C110" s="43">
        <v>0</v>
      </c>
      <c r="D110" s="19" t="e">
        <f ca="1">((100/(H102))*C110)/100</f>
        <v>#REF!</v>
      </c>
      <c r="E110" s="148"/>
      <c r="F110" s="149"/>
      <c r="G110" s="148"/>
      <c r="H110" s="195"/>
      <c r="I110" s="13" t="s">
        <v>139</v>
      </c>
      <c r="J110" s="30">
        <f>(IF(B102&gt;2,(H102/(B102+2)+J109),0))</f>
        <v>0</v>
      </c>
    </row>
    <row r="111" spans="1:10" ht="15.75" hidden="1" customHeight="1" x14ac:dyDescent="0.25">
      <c r="A111" s="100" t="s">
        <v>127</v>
      </c>
      <c r="B111" s="101" t="s">
        <v>127</v>
      </c>
      <c r="C111" s="43">
        <v>0</v>
      </c>
      <c r="D111" s="19" t="e">
        <f ca="1">((100/H102)*C111)/100</f>
        <v>#REF!</v>
      </c>
      <c r="E111" s="148"/>
      <c r="F111" s="149"/>
      <c r="G111" s="148"/>
      <c r="H111" s="195"/>
      <c r="I111" s="13" t="s">
        <v>140</v>
      </c>
      <c r="J111" s="31">
        <f>(IF(B102&gt;3,(H102/(B102+2)+J110),0))</f>
        <v>0</v>
      </c>
    </row>
    <row r="112" spans="1:10" ht="15.75" hidden="1" customHeight="1" x14ac:dyDescent="0.25">
      <c r="A112" s="100" t="s">
        <v>134</v>
      </c>
      <c r="B112" s="101"/>
      <c r="C112" s="43">
        <v>0</v>
      </c>
      <c r="D112" s="19" t="e">
        <f ca="1">((100/H102)*C112)/100</f>
        <v>#REF!</v>
      </c>
      <c r="E112" s="148"/>
      <c r="F112" s="149"/>
      <c r="G112" s="148"/>
      <c r="H112" s="195"/>
      <c r="I112" s="13" t="s">
        <v>141</v>
      </c>
      <c r="J112" s="30">
        <f>(IF(B102&gt;4,(H102/(B102+2)+J111),0))</f>
        <v>0</v>
      </c>
    </row>
    <row r="113" spans="1:22" ht="15.75" hidden="1" customHeight="1" x14ac:dyDescent="0.25">
      <c r="A113" s="100" t="s">
        <v>129</v>
      </c>
      <c r="B113" s="101" t="s">
        <v>129</v>
      </c>
      <c r="C113" s="43">
        <v>0</v>
      </c>
      <c r="D113" s="19" t="e">
        <f ca="1">((100/(H102))*C113)/100</f>
        <v>#REF!</v>
      </c>
      <c r="E113" s="148"/>
      <c r="F113" s="149"/>
      <c r="G113" s="148"/>
      <c r="H113" s="195"/>
      <c r="I113" s="13" t="s">
        <v>145</v>
      </c>
      <c r="J113" s="30" t="e">
        <f ca="1">(IF(B102=1,(H102/(B102+3)+J108),IF(B102=0,(H102/4+J108),IF(B102&gt;1,0))))</f>
        <v>#REF!</v>
      </c>
    </row>
    <row r="114" spans="1:22" ht="16.5" hidden="1" thickBot="1" x14ac:dyDescent="0.3">
      <c r="A114" s="131" t="s">
        <v>130</v>
      </c>
      <c r="B114" s="132"/>
      <c r="C114" s="44">
        <v>0</v>
      </c>
      <c r="D114" s="20" t="e">
        <f ca="1">((100/(H102))*C114)/100</f>
        <v>#REF!</v>
      </c>
      <c r="E114" s="150"/>
      <c r="F114" s="151"/>
      <c r="G114" s="150"/>
      <c r="H114" s="196"/>
      <c r="I114" s="15" t="s">
        <v>99</v>
      </c>
      <c r="J114" s="32" t="e">
        <f ca="1">(IF(B102&gt;1.5,(H102/(B102+2)+J108+MAX(0,J109-J108)+MAX(0,J110-J109)+MAX(0,J111-J110)+MAX(0,J112-J111)+MAX(0,J113-J112)),IF(B102=1,(H102/(B102+3)+J113),IF(B102=0,H102/4+J113))))</f>
        <v>#REF!</v>
      </c>
    </row>
    <row r="115" spans="1:22" x14ac:dyDescent="0.25">
      <c r="A115" s="217" t="s">
        <v>156</v>
      </c>
      <c r="B115" s="217"/>
      <c r="C115" s="217"/>
      <c r="D115" s="217"/>
      <c r="E115" s="217"/>
      <c r="F115" s="152" t="s">
        <v>160</v>
      </c>
      <c r="G115" s="152"/>
      <c r="H115" s="152"/>
      <c r="R115" t="s">
        <v>254</v>
      </c>
      <c r="S115" t="s">
        <v>172</v>
      </c>
      <c r="T115" t="s">
        <v>179</v>
      </c>
      <c r="U115" t="s">
        <v>194</v>
      </c>
      <c r="V115" t="s">
        <v>189</v>
      </c>
    </row>
    <row r="116" spans="1:22" x14ac:dyDescent="0.25">
      <c r="A116" s="86" t="s">
        <v>158</v>
      </c>
      <c r="B116" s="86"/>
      <c r="C116" s="86"/>
      <c r="D116" s="86"/>
      <c r="E116" s="86"/>
      <c r="F116" s="81">
        <v>8000</v>
      </c>
      <c r="G116" s="81"/>
      <c r="H116" s="81"/>
      <c r="R116"/>
      <c r="S116">
        <v>800000</v>
      </c>
      <c r="T116">
        <v>150000</v>
      </c>
      <c r="U116">
        <v>100000</v>
      </c>
      <c r="V116">
        <v>100000</v>
      </c>
    </row>
    <row r="117" spans="1:22" x14ac:dyDescent="0.25">
      <c r="A117" s="86" t="s">
        <v>157</v>
      </c>
      <c r="B117" s="86"/>
      <c r="C117" s="86"/>
      <c r="D117" s="86"/>
      <c r="E117" s="86"/>
      <c r="F117" s="81">
        <v>17000</v>
      </c>
      <c r="G117" s="81"/>
      <c r="H117" s="81"/>
      <c r="R117"/>
      <c r="S117">
        <v>900000</v>
      </c>
      <c r="T117">
        <v>200000</v>
      </c>
      <c r="U117">
        <v>150000</v>
      </c>
      <c r="V117">
        <v>150000</v>
      </c>
    </row>
    <row r="118" spans="1:22" hidden="1" x14ac:dyDescent="0.25">
      <c r="A118" s="86" t="s">
        <v>159</v>
      </c>
      <c r="B118" s="86"/>
      <c r="C118" s="86"/>
      <c r="D118" s="86"/>
      <c r="E118" s="86"/>
      <c r="F118" s="81"/>
      <c r="G118" s="81"/>
      <c r="H118" s="81"/>
      <c r="R118"/>
      <c r="S118">
        <v>1000000</v>
      </c>
      <c r="T118">
        <v>250000</v>
      </c>
      <c r="U118">
        <v>200000</v>
      </c>
      <c r="V118">
        <v>200000</v>
      </c>
    </row>
    <row r="119" spans="1:22" s="33" customFormat="1" hidden="1" x14ac:dyDescent="0.25">
      <c r="A119" s="86" t="s">
        <v>175</v>
      </c>
      <c r="B119" s="86"/>
      <c r="C119" s="86"/>
      <c r="D119" s="86"/>
      <c r="E119" s="86"/>
      <c r="F119" s="81"/>
      <c r="G119" s="81"/>
      <c r="H119" s="81"/>
      <c r="R119"/>
      <c r="S119">
        <v>1100000</v>
      </c>
      <c r="T119">
        <v>300000</v>
      </c>
      <c r="U119">
        <v>250000</v>
      </c>
      <c r="V119" s="23">
        <v>250000</v>
      </c>
    </row>
    <row r="120" spans="1:22" s="33" customFormat="1" x14ac:dyDescent="0.25">
      <c r="A120" s="86" t="s">
        <v>381</v>
      </c>
      <c r="B120" s="86"/>
      <c r="C120" s="86"/>
      <c r="D120" s="86"/>
      <c r="E120" s="86"/>
      <c r="F120" s="81">
        <v>250000</v>
      </c>
      <c r="G120" s="81"/>
      <c r="H120" s="81"/>
      <c r="R120"/>
      <c r="S120">
        <v>1200000</v>
      </c>
      <c r="T120">
        <v>350000</v>
      </c>
      <c r="U120">
        <v>300000</v>
      </c>
      <c r="V120">
        <v>300000</v>
      </c>
    </row>
    <row r="121" spans="1:22" s="33" customFormat="1" hidden="1" x14ac:dyDescent="0.25">
      <c r="A121" s="86" t="s">
        <v>90</v>
      </c>
      <c r="B121" s="86"/>
      <c r="C121" s="86"/>
      <c r="D121" s="86"/>
      <c r="E121" s="86"/>
      <c r="F121" s="81"/>
      <c r="G121" s="81"/>
      <c r="H121" s="81"/>
      <c r="R121"/>
      <c r="S121">
        <v>1300000</v>
      </c>
      <c r="T121">
        <v>400000</v>
      </c>
      <c r="U121">
        <v>350000</v>
      </c>
      <c r="V121" s="23">
        <v>400000</v>
      </c>
    </row>
    <row r="122" spans="1:22" s="33" customFormat="1" hidden="1" x14ac:dyDescent="0.25">
      <c r="A122" s="86" t="s">
        <v>91</v>
      </c>
      <c r="B122" s="86"/>
      <c r="C122" s="86"/>
      <c r="D122" s="86"/>
      <c r="E122" s="86"/>
      <c r="F122" s="81"/>
      <c r="G122" s="81"/>
      <c r="H122" s="81"/>
      <c r="R122"/>
      <c r="S122">
        <v>1400000</v>
      </c>
      <c r="T122">
        <v>500000</v>
      </c>
      <c r="U122">
        <v>400000</v>
      </c>
      <c r="V122"/>
    </row>
    <row r="123" spans="1:22" s="33" customFormat="1" hidden="1" x14ac:dyDescent="0.25">
      <c r="A123" s="86" t="s">
        <v>92</v>
      </c>
      <c r="B123" s="86"/>
      <c r="C123" s="86"/>
      <c r="D123" s="86"/>
      <c r="E123" s="86"/>
      <c r="F123" s="81"/>
      <c r="G123" s="81"/>
      <c r="H123" s="81"/>
      <c r="R123"/>
      <c r="S123">
        <v>1500000</v>
      </c>
      <c r="T123">
        <v>600000</v>
      </c>
      <c r="U123">
        <v>500000</v>
      </c>
      <c r="V123" s="23"/>
    </row>
    <row r="124" spans="1:22" s="33" customFormat="1" hidden="1" x14ac:dyDescent="0.25">
      <c r="A124" s="86" t="s">
        <v>93</v>
      </c>
      <c r="B124" s="86"/>
      <c r="C124" s="86"/>
      <c r="D124" s="86"/>
      <c r="E124" s="86"/>
      <c r="F124" s="81"/>
      <c r="G124" s="81"/>
      <c r="H124" s="81"/>
      <c r="R124"/>
      <c r="S124">
        <v>1600000</v>
      </c>
      <c r="T124">
        <v>700000</v>
      </c>
      <c r="U124">
        <v>600000</v>
      </c>
      <c r="V124"/>
    </row>
    <row r="125" spans="1:22" s="33" customFormat="1" hidden="1" x14ac:dyDescent="0.25">
      <c r="A125" s="86" t="s">
        <v>94</v>
      </c>
      <c r="B125" s="86"/>
      <c r="C125" s="86"/>
      <c r="D125" s="86"/>
      <c r="E125" s="86"/>
      <c r="F125" s="81"/>
      <c r="G125" s="81"/>
      <c r="H125" s="81"/>
      <c r="R125"/>
      <c r="S125">
        <v>1700000</v>
      </c>
      <c r="T125">
        <v>800000</v>
      </c>
      <c r="U125"/>
      <c r="V125" s="23"/>
    </row>
    <row r="126" spans="1:22" x14ac:dyDescent="0.25">
      <c r="A126" s="86" t="s">
        <v>48</v>
      </c>
      <c r="B126" s="86"/>
      <c r="C126" s="86"/>
      <c r="D126" s="86"/>
      <c r="E126" s="86"/>
      <c r="F126" s="81">
        <v>500000</v>
      </c>
      <c r="G126" s="81"/>
      <c r="H126" s="81"/>
      <c r="R126"/>
      <c r="S126">
        <v>1800000</v>
      </c>
      <c r="T126">
        <v>900000</v>
      </c>
      <c r="U126"/>
    </row>
    <row r="127" spans="1:22" s="34" customFormat="1" x14ac:dyDescent="0.25">
      <c r="A127" s="177" t="s">
        <v>49</v>
      </c>
      <c r="B127" s="177"/>
      <c r="C127" s="177"/>
      <c r="D127" s="177"/>
      <c r="E127" s="177"/>
      <c r="F127" s="81">
        <f>F116*0.8</f>
        <v>6400</v>
      </c>
      <c r="G127" s="81"/>
      <c r="H127" s="81"/>
      <c r="R127" s="21"/>
      <c r="S127" s="21"/>
      <c r="T127">
        <v>1000000</v>
      </c>
      <c r="U127"/>
      <c r="V127" s="21"/>
    </row>
    <row r="128" spans="1:22" s="35" customFormat="1" ht="15.75" customHeight="1" x14ac:dyDescent="0.25">
      <c r="A128" s="176" t="s">
        <v>71</v>
      </c>
      <c r="B128" s="176"/>
      <c r="C128" s="176"/>
      <c r="D128" s="176"/>
      <c r="E128" s="176"/>
      <c r="F128" s="176"/>
      <c r="G128" s="176"/>
      <c r="H128" s="176"/>
      <c r="R128"/>
      <c r="S128" s="21"/>
      <c r="T128"/>
      <c r="U128"/>
      <c r="V128" s="21"/>
    </row>
    <row r="129" spans="1:22" s="35" customFormat="1" ht="15.75" customHeight="1" x14ac:dyDescent="0.25">
      <c r="A129" s="85" t="s">
        <v>50</v>
      </c>
      <c r="B129" s="85"/>
      <c r="C129" s="91" t="s">
        <v>74</v>
      </c>
      <c r="D129" s="91"/>
      <c r="E129" s="90" t="s">
        <v>51</v>
      </c>
      <c r="F129" s="90"/>
      <c r="G129" s="85" t="s">
        <v>52</v>
      </c>
      <c r="H129" s="85"/>
      <c r="R129"/>
      <c r="S129" s="21"/>
      <c r="T129"/>
      <c r="U129" s="21"/>
      <c r="V129" s="21"/>
    </row>
    <row r="130" spans="1:22" s="35" customFormat="1" x14ac:dyDescent="0.25">
      <c r="A130" s="179" t="s">
        <v>371</v>
      </c>
      <c r="B130" s="179"/>
      <c r="C130" s="129">
        <f>COUNT(D144:D149)</f>
        <v>6</v>
      </c>
      <c r="D130" s="130"/>
      <c r="E130" s="129">
        <f t="shared" ref="E130" si="0">SUM(F144:F149)</f>
        <v>2388.1010399999996</v>
      </c>
      <c r="F130" s="130"/>
      <c r="G130" s="129">
        <f t="shared" ref="G130" si="1">SUM(H144:H149)</f>
        <v>3820.9616639999999</v>
      </c>
      <c r="H130" s="130"/>
      <c r="R130"/>
      <c r="S130" s="21"/>
      <c r="T130"/>
      <c r="U130" s="21"/>
      <c r="V130" s="21"/>
    </row>
    <row r="131" spans="1:22" s="35" customFormat="1" x14ac:dyDescent="0.25">
      <c r="A131" s="176" t="s">
        <v>149</v>
      </c>
      <c r="B131" s="176"/>
      <c r="C131" s="167">
        <f>SUM(C130)</f>
        <v>6</v>
      </c>
      <c r="D131" s="91"/>
      <c r="E131" s="167">
        <f t="shared" ref="E131" si="2">SUM(E130)</f>
        <v>2388.1010399999996</v>
      </c>
      <c r="F131" s="91"/>
      <c r="G131" s="167">
        <f t="shared" ref="G131" si="3">SUM(G130)</f>
        <v>3820.9616639999999</v>
      </c>
      <c r="H131" s="91"/>
      <c r="R131"/>
      <c r="S131" s="21"/>
      <c r="T131"/>
      <c r="U131" s="21"/>
      <c r="V131" s="21"/>
    </row>
    <row r="132" spans="1:22" s="35" customFormat="1" x14ac:dyDescent="0.25">
      <c r="A132" s="176" t="s">
        <v>66</v>
      </c>
      <c r="B132" s="176"/>
      <c r="C132" s="176"/>
      <c r="D132" s="176"/>
      <c r="E132" s="176"/>
      <c r="F132" s="176"/>
      <c r="G132" s="176"/>
      <c r="H132" s="176"/>
      <c r="T132"/>
    </row>
    <row r="133" spans="1:22" s="35" customFormat="1" ht="15.75" customHeight="1" x14ac:dyDescent="0.25">
      <c r="A133" s="85" t="s">
        <v>50</v>
      </c>
      <c r="B133" s="85"/>
      <c r="C133" s="91" t="s">
        <v>74</v>
      </c>
      <c r="D133" s="91"/>
      <c r="E133" s="90" t="s">
        <v>51</v>
      </c>
      <c r="F133" s="90"/>
      <c r="G133" s="85" t="s">
        <v>52</v>
      </c>
      <c r="H133" s="85"/>
      <c r="T133"/>
    </row>
    <row r="134" spans="1:22" s="35" customFormat="1" x14ac:dyDescent="0.25">
      <c r="A134" s="179" t="s">
        <v>373</v>
      </c>
      <c r="B134" s="179"/>
      <c r="C134" s="129">
        <f>COUNT(D158:D162)+COUNT(D165:D172)*33+COUNT(D174:D180)*7</f>
        <v>318</v>
      </c>
      <c r="D134" s="129"/>
      <c r="E134" s="129">
        <f t="shared" ref="E134" si="4">SUM(F158:F162)+SUM(F165:F172)*33+SUM(F174:F180)*7</f>
        <v>190894.77692999996</v>
      </c>
      <c r="F134" s="129"/>
      <c r="G134" s="129">
        <f t="shared" ref="G134" si="5">SUM(H158:H162)+SUM(H165:H172)*33+SUM(H174:H180)*7</f>
        <v>296274.86571150005</v>
      </c>
      <c r="H134" s="129"/>
      <c r="T134"/>
    </row>
    <row r="135" spans="1:22" s="35" customFormat="1" ht="16.5" thickBot="1" x14ac:dyDescent="0.3">
      <c r="A135" s="180" t="s">
        <v>149</v>
      </c>
      <c r="B135" s="180"/>
      <c r="C135" s="133">
        <f>SUM(C134)</f>
        <v>318</v>
      </c>
      <c r="D135" s="133"/>
      <c r="E135" s="133">
        <f t="shared" ref="E135" si="6">SUM(E134)</f>
        <v>190894.77692999996</v>
      </c>
      <c r="F135" s="133"/>
      <c r="G135" s="133">
        <f t="shared" ref="G135" si="7">SUM(G134)</f>
        <v>296274.86571150005</v>
      </c>
      <c r="H135" s="133"/>
      <c r="T135"/>
    </row>
    <row r="136" spans="1:22" s="35" customFormat="1" ht="16.5" thickBot="1" x14ac:dyDescent="0.3">
      <c r="A136" s="159" t="s">
        <v>166</v>
      </c>
      <c r="B136" s="160"/>
      <c r="C136" s="161">
        <f>C131+C135</f>
        <v>324</v>
      </c>
      <c r="D136" s="161"/>
      <c r="E136" s="162">
        <f>E131+E135</f>
        <v>193282.87796999997</v>
      </c>
      <c r="F136" s="162"/>
      <c r="G136" s="209">
        <f>G131+G135</f>
        <v>300095.82737550006</v>
      </c>
      <c r="H136" s="210"/>
      <c r="T136"/>
    </row>
    <row r="137" spans="1:22" s="34" customFormat="1" x14ac:dyDescent="0.25">
      <c r="A137" s="152" t="s">
        <v>53</v>
      </c>
      <c r="B137" s="152"/>
      <c r="C137" s="152"/>
      <c r="D137" s="152"/>
      <c r="E137" s="152"/>
      <c r="F137" s="152"/>
      <c r="G137" s="152"/>
      <c r="H137" s="152"/>
      <c r="T137" s="35"/>
    </row>
    <row r="138" spans="1:22" x14ac:dyDescent="0.25">
      <c r="A138" s="84" t="s">
        <v>174</v>
      </c>
      <c r="B138" s="84"/>
      <c r="C138" s="84"/>
      <c r="D138" s="84"/>
      <c r="E138" s="84"/>
      <c r="F138" s="84"/>
      <c r="G138" s="84"/>
      <c r="H138" s="84"/>
      <c r="T138" s="35"/>
    </row>
    <row r="139" spans="1:22" ht="47.25" customHeight="1" x14ac:dyDescent="0.25">
      <c r="A139" s="125" t="s">
        <v>380</v>
      </c>
      <c r="B139" s="125" t="s">
        <v>176</v>
      </c>
      <c r="C139" s="125" t="s">
        <v>54</v>
      </c>
      <c r="D139" s="125" t="s">
        <v>233</v>
      </c>
      <c r="E139" s="203" t="s">
        <v>155</v>
      </c>
      <c r="F139" s="125" t="s">
        <v>55</v>
      </c>
      <c r="G139" s="203" t="s">
        <v>56</v>
      </c>
      <c r="H139" s="77" t="s">
        <v>147</v>
      </c>
      <c r="T139" s="35"/>
    </row>
    <row r="140" spans="1:22" s="37" customFormat="1" x14ac:dyDescent="0.25">
      <c r="A140" s="126"/>
      <c r="B140" s="126"/>
      <c r="C140" s="126"/>
      <c r="D140" s="126"/>
      <c r="E140" s="204"/>
      <c r="F140" s="126"/>
      <c r="G140" s="204"/>
      <c r="H140" s="78">
        <v>0.6</v>
      </c>
      <c r="T140" s="35"/>
    </row>
    <row r="141" spans="1:22" s="37" customFormat="1" x14ac:dyDescent="0.25">
      <c r="A141" s="134" t="s">
        <v>354</v>
      </c>
      <c r="B141" s="135"/>
      <c r="C141" s="135"/>
      <c r="D141" s="135"/>
      <c r="E141" s="135"/>
      <c r="F141" s="135"/>
      <c r="G141" s="135"/>
      <c r="H141" s="136"/>
      <c r="J141" s="36"/>
      <c r="T141" s="35"/>
    </row>
    <row r="142" spans="1:22" s="37" customFormat="1" x14ac:dyDescent="0.25">
      <c r="A142" s="134" t="s">
        <v>382</v>
      </c>
      <c r="B142" s="135"/>
      <c r="C142" s="135"/>
      <c r="D142" s="135"/>
      <c r="E142" s="135"/>
      <c r="F142" s="135"/>
      <c r="G142" s="135"/>
      <c r="H142" s="136"/>
      <c r="J142" s="36"/>
      <c r="T142" s="35"/>
    </row>
    <row r="143" spans="1:22" s="37" customFormat="1" x14ac:dyDescent="0.25">
      <c r="A143" s="134" t="s">
        <v>359</v>
      </c>
      <c r="B143" s="135"/>
      <c r="C143" s="135"/>
      <c r="D143" s="135"/>
      <c r="E143" s="135"/>
      <c r="F143" s="135"/>
      <c r="G143" s="135"/>
      <c r="H143" s="136"/>
      <c r="J143" s="36"/>
      <c r="T143" s="35"/>
    </row>
    <row r="144" spans="1:22" s="37" customFormat="1" ht="15.75" customHeight="1" x14ac:dyDescent="0.25">
      <c r="A144" s="82">
        <v>19</v>
      </c>
      <c r="B144" s="83"/>
      <c r="C144" s="42" t="s">
        <v>360</v>
      </c>
      <c r="D144" s="75">
        <f>(66.48)*(10.764)</f>
        <v>715.59072000000003</v>
      </c>
      <c r="E144" s="42">
        <v>0</v>
      </c>
      <c r="F144" s="42">
        <f>D144+(IF(E144&lt;201,E144,IF(E144&lt;301,E144/2,E144/3)))</f>
        <v>715.59072000000003</v>
      </c>
      <c r="G144" s="42">
        <v>0</v>
      </c>
      <c r="H144" s="42">
        <f>(F144+(IF(G144&lt;101,G144,IF(G144&lt;201,G144/2,IF(G144&lt;=301,G144/3,G144/4)))))*(($H$140)+1)</f>
        <v>1144.945152</v>
      </c>
      <c r="I144" s="36"/>
      <c r="L144" s="202"/>
      <c r="M144" s="202"/>
      <c r="N144" s="36"/>
      <c r="T144" s="35"/>
    </row>
    <row r="145" spans="1:20" s="37" customFormat="1" ht="15.75" customHeight="1" x14ac:dyDescent="0.25">
      <c r="A145" s="82">
        <f>A144+1</f>
        <v>20</v>
      </c>
      <c r="B145" s="83"/>
      <c r="C145" s="42" t="s">
        <v>360</v>
      </c>
      <c r="D145" s="75">
        <f>(20.45)*(10.764)</f>
        <v>220.12379999999999</v>
      </c>
      <c r="E145" s="42">
        <v>0</v>
      </c>
      <c r="F145" s="42">
        <f t="shared" ref="F145:F147" si="8">D145+(IF(E145&lt;201,E145,IF(E145&lt;301,E145/2,E145/3)))</f>
        <v>220.12379999999999</v>
      </c>
      <c r="G145" s="42">
        <v>0</v>
      </c>
      <c r="H145" s="42">
        <f t="shared" ref="H145:H147" si="9">(F145+(IF(G145&lt;101,G145,IF(G145&lt;201,G145/2,IF(G145&lt;=301,G145/3,G145/4)))))*(($H$140)+1)</f>
        <v>352.19808</v>
      </c>
      <c r="I145" s="36">
        <f>3.2*6.39</f>
        <v>20.448</v>
      </c>
      <c r="L145" s="202"/>
      <c r="M145" s="202"/>
      <c r="N145" s="36"/>
      <c r="T145" s="34"/>
    </row>
    <row r="146" spans="1:20" s="37" customFormat="1" ht="15.75" customHeight="1" x14ac:dyDescent="0.25">
      <c r="A146" s="82">
        <f>A145+1</f>
        <v>21</v>
      </c>
      <c r="B146" s="83"/>
      <c r="C146" s="42" t="s">
        <v>360</v>
      </c>
      <c r="D146" s="75">
        <f>(50.14)*(10.764)</f>
        <v>539.70695999999998</v>
      </c>
      <c r="E146" s="42">
        <v>0</v>
      </c>
      <c r="F146" s="42">
        <f t="shared" si="8"/>
        <v>539.70695999999998</v>
      </c>
      <c r="G146" s="42">
        <v>0</v>
      </c>
      <c r="H146" s="42">
        <f t="shared" si="9"/>
        <v>863.53113600000006</v>
      </c>
      <c r="I146" s="36"/>
      <c r="L146" s="202"/>
      <c r="M146" s="202"/>
      <c r="N146" s="36"/>
      <c r="T146" s="21"/>
    </row>
    <row r="147" spans="1:20" s="37" customFormat="1" ht="15.75" customHeight="1" x14ac:dyDescent="0.25">
      <c r="A147" s="82">
        <f>A146+1</f>
        <v>22</v>
      </c>
      <c r="B147" s="83"/>
      <c r="C147" s="42" t="s">
        <v>360</v>
      </c>
      <c r="D147" s="75">
        <f>(24.35)*(10.764)</f>
        <v>262.10340000000002</v>
      </c>
      <c r="E147" s="42">
        <v>0</v>
      </c>
      <c r="F147" s="42">
        <f t="shared" si="8"/>
        <v>262.10340000000002</v>
      </c>
      <c r="G147" s="42">
        <v>0</v>
      </c>
      <c r="H147" s="42">
        <f t="shared" si="9"/>
        <v>419.36544000000004</v>
      </c>
      <c r="I147" s="36">
        <f>2.9*6.48+2.45*2.26</f>
        <v>24.329000000000001</v>
      </c>
      <c r="L147" s="202"/>
      <c r="M147" s="202"/>
      <c r="N147" s="36"/>
      <c r="T147" s="21"/>
    </row>
    <row r="148" spans="1:20" s="37" customFormat="1" ht="15.75" customHeight="1" x14ac:dyDescent="0.25">
      <c r="A148" s="82">
        <f>A147+1</f>
        <v>23</v>
      </c>
      <c r="B148" s="83"/>
      <c r="C148" s="42" t="s">
        <v>360</v>
      </c>
      <c r="D148" s="75">
        <f>(18.65)*(10.764)</f>
        <v>200.74859999999998</v>
      </c>
      <c r="E148" s="42">
        <v>0</v>
      </c>
      <c r="F148" s="42">
        <f t="shared" ref="F148:F149" si="10">D148+(IF(E148&lt;201,E148,IF(E148&lt;301,E148/2,E148/3)))</f>
        <v>200.74859999999998</v>
      </c>
      <c r="G148" s="42">
        <v>0</v>
      </c>
      <c r="H148" s="42">
        <f t="shared" ref="H148:H149" si="11">(F148+(IF(G148&lt;101,G148,IF(G148&lt;201,G148/2,IF(G148&lt;=301,G148/3,G148/4)))))*(($H$140)+1)</f>
        <v>321.19776000000002</v>
      </c>
      <c r="I148" s="36"/>
      <c r="L148" s="202"/>
      <c r="M148" s="202"/>
      <c r="N148" s="36"/>
      <c r="T148" s="21"/>
    </row>
    <row r="149" spans="1:20" s="37" customFormat="1" ht="15.75" customHeight="1" x14ac:dyDescent="0.25">
      <c r="A149" s="82">
        <f>A148+1</f>
        <v>24</v>
      </c>
      <c r="B149" s="83"/>
      <c r="C149" s="42" t="s">
        <v>360</v>
      </c>
      <c r="D149" s="75">
        <f>(41.79)*(10.764)</f>
        <v>449.82755999999995</v>
      </c>
      <c r="E149" s="42">
        <v>0</v>
      </c>
      <c r="F149" s="42">
        <f t="shared" si="10"/>
        <v>449.82755999999995</v>
      </c>
      <c r="G149" s="42">
        <v>0</v>
      </c>
      <c r="H149" s="42">
        <f t="shared" si="11"/>
        <v>719.72409599999992</v>
      </c>
      <c r="I149" s="36"/>
      <c r="L149" s="202"/>
      <c r="M149" s="202"/>
      <c r="N149" s="36"/>
      <c r="T149" s="21"/>
    </row>
    <row r="150" spans="1:20" s="37" customFormat="1" x14ac:dyDescent="0.25">
      <c r="A150" s="82"/>
      <c r="B150" s="153"/>
      <c r="C150" s="153"/>
      <c r="D150" s="153"/>
      <c r="E150" s="153"/>
      <c r="F150" s="153"/>
      <c r="G150" s="153"/>
      <c r="H150" s="83"/>
      <c r="I150" s="36"/>
      <c r="N150" s="36"/>
    </row>
    <row r="151" spans="1:20" ht="47.25" customHeight="1" x14ac:dyDescent="0.25">
      <c r="A151" s="154" t="s">
        <v>116</v>
      </c>
      <c r="B151" s="127" t="s">
        <v>177</v>
      </c>
      <c r="C151" s="127" t="s">
        <v>54</v>
      </c>
      <c r="D151" s="125" t="s">
        <v>233</v>
      </c>
      <c r="E151" s="127" t="s">
        <v>232</v>
      </c>
      <c r="F151" s="127" t="s">
        <v>55</v>
      </c>
      <c r="G151" s="207" t="s">
        <v>56</v>
      </c>
      <c r="H151" s="64" t="s">
        <v>147</v>
      </c>
      <c r="I151" s="36"/>
      <c r="T151" s="37"/>
    </row>
    <row r="152" spans="1:20" s="37" customFormat="1" x14ac:dyDescent="0.25">
      <c r="A152" s="155"/>
      <c r="B152" s="128"/>
      <c r="C152" s="128"/>
      <c r="D152" s="126"/>
      <c r="E152" s="128"/>
      <c r="F152" s="128"/>
      <c r="G152" s="208"/>
      <c r="H152" s="78">
        <v>0.55000000000000004</v>
      </c>
      <c r="I152" s="36"/>
    </row>
    <row r="153" spans="1:20" s="37" customFormat="1" x14ac:dyDescent="0.25">
      <c r="A153" s="134" t="s">
        <v>354</v>
      </c>
      <c r="B153" s="135"/>
      <c r="C153" s="135"/>
      <c r="D153" s="135"/>
      <c r="E153" s="135"/>
      <c r="F153" s="135"/>
      <c r="G153" s="135"/>
      <c r="H153" s="136"/>
      <c r="J153" s="36"/>
      <c r="T153" s="35"/>
    </row>
    <row r="154" spans="1:20" s="37" customFormat="1" x14ac:dyDescent="0.25">
      <c r="A154" s="134" t="s">
        <v>361</v>
      </c>
      <c r="B154" s="135"/>
      <c r="C154" s="135"/>
      <c r="D154" s="135"/>
      <c r="E154" s="135"/>
      <c r="F154" s="135"/>
      <c r="G154" s="135"/>
      <c r="H154" s="136"/>
      <c r="J154" s="36"/>
    </row>
    <row r="155" spans="1:20" s="37" customFormat="1" x14ac:dyDescent="0.25">
      <c r="A155" s="178" t="s">
        <v>362</v>
      </c>
      <c r="B155" s="178"/>
      <c r="C155" s="178"/>
      <c r="D155" s="178"/>
      <c r="E155" s="178"/>
      <c r="F155" s="178"/>
      <c r="G155" s="178"/>
      <c r="H155" s="178"/>
      <c r="I155" s="36"/>
      <c r="L155" s="202"/>
      <c r="M155" s="202"/>
    </row>
    <row r="156" spans="1:20" s="37" customFormat="1" x14ac:dyDescent="0.25">
      <c r="A156" s="124">
        <v>1</v>
      </c>
      <c r="B156" s="124"/>
      <c r="C156" s="168" t="s">
        <v>363</v>
      </c>
      <c r="D156" s="169"/>
      <c r="E156" s="169"/>
      <c r="F156" s="169"/>
      <c r="G156" s="169"/>
      <c r="H156" s="170"/>
      <c r="I156" s="36"/>
      <c r="N156" s="36"/>
    </row>
    <row r="157" spans="1:20" s="37" customFormat="1" x14ac:dyDescent="0.25">
      <c r="A157" s="124">
        <f t="shared" ref="A157:A163" si="12">A156+1</f>
        <v>2</v>
      </c>
      <c r="B157" s="124"/>
      <c r="C157" s="171"/>
      <c r="D157" s="172"/>
      <c r="E157" s="172"/>
      <c r="F157" s="172"/>
      <c r="G157" s="172"/>
      <c r="H157" s="173"/>
      <c r="I157" s="36"/>
      <c r="N157" s="36"/>
    </row>
    <row r="158" spans="1:20" s="37" customFormat="1" x14ac:dyDescent="0.25">
      <c r="A158" s="124">
        <f t="shared" si="12"/>
        <v>3</v>
      </c>
      <c r="B158" s="124"/>
      <c r="C158" s="42" t="s">
        <v>364</v>
      </c>
      <c r="D158" s="75">
        <f>(56.44)*(10.764)</f>
        <v>607.52015999999992</v>
      </c>
      <c r="E158" s="75">
        <f>(1.51+0.75*1.53)*(10.764)</f>
        <v>28.605329999999995</v>
      </c>
      <c r="F158" s="42">
        <f>D158+E158</f>
        <v>636.1254899999999</v>
      </c>
      <c r="G158" s="75">
        <f>(1.8*3+3.05*0.75)*(10.764)</f>
        <v>82.748249999999999</v>
      </c>
      <c r="H158" s="42">
        <f>F158*(($H$152)+1)+(IF(G158&lt;101,G158,IF(G158&lt;201,G158/2,IF(G158&lt;=301,G158/3,G158/4))))</f>
        <v>1068.7427594999999</v>
      </c>
      <c r="I158" s="36">
        <f>(3.05*5.47+2.13*2.6+2.45*2.55+3.13*3.63+1.22*2.15+1.22*2.15+2.1*0.6+0.92*0.6+1.06*2.3+1*4)</f>
        <v>53.326899999999995</v>
      </c>
      <c r="J158" s="36">
        <f>1.75*0.75</f>
        <v>1.3125</v>
      </c>
      <c r="N158" s="36"/>
    </row>
    <row r="159" spans="1:20" s="37" customFormat="1" x14ac:dyDescent="0.25">
      <c r="A159" s="124">
        <f t="shared" si="12"/>
        <v>4</v>
      </c>
      <c r="B159" s="124"/>
      <c r="C159" s="42" t="s">
        <v>365</v>
      </c>
      <c r="D159" s="75">
        <f>(38.33)*(10.764)</f>
        <v>412.58411999999998</v>
      </c>
      <c r="E159" s="75">
        <f>(1.54)*(10.764)</f>
        <v>16.576560000000001</v>
      </c>
      <c r="F159" s="42">
        <f>D159+E159</f>
        <v>429.16067999999996</v>
      </c>
      <c r="G159" s="75">
        <f>(2.9*1.8+2.98*1)*(10.764)</f>
        <v>88.264799999999994</v>
      </c>
      <c r="H159" s="42">
        <f>F159*(($H$152)+1)+(IF(G159&lt;101,G159,IF(G159&lt;201,G159/2,IF(G159&lt;=301,G159/3,G159/4))))</f>
        <v>753.46385399999997</v>
      </c>
      <c r="I159" s="36">
        <f>(2.9*4.45+2.1*2.7+2.98*3.05+1.28*2.15+2.1*1.25+1*1.5+0.82*1+1.47*0.6)</f>
        <v>36.242999999999995</v>
      </c>
      <c r="J159" s="36">
        <f>1.75*0.75</f>
        <v>1.3125</v>
      </c>
      <c r="N159" s="36"/>
    </row>
    <row r="160" spans="1:20" s="37" customFormat="1" x14ac:dyDescent="0.25">
      <c r="A160" s="124">
        <f t="shared" si="12"/>
        <v>5</v>
      </c>
      <c r="B160" s="124"/>
      <c r="C160" s="42" t="s">
        <v>365</v>
      </c>
      <c r="D160" s="75">
        <f>(38.33)*(10.764)</f>
        <v>412.58411999999998</v>
      </c>
      <c r="E160" s="75">
        <f>(1.54)*(10.764)</f>
        <v>16.576560000000001</v>
      </c>
      <c r="F160" s="42">
        <f>D160+E160</f>
        <v>429.16067999999996</v>
      </c>
      <c r="G160" s="75">
        <f>(2.9*1.8+2.98*1)*(10.764)</f>
        <v>88.264799999999994</v>
      </c>
      <c r="H160" s="42">
        <f>F160*(($H$152)+1)+(IF(G160&lt;101,G160,IF(G160&lt;201,G160/2,IF(G160&lt;=301,G160/3,G160/4))))</f>
        <v>753.46385399999997</v>
      </c>
      <c r="I160" s="36"/>
      <c r="N160" s="36"/>
    </row>
    <row r="161" spans="1:14" s="37" customFormat="1" x14ac:dyDescent="0.25">
      <c r="A161" s="124">
        <f t="shared" si="12"/>
        <v>6</v>
      </c>
      <c r="B161" s="124"/>
      <c r="C161" s="42" t="s">
        <v>365</v>
      </c>
      <c r="D161" s="75">
        <f>(38.74)*(10.764)</f>
        <v>416.99736000000001</v>
      </c>
      <c r="E161" s="75">
        <f>(1.44)*(10.764)</f>
        <v>15.500159999999999</v>
      </c>
      <c r="F161" s="42">
        <f>D161+E161</f>
        <v>432.49752000000001</v>
      </c>
      <c r="G161" s="75">
        <f>(2.9*1.8+2.98*0.75)*(10.764)</f>
        <v>80.245620000000002</v>
      </c>
      <c r="H161" s="42">
        <f>F161*(($H$152)+1)+(IF(G161&lt;101,G161,IF(G161&lt;201,G161/2,IF(G161&lt;=301,G161/3,G161/4))))</f>
        <v>750.61677600000007</v>
      </c>
      <c r="I161" s="36"/>
      <c r="N161" s="36"/>
    </row>
    <row r="162" spans="1:14" s="37" customFormat="1" x14ac:dyDescent="0.25">
      <c r="A162" s="124">
        <f t="shared" si="12"/>
        <v>7</v>
      </c>
      <c r="B162" s="124"/>
      <c r="C162" s="42" t="s">
        <v>366</v>
      </c>
      <c r="D162" s="75">
        <f>(65.28)*(10.764)</f>
        <v>702.67391999999995</v>
      </c>
      <c r="E162" s="75">
        <f>(1.55+0.75*3.93+0.75*3.28)*(10.764)</f>
        <v>74.890529999999998</v>
      </c>
      <c r="F162" s="42">
        <f>D162+E162</f>
        <v>777.56444999999997</v>
      </c>
      <c r="G162" s="75">
        <f>(1.5*3)*(10.764)</f>
        <v>48.437999999999995</v>
      </c>
      <c r="H162" s="42">
        <f>F162*(($H$152)+1)+(IF(G162&lt;101,G162,IF(G162&lt;201,G162/2,IF(G162&lt;=301,G162/3,G162/4))))</f>
        <v>1253.6628975000001</v>
      </c>
      <c r="I162" s="36"/>
      <c r="N162" s="36"/>
    </row>
    <row r="163" spans="1:14" s="37" customFormat="1" x14ac:dyDescent="0.25">
      <c r="A163" s="124">
        <f t="shared" si="12"/>
        <v>8</v>
      </c>
      <c r="B163" s="124"/>
      <c r="C163" s="82" t="s">
        <v>363</v>
      </c>
      <c r="D163" s="153"/>
      <c r="E163" s="153"/>
      <c r="F163" s="153"/>
      <c r="G163" s="153"/>
      <c r="H163" s="83"/>
      <c r="I163" s="74"/>
      <c r="N163" s="36"/>
    </row>
    <row r="164" spans="1:14" s="37" customFormat="1" ht="31.5" customHeight="1" x14ac:dyDescent="0.25">
      <c r="A164" s="134" t="s">
        <v>367</v>
      </c>
      <c r="B164" s="135"/>
      <c r="C164" s="135"/>
      <c r="D164" s="135"/>
      <c r="E164" s="135"/>
      <c r="F164" s="135"/>
      <c r="G164" s="135"/>
      <c r="H164" s="136"/>
      <c r="I164" s="36"/>
    </row>
    <row r="165" spans="1:14" s="37" customFormat="1" ht="15.75" customHeight="1" x14ac:dyDescent="0.25">
      <c r="A165" s="82">
        <v>1</v>
      </c>
      <c r="B165" s="83"/>
      <c r="C165" s="42" t="s">
        <v>365</v>
      </c>
      <c r="D165" s="75">
        <f>(38.53)*(10.764)</f>
        <v>414.73692</v>
      </c>
      <c r="E165" s="75">
        <f>(1.54+0.75*(2.98+2.9))*(10.764)</f>
        <v>64.0458</v>
      </c>
      <c r="F165" s="42">
        <f t="shared" ref="F165:F172" si="13">D165+E165</f>
        <v>478.78271999999998</v>
      </c>
      <c r="G165" s="42">
        <v>0</v>
      </c>
      <c r="H165" s="42">
        <f t="shared" ref="H165:H172" si="14">F165*(($H$152)+1)+(IF(G165&lt;101,G165,IF(G165&lt;201,G165/2,IF(G165&lt;=301,G165/3,G165/4))))</f>
        <v>742.11321599999997</v>
      </c>
      <c r="I165" s="36"/>
      <c r="J165" s="37">
        <f>5908857/H165</f>
        <v>7962.2042467439369</v>
      </c>
    </row>
    <row r="166" spans="1:14" s="37" customFormat="1" ht="15.75" customHeight="1" x14ac:dyDescent="0.25">
      <c r="A166" s="82">
        <v>2</v>
      </c>
      <c r="B166" s="83"/>
      <c r="C166" s="42" t="s">
        <v>364</v>
      </c>
      <c r="D166" s="75">
        <f>(56.44)*(10.764)</f>
        <v>607.52015999999992</v>
      </c>
      <c r="E166" s="75">
        <f>(1.51+0.75*(3.2+1.86+1.53))*(10.764)</f>
        <v>69.454710000000006</v>
      </c>
      <c r="F166" s="42">
        <f t="shared" si="13"/>
        <v>676.9748699999999</v>
      </c>
      <c r="G166" s="42">
        <v>0</v>
      </c>
      <c r="H166" s="42">
        <f t="shared" si="14"/>
        <v>1049.3110485</v>
      </c>
      <c r="I166" s="36"/>
    </row>
    <row r="167" spans="1:14" s="37" customFormat="1" ht="15.75" customHeight="1" x14ac:dyDescent="0.25">
      <c r="A167" s="82">
        <v>3</v>
      </c>
      <c r="B167" s="83"/>
      <c r="C167" s="42" t="s">
        <v>364</v>
      </c>
      <c r="D167" s="75">
        <f>(56.44)*(10.764)</f>
        <v>607.52015999999992</v>
      </c>
      <c r="E167" s="75">
        <f>(1.51+0.75*(3.2+1.86+1.53))*(10.764)</f>
        <v>69.454710000000006</v>
      </c>
      <c r="F167" s="42">
        <f t="shared" si="13"/>
        <v>676.9748699999999</v>
      </c>
      <c r="G167" s="42">
        <v>0</v>
      </c>
      <c r="H167" s="42">
        <f t="shared" si="14"/>
        <v>1049.3110485</v>
      </c>
      <c r="I167" s="36"/>
    </row>
    <row r="168" spans="1:14" s="37" customFormat="1" ht="15.75" customHeight="1" x14ac:dyDescent="0.25">
      <c r="A168" s="82">
        <v>4</v>
      </c>
      <c r="B168" s="83"/>
      <c r="C168" s="42" t="s">
        <v>365</v>
      </c>
      <c r="D168" s="75">
        <f>(38.33)*(10.764)</f>
        <v>412.58411999999998</v>
      </c>
      <c r="E168" s="75">
        <f>(1.54+0.75*(2.98+2.9))*(10.764)</f>
        <v>64.0458</v>
      </c>
      <c r="F168" s="42">
        <f t="shared" si="13"/>
        <v>476.62991999999997</v>
      </c>
      <c r="G168" s="42">
        <v>0</v>
      </c>
      <c r="H168" s="42">
        <f t="shared" si="14"/>
        <v>738.77637600000003</v>
      </c>
      <c r="I168" s="36"/>
    </row>
    <row r="169" spans="1:14" s="37" customFormat="1" ht="15.75" customHeight="1" x14ac:dyDescent="0.25">
      <c r="A169" s="82">
        <v>5</v>
      </c>
      <c r="B169" s="83"/>
      <c r="C169" s="42" t="s">
        <v>365</v>
      </c>
      <c r="D169" s="75">
        <f>(38.33)*(10.764)</f>
        <v>412.58411999999998</v>
      </c>
      <c r="E169" s="75">
        <f>(1.54+0.75*(2.98+2.9))*(10.764)</f>
        <v>64.0458</v>
      </c>
      <c r="F169" s="42">
        <f t="shared" si="13"/>
        <v>476.62991999999997</v>
      </c>
      <c r="G169" s="42">
        <v>0</v>
      </c>
      <c r="H169" s="42">
        <f t="shared" si="14"/>
        <v>738.77637600000003</v>
      </c>
      <c r="I169" s="36"/>
    </row>
    <row r="170" spans="1:14" s="37" customFormat="1" ht="15.75" customHeight="1" x14ac:dyDescent="0.25">
      <c r="A170" s="82">
        <v>6</v>
      </c>
      <c r="B170" s="83"/>
      <c r="C170" s="42" t="s">
        <v>365</v>
      </c>
      <c r="D170" s="75">
        <f>(38.74)*(10.764)</f>
        <v>416.99736000000001</v>
      </c>
      <c r="E170" s="75">
        <f>(1.44+0.75*(2.98+2.9))*(10.764)</f>
        <v>62.969399999999993</v>
      </c>
      <c r="F170" s="42">
        <f t="shared" si="13"/>
        <v>479.96676000000002</v>
      </c>
      <c r="G170" s="42">
        <v>0</v>
      </c>
      <c r="H170" s="42">
        <f t="shared" si="14"/>
        <v>743.94847800000002</v>
      </c>
      <c r="I170" s="36"/>
    </row>
    <row r="171" spans="1:14" s="37" customFormat="1" ht="15.75" customHeight="1" x14ac:dyDescent="0.25">
      <c r="A171" s="82">
        <v>7</v>
      </c>
      <c r="B171" s="83"/>
      <c r="C171" s="42" t="s">
        <v>366</v>
      </c>
      <c r="D171" s="75">
        <f>(65.28)*(10.764)</f>
        <v>702.67391999999995</v>
      </c>
      <c r="E171" s="75">
        <f>(1.55+0.75*(3.78+3.05+1.72))*(10.764)</f>
        <v>85.708349999999996</v>
      </c>
      <c r="F171" s="42">
        <f t="shared" si="13"/>
        <v>788.38226999999995</v>
      </c>
      <c r="G171" s="42">
        <v>0</v>
      </c>
      <c r="H171" s="42">
        <f t="shared" si="14"/>
        <v>1221.9925185</v>
      </c>
      <c r="I171" s="36"/>
    </row>
    <row r="172" spans="1:14" s="37" customFormat="1" ht="15.75" customHeight="1" x14ac:dyDescent="0.25">
      <c r="A172" s="82">
        <v>8</v>
      </c>
      <c r="B172" s="83"/>
      <c r="C172" s="42" t="s">
        <v>366</v>
      </c>
      <c r="D172" s="75">
        <f>(65.28)*(10.764)</f>
        <v>702.67391999999995</v>
      </c>
      <c r="E172" s="75">
        <f>(1.55+0.75*(3.78+3.05+1.72))*(10.764)</f>
        <v>85.708349999999996</v>
      </c>
      <c r="F172" s="42">
        <f t="shared" si="13"/>
        <v>788.38226999999995</v>
      </c>
      <c r="G172" s="42">
        <v>0</v>
      </c>
      <c r="H172" s="42">
        <f t="shared" si="14"/>
        <v>1221.9925185</v>
      </c>
      <c r="I172" s="36">
        <f>(3.78*6.25+2.15*2.9+3.05*2.9+3.5*3.05+1.2*2.15+1.2*2.15+0.95*2.3+1.85*0.6+0.9*4)</f>
        <v>61.434999999999995</v>
      </c>
    </row>
    <row r="173" spans="1:14" s="37" customFormat="1" ht="15.75" customHeight="1" x14ac:dyDescent="0.25">
      <c r="A173" s="134" t="s">
        <v>368</v>
      </c>
      <c r="B173" s="135"/>
      <c r="C173" s="135"/>
      <c r="D173" s="135"/>
      <c r="E173" s="135"/>
      <c r="F173" s="135"/>
      <c r="G173" s="135"/>
      <c r="H173" s="136"/>
      <c r="I173" s="36"/>
    </row>
    <row r="174" spans="1:14" s="37" customFormat="1" ht="15.75" customHeight="1" x14ac:dyDescent="0.25">
      <c r="A174" s="82">
        <v>1</v>
      </c>
      <c r="B174" s="83"/>
      <c r="C174" s="42" t="s">
        <v>365</v>
      </c>
      <c r="D174" s="75">
        <f>(38.53)*(10.764)</f>
        <v>414.73692</v>
      </c>
      <c r="E174" s="75">
        <f>(1.54+0.75*(2.98+2.9))*(10.764)</f>
        <v>64.0458</v>
      </c>
      <c r="F174" s="42">
        <f t="shared" ref="F174:F180" si="15">D174+E174</f>
        <v>478.78271999999998</v>
      </c>
      <c r="G174" s="42">
        <v>0</v>
      </c>
      <c r="H174" s="42">
        <f t="shared" ref="H174:H180" si="16">F174*(($H$152)+1)+(IF(G174&lt;101,G174,IF(G174&lt;201,G174/2,IF(G174&lt;=301,G174/3,G174/4))))</f>
        <v>742.11321599999997</v>
      </c>
      <c r="I174" s="36"/>
    </row>
    <row r="175" spans="1:14" s="37" customFormat="1" ht="15.75" customHeight="1" x14ac:dyDescent="0.25">
      <c r="A175" s="82">
        <v>2</v>
      </c>
      <c r="B175" s="83"/>
      <c r="C175" s="42" t="s">
        <v>364</v>
      </c>
      <c r="D175" s="75">
        <f>(56.44)*(10.764)</f>
        <v>607.52015999999992</v>
      </c>
      <c r="E175" s="75">
        <f>(1.51+0.75*(3.2+1.86+1.53))*(10.764)</f>
        <v>69.454710000000006</v>
      </c>
      <c r="F175" s="42">
        <f t="shared" si="15"/>
        <v>676.9748699999999</v>
      </c>
      <c r="G175" s="42">
        <v>0</v>
      </c>
      <c r="H175" s="42">
        <f t="shared" si="16"/>
        <v>1049.3110485</v>
      </c>
      <c r="I175" s="36"/>
    </row>
    <row r="176" spans="1:14" s="37" customFormat="1" ht="15.75" customHeight="1" x14ac:dyDescent="0.25">
      <c r="A176" s="82">
        <v>3</v>
      </c>
      <c r="B176" s="83"/>
      <c r="C176" s="42" t="s">
        <v>364</v>
      </c>
      <c r="D176" s="75">
        <f>(56.44)*(10.764)</f>
        <v>607.52015999999992</v>
      </c>
      <c r="E176" s="75">
        <f>(1.51+0.75*(3.2+1.86+1.53))*(10.764)</f>
        <v>69.454710000000006</v>
      </c>
      <c r="F176" s="42">
        <f t="shared" si="15"/>
        <v>676.9748699999999</v>
      </c>
      <c r="G176" s="42">
        <v>0</v>
      </c>
      <c r="H176" s="42">
        <f t="shared" si="16"/>
        <v>1049.3110485</v>
      </c>
      <c r="I176" s="36"/>
    </row>
    <row r="177" spans="1:20" s="37" customFormat="1" ht="15.75" customHeight="1" x14ac:dyDescent="0.25">
      <c r="A177" s="82">
        <v>4</v>
      </c>
      <c r="B177" s="83"/>
      <c r="C177" s="42" t="s">
        <v>365</v>
      </c>
      <c r="D177" s="75">
        <f>(38.33)*(10.764)</f>
        <v>412.58411999999998</v>
      </c>
      <c r="E177" s="75">
        <f>(1.54+0.75*(2.98+2.9))*(10.764)</f>
        <v>64.0458</v>
      </c>
      <c r="F177" s="42">
        <f t="shared" si="15"/>
        <v>476.62991999999997</v>
      </c>
      <c r="G177" s="42">
        <v>0</v>
      </c>
      <c r="H177" s="42">
        <f t="shared" si="16"/>
        <v>738.77637600000003</v>
      </c>
      <c r="I177" s="36"/>
    </row>
    <row r="178" spans="1:20" s="37" customFormat="1" ht="15.75" customHeight="1" x14ac:dyDescent="0.25">
      <c r="A178" s="82">
        <v>5</v>
      </c>
      <c r="B178" s="83"/>
      <c r="C178" s="42" t="s">
        <v>365</v>
      </c>
      <c r="D178" s="75">
        <f>(38.33)*(10.764)</f>
        <v>412.58411999999998</v>
      </c>
      <c r="E178" s="75">
        <f>(1.54+0.75*(2.98+2.9))*(10.764)</f>
        <v>64.0458</v>
      </c>
      <c r="F178" s="42">
        <f t="shared" si="15"/>
        <v>476.62991999999997</v>
      </c>
      <c r="G178" s="42">
        <v>0</v>
      </c>
      <c r="H178" s="42">
        <f t="shared" si="16"/>
        <v>738.77637600000003</v>
      </c>
      <c r="I178" s="36"/>
    </row>
    <row r="179" spans="1:20" s="37" customFormat="1" ht="15.75" customHeight="1" x14ac:dyDescent="0.25">
      <c r="A179" s="82">
        <v>6</v>
      </c>
      <c r="B179" s="83"/>
      <c r="C179" s="42" t="s">
        <v>365</v>
      </c>
      <c r="D179" s="75">
        <f>(38.74)*(10.764)</f>
        <v>416.99736000000001</v>
      </c>
      <c r="E179" s="75">
        <f>(1.44+0.75*(2.98+2.9))*(10.764)</f>
        <v>62.969399999999993</v>
      </c>
      <c r="F179" s="42">
        <f t="shared" si="15"/>
        <v>479.96676000000002</v>
      </c>
      <c r="G179" s="42">
        <v>0</v>
      </c>
      <c r="H179" s="42">
        <f t="shared" si="16"/>
        <v>743.94847800000002</v>
      </c>
      <c r="I179" s="36"/>
    </row>
    <row r="180" spans="1:20" s="37" customFormat="1" ht="15.75" customHeight="1" x14ac:dyDescent="0.25">
      <c r="A180" s="82">
        <v>7</v>
      </c>
      <c r="B180" s="83"/>
      <c r="C180" s="42" t="s">
        <v>366</v>
      </c>
      <c r="D180" s="75">
        <f>(65.28)*(10.764)</f>
        <v>702.67391999999995</v>
      </c>
      <c r="E180" s="75">
        <f>(1.55+0.75*(3.78+3.05+1.72))*(10.764)</f>
        <v>85.708349999999996</v>
      </c>
      <c r="F180" s="42">
        <f t="shared" si="15"/>
        <v>788.38226999999995</v>
      </c>
      <c r="G180" s="42">
        <v>0</v>
      </c>
      <c r="H180" s="42">
        <f t="shared" si="16"/>
        <v>1221.9925185</v>
      </c>
      <c r="I180" s="36"/>
    </row>
    <row r="181" spans="1:20" s="37" customFormat="1" ht="15.75" customHeight="1" x14ac:dyDescent="0.25">
      <c r="A181" s="82">
        <v>8</v>
      </c>
      <c r="B181" s="83"/>
      <c r="C181" s="82" t="s">
        <v>369</v>
      </c>
      <c r="D181" s="153"/>
      <c r="E181" s="153"/>
      <c r="F181" s="153"/>
      <c r="G181" s="153"/>
      <c r="H181" s="83"/>
      <c r="I181" s="36"/>
    </row>
    <row r="182" spans="1:20" s="37" customFormat="1" x14ac:dyDescent="0.25">
      <c r="A182" s="134" t="s">
        <v>374</v>
      </c>
      <c r="B182" s="135"/>
      <c r="C182" s="135"/>
      <c r="D182" s="135"/>
      <c r="E182" s="135"/>
      <c r="F182" s="135"/>
      <c r="G182" s="135"/>
      <c r="H182" s="136"/>
      <c r="J182" s="36"/>
    </row>
    <row r="183" spans="1:20" s="37" customFormat="1" hidden="1" x14ac:dyDescent="0.25">
      <c r="A183" s="134" t="s">
        <v>114</v>
      </c>
      <c r="B183" s="135"/>
      <c r="C183" s="135"/>
      <c r="D183" s="135"/>
      <c r="E183" s="135"/>
      <c r="F183" s="135"/>
      <c r="G183" s="135"/>
      <c r="H183" s="136"/>
      <c r="J183" s="36"/>
    </row>
    <row r="184" spans="1:20" s="37" customFormat="1" ht="15.75" hidden="1" customHeight="1" x14ac:dyDescent="0.25">
      <c r="A184" s="82">
        <v>1</v>
      </c>
      <c r="B184" s="83"/>
      <c r="C184" s="42"/>
      <c r="D184" s="42"/>
      <c r="E184" s="42">
        <v>0</v>
      </c>
      <c r="F184" s="42">
        <f>D184+E184</f>
        <v>0</v>
      </c>
      <c r="G184" s="42">
        <v>0</v>
      </c>
      <c r="H184" s="42">
        <f>F184*(($H$152)+1)+(IF(G184&lt;101,G184,IF(G184&lt;201,G184/2,IF(G184&lt;=301,G184/3,G184/4))))</f>
        <v>0</v>
      </c>
      <c r="I184" s="36"/>
      <c r="L184" s="202"/>
      <c r="M184" s="202"/>
      <c r="N184" s="36"/>
    </row>
    <row r="185" spans="1:20" s="37" customFormat="1" ht="15.75" hidden="1" customHeight="1" x14ac:dyDescent="0.25">
      <c r="A185" s="82">
        <f>A184+1</f>
        <v>2</v>
      </c>
      <c r="B185" s="83"/>
      <c r="C185" s="42"/>
      <c r="D185" s="42"/>
      <c r="E185" s="42">
        <v>0</v>
      </c>
      <c r="F185" s="42">
        <f>D185+E185</f>
        <v>0</v>
      </c>
      <c r="G185" s="42">
        <v>0</v>
      </c>
      <c r="H185" s="42">
        <f>F185*(($H$152)+1)+(IF(G185&lt;101,G185,IF(G185&lt;201,G185/2,IF(G185&lt;=301,G185/3,G185/4))))</f>
        <v>0</v>
      </c>
      <c r="I185" s="36"/>
      <c r="L185" s="202"/>
      <c r="M185" s="202"/>
      <c r="N185" s="36"/>
    </row>
    <row r="186" spans="1:20" s="37" customFormat="1" ht="15.75" hidden="1" customHeight="1" x14ac:dyDescent="0.25">
      <c r="A186" s="82">
        <f>A185+1</f>
        <v>3</v>
      </c>
      <c r="B186" s="83"/>
      <c r="C186" s="42"/>
      <c r="D186" s="42"/>
      <c r="E186" s="42">
        <v>0</v>
      </c>
      <c r="F186" s="42">
        <f>D186+E186</f>
        <v>0</v>
      </c>
      <c r="G186" s="42">
        <v>0</v>
      </c>
      <c r="H186" s="42">
        <f>F186*(($H$152)+1)+(IF(G186&lt;101,G186,IF(G186&lt;201,G186/2,IF(G186&lt;=301,G186/3,G186/4))))</f>
        <v>0</v>
      </c>
      <c r="I186" s="36"/>
      <c r="L186" s="202"/>
      <c r="M186" s="202"/>
      <c r="N186" s="36"/>
    </row>
    <row r="187" spans="1:20" s="37" customFormat="1" ht="15.75" hidden="1" customHeight="1" x14ac:dyDescent="0.25">
      <c r="A187" s="82">
        <f>A186+1</f>
        <v>4</v>
      </c>
      <c r="B187" s="83"/>
      <c r="C187" s="42"/>
      <c r="D187" s="42"/>
      <c r="E187" s="42">
        <v>0</v>
      </c>
      <c r="F187" s="42">
        <f>D187+E187</f>
        <v>0</v>
      </c>
      <c r="G187" s="42">
        <v>0</v>
      </c>
      <c r="H187" s="42">
        <f>F187*(($H$152)+1)+(IF(G187&lt;101,G187,IF(G187&lt;201,G187/2,IF(G187&lt;=301,G187/3,G187/4))))</f>
        <v>0</v>
      </c>
      <c r="I187" s="36"/>
      <c r="L187" s="202"/>
      <c r="M187" s="202"/>
      <c r="N187" s="36"/>
      <c r="T187" s="21"/>
    </row>
    <row r="188" spans="1:20" s="37" customFormat="1" hidden="1" x14ac:dyDescent="0.25">
      <c r="A188" s="178" t="s">
        <v>115</v>
      </c>
      <c r="B188" s="178"/>
      <c r="C188" s="178"/>
      <c r="D188" s="178"/>
      <c r="E188" s="178"/>
      <c r="F188" s="178"/>
      <c r="G188" s="178"/>
      <c r="H188" s="178"/>
      <c r="I188" s="36"/>
      <c r="L188" s="202"/>
      <c r="M188" s="202"/>
    </row>
    <row r="189" spans="1:20" s="37" customFormat="1" hidden="1" x14ac:dyDescent="0.25">
      <c r="A189" s="124">
        <f>LEFT(A188,SUM(LEN(A188)-LEN(SUBSTITUTE(A188,{"0","1","2","3","4","5","6","7","8","9"},""))))*100+1</f>
        <v>201</v>
      </c>
      <c r="B189" s="124"/>
      <c r="C189" s="42"/>
      <c r="D189" s="42"/>
      <c r="E189" s="42">
        <v>0</v>
      </c>
      <c r="F189" s="42">
        <f>D189+E189</f>
        <v>0</v>
      </c>
      <c r="G189" s="42">
        <v>0</v>
      </c>
      <c r="H189" s="42">
        <f>F189*(($H$152)+1)+(IF(G189&lt;101,G189,IF(G189&lt;201,G189/2,IF(G189&lt;=301,G189/3,G189/4))))</f>
        <v>0</v>
      </c>
      <c r="I189" s="36"/>
      <c r="N189" s="36"/>
    </row>
    <row r="190" spans="1:20" s="37" customFormat="1" hidden="1" x14ac:dyDescent="0.25">
      <c r="A190" s="124">
        <f>A189+1</f>
        <v>202</v>
      </c>
      <c r="B190" s="124"/>
      <c r="C190" s="42"/>
      <c r="D190" s="42"/>
      <c r="E190" s="42">
        <v>0</v>
      </c>
      <c r="F190" s="42">
        <f>D190+E190</f>
        <v>0</v>
      </c>
      <c r="G190" s="42">
        <v>0</v>
      </c>
      <c r="H190" s="42">
        <f>F190*(($H$152)+1)+(IF(G190&lt;101,G190,IF(G190&lt;201,G190/2,IF(G190&lt;=301,G190/3,G190/4))))</f>
        <v>0</v>
      </c>
      <c r="I190" s="36"/>
      <c r="N190" s="36"/>
    </row>
    <row r="191" spans="1:20" s="37" customFormat="1" hidden="1" x14ac:dyDescent="0.25">
      <c r="A191" s="124">
        <f>A190+1</f>
        <v>203</v>
      </c>
      <c r="B191" s="124"/>
      <c r="C191" s="42"/>
      <c r="D191" s="42"/>
      <c r="E191" s="42">
        <v>0</v>
      </c>
      <c r="F191" s="42">
        <f>D191+E191</f>
        <v>0</v>
      </c>
      <c r="G191" s="42">
        <v>0</v>
      </c>
      <c r="H191" s="42">
        <f>F191*(($H$152)+1)+(IF(G191&lt;101,G191,IF(G191&lt;201,G191/2,IF(G191&lt;=301,G191/3,G191/4))))</f>
        <v>0</v>
      </c>
      <c r="I191" s="36"/>
      <c r="N191" s="36"/>
    </row>
    <row r="192" spans="1:20" s="37" customFormat="1" hidden="1" x14ac:dyDescent="0.25">
      <c r="A192" s="124">
        <f>A191+1</f>
        <v>204</v>
      </c>
      <c r="B192" s="124"/>
      <c r="C192" s="42"/>
      <c r="D192" s="42"/>
      <c r="E192" s="42">
        <v>0</v>
      </c>
      <c r="F192" s="42">
        <f>D192+E192</f>
        <v>0</v>
      </c>
      <c r="G192" s="42">
        <v>0</v>
      </c>
      <c r="H192" s="42">
        <f>F192*(($H$152)+1)+(IF(G192&lt;101,G192,IF(G192&lt;201,G192/2,IF(G192&lt;=301,G192/3,G192/4))))</f>
        <v>0</v>
      </c>
      <c r="I192" s="36"/>
      <c r="N192" s="36"/>
    </row>
    <row r="193" spans="1:14" s="37" customFormat="1" hidden="1" x14ac:dyDescent="0.25">
      <c r="A193" s="124">
        <f>A192+1</f>
        <v>205</v>
      </c>
      <c r="B193" s="124"/>
      <c r="C193" s="42"/>
      <c r="D193" s="42"/>
      <c r="E193" s="42">
        <v>0</v>
      </c>
      <c r="F193" s="42">
        <f>D193+E193</f>
        <v>0</v>
      </c>
      <c r="G193" s="42">
        <v>0</v>
      </c>
      <c r="H193" s="42">
        <f>F193*(($H$152)+1)+(IF(G193&lt;101,G193,IF(G193&lt;201,G193/2,IF(G193&lt;=301,G193/3,G193/4))))</f>
        <v>0</v>
      </c>
      <c r="I193" s="36"/>
      <c r="N193" s="36"/>
    </row>
    <row r="194" spans="1:14" s="37" customFormat="1" ht="15.75" hidden="1" customHeight="1" x14ac:dyDescent="0.25">
      <c r="A194" s="134" t="s">
        <v>148</v>
      </c>
      <c r="B194" s="135"/>
      <c r="C194" s="135"/>
      <c r="D194" s="135"/>
      <c r="E194" s="135"/>
      <c r="F194" s="135"/>
      <c r="G194" s="135"/>
      <c r="H194" s="136"/>
      <c r="I194" s="36"/>
    </row>
    <row r="195" spans="1:14" s="37" customFormat="1" ht="15.75" hidden="1" customHeight="1" x14ac:dyDescent="0.25">
      <c r="A195" s="82"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10^ROW(INDIRECT("1:"&amp;LEN((LEFT(A194,SUM(LEN(A194)-LEN(SUBSTITUTE(A194,{"0","1","2"},""))))))))/10))*100+1&amp;""&amp;" ,..,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",LEN(A194))),LEN(A194)))))))/10))*100+1</f>
        <v>301 ,.., 1501</v>
      </c>
      <c r="B195" s="83"/>
      <c r="C195" s="42"/>
      <c r="D195" s="42"/>
      <c r="E195" s="42">
        <v>0</v>
      </c>
      <c r="F195" s="42">
        <f>D195+E195</f>
        <v>0</v>
      </c>
      <c r="G195" s="42">
        <v>0</v>
      </c>
      <c r="H195" s="42">
        <f>F195*(($H$152)+1)+(IF(G195&lt;101,G195,IF(G195&lt;201,G195/2,IF(G195&lt;=301,G195/3,G195/4))))</f>
        <v>0</v>
      </c>
      <c r="I195" s="36"/>
    </row>
    <row r="196" spans="1:14" s="37" customFormat="1" ht="15.75" hidden="1" customHeight="1" x14ac:dyDescent="0.25">
      <c r="A196" s="82" t="str">
        <f ca="1">(SUMPRODUCT(MID(0&amp;(LEFT(A195,SUM(LEN(A195)-LEN(SUBSTITUTE(A195,{"0","1","2"},""))))), LARGE(INDEX(ISNUMBER(--MID((LEFT(A195,SUM(LEN(A195)-LEN(SUBSTITUTE(A195,{"0","1","2"},""))))), ROW(INDIRECT("1:"&amp;LEN((LEFT(A195,SUM(LEN(A195)-LEN(SUBSTITUTE(A195,{"0","1","2"},"")))))))), 1)) * ROW(INDIRECT("1:"&amp;LEN((LEFT(A195,SUM(LEN(A195)-LEN(SUBSTITUTE(A195,{"0","1","2"},"")))))))), 0), ROW(INDIRECT("1:"&amp;LEN((LEFT(A195,SUM(LEN(A195)-LEN(SUBSTITUTE(A195,{"0","1","2"},"")))))))))+1, 1) * 10^ROW(INDIRECT("1:"&amp;LEN((LEFT(A195,SUM(LEN(A195)-LEN(SUBSTITUTE(A195,{"0","1","2"},""))))))))/10))*1+1&amp;""&amp;" ,.., "&amp;""&amp;(SUMPRODUCT(MID(0&amp;(--TRIM(RIGHT(SUBSTITUTE(LEFT(A195,_xlfn.AGGREGATE(16,6,FIND({0,1,2,3,4,5,6,7,8,9},A195,ROW(INDIRECT("1:"&amp;LEN(A195)))),1))," ",REPT(" ",LEN(A195))),LEN(A195)))), LARGE(INDEX(ISNUMBER(--MID((--TRIM(RIGHT(SUBSTITUTE(LEFT(A195,_xlfn.AGGREGATE(16,6,FIND({0,1,2,3,4,5,6,7,8,9},A195,ROW(INDIRECT("1:"&amp;LEN(A195)))),1))," ",REPT(" ",LEN(A195))),LEN(A195)))), ROW(INDIRECT("1:"&amp;LEN((--TRIM(RIGHT(SUBSTITUTE(LEFT(A195,_xlfn.AGGREGATE(16,6,FIND({0,1,2,3,4,5,6,7,8,9},A195,ROW(INDIRECT("1:"&amp;LEN(A195)))),1))," ",REPT(" ",LEN(A195))),LEN(A195))))))), 1)) * ROW(INDIRECT("1:"&amp;LEN((--TRIM(RIGHT(SUBSTITUTE(LEFT(A195,_xlfn.AGGREGATE(16,6,FIND({0,1,2,3,4,5,6,7,8,9},A195,ROW(INDIRECT("1:"&amp;LEN(A195)))),1))," ",REPT(" ",LEN(A195))),LEN(A195))))))), 0), ROW(INDIRECT("1:"&amp;LEN((--TRIM(RIGHT(SUBSTITUTE(LEFT(A195,_xlfn.AGGREGATE(16,6,FIND({0,1,2,3,4,5,6,7,8,9},A195,ROW(INDIRECT("1:"&amp;LEN(A195)))),1))," ",REPT(" ",LEN(A195))),LEN(A195))))))))+1, 1) * 10^ROW(INDIRECT("1:"&amp;LEN((--TRIM(RIGHT(SUBSTITUTE(LEFT(A195,_xlfn.AGGREGATE(16,6,FIND({0,1,2,3,4,5,6,7,8,9},A195,ROW(INDIRECT("1:"&amp;LEN(A195)))),1))," ",REPT(" ",LEN(A195))),LEN(A195)))))))/10))*1+1</f>
        <v>302 ,.., 1502</v>
      </c>
      <c r="B196" s="83"/>
      <c r="C196" s="42"/>
      <c r="D196" s="42"/>
      <c r="E196" s="42">
        <v>0</v>
      </c>
      <c r="F196" s="42">
        <f>D196+E196</f>
        <v>0</v>
      </c>
      <c r="G196" s="42">
        <v>0</v>
      </c>
      <c r="H196" s="42">
        <f>F196*(($H$152)+1)+(IF(G196&lt;101,G196,IF(G196&lt;201,G196/2,IF(G196&lt;=301,G196/3,G196/4))))</f>
        <v>0</v>
      </c>
      <c r="I196" s="36"/>
    </row>
    <row r="197" spans="1:14" s="37" customFormat="1" ht="15.75" hidden="1" customHeight="1" x14ac:dyDescent="0.25">
      <c r="A197" s="82"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10^ROW(INDIRECT("1:"&amp;LEN((LEFT(A196,SUM(LEN(A196)-LEN(SUBSTITUTE(A196,{"0","1","2"},""))))))))/10))*1+1&amp;""&amp;" ,..,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",LEN(A196))),LEN(A196)))))))/10))*1+1</f>
        <v>303 ,.., 1503</v>
      </c>
      <c r="B197" s="83"/>
      <c r="C197" s="42"/>
      <c r="D197" s="42"/>
      <c r="E197" s="42">
        <v>0</v>
      </c>
      <c r="F197" s="42">
        <f>D197+E197</f>
        <v>0</v>
      </c>
      <c r="G197" s="42">
        <v>0</v>
      </c>
      <c r="H197" s="42">
        <f>F197*(($H$152)+1)+(IF(G197&lt;101,G197,IF(G197&lt;201,G197/2,IF(G197&lt;=301,G197/3,G197/4))))</f>
        <v>0</v>
      </c>
      <c r="I197" s="36"/>
    </row>
    <row r="198" spans="1:14" s="37" customFormat="1" ht="15.75" hidden="1" customHeight="1" x14ac:dyDescent="0.25">
      <c r="A198" s="82"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10^ROW(INDIRECT("1:"&amp;LEN((LEFT(A197,SUM(LEN(A197)-LEN(SUBSTITUTE(A197,{"0","1","2"},""))))))))/10))*1+1&amp;""&amp;" ,..,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",LEN(A197))),LEN(A197)))))))/10))*1+1</f>
        <v>304 ,.., 1504</v>
      </c>
      <c r="B198" s="83"/>
      <c r="C198" s="42"/>
      <c r="D198" s="42"/>
      <c r="E198" s="42">
        <v>0</v>
      </c>
      <c r="F198" s="42">
        <f>D198+E198</f>
        <v>0</v>
      </c>
      <c r="G198" s="42">
        <v>0</v>
      </c>
      <c r="H198" s="42">
        <f>F198*(($H$152)+1)+(IF(G198&lt;101,G198,IF(G198&lt;201,G198/2,IF(G198&lt;=301,G198/3,G198/4))))</f>
        <v>0</v>
      </c>
      <c r="I198" s="36"/>
    </row>
    <row r="199" spans="1:14" s="37" customFormat="1" ht="15.75" hidden="1" customHeight="1" x14ac:dyDescent="0.25">
      <c r="A199" s="82"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305 ,.., 1505</v>
      </c>
      <c r="B199" s="83"/>
      <c r="C199" s="42"/>
      <c r="D199" s="42"/>
      <c r="E199" s="42">
        <v>0</v>
      </c>
      <c r="F199" s="42">
        <f>D199+E199</f>
        <v>0</v>
      </c>
      <c r="G199" s="42">
        <v>0</v>
      </c>
      <c r="H199" s="42">
        <f>F199*(($H$152)+1)+(IF(G199&lt;101,G199,IF(G199&lt;201,G199/2,IF(G199&lt;=301,G199/3,G199/4))))</f>
        <v>0</v>
      </c>
      <c r="I199" s="36"/>
    </row>
    <row r="200" spans="1:14" s="37" customFormat="1" hidden="1" x14ac:dyDescent="0.25">
      <c r="A200" s="134" t="s">
        <v>142</v>
      </c>
      <c r="B200" s="135"/>
      <c r="C200" s="135"/>
      <c r="D200" s="135"/>
      <c r="E200" s="135"/>
      <c r="F200" s="135"/>
      <c r="G200" s="135"/>
      <c r="H200" s="136"/>
      <c r="I200" s="36"/>
    </row>
    <row r="201" spans="1:14" s="37" customFormat="1" ht="15.75" hidden="1" customHeight="1" x14ac:dyDescent="0.25">
      <c r="A201" s="82"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10^ROW(INDIRECT("1:"&amp;LEN((LEFT(A200,SUM(LEN(A200)-LEN(SUBSTITUTE(A200,{"0","1","2"},""))))))))/10))*100+1&amp;""&amp;" to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",LEN(A200))),LEN(A200)))))))/10))*100+1</f>
        <v>201 to 501</v>
      </c>
      <c r="B201" s="83"/>
      <c r="C201" s="42"/>
      <c r="D201" s="42"/>
      <c r="E201" s="42">
        <v>0</v>
      </c>
      <c r="F201" s="42">
        <f>D201+E201</f>
        <v>0</v>
      </c>
      <c r="G201" s="42">
        <v>0</v>
      </c>
      <c r="H201" s="42">
        <f>F201*(($H$152)+1)+(IF(G201&lt;101,G201,IF(G201&lt;201,G201/2,IF(G201&lt;=301,G201/3,G201/4))))</f>
        <v>0</v>
      </c>
      <c r="I201" s="36"/>
    </row>
    <row r="202" spans="1:14" s="37" customFormat="1" ht="15.75" hidden="1" customHeight="1" x14ac:dyDescent="0.25">
      <c r="A202" s="82"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to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202 to 502</v>
      </c>
      <c r="B202" s="83"/>
      <c r="C202" s="42"/>
      <c r="D202" s="42"/>
      <c r="E202" s="42">
        <v>0</v>
      </c>
      <c r="F202" s="42">
        <f>D202+E202</f>
        <v>0</v>
      </c>
      <c r="G202" s="42">
        <v>0</v>
      </c>
      <c r="H202" s="42">
        <f>F202*(($H$152)+1)+(IF(G202&lt;101,G202,IF(G202&lt;201,G202/2,IF(G202&lt;=301,G202/3,G202/4))))</f>
        <v>0</v>
      </c>
      <c r="I202" s="36"/>
    </row>
    <row r="203" spans="1:14" s="37" customFormat="1" ht="15.75" hidden="1" customHeight="1" x14ac:dyDescent="0.25">
      <c r="A203" s="82"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10^ROW(INDIRECT("1:"&amp;LEN((LEFT(A202,SUM(LEN(A202)-LEN(SUBSTITUTE(A202,{"0","1","2"},""))))))))/10))*1+1&amp;""&amp;" to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",LEN(A202))),LEN(A202)))))))/10))*1+1</f>
        <v>203 to 503</v>
      </c>
      <c r="B203" s="83"/>
      <c r="C203" s="42"/>
      <c r="D203" s="42"/>
      <c r="E203" s="42">
        <v>0</v>
      </c>
      <c r="F203" s="42">
        <f>D203+E203</f>
        <v>0</v>
      </c>
      <c r="G203" s="42">
        <v>0</v>
      </c>
      <c r="H203" s="42">
        <f>F203*(($H$152)+1)+(IF(G203&lt;101,G203,IF(G203&lt;201,G203/2,IF(G203&lt;=301,G203/3,G203/4))))</f>
        <v>0</v>
      </c>
      <c r="I203" s="36"/>
    </row>
    <row r="204" spans="1:14" s="37" customFormat="1" ht="15.75" hidden="1" customHeight="1" x14ac:dyDescent="0.25">
      <c r="A204" s="82"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to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204 to 504</v>
      </c>
      <c r="B204" s="83"/>
      <c r="C204" s="42"/>
      <c r="D204" s="42"/>
      <c r="E204" s="42">
        <v>0</v>
      </c>
      <c r="F204" s="42">
        <f>D204+E204</f>
        <v>0</v>
      </c>
      <c r="G204" s="42">
        <v>0</v>
      </c>
      <c r="H204" s="42">
        <f>F204*(($H$152)+1)+(IF(G204&lt;101,G204,IF(G204&lt;201,G204/2,IF(G204&lt;=301,G204/3,G204/4))))</f>
        <v>0</v>
      </c>
      <c r="I204" s="36"/>
    </row>
    <row r="205" spans="1:14" s="37" customFormat="1" ht="15.75" hidden="1" customHeight="1" x14ac:dyDescent="0.25">
      <c r="A205" s="82"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10^ROW(INDIRECT("1:"&amp;LEN((LEFT(A204,SUM(LEN(A204)-LEN(SUBSTITUTE(A204,{"0","1","2"},""))))))))/10))*1+1&amp;""&amp;" to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",LEN(A204))),LEN(A204)))))))/10))*1+1</f>
        <v>205 to 505</v>
      </c>
      <c r="B205" s="83"/>
      <c r="C205" s="42"/>
      <c r="D205" s="42"/>
      <c r="E205" s="42">
        <v>0</v>
      </c>
      <c r="F205" s="42">
        <f>D205+E205</f>
        <v>0</v>
      </c>
      <c r="G205" s="42">
        <v>0</v>
      </c>
      <c r="H205" s="42">
        <f>F205*(($H$152)+1)+(IF(G205&lt;101,G205,IF(G205&lt;201,G205/2,IF(G205&lt;=301,G205/3,G205/4))))</f>
        <v>0</v>
      </c>
      <c r="I205" s="36"/>
    </row>
    <row r="206" spans="1:14" s="37" customFormat="1" hidden="1" x14ac:dyDescent="0.25">
      <c r="A206" s="134" t="s">
        <v>143</v>
      </c>
      <c r="B206" s="135"/>
      <c r="C206" s="135"/>
      <c r="D206" s="135"/>
      <c r="E206" s="135"/>
      <c r="F206" s="135"/>
      <c r="G206" s="135"/>
      <c r="H206" s="136"/>
      <c r="I206" s="36"/>
    </row>
    <row r="207" spans="1:14" s="37" customFormat="1" ht="15.75" hidden="1" customHeight="1" x14ac:dyDescent="0.25">
      <c r="A207" s="82"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10^ROW(INDIRECT("1:"&amp;LEN((LEFT(A206,SUM(LEN(A206)-LEN(SUBSTITUTE(A206,{"0","1","2"},""))))))))/10))*100+1&amp;""&amp;" &amp;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",LEN(A206))),LEN(A206)))))))/10))*100+1</f>
        <v>201 &amp; 501</v>
      </c>
      <c r="B207" s="83"/>
      <c r="C207" s="42"/>
      <c r="D207" s="42"/>
      <c r="E207" s="42">
        <v>0</v>
      </c>
      <c r="F207" s="42">
        <f>D207+E207</f>
        <v>0</v>
      </c>
      <c r="G207" s="42">
        <v>0</v>
      </c>
      <c r="H207" s="42">
        <f>F207*(($H$152)+1)+(IF(G207&lt;101,G207,IF(G207&lt;201,G207/2,IF(G207&lt;=301,G207/3,G207/4))))</f>
        <v>0</v>
      </c>
      <c r="I207" s="36"/>
    </row>
    <row r="208" spans="1:14" s="37" customFormat="1" ht="15.75" hidden="1" customHeight="1" x14ac:dyDescent="0.25">
      <c r="A208" s="82" t="str">
        <f ca="1">(SUMPRODUCT(MID(0&amp;(LEFT(A207,SUM(LEN(A207)-LEN(SUBSTITUTE(A207,{"0","1","2"},""))))), LARGE(INDEX(ISNUMBER(--MID((LEFT(A207,SUM(LEN(A207)-LEN(SUBSTITUTE(A207,{"0","1","2"},""))))), ROW(INDIRECT("1:"&amp;LEN((LEFT(A207,SUM(LEN(A207)-LEN(SUBSTITUTE(A207,{"0","1","2"},"")))))))), 1)) * ROW(INDIRECT("1:"&amp;LEN((LEFT(A207,SUM(LEN(A207)-LEN(SUBSTITUTE(A207,{"0","1","2"},"")))))))), 0), ROW(INDIRECT("1:"&amp;LEN((LEFT(A207,SUM(LEN(A207)-LEN(SUBSTITUTE(A207,{"0","1","2"},"")))))))))+1, 1) * 10^ROW(INDIRECT("1:"&amp;LEN((LEFT(A207,SUM(LEN(A207)-LEN(SUBSTITUTE(A207,{"0","1","2"},""))))))))/10))*1+1&amp;""&amp;" &amp; "&amp;""&amp;(SUMPRODUCT(MID(0&amp;(--TRIM(RIGHT(SUBSTITUTE(LEFT(A207,_xlfn.AGGREGATE(16,6,FIND({0,1,2,3,4,5,6,7,8,9},A207,ROW(INDIRECT("1:"&amp;LEN(A207)))),1))," ",REPT(" ",LEN(A207))),LEN(A207)))), LARGE(INDEX(ISNUMBER(--MID((--TRIM(RIGHT(SUBSTITUTE(LEFT(A207,_xlfn.AGGREGATE(16,6,FIND({0,1,2,3,4,5,6,7,8,9},A207,ROW(INDIRECT("1:"&amp;LEN(A207)))),1))," ",REPT(" ",LEN(A207))),LEN(A207)))), ROW(INDIRECT("1:"&amp;LEN((--TRIM(RIGHT(SUBSTITUTE(LEFT(A207,_xlfn.AGGREGATE(16,6,FIND({0,1,2,3,4,5,6,7,8,9},A207,ROW(INDIRECT("1:"&amp;LEN(A207)))),1))," ",REPT(" ",LEN(A207))),LEN(A207))))))), 1)) * ROW(INDIRECT("1:"&amp;LEN((--TRIM(RIGHT(SUBSTITUTE(LEFT(A207,_xlfn.AGGREGATE(16,6,FIND({0,1,2,3,4,5,6,7,8,9},A207,ROW(INDIRECT("1:"&amp;LEN(A207)))),1))," ",REPT(" ",LEN(A207))),LEN(A207))))))), 0), ROW(INDIRECT("1:"&amp;LEN((--TRIM(RIGHT(SUBSTITUTE(LEFT(A207,_xlfn.AGGREGATE(16,6,FIND({0,1,2,3,4,5,6,7,8,9},A207,ROW(INDIRECT("1:"&amp;LEN(A207)))),1))," ",REPT(" ",LEN(A207))),LEN(A207))))))))+1, 1) * 10^ROW(INDIRECT("1:"&amp;LEN((--TRIM(RIGHT(SUBSTITUTE(LEFT(A207,_xlfn.AGGREGATE(16,6,FIND({0,1,2,3,4,5,6,7,8,9},A207,ROW(INDIRECT("1:"&amp;LEN(A207)))),1))," ",REPT(" ",LEN(A207))),LEN(A207)))))))/10))*1+1</f>
        <v>202 &amp; 502</v>
      </c>
      <c r="B208" s="83"/>
      <c r="C208" s="42"/>
      <c r="D208" s="42"/>
      <c r="E208" s="42">
        <v>0</v>
      </c>
      <c r="F208" s="42">
        <f>D208+E208</f>
        <v>0</v>
      </c>
      <c r="G208" s="42">
        <v>0</v>
      </c>
      <c r="H208" s="42">
        <f>F208*(($H$152)+1)+(IF(G208&lt;101,G208,IF(G208&lt;201,G208/2,IF(G208&lt;=301,G208/3,G208/4))))</f>
        <v>0</v>
      </c>
      <c r="I208" s="36"/>
    </row>
    <row r="209" spans="1:20" s="37" customFormat="1" ht="15.75" hidden="1" customHeight="1" x14ac:dyDescent="0.25">
      <c r="A209" s="82" t="str">
        <f ca="1">(SUMPRODUCT(MID(0&amp;(LEFT(A208,SUM(LEN(A208)-LEN(SUBSTITUTE(A208,{"0","1","2"},""))))), LARGE(INDEX(ISNUMBER(--MID((LEFT(A208,SUM(LEN(A208)-LEN(SUBSTITUTE(A208,{"0","1","2"},""))))), ROW(INDIRECT("1:"&amp;LEN((LEFT(A208,SUM(LEN(A208)-LEN(SUBSTITUTE(A208,{"0","1","2"},"")))))))), 1)) * ROW(INDIRECT("1:"&amp;LEN((LEFT(A208,SUM(LEN(A208)-LEN(SUBSTITUTE(A208,{"0","1","2"},"")))))))), 0), ROW(INDIRECT("1:"&amp;LEN((LEFT(A208,SUM(LEN(A208)-LEN(SUBSTITUTE(A208,{"0","1","2"},"")))))))))+1, 1) * 10^ROW(INDIRECT("1:"&amp;LEN((LEFT(A208,SUM(LEN(A208)-LEN(SUBSTITUTE(A208,{"0","1","2"},""))))))))/10))*1+1&amp;""&amp;" &amp; "&amp;""&amp;(SUMPRODUCT(MID(0&amp;(--TRIM(RIGHT(SUBSTITUTE(LEFT(A208,_xlfn.AGGREGATE(16,6,FIND({0,1,2,3,4,5,6,7,8,9},A208,ROW(INDIRECT("1:"&amp;LEN(A208)))),1))," ",REPT(" ",LEN(A208))),LEN(A208)))), LARGE(INDEX(ISNUMBER(--MID((--TRIM(RIGHT(SUBSTITUTE(LEFT(A208,_xlfn.AGGREGATE(16,6,FIND({0,1,2,3,4,5,6,7,8,9},A208,ROW(INDIRECT("1:"&amp;LEN(A208)))),1))," ",REPT(" ",LEN(A208))),LEN(A208)))), ROW(INDIRECT("1:"&amp;LEN((--TRIM(RIGHT(SUBSTITUTE(LEFT(A208,_xlfn.AGGREGATE(16,6,FIND({0,1,2,3,4,5,6,7,8,9},A208,ROW(INDIRECT("1:"&amp;LEN(A208)))),1))," ",REPT(" ",LEN(A208))),LEN(A208))))))), 1)) * ROW(INDIRECT("1:"&amp;LEN((--TRIM(RIGHT(SUBSTITUTE(LEFT(A208,_xlfn.AGGREGATE(16,6,FIND({0,1,2,3,4,5,6,7,8,9},A208,ROW(INDIRECT("1:"&amp;LEN(A208)))),1))," ",REPT(" ",LEN(A208))),LEN(A208))))))), 0), ROW(INDIRECT("1:"&amp;LEN((--TRIM(RIGHT(SUBSTITUTE(LEFT(A208,_xlfn.AGGREGATE(16,6,FIND({0,1,2,3,4,5,6,7,8,9},A208,ROW(INDIRECT("1:"&amp;LEN(A208)))),1))," ",REPT(" ",LEN(A208))),LEN(A208))))))))+1, 1) * 10^ROW(INDIRECT("1:"&amp;LEN((--TRIM(RIGHT(SUBSTITUTE(LEFT(A208,_xlfn.AGGREGATE(16,6,FIND({0,1,2,3,4,5,6,7,8,9},A208,ROW(INDIRECT("1:"&amp;LEN(A208)))),1))," ",REPT(" ",LEN(A208))),LEN(A208)))))))/10))*1+1</f>
        <v>203 &amp; 503</v>
      </c>
      <c r="B209" s="83"/>
      <c r="C209" s="42"/>
      <c r="D209" s="42"/>
      <c r="E209" s="42">
        <v>0</v>
      </c>
      <c r="F209" s="42">
        <f>D209+E209</f>
        <v>0</v>
      </c>
      <c r="G209" s="42">
        <v>0</v>
      </c>
      <c r="H209" s="42">
        <f>F209*(($H$152)+1)+(IF(G209&lt;101,G209,IF(G209&lt;201,G209/2,IF(G209&lt;=301,G209/3,G209/4))))</f>
        <v>0</v>
      </c>
      <c r="I209" s="36"/>
    </row>
    <row r="210" spans="1:20" s="37" customFormat="1" ht="15.75" hidden="1" customHeight="1" x14ac:dyDescent="0.25">
      <c r="A210" s="82" t="str">
        <f ca="1">(SUMPRODUCT(MID(0&amp;(LEFT(A209,SUM(LEN(A209)-LEN(SUBSTITUTE(A209,{"0","1","2"},""))))), LARGE(INDEX(ISNUMBER(--MID((LEFT(A209,SUM(LEN(A209)-LEN(SUBSTITUTE(A209,{"0","1","2"},""))))), ROW(INDIRECT("1:"&amp;LEN((LEFT(A209,SUM(LEN(A209)-LEN(SUBSTITUTE(A209,{"0","1","2"},"")))))))), 1)) * ROW(INDIRECT("1:"&amp;LEN((LEFT(A209,SUM(LEN(A209)-LEN(SUBSTITUTE(A209,{"0","1","2"},"")))))))), 0), ROW(INDIRECT("1:"&amp;LEN((LEFT(A209,SUM(LEN(A209)-LEN(SUBSTITUTE(A209,{"0","1","2"},"")))))))))+1, 1) * 10^ROW(INDIRECT("1:"&amp;LEN((LEFT(A209,SUM(LEN(A209)-LEN(SUBSTITUTE(A209,{"0","1","2"},""))))))))/10))*1+1&amp;""&amp;" &amp; "&amp;""&amp;(SUMPRODUCT(MID(0&amp;(--TRIM(RIGHT(SUBSTITUTE(LEFT(A209,_xlfn.AGGREGATE(16,6,FIND({0,1,2,3,4,5,6,7,8,9},A209,ROW(INDIRECT("1:"&amp;LEN(A209)))),1))," ",REPT(" ",LEN(A209))),LEN(A209)))), LARGE(INDEX(ISNUMBER(--MID((--TRIM(RIGHT(SUBSTITUTE(LEFT(A209,_xlfn.AGGREGATE(16,6,FIND({0,1,2,3,4,5,6,7,8,9},A209,ROW(INDIRECT("1:"&amp;LEN(A209)))),1))," ",REPT(" ",LEN(A209))),LEN(A209)))), ROW(INDIRECT("1:"&amp;LEN((--TRIM(RIGHT(SUBSTITUTE(LEFT(A209,_xlfn.AGGREGATE(16,6,FIND({0,1,2,3,4,5,6,7,8,9},A209,ROW(INDIRECT("1:"&amp;LEN(A209)))),1))," ",REPT(" ",LEN(A209))),LEN(A209))))))), 1)) * ROW(INDIRECT("1:"&amp;LEN((--TRIM(RIGHT(SUBSTITUTE(LEFT(A209,_xlfn.AGGREGATE(16,6,FIND({0,1,2,3,4,5,6,7,8,9},A209,ROW(INDIRECT("1:"&amp;LEN(A209)))),1))," ",REPT(" ",LEN(A209))),LEN(A209))))))), 0), ROW(INDIRECT("1:"&amp;LEN((--TRIM(RIGHT(SUBSTITUTE(LEFT(A209,_xlfn.AGGREGATE(16,6,FIND({0,1,2,3,4,5,6,7,8,9},A209,ROW(INDIRECT("1:"&amp;LEN(A209)))),1))," ",REPT(" ",LEN(A209))),LEN(A209))))))))+1, 1) * 10^ROW(INDIRECT("1:"&amp;LEN((--TRIM(RIGHT(SUBSTITUTE(LEFT(A209,_xlfn.AGGREGATE(16,6,FIND({0,1,2,3,4,5,6,7,8,9},A209,ROW(INDIRECT("1:"&amp;LEN(A209)))),1))," ",REPT(" ",LEN(A209))),LEN(A209)))))))/10))*1+1</f>
        <v>204 &amp; 504</v>
      </c>
      <c r="B210" s="83"/>
      <c r="C210" s="42"/>
      <c r="D210" s="42"/>
      <c r="E210" s="42">
        <v>0</v>
      </c>
      <c r="F210" s="42">
        <f>D210+E210</f>
        <v>0</v>
      </c>
      <c r="G210" s="42">
        <v>0</v>
      </c>
      <c r="H210" s="42">
        <f>F210*(($H$152)+1)+(IF(G210&lt;101,G210,IF(G210&lt;201,G210/2,IF(G210&lt;=301,G210/3,G210/4))))</f>
        <v>0</v>
      </c>
      <c r="I210" s="36"/>
    </row>
    <row r="211" spans="1:20" s="37" customFormat="1" ht="15.75" hidden="1" customHeight="1" x14ac:dyDescent="0.25">
      <c r="A211" s="82" t="str">
        <f ca="1">(SUMPRODUCT(MID(0&amp;(LEFT(A210,SUM(LEN(A210)-LEN(SUBSTITUTE(A210,{"0","1","2"},""))))), LARGE(INDEX(ISNUMBER(--MID((LEFT(A210,SUM(LEN(A210)-LEN(SUBSTITUTE(A210,{"0","1","2"},""))))), ROW(INDIRECT("1:"&amp;LEN((LEFT(A210,SUM(LEN(A210)-LEN(SUBSTITUTE(A210,{"0","1","2"},"")))))))), 1)) * ROW(INDIRECT("1:"&amp;LEN((LEFT(A210,SUM(LEN(A210)-LEN(SUBSTITUTE(A210,{"0","1","2"},"")))))))), 0), ROW(INDIRECT("1:"&amp;LEN((LEFT(A210,SUM(LEN(A210)-LEN(SUBSTITUTE(A210,{"0","1","2"},"")))))))))+1, 1) * 10^ROW(INDIRECT("1:"&amp;LEN((LEFT(A210,SUM(LEN(A210)-LEN(SUBSTITUTE(A210,{"0","1","2"},""))))))))/10))*1+1&amp;""&amp;" &amp; "&amp;""&amp;(SUMPRODUCT(MID(0&amp;(--TRIM(RIGHT(SUBSTITUTE(LEFT(A210,_xlfn.AGGREGATE(16,6,FIND({0,1,2,3,4,5,6,7,8,9},A210,ROW(INDIRECT("1:"&amp;LEN(A210)))),1))," ",REPT(" ",LEN(A210))),LEN(A210)))), LARGE(INDEX(ISNUMBER(--MID((--TRIM(RIGHT(SUBSTITUTE(LEFT(A210,_xlfn.AGGREGATE(16,6,FIND({0,1,2,3,4,5,6,7,8,9},A210,ROW(INDIRECT("1:"&amp;LEN(A210)))),1))," ",REPT(" ",LEN(A210))),LEN(A210)))), ROW(INDIRECT("1:"&amp;LEN((--TRIM(RIGHT(SUBSTITUTE(LEFT(A210,_xlfn.AGGREGATE(16,6,FIND({0,1,2,3,4,5,6,7,8,9},A210,ROW(INDIRECT("1:"&amp;LEN(A210)))),1))," ",REPT(" ",LEN(A210))),LEN(A210))))))), 1)) * ROW(INDIRECT("1:"&amp;LEN((--TRIM(RIGHT(SUBSTITUTE(LEFT(A210,_xlfn.AGGREGATE(16,6,FIND({0,1,2,3,4,5,6,7,8,9},A210,ROW(INDIRECT("1:"&amp;LEN(A210)))),1))," ",REPT(" ",LEN(A210))),LEN(A210))))))), 0), ROW(INDIRECT("1:"&amp;LEN((--TRIM(RIGHT(SUBSTITUTE(LEFT(A210,_xlfn.AGGREGATE(16,6,FIND({0,1,2,3,4,5,6,7,8,9},A210,ROW(INDIRECT("1:"&amp;LEN(A210)))),1))," ",REPT(" ",LEN(A210))),LEN(A210))))))))+1, 1) * 10^ROW(INDIRECT("1:"&amp;LEN((--TRIM(RIGHT(SUBSTITUTE(LEFT(A210,_xlfn.AGGREGATE(16,6,FIND({0,1,2,3,4,5,6,7,8,9},A210,ROW(INDIRECT("1:"&amp;LEN(A210)))),1))," ",REPT(" ",LEN(A210))),LEN(A210)))))))/10))*1+1</f>
        <v>205 &amp; 505</v>
      </c>
      <c r="B211" s="83"/>
      <c r="C211" s="42"/>
      <c r="D211" s="42"/>
      <c r="E211" s="42">
        <v>0</v>
      </c>
      <c r="F211" s="42">
        <f>D211+E211</f>
        <v>0</v>
      </c>
      <c r="G211" s="42">
        <v>0</v>
      </c>
      <c r="H211" s="42">
        <f>F211*(($H$152)+1)+(IF(G211&lt;101,G211,IF(G211&lt;201,G211/2,IF(G211&lt;=301,G211/3,G211/4))))</f>
        <v>0</v>
      </c>
      <c r="I211" s="36"/>
    </row>
    <row r="212" spans="1:20" s="35" customFormat="1" x14ac:dyDescent="0.25">
      <c r="A212" s="140" t="s">
        <v>64</v>
      </c>
      <c r="B212" s="140"/>
      <c r="C212" s="140"/>
      <c r="D212" s="140"/>
      <c r="E212" s="140"/>
      <c r="F212" s="140"/>
      <c r="G212" s="140"/>
      <c r="H212" s="140"/>
      <c r="T212" s="37"/>
    </row>
    <row r="213" spans="1:20" s="35" customFormat="1" x14ac:dyDescent="0.25">
      <c r="A213" s="46" t="s">
        <v>152</v>
      </c>
      <c r="B213" s="142" t="s">
        <v>389</v>
      </c>
      <c r="C213" s="143"/>
      <c r="D213" s="143"/>
      <c r="E213" s="143"/>
      <c r="F213" s="143"/>
      <c r="G213" s="143"/>
      <c r="H213" s="144"/>
      <c r="I213" s="224" t="s">
        <v>388</v>
      </c>
      <c r="J213" s="225"/>
      <c r="K213" s="225"/>
      <c r="L213" s="225"/>
      <c r="M213" s="225"/>
      <c r="N213" s="225"/>
      <c r="T213" s="37"/>
    </row>
    <row r="214" spans="1:20" s="35" customFormat="1" x14ac:dyDescent="0.25">
      <c r="A214" s="46" t="s">
        <v>152</v>
      </c>
      <c r="B214" s="142" t="str">
        <f>(IF(H151="Saleable area Loading :","We have considered Saleable area of Flats as per our Calculation.","We considered Saleable area of Flat as per Builder area Sheet."))</f>
        <v>We have considered Saleable area of Flats as per our Calculation.</v>
      </c>
      <c r="C214" s="143"/>
      <c r="D214" s="143"/>
      <c r="E214" s="143"/>
      <c r="F214" s="143"/>
      <c r="G214" s="143"/>
      <c r="H214" s="144"/>
      <c r="T214" s="37"/>
    </row>
    <row r="215" spans="1:20" s="35" customFormat="1" x14ac:dyDescent="0.25">
      <c r="A215" s="46" t="s">
        <v>152</v>
      </c>
      <c r="B215" s="142" t="str">
        <f>(IF(H139="Saleable area Loading :","We have considered Saleable area of Commercial as per our Calculation.","We considered Saleable area of Commercial as per Builder area Sheet."))</f>
        <v>We have considered Saleable area of Commercial as per our Calculation.</v>
      </c>
      <c r="C215" s="143"/>
      <c r="D215" s="143"/>
      <c r="E215" s="143"/>
      <c r="F215" s="143"/>
      <c r="G215" s="143"/>
      <c r="H215" s="144"/>
      <c r="T215" s="37"/>
    </row>
    <row r="216" spans="1:20" s="35" customFormat="1" x14ac:dyDescent="0.25">
      <c r="A216" s="46" t="s">
        <v>152</v>
      </c>
      <c r="B216" s="137" t="s">
        <v>119</v>
      </c>
      <c r="C216" s="138"/>
      <c r="D216" s="138"/>
      <c r="E216" s="138"/>
      <c r="F216" s="138"/>
      <c r="G216" s="138"/>
      <c r="H216" s="139"/>
      <c r="T216" s="37"/>
    </row>
    <row r="217" spans="1:20" s="35" customFormat="1" x14ac:dyDescent="0.25">
      <c r="A217" s="46" t="s">
        <v>152</v>
      </c>
      <c r="B217" s="137" t="s">
        <v>387</v>
      </c>
      <c r="C217" s="138"/>
      <c r="D217" s="138"/>
      <c r="E217" s="138"/>
      <c r="F217" s="138"/>
      <c r="G217" s="138"/>
      <c r="H217" s="139"/>
      <c r="T217" s="37"/>
    </row>
    <row r="218" spans="1:20" s="35" customFormat="1" x14ac:dyDescent="0.25">
      <c r="A218" s="46" t="s">
        <v>152</v>
      </c>
      <c r="B218" s="137" t="s">
        <v>151</v>
      </c>
      <c r="C218" s="138"/>
      <c r="D218" s="138"/>
      <c r="E218" s="138"/>
      <c r="F218" s="138"/>
      <c r="G218" s="138"/>
      <c r="H218" s="139"/>
    </row>
    <row r="219" spans="1:20" s="35" customFormat="1" x14ac:dyDescent="0.25">
      <c r="A219" s="46" t="s">
        <v>152</v>
      </c>
      <c r="B219" s="137" t="s">
        <v>120</v>
      </c>
      <c r="C219" s="138"/>
      <c r="D219" s="138"/>
      <c r="E219" s="138"/>
      <c r="F219" s="138"/>
      <c r="G219" s="138"/>
      <c r="H219" s="139"/>
    </row>
    <row r="220" spans="1:20" s="35" customFormat="1" ht="34.5" customHeight="1" x14ac:dyDescent="0.25">
      <c r="A220" s="46" t="s">
        <v>152</v>
      </c>
      <c r="B220" s="137" t="s">
        <v>153</v>
      </c>
      <c r="C220" s="138"/>
      <c r="D220" s="138"/>
      <c r="E220" s="138"/>
      <c r="F220" s="138"/>
      <c r="G220" s="138"/>
      <c r="H220" s="139"/>
    </row>
    <row r="221" spans="1:20" s="35" customFormat="1" x14ac:dyDescent="0.25">
      <c r="A221" s="46" t="s">
        <v>152</v>
      </c>
      <c r="B221" s="137" t="s">
        <v>121</v>
      </c>
      <c r="C221" s="138"/>
      <c r="D221" s="138"/>
      <c r="E221" s="138"/>
      <c r="F221" s="138"/>
      <c r="G221" s="138"/>
      <c r="H221" s="139"/>
    </row>
    <row r="222" spans="1:20" s="35" customFormat="1" ht="32.25" hidden="1" customHeight="1" x14ac:dyDescent="0.25">
      <c r="A222" s="46" t="s">
        <v>152</v>
      </c>
      <c r="B222" s="156" t="s">
        <v>178</v>
      </c>
      <c r="C222" s="157"/>
      <c r="D222" s="157"/>
      <c r="E222" s="157"/>
      <c r="F222" s="157"/>
      <c r="G222" s="157"/>
      <c r="H222" s="158"/>
    </row>
    <row r="223" spans="1:20" s="35" customFormat="1" hidden="1" x14ac:dyDescent="0.25">
      <c r="A223" s="46" t="s">
        <v>152</v>
      </c>
      <c r="B223" s="142" t="s">
        <v>385</v>
      </c>
      <c r="C223" s="143"/>
      <c r="D223" s="143"/>
      <c r="E223" s="143"/>
      <c r="F223" s="143"/>
      <c r="G223" s="143"/>
      <c r="H223" s="144"/>
    </row>
    <row r="224" spans="1:20" x14ac:dyDescent="0.25">
      <c r="A224" s="106" t="s">
        <v>57</v>
      </c>
      <c r="B224" s="106"/>
      <c r="C224" s="106"/>
      <c r="D224" s="106"/>
      <c r="E224" s="106"/>
      <c r="F224" s="106"/>
      <c r="G224" s="106"/>
      <c r="H224" s="106"/>
      <c r="T224" s="35"/>
    </row>
    <row r="225" spans="1:20" x14ac:dyDescent="0.25">
      <c r="A225" s="86" t="s">
        <v>58</v>
      </c>
      <c r="B225" s="86"/>
      <c r="C225" s="86"/>
      <c r="D225" s="86"/>
      <c r="E225" s="86"/>
      <c r="F225" s="86"/>
      <c r="G225" s="86"/>
      <c r="H225" s="86"/>
      <c r="T225" s="35"/>
    </row>
    <row r="226" spans="1:20" ht="15.75" customHeight="1" x14ac:dyDescent="0.25">
      <c r="A226" s="123" t="s">
        <v>59</v>
      </c>
      <c r="B226" s="123"/>
      <c r="C226" s="123"/>
      <c r="D226" s="123"/>
      <c r="E226" s="123"/>
      <c r="F226" s="123"/>
      <c r="G226" s="123"/>
      <c r="H226" s="123"/>
      <c r="T226" s="35"/>
    </row>
    <row r="227" spans="1:20" x14ac:dyDescent="0.25">
      <c r="A227" s="86" t="s">
        <v>60</v>
      </c>
      <c r="B227" s="86"/>
      <c r="C227" s="86"/>
      <c r="D227" s="86"/>
      <c r="E227" s="86"/>
      <c r="F227" s="86"/>
      <c r="G227" s="86"/>
      <c r="H227" s="86"/>
      <c r="T227" s="35"/>
    </row>
    <row r="228" spans="1:20" x14ac:dyDescent="0.25">
      <c r="A228" s="86" t="s">
        <v>61</v>
      </c>
      <c r="B228" s="86"/>
      <c r="C228" s="86"/>
      <c r="D228" s="86"/>
      <c r="E228" s="86"/>
      <c r="F228" s="86"/>
      <c r="G228" s="86"/>
      <c r="H228" s="86"/>
      <c r="T228" s="35"/>
    </row>
    <row r="229" spans="1:20" x14ac:dyDescent="0.25">
      <c r="A229" s="86" t="s">
        <v>122</v>
      </c>
      <c r="B229" s="86"/>
      <c r="C229" s="86"/>
      <c r="D229" s="86"/>
      <c r="E229" s="86"/>
      <c r="F229" s="86"/>
      <c r="G229" s="86"/>
      <c r="H229" s="86"/>
      <c r="T229" s="35"/>
    </row>
    <row r="230" spans="1:20" ht="33.950000000000003" customHeight="1" x14ac:dyDescent="0.25">
      <c r="A230" s="92" t="s">
        <v>123</v>
      </c>
      <c r="B230" s="92"/>
      <c r="C230" s="92"/>
      <c r="D230" s="92"/>
      <c r="E230" s="92"/>
      <c r="F230" s="92"/>
      <c r="G230" s="92"/>
      <c r="H230" s="92"/>
    </row>
    <row r="231" spans="1:20" x14ac:dyDescent="0.25">
      <c r="A231" s="175" t="s">
        <v>73</v>
      </c>
      <c r="B231" s="175"/>
      <c r="C231" s="175" t="s">
        <v>370</v>
      </c>
      <c r="D231" s="175"/>
      <c r="E231" s="175" t="s">
        <v>101</v>
      </c>
      <c r="F231" s="175"/>
      <c r="G231" s="175" t="s">
        <v>390</v>
      </c>
      <c r="H231" s="175"/>
    </row>
    <row r="232" spans="1:20" x14ac:dyDescent="0.25">
      <c r="A232" s="174" t="s">
        <v>75</v>
      </c>
      <c r="B232" s="174"/>
      <c r="C232" s="174"/>
      <c r="D232" s="174"/>
      <c r="E232" s="174"/>
      <c r="F232" s="174"/>
      <c r="G232" s="174"/>
      <c r="H232" s="174"/>
    </row>
    <row r="233" spans="1:20" x14ac:dyDescent="0.25">
      <c r="A233" s="174"/>
      <c r="B233" s="174"/>
      <c r="C233" s="174"/>
      <c r="D233" s="174"/>
      <c r="E233" s="174"/>
      <c r="F233" s="174"/>
      <c r="G233" s="174"/>
      <c r="H233" s="174"/>
    </row>
    <row r="234" spans="1:20" x14ac:dyDescent="0.25">
      <c r="A234" s="174"/>
      <c r="B234" s="174"/>
      <c r="C234" s="174"/>
      <c r="D234" s="174"/>
      <c r="E234" s="174"/>
      <c r="F234" s="174"/>
      <c r="G234" s="174"/>
      <c r="H234" s="174"/>
    </row>
    <row r="235" spans="1:20" x14ac:dyDescent="0.25">
      <c r="A235" s="174"/>
      <c r="B235" s="174"/>
      <c r="C235" s="174"/>
      <c r="D235" s="174"/>
      <c r="E235" s="174"/>
      <c r="F235" s="174"/>
      <c r="G235" s="174"/>
      <c r="H235" s="174"/>
    </row>
    <row r="236" spans="1:20" x14ac:dyDescent="0.25">
      <c r="A236" s="38" t="s">
        <v>62</v>
      </c>
      <c r="B236" s="39"/>
      <c r="C236" s="39"/>
      <c r="D236" s="38" t="str">
        <f>E9</f>
        <v>Elita D3</v>
      </c>
      <c r="F236" s="39"/>
      <c r="G236" s="39"/>
      <c r="H236" s="39"/>
    </row>
    <row r="237" spans="1:20" x14ac:dyDescent="0.25">
      <c r="A237" s="39"/>
      <c r="B237" s="39"/>
      <c r="C237" s="39"/>
      <c r="D237" s="39"/>
      <c r="E237" s="39"/>
      <c r="F237" s="39"/>
      <c r="G237" s="39"/>
      <c r="H237" s="39"/>
    </row>
    <row r="238" spans="1:20" x14ac:dyDescent="0.25">
      <c r="A238" s="39"/>
      <c r="B238" s="39"/>
      <c r="C238" s="39"/>
      <c r="D238" s="39"/>
      <c r="E238" s="39"/>
      <c r="F238" s="39"/>
      <c r="G238" s="39"/>
      <c r="H238" s="39"/>
    </row>
    <row r="239" spans="1:20" ht="15" customHeight="1" x14ac:dyDescent="0.25"/>
    <row r="269" hidden="1" x14ac:dyDescent="0.25"/>
    <row r="270" hidden="1" x14ac:dyDescent="0.25"/>
    <row r="273" spans="1:1" x14ac:dyDescent="0.25">
      <c r="A273" s="41" t="s">
        <v>163</v>
      </c>
    </row>
    <row r="315" spans="1:1" x14ac:dyDescent="0.25">
      <c r="A315" s="41" t="s">
        <v>63</v>
      </c>
    </row>
  </sheetData>
  <mergeCells count="391">
    <mergeCell ref="I213:N213"/>
    <mergeCell ref="A157:B157"/>
    <mergeCell ref="A141:H141"/>
    <mergeCell ref="A153:H153"/>
    <mergeCell ref="A182:H182"/>
    <mergeCell ref="A173:H173"/>
    <mergeCell ref="A174:B174"/>
    <mergeCell ref="A175:B175"/>
    <mergeCell ref="A176:B176"/>
    <mergeCell ref="A177:B177"/>
    <mergeCell ref="A178:B178"/>
    <mergeCell ref="A179:B179"/>
    <mergeCell ref="A180:B180"/>
    <mergeCell ref="A181:B181"/>
    <mergeCell ref="C181:H181"/>
    <mergeCell ref="A164:H164"/>
    <mergeCell ref="A165:B165"/>
    <mergeCell ref="A166:B166"/>
    <mergeCell ref="A167:B167"/>
    <mergeCell ref="A168:B168"/>
    <mergeCell ref="A169:B169"/>
    <mergeCell ref="A170:B170"/>
    <mergeCell ref="A171:B171"/>
    <mergeCell ref="A172:B172"/>
    <mergeCell ref="A156:B156"/>
    <mergeCell ref="L148:M148"/>
    <mergeCell ref="A149:B149"/>
    <mergeCell ref="L149:M149"/>
    <mergeCell ref="A154:H154"/>
    <mergeCell ref="A155:H155"/>
    <mergeCell ref="L155:M155"/>
    <mergeCell ref="B223:H223"/>
    <mergeCell ref="B220:H220"/>
    <mergeCell ref="A203:B203"/>
    <mergeCell ref="A192:B192"/>
    <mergeCell ref="L188:M188"/>
    <mergeCell ref="A193:B193"/>
    <mergeCell ref="A190:B190"/>
    <mergeCell ref="A191:B191"/>
    <mergeCell ref="A201:B201"/>
    <mergeCell ref="L187:M187"/>
    <mergeCell ref="L184:M184"/>
    <mergeCell ref="A185:B185"/>
    <mergeCell ref="L185:M185"/>
    <mergeCell ref="A186:B186"/>
    <mergeCell ref="L186:M186"/>
    <mergeCell ref="A187:B187"/>
    <mergeCell ref="A158:B158"/>
    <mergeCell ref="A159:B159"/>
    <mergeCell ref="A49:B49"/>
    <mergeCell ref="C49:H49"/>
    <mergeCell ref="B218:H218"/>
    <mergeCell ref="A106:B106"/>
    <mergeCell ref="A107:B107"/>
    <mergeCell ref="G91:H100"/>
    <mergeCell ref="A92:B92"/>
    <mergeCell ref="A93:B93"/>
    <mergeCell ref="A94:B94"/>
    <mergeCell ref="F117:H117"/>
    <mergeCell ref="A117:E117"/>
    <mergeCell ref="D139:D140"/>
    <mergeCell ref="A119:E119"/>
    <mergeCell ref="A110:B110"/>
    <mergeCell ref="A112:B112"/>
    <mergeCell ref="A113:B113"/>
    <mergeCell ref="A118:E118"/>
    <mergeCell ref="A115:E115"/>
    <mergeCell ref="F119:H119"/>
    <mergeCell ref="G104:H104"/>
    <mergeCell ref="A103:B103"/>
    <mergeCell ref="G139:G140"/>
    <mergeCell ref="A202:B202"/>
    <mergeCell ref="A79:B79"/>
    <mergeCell ref="A40:B40"/>
    <mergeCell ref="C40:H40"/>
    <mergeCell ref="F139:F140"/>
    <mergeCell ref="C130:D130"/>
    <mergeCell ref="E130:F130"/>
    <mergeCell ref="B139:B140"/>
    <mergeCell ref="A139:A140"/>
    <mergeCell ref="C151:C152"/>
    <mergeCell ref="G151:G152"/>
    <mergeCell ref="G136:H136"/>
    <mergeCell ref="C55:H55"/>
    <mergeCell ref="A76:B76"/>
    <mergeCell ref="A75:B75"/>
    <mergeCell ref="A73:B73"/>
    <mergeCell ref="C73:H73"/>
    <mergeCell ref="A81:B81"/>
    <mergeCell ref="A68:C68"/>
    <mergeCell ref="D68:H68"/>
    <mergeCell ref="C75:H75"/>
    <mergeCell ref="A78:B78"/>
    <mergeCell ref="A80:B80"/>
    <mergeCell ref="E76:F76"/>
    <mergeCell ref="A69:C69"/>
    <mergeCell ref="D69:H69"/>
    <mergeCell ref="A39:B39"/>
    <mergeCell ref="C39:H39"/>
    <mergeCell ref="A46:D46"/>
    <mergeCell ref="L147:M147"/>
    <mergeCell ref="L146:M146"/>
    <mergeCell ref="L145:M145"/>
    <mergeCell ref="L144:M144"/>
    <mergeCell ref="A84:B84"/>
    <mergeCell ref="C134:D134"/>
    <mergeCell ref="E134:F134"/>
    <mergeCell ref="G134:H134"/>
    <mergeCell ref="A116:E116"/>
    <mergeCell ref="A101:B101"/>
    <mergeCell ref="C101:H101"/>
    <mergeCell ref="A143:H143"/>
    <mergeCell ref="E139:E140"/>
    <mergeCell ref="A91:B91"/>
    <mergeCell ref="A47:D47"/>
    <mergeCell ref="A48:H48"/>
    <mergeCell ref="D64:H64"/>
    <mergeCell ref="A64:C64"/>
    <mergeCell ref="A83:B83"/>
    <mergeCell ref="C89:H89"/>
    <mergeCell ref="A45:D45"/>
    <mergeCell ref="A38:H38"/>
    <mergeCell ref="A37:B37"/>
    <mergeCell ref="C37:E37"/>
    <mergeCell ref="G105:H114"/>
    <mergeCell ref="A42:D42"/>
    <mergeCell ref="E42:H42"/>
    <mergeCell ref="A41:H41"/>
    <mergeCell ref="A66:C66"/>
    <mergeCell ref="A67:C67"/>
    <mergeCell ref="D66:H66"/>
    <mergeCell ref="E77:F86"/>
    <mergeCell ref="G77:H86"/>
    <mergeCell ref="A85:B85"/>
    <mergeCell ref="A86:B86"/>
    <mergeCell ref="D67:H67"/>
    <mergeCell ref="A44:D44"/>
    <mergeCell ref="E44:H44"/>
    <mergeCell ref="E45:H45"/>
    <mergeCell ref="E46:H46"/>
    <mergeCell ref="A90:B90"/>
    <mergeCell ref="E47:H47"/>
    <mergeCell ref="C57:H57"/>
    <mergeCell ref="C59:H59"/>
    <mergeCell ref="A89:B89"/>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32:H235"/>
    <mergeCell ref="A231:B231"/>
    <mergeCell ref="E231:F231"/>
    <mergeCell ref="C231:D231"/>
    <mergeCell ref="G231:H231"/>
    <mergeCell ref="A128:H128"/>
    <mergeCell ref="A126:E126"/>
    <mergeCell ref="F126:H126"/>
    <mergeCell ref="A127:E127"/>
    <mergeCell ref="F127:H127"/>
    <mergeCell ref="A188:H188"/>
    <mergeCell ref="A134:B134"/>
    <mergeCell ref="A197:B197"/>
    <mergeCell ref="A130:B130"/>
    <mergeCell ref="A227:H227"/>
    <mergeCell ref="A132:H132"/>
    <mergeCell ref="A230:H230"/>
    <mergeCell ref="A228:H228"/>
    <mergeCell ref="A135:B135"/>
    <mergeCell ref="E135:F135"/>
    <mergeCell ref="G135:H135"/>
    <mergeCell ref="E131:F131"/>
    <mergeCell ref="G131:H131"/>
    <mergeCell ref="A131:B131"/>
    <mergeCell ref="E136:F136"/>
    <mergeCell ref="B221:H221"/>
    <mergeCell ref="B219:H219"/>
    <mergeCell ref="A72:C72"/>
    <mergeCell ref="D72:H72"/>
    <mergeCell ref="A70:C70"/>
    <mergeCell ref="D71:H71"/>
    <mergeCell ref="A77:B77"/>
    <mergeCell ref="G76:H76"/>
    <mergeCell ref="A120:E120"/>
    <mergeCell ref="A100:B100"/>
    <mergeCell ref="A105:B105"/>
    <mergeCell ref="C103:H103"/>
    <mergeCell ref="A104:B104"/>
    <mergeCell ref="A125:E125"/>
    <mergeCell ref="C131:D131"/>
    <mergeCell ref="A142:H142"/>
    <mergeCell ref="A148:B148"/>
    <mergeCell ref="A160:B160"/>
    <mergeCell ref="A161:B161"/>
    <mergeCell ref="A162:B162"/>
    <mergeCell ref="A163:B163"/>
    <mergeCell ref="C156:H157"/>
    <mergeCell ref="C163:H163"/>
    <mergeCell ref="A99:B99"/>
    <mergeCell ref="E104:F104"/>
    <mergeCell ref="E105:F114"/>
    <mergeCell ref="A224:H224"/>
    <mergeCell ref="G133:H133"/>
    <mergeCell ref="A199:B199"/>
    <mergeCell ref="C139:C140"/>
    <mergeCell ref="B151:B152"/>
    <mergeCell ref="A225:H225"/>
    <mergeCell ref="F115:H115"/>
    <mergeCell ref="F120:H120"/>
    <mergeCell ref="A184:B184"/>
    <mergeCell ref="A147:B147"/>
    <mergeCell ref="A146:B146"/>
    <mergeCell ref="A150:H150"/>
    <mergeCell ref="E133:F133"/>
    <mergeCell ref="A137:H137"/>
    <mergeCell ref="A151:A152"/>
    <mergeCell ref="F151:F152"/>
    <mergeCell ref="A195:B195"/>
    <mergeCell ref="A144:B144"/>
    <mergeCell ref="B222:H222"/>
    <mergeCell ref="A136:B136"/>
    <mergeCell ref="C136:D136"/>
    <mergeCell ref="A194:H194"/>
    <mergeCell ref="C52:E52"/>
    <mergeCell ref="A65:C65"/>
    <mergeCell ref="D65:H65"/>
    <mergeCell ref="B215:H215"/>
    <mergeCell ref="A209:B209"/>
    <mergeCell ref="A206:H206"/>
    <mergeCell ref="A207:B207"/>
    <mergeCell ref="A208:B208"/>
    <mergeCell ref="A211:B211"/>
    <mergeCell ref="A210:B210"/>
    <mergeCell ref="B213:H213"/>
    <mergeCell ref="B214:H214"/>
    <mergeCell ref="E90:F90"/>
    <mergeCell ref="G90:H90"/>
    <mergeCell ref="A121:E121"/>
    <mergeCell ref="F121:H121"/>
    <mergeCell ref="A123:E123"/>
    <mergeCell ref="F118:H118"/>
    <mergeCell ref="A122:E122"/>
    <mergeCell ref="A108:B108"/>
    <mergeCell ref="A109:B109"/>
    <mergeCell ref="E91:F100"/>
    <mergeCell ref="A98:B98"/>
    <mergeCell ref="A229:H229"/>
    <mergeCell ref="A226:H226"/>
    <mergeCell ref="A189:B189"/>
    <mergeCell ref="A133:B133"/>
    <mergeCell ref="D151:D152"/>
    <mergeCell ref="E151:E152"/>
    <mergeCell ref="A95:B95"/>
    <mergeCell ref="A96:B96"/>
    <mergeCell ref="A97:B97"/>
    <mergeCell ref="A111:B111"/>
    <mergeCell ref="F116:H116"/>
    <mergeCell ref="G130:H130"/>
    <mergeCell ref="A114:B114"/>
    <mergeCell ref="F122:H122"/>
    <mergeCell ref="C129:D129"/>
    <mergeCell ref="C135:D135"/>
    <mergeCell ref="A183:H183"/>
    <mergeCell ref="A198:B198"/>
    <mergeCell ref="B216:H216"/>
    <mergeCell ref="B217:H217"/>
    <mergeCell ref="A212:H212"/>
    <mergeCell ref="A204:B204"/>
    <mergeCell ref="A205:B205"/>
    <mergeCell ref="A200:H20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1:E51"/>
    <mergeCell ref="I15:P15"/>
    <mergeCell ref="F125:H125"/>
    <mergeCell ref="F123:H123"/>
    <mergeCell ref="A196:B196"/>
    <mergeCell ref="A138:H138"/>
    <mergeCell ref="G129:H129"/>
    <mergeCell ref="A124:E124"/>
    <mergeCell ref="A145:B145"/>
    <mergeCell ref="A60:B60"/>
    <mergeCell ref="C60:E60"/>
    <mergeCell ref="D62:H62"/>
    <mergeCell ref="F124:H124"/>
    <mergeCell ref="E129:F129"/>
    <mergeCell ref="A129:B129"/>
    <mergeCell ref="C133:D133"/>
    <mergeCell ref="D70:H70"/>
    <mergeCell ref="A71:C71"/>
    <mergeCell ref="E43:H43"/>
    <mergeCell ref="A43:D43"/>
    <mergeCell ref="A87:B87"/>
    <mergeCell ref="C87:H87"/>
    <mergeCell ref="A82:B82"/>
    <mergeCell ref="A50:B50"/>
    <mergeCell ref="C50:E50"/>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39:E140" xr:uid="{00000000-0002-0000-0000-000003000000}">
      <formula1>"Attached Loft area,Attached Otla area,Attached Mezzanine area"</formula1>
    </dataValidation>
    <dataValidation type="list" allowBlank="1" showInputMessage="1" showErrorMessage="1" sqref="G231:H231" xr:uid="{00000000-0002-0000-0000-000004000000}">
      <formula1>"Gaurav Panchal,Kunal Kadam,Pranita Mhatre,Shruti Fule,Pooja Kawale,Neha Dhokale,Shruti Tathare, Hitakshi Mhatre, Sachin Sawant"</formula1>
    </dataValidation>
    <dataValidation type="list" allowBlank="1" showInputMessage="1" showErrorMessage="1" sqref="F115:H115" xr:uid="{00000000-0002-0000-0000-000005000000}">
      <formula1>"On Saleable Area,On Builtup Area,On Carpet Area,On Plot Area"</formula1>
    </dataValidation>
    <dataValidation type="list" allowBlank="1" showInputMessage="1" showErrorMessage="1" sqref="F126:H126" xr:uid="{00000000-0002-0000-0000-000006000000}">
      <formula1>OFFSET($S$115,1,MATCH($G20,$S$115:$W$115,0)-1,15,1)</formula1>
    </dataValidation>
    <dataValidation type="list" allowBlank="1" showInputMessage="1" showErrorMessage="1" sqref="B139:B140" xr:uid="{00000000-0002-0000-0000-000007000000}">
      <formula1>"Shop No. (Sale Plan),Sale / Rehab,Sale / Mhada"</formula1>
    </dataValidation>
    <dataValidation type="list" allowBlank="1" showInputMessage="1" showErrorMessage="1" sqref="B151:B152"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51:E152" xr:uid="{00000000-0002-0000-0000-00000B000000}">
      <formula1>"Fungible area,Balcony Area,Chajja Area,Cornice Area,AP Area,WS Area"</formula1>
    </dataValidation>
    <dataValidation type="list" allowBlank="1" showInputMessage="1" showErrorMessage="1" sqref="H140 H152"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whole" allowBlank="1" showInputMessage="1" showErrorMessage="1" sqref="C82" xr:uid="{00000000-0002-0000-0000-00000F000000}">
      <formula1>0</formula1>
      <formula2>H74</formula2>
    </dataValidation>
    <dataValidation type="list" allowBlank="1" showInputMessage="1" showErrorMessage="1" sqref="H139 H151" xr:uid="{00000000-0002-0000-0000-000010000000}">
      <formula1>"Saleable area Loading :,Builder Saleable Area"</formula1>
    </dataValidation>
    <dataValidation type="list" allowBlank="1" showInputMessage="1" showErrorMessage="1" sqref="D139:D140 D151:D152" xr:uid="{00000000-0002-0000-0000-000011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2" max="16383" man="1"/>
    <brk id="211" max="16383" man="1"/>
    <brk id="235" max="16383" man="1"/>
    <brk id="272" max="16383" man="1"/>
    <brk id="31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B15" sqref="B15"/>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18" t="s">
        <v>102</v>
      </c>
      <c r="C3" s="218"/>
      <c r="D3" s="218"/>
      <c r="E3" s="218"/>
      <c r="F3" s="218"/>
      <c r="G3" s="218"/>
      <c r="H3" s="218"/>
    </row>
    <row r="4" spans="1:9" x14ac:dyDescent="0.25">
      <c r="A4" s="2"/>
      <c r="B4" s="3" t="s">
        <v>103</v>
      </c>
      <c r="C4" s="3" t="s">
        <v>104</v>
      </c>
      <c r="D4" s="3" t="s">
        <v>65</v>
      </c>
      <c r="E4" s="3" t="s">
        <v>105</v>
      </c>
      <c r="F4" s="3" t="s">
        <v>111</v>
      </c>
      <c r="G4" s="3" t="s">
        <v>112</v>
      </c>
      <c r="H4" s="3" t="s">
        <v>106</v>
      </c>
    </row>
    <row r="5" spans="1:9" ht="15" customHeight="1" x14ac:dyDescent="0.25">
      <c r="A5" s="2"/>
      <c r="B5" s="5" t="s">
        <v>107</v>
      </c>
      <c r="C5" s="6"/>
      <c r="D5" s="5"/>
      <c r="E5" s="5"/>
      <c r="F5" s="7">
        <f>E5*1.6</f>
        <v>0</v>
      </c>
      <c r="G5" s="7" t="e">
        <f>H5/F5</f>
        <v>#DIV/0!</v>
      </c>
      <c r="H5" s="8"/>
    </row>
    <row r="6" spans="1:9" x14ac:dyDescent="0.25">
      <c r="A6" s="2"/>
      <c r="B6" s="5" t="s">
        <v>107</v>
      </c>
      <c r="C6" s="9"/>
      <c r="D6" s="5"/>
      <c r="E6" s="5"/>
      <c r="F6" s="7">
        <f t="shared" ref="F6:F11" si="0">E6*1.6</f>
        <v>0</v>
      </c>
      <c r="G6" s="7" t="e">
        <f t="shared" ref="G6:G11" si="1">H6/F6</f>
        <v>#DIV/0!</v>
      </c>
      <c r="H6" s="8"/>
    </row>
    <row r="7" spans="1:9" ht="15" customHeight="1" x14ac:dyDescent="0.25">
      <c r="A7" s="2"/>
      <c r="B7" s="5" t="s">
        <v>107</v>
      </c>
      <c r="C7" s="6"/>
      <c r="D7" s="5"/>
      <c r="E7" s="5"/>
      <c r="F7" s="7">
        <f t="shared" si="0"/>
        <v>0</v>
      </c>
      <c r="G7" s="7" t="e">
        <f t="shared" si="1"/>
        <v>#DIV/0!</v>
      </c>
      <c r="H7" s="8"/>
    </row>
    <row r="8" spans="1:9" x14ac:dyDescent="0.25">
      <c r="A8" s="2"/>
      <c r="B8" s="5" t="s">
        <v>107</v>
      </c>
      <c r="C8" s="9"/>
      <c r="D8" s="5"/>
      <c r="E8" s="5"/>
      <c r="F8" s="7">
        <f t="shared" si="0"/>
        <v>0</v>
      </c>
      <c r="G8" s="7" t="e">
        <f t="shared" si="1"/>
        <v>#DIV/0!</v>
      </c>
      <c r="H8" s="8"/>
    </row>
    <row r="9" spans="1:9" ht="15" customHeight="1" x14ac:dyDescent="0.25">
      <c r="A9" s="2"/>
      <c r="B9" s="5" t="s">
        <v>107</v>
      </c>
      <c r="C9" s="9"/>
      <c r="D9" s="5"/>
      <c r="E9" s="5"/>
      <c r="F9" s="7">
        <f t="shared" si="0"/>
        <v>0</v>
      </c>
      <c r="G9" s="7" t="e">
        <f t="shared" si="1"/>
        <v>#DIV/0!</v>
      </c>
      <c r="H9" s="8"/>
    </row>
    <row r="10" spans="1:9" ht="15" customHeight="1" x14ac:dyDescent="0.25">
      <c r="A10" s="2"/>
      <c r="B10" s="5" t="s">
        <v>108</v>
      </c>
      <c r="C10" s="6"/>
      <c r="D10" s="5"/>
      <c r="E10" s="5"/>
      <c r="F10" s="7">
        <f t="shared" si="0"/>
        <v>0</v>
      </c>
      <c r="G10" s="7" t="e">
        <f t="shared" si="1"/>
        <v>#DIV/0!</v>
      </c>
      <c r="H10" s="8"/>
    </row>
    <row r="11" spans="1:9" ht="15" customHeight="1" x14ac:dyDescent="0.25">
      <c r="A11" s="2"/>
      <c r="B11" s="5" t="s">
        <v>108</v>
      </c>
      <c r="C11" s="6"/>
      <c r="D11" s="5"/>
      <c r="E11" s="5"/>
      <c r="F11" s="7">
        <f t="shared" si="0"/>
        <v>0</v>
      </c>
      <c r="G11" s="7" t="e">
        <f t="shared" si="1"/>
        <v>#DIV/0!</v>
      </c>
      <c r="H11" s="8"/>
    </row>
    <row r="12" spans="1:9" ht="15" customHeight="1" x14ac:dyDescent="0.25">
      <c r="A12" s="2"/>
      <c r="B12" s="10" t="s">
        <v>109</v>
      </c>
      <c r="C12" s="5"/>
      <c r="D12" s="5"/>
      <c r="E12" s="5"/>
      <c r="F12" s="5"/>
      <c r="G12" s="11" t="e">
        <f>AVERAGE(G5:G11)</f>
        <v>#DIV/0!</v>
      </c>
      <c r="H12" s="5"/>
    </row>
    <row r="13" spans="1:9" ht="15" customHeight="1" x14ac:dyDescent="0.25">
      <c r="B13" s="10" t="s">
        <v>110</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11</v>
      </c>
      <c r="D4" s="54" t="s">
        <v>179</v>
      </c>
      <c r="E4" s="54" t="s">
        <v>189</v>
      </c>
      <c r="F4" s="54" t="s">
        <v>172</v>
      </c>
      <c r="G4" s="54" t="s">
        <v>194</v>
      </c>
      <c r="H4" s="54" t="s">
        <v>212</v>
      </c>
      <c r="J4" t="s">
        <v>194</v>
      </c>
      <c r="K4" t="s">
        <v>210</v>
      </c>
    </row>
    <row r="5" spans="2:11" x14ac:dyDescent="0.25">
      <c r="B5" s="53"/>
      <c r="C5" s="53"/>
      <c r="D5" s="54" t="s">
        <v>180</v>
      </c>
      <c r="E5" s="54" t="s">
        <v>187</v>
      </c>
      <c r="F5" s="54" t="s">
        <v>209</v>
      </c>
      <c r="G5" s="54" t="s">
        <v>195</v>
      </c>
      <c r="H5" s="54" t="s">
        <v>213</v>
      </c>
    </row>
    <row r="6" spans="2:11" x14ac:dyDescent="0.25">
      <c r="B6" s="53"/>
      <c r="C6" s="53"/>
      <c r="D6" s="54" t="s">
        <v>181</v>
      </c>
      <c r="E6" s="54" t="s">
        <v>188</v>
      </c>
      <c r="F6" s="54" t="s">
        <v>210</v>
      </c>
      <c r="G6" s="54" t="s">
        <v>196</v>
      </c>
      <c r="H6" s="54" t="s">
        <v>226</v>
      </c>
    </row>
    <row r="7" spans="2:11" x14ac:dyDescent="0.25">
      <c r="B7" s="53"/>
      <c r="C7" s="53"/>
      <c r="D7" s="54" t="s">
        <v>182</v>
      </c>
      <c r="E7" s="54" t="s">
        <v>190</v>
      </c>
      <c r="F7" s="54" t="s">
        <v>211</v>
      </c>
      <c r="G7" s="54" t="s">
        <v>197</v>
      </c>
      <c r="H7" s="54" t="s">
        <v>214</v>
      </c>
    </row>
    <row r="8" spans="2:11" x14ac:dyDescent="0.25">
      <c r="B8" s="53"/>
      <c r="C8" s="53"/>
      <c r="D8" s="54" t="s">
        <v>183</v>
      </c>
      <c r="E8" s="54" t="s">
        <v>191</v>
      </c>
      <c r="F8" s="54"/>
      <c r="G8" s="54" t="s">
        <v>198</v>
      </c>
      <c r="H8" s="54" t="s">
        <v>215</v>
      </c>
    </row>
    <row r="9" spans="2:11" x14ac:dyDescent="0.25">
      <c r="B9" s="53"/>
      <c r="C9" s="53"/>
      <c r="D9" s="54" t="s">
        <v>184</v>
      </c>
      <c r="E9" s="54" t="s">
        <v>189</v>
      </c>
      <c r="F9" s="54"/>
      <c r="G9" s="54" t="s">
        <v>199</v>
      </c>
      <c r="H9" s="54" t="s">
        <v>216</v>
      </c>
    </row>
    <row r="10" spans="2:11" x14ac:dyDescent="0.25">
      <c r="B10" s="53"/>
      <c r="C10" s="53"/>
      <c r="D10" s="54" t="s">
        <v>185</v>
      </c>
      <c r="E10" s="54" t="s">
        <v>192</v>
      </c>
      <c r="F10" s="54"/>
      <c r="G10" s="54" t="s">
        <v>200</v>
      </c>
      <c r="H10" s="54" t="s">
        <v>217</v>
      </c>
    </row>
    <row r="11" spans="2:11" x14ac:dyDescent="0.25">
      <c r="B11" s="53"/>
      <c r="C11" s="53"/>
      <c r="D11" s="54" t="s">
        <v>186</v>
      </c>
      <c r="E11" s="54" t="s">
        <v>193</v>
      </c>
      <c r="F11" s="54"/>
      <c r="G11" s="54" t="s">
        <v>201</v>
      </c>
      <c r="H11" s="54" t="s">
        <v>218</v>
      </c>
    </row>
    <row r="12" spans="2:11" x14ac:dyDescent="0.25">
      <c r="B12" s="53"/>
      <c r="C12" s="53"/>
      <c r="D12" s="54"/>
      <c r="E12" s="54"/>
      <c r="F12" s="54"/>
      <c r="G12" s="54" t="s">
        <v>202</v>
      </c>
      <c r="H12" s="54" t="s">
        <v>219</v>
      </c>
    </row>
    <row r="13" spans="2:11" x14ac:dyDescent="0.25">
      <c r="B13" s="53"/>
      <c r="C13" s="53"/>
      <c r="D13" s="54"/>
      <c r="E13" s="54"/>
      <c r="F13" s="54"/>
      <c r="G13" s="54" t="s">
        <v>203</v>
      </c>
      <c r="H13" s="54" t="s">
        <v>220</v>
      </c>
    </row>
    <row r="14" spans="2:11" x14ac:dyDescent="0.25">
      <c r="B14" s="53"/>
      <c r="C14" s="53"/>
      <c r="D14" s="54"/>
      <c r="E14" s="54"/>
      <c r="F14" s="54"/>
      <c r="G14" s="54" t="s">
        <v>204</v>
      </c>
      <c r="H14" s="54" t="s">
        <v>221</v>
      </c>
    </row>
    <row r="15" spans="2:11" x14ac:dyDescent="0.25">
      <c r="B15" s="53"/>
      <c r="C15" s="53"/>
      <c r="D15" s="54"/>
      <c r="E15" s="54"/>
      <c r="F15" s="54"/>
      <c r="G15" s="54" t="s">
        <v>205</v>
      </c>
      <c r="H15" s="54" t="s">
        <v>222</v>
      </c>
    </row>
    <row r="16" spans="2:11" x14ac:dyDescent="0.25">
      <c r="B16" s="53"/>
      <c r="C16" s="53"/>
      <c r="D16" s="54"/>
      <c r="E16" s="54"/>
      <c r="F16" s="54"/>
      <c r="G16" s="54" t="s">
        <v>206</v>
      </c>
      <c r="H16" s="54" t="s">
        <v>223</v>
      </c>
    </row>
    <row r="17" spans="2:8" x14ac:dyDescent="0.25">
      <c r="B17" s="53"/>
      <c r="C17" s="53"/>
      <c r="D17" s="54"/>
      <c r="E17" s="54"/>
      <c r="F17" s="54"/>
      <c r="G17" s="54" t="s">
        <v>207</v>
      </c>
      <c r="H17" s="54" t="s">
        <v>224</v>
      </c>
    </row>
    <row r="18" spans="2:8" x14ac:dyDescent="0.25">
      <c r="B18" s="53"/>
      <c r="C18" s="53"/>
      <c r="D18" s="54"/>
      <c r="E18" s="54"/>
      <c r="F18" s="54"/>
      <c r="G18" s="54" t="s">
        <v>208</v>
      </c>
      <c r="H18" s="54" t="s">
        <v>225</v>
      </c>
    </row>
    <row r="24" spans="2:8" x14ac:dyDescent="0.25">
      <c r="C24" t="s">
        <v>169</v>
      </c>
    </row>
    <row r="25" spans="2:8" x14ac:dyDescent="0.25">
      <c r="C25" t="s">
        <v>227</v>
      </c>
    </row>
    <row r="26" spans="2:8" x14ac:dyDescent="0.25">
      <c r="C26" t="s">
        <v>228</v>
      </c>
    </row>
    <row r="27" spans="2:8" x14ac:dyDescent="0.25">
      <c r="C27" t="s">
        <v>229</v>
      </c>
    </row>
    <row r="28" spans="2:8" x14ac:dyDescent="0.25">
      <c r="C28" t="s">
        <v>230</v>
      </c>
    </row>
    <row r="29" spans="2:8" x14ac:dyDescent="0.25">
      <c r="C29" t="s">
        <v>231</v>
      </c>
    </row>
    <row r="30" spans="2:8" x14ac:dyDescent="0.25">
      <c r="C30" t="s">
        <v>169</v>
      </c>
    </row>
    <row r="33" spans="3:11" x14ac:dyDescent="0.25">
      <c r="J33">
        <v>1</v>
      </c>
      <c r="K33">
        <v>2</v>
      </c>
    </row>
    <row r="34" spans="3:11" x14ac:dyDescent="0.25">
      <c r="C34" s="55" t="s">
        <v>237</v>
      </c>
      <c r="D34" s="54" t="s">
        <v>235</v>
      </c>
      <c r="E34" s="54" t="s">
        <v>240</v>
      </c>
      <c r="F34" s="54" t="s">
        <v>238</v>
      </c>
      <c r="G34" s="54" t="s">
        <v>239</v>
      </c>
      <c r="H34" s="54" t="s">
        <v>241</v>
      </c>
      <c r="J34" t="s">
        <v>194</v>
      </c>
      <c r="K34" t="s">
        <v>210</v>
      </c>
    </row>
    <row r="35" spans="3:11" x14ac:dyDescent="0.25">
      <c r="C35" s="53" t="s">
        <v>236</v>
      </c>
      <c r="D35" s="54" t="s">
        <v>170</v>
      </c>
      <c r="E35" s="54" t="s">
        <v>245</v>
      </c>
      <c r="F35" s="54" t="s">
        <v>247</v>
      </c>
      <c r="G35" s="54" t="s">
        <v>249</v>
      </c>
      <c r="H35" s="54"/>
    </row>
    <row r="36" spans="3:11" x14ac:dyDescent="0.25">
      <c r="C36" s="53"/>
      <c r="D36" s="54" t="s">
        <v>242</v>
      </c>
      <c r="E36" s="54" t="s">
        <v>246</v>
      </c>
      <c r="F36" s="54" t="s">
        <v>248</v>
      </c>
      <c r="G36" s="54" t="s">
        <v>250</v>
      </c>
      <c r="H36" s="54"/>
    </row>
    <row r="37" spans="3:11" x14ac:dyDescent="0.25">
      <c r="C37" s="53"/>
      <c r="D37" s="54" t="s">
        <v>243</v>
      </c>
      <c r="E37" s="54"/>
      <c r="F37" s="54"/>
      <c r="G37" s="54" t="s">
        <v>251</v>
      </c>
      <c r="H37" s="54"/>
    </row>
    <row r="38" spans="3:11" x14ac:dyDescent="0.25">
      <c r="C38" s="53"/>
      <c r="D38" s="54" t="s">
        <v>244</v>
      </c>
      <c r="E38" s="54"/>
      <c r="F38" s="54"/>
      <c r="G38" s="54" t="s">
        <v>251</v>
      </c>
      <c r="H38" s="54"/>
    </row>
    <row r="39" spans="3:11" x14ac:dyDescent="0.25">
      <c r="C39" s="53"/>
      <c r="D39" s="54"/>
      <c r="E39" s="54"/>
      <c r="F39" s="54"/>
      <c r="G39" s="54" t="s">
        <v>252</v>
      </c>
      <c r="H39" s="54"/>
    </row>
    <row r="40" spans="3:11" x14ac:dyDescent="0.25">
      <c r="C40" s="53"/>
      <c r="D40" s="54"/>
      <c r="E40" s="54"/>
      <c r="F40" s="54"/>
      <c r="G40" s="54" t="s">
        <v>253</v>
      </c>
      <c r="H40" s="54"/>
    </row>
    <row r="41" spans="3:11" x14ac:dyDescent="0.25">
      <c r="C41" s="53"/>
      <c r="D41" s="54"/>
      <c r="E41" s="54"/>
      <c r="F41" s="54"/>
      <c r="G41" s="54"/>
      <c r="H41" s="54"/>
    </row>
    <row r="43" spans="3:11" x14ac:dyDescent="0.25">
      <c r="C43" t="s">
        <v>254</v>
      </c>
    </row>
    <row r="44" spans="3:11" x14ac:dyDescent="0.25">
      <c r="C44" t="s">
        <v>172</v>
      </c>
      <c r="D44" t="s">
        <v>255</v>
      </c>
    </row>
    <row r="45" spans="3:11" x14ac:dyDescent="0.25">
      <c r="D45" t="s">
        <v>256</v>
      </c>
    </row>
    <row r="46" spans="3:11" x14ac:dyDescent="0.25">
      <c r="D46" t="s">
        <v>257</v>
      </c>
    </row>
    <row r="47" spans="3:11" x14ac:dyDescent="0.25">
      <c r="D47" t="s">
        <v>258</v>
      </c>
    </row>
    <row r="48" spans="3:11" x14ac:dyDescent="0.25">
      <c r="D48" t="s">
        <v>259</v>
      </c>
    </row>
    <row r="49" spans="3:4" x14ac:dyDescent="0.25">
      <c r="C49" t="s">
        <v>179</v>
      </c>
      <c r="D49" t="s">
        <v>260</v>
      </c>
    </row>
    <row r="50" spans="3:4" x14ac:dyDescent="0.25">
      <c r="D50" t="s">
        <v>261</v>
      </c>
    </row>
    <row r="51" spans="3:4" x14ac:dyDescent="0.25">
      <c r="D51" t="s">
        <v>262</v>
      </c>
    </row>
    <row r="52" spans="3:4" x14ac:dyDescent="0.25">
      <c r="D52" t="s">
        <v>265</v>
      </c>
    </row>
    <row r="53" spans="3:4" x14ac:dyDescent="0.25">
      <c r="D53" t="s">
        <v>263</v>
      </c>
    </row>
    <row r="54" spans="3:4" x14ac:dyDescent="0.25">
      <c r="D54" t="s">
        <v>264</v>
      </c>
    </row>
    <row r="55" spans="3:4" x14ac:dyDescent="0.25">
      <c r="D55" t="s">
        <v>266</v>
      </c>
    </row>
    <row r="56" spans="3:4" x14ac:dyDescent="0.25">
      <c r="D56" t="s">
        <v>267</v>
      </c>
    </row>
    <row r="57" spans="3:4" x14ac:dyDescent="0.25">
      <c r="D57" t="s">
        <v>268</v>
      </c>
    </row>
    <row r="58" spans="3:4" x14ac:dyDescent="0.25">
      <c r="D58" t="s">
        <v>270</v>
      </c>
    </row>
    <row r="59" spans="3:4" x14ac:dyDescent="0.25">
      <c r="D59" t="s">
        <v>279</v>
      </c>
    </row>
    <row r="60" spans="3:4" x14ac:dyDescent="0.25">
      <c r="C60" t="s">
        <v>194</v>
      </c>
      <c r="D60" t="s">
        <v>271</v>
      </c>
    </row>
    <row r="61" spans="3:4" x14ac:dyDescent="0.25">
      <c r="D61" t="s">
        <v>269</v>
      </c>
    </row>
    <row r="62" spans="3:4" x14ac:dyDescent="0.25">
      <c r="D62" t="s">
        <v>259</v>
      </c>
    </row>
    <row r="63" spans="3:4" x14ac:dyDescent="0.25">
      <c r="D63" t="s">
        <v>272</v>
      </c>
    </row>
    <row r="64" spans="3:4" x14ac:dyDescent="0.25">
      <c r="D64" t="s">
        <v>273</v>
      </c>
    </row>
    <row r="65" spans="3:4" x14ac:dyDescent="0.25">
      <c r="D65" t="s">
        <v>274</v>
      </c>
    </row>
    <row r="66" spans="3:4" x14ac:dyDescent="0.25">
      <c r="D66" t="s">
        <v>275</v>
      </c>
    </row>
    <row r="67" spans="3:4" x14ac:dyDescent="0.25">
      <c r="C67" t="s">
        <v>189</v>
      </c>
      <c r="D67" t="s">
        <v>276</v>
      </c>
    </row>
    <row r="68" spans="3:4" x14ac:dyDescent="0.25">
      <c r="D68" t="s">
        <v>277</v>
      </c>
    </row>
    <row r="69" spans="3:4" x14ac:dyDescent="0.25">
      <c r="D69" t="s">
        <v>278</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workbookViewId="0">
      <selection activeCell="E24" sqref="E24"/>
    </sheetView>
  </sheetViews>
  <sheetFormatPr defaultRowHeight="15" x14ac:dyDescent="0.25"/>
  <cols>
    <col min="2" max="2" width="3" bestFit="1" customWidth="1"/>
    <col min="3" max="3" width="130" customWidth="1"/>
  </cols>
  <sheetData>
    <row r="2" spans="2:3" ht="15" customHeight="1" x14ac:dyDescent="0.25">
      <c r="B2" s="56">
        <v>1</v>
      </c>
      <c r="C2" s="58" t="s">
        <v>285</v>
      </c>
    </row>
    <row r="3" spans="2:3" x14ac:dyDescent="0.25">
      <c r="B3" s="56">
        <v>2</v>
      </c>
      <c r="C3" s="57" t="s">
        <v>286</v>
      </c>
    </row>
    <row r="4" spans="2:3" x14ac:dyDescent="0.25">
      <c r="B4" s="56">
        <v>3</v>
      </c>
      <c r="C4" s="56" t="s">
        <v>287</v>
      </c>
    </row>
    <row r="5" spans="2:3" ht="30" x14ac:dyDescent="0.25">
      <c r="B5" s="56">
        <v>4</v>
      </c>
      <c r="C5" s="57" t="s">
        <v>288</v>
      </c>
    </row>
    <row r="6" spans="2:3" x14ac:dyDescent="0.25">
      <c r="B6" s="56">
        <v>5</v>
      </c>
      <c r="C6" s="56" t="s">
        <v>289</v>
      </c>
    </row>
    <row r="7" spans="2:3" ht="30" x14ac:dyDescent="0.25">
      <c r="B7" s="56">
        <v>6</v>
      </c>
      <c r="C7" s="57" t="s">
        <v>290</v>
      </c>
    </row>
    <row r="8" spans="2:3" ht="90" x14ac:dyDescent="0.25">
      <c r="B8" s="56">
        <v>7</v>
      </c>
      <c r="C8" s="57" t="s">
        <v>291</v>
      </c>
    </row>
    <row r="9" spans="2:3" x14ac:dyDescent="0.25">
      <c r="B9" s="56">
        <v>8</v>
      </c>
      <c r="C9" s="56" t="s">
        <v>292</v>
      </c>
    </row>
    <row r="10" spans="2:3" x14ac:dyDescent="0.25">
      <c r="B10" s="56">
        <v>9</v>
      </c>
      <c r="C10" s="56" t="s">
        <v>293</v>
      </c>
    </row>
    <row r="11" spans="2:3" x14ac:dyDescent="0.25">
      <c r="B11" s="56">
        <v>10</v>
      </c>
      <c r="C11" s="56" t="s">
        <v>294</v>
      </c>
    </row>
    <row r="12" spans="2:3" x14ac:dyDescent="0.25">
      <c r="B12" s="56">
        <v>11</v>
      </c>
      <c r="C12" s="56" t="s">
        <v>295</v>
      </c>
    </row>
    <row r="13" spans="2:3" x14ac:dyDescent="0.25">
      <c r="B13" s="56">
        <v>12</v>
      </c>
      <c r="C13" s="56" t="s">
        <v>296</v>
      </c>
    </row>
    <row r="14" spans="2:3" x14ac:dyDescent="0.25">
      <c r="B14" s="56">
        <v>13</v>
      </c>
      <c r="C14" s="56" t="s">
        <v>297</v>
      </c>
    </row>
    <row r="15" spans="2:3" x14ac:dyDescent="0.25">
      <c r="B15" s="56">
        <v>14</v>
      </c>
      <c r="C15" s="56" t="s">
        <v>287</v>
      </c>
    </row>
    <row r="16" spans="2:3" x14ac:dyDescent="0.25">
      <c r="B16" s="56">
        <v>15</v>
      </c>
      <c r="C16" s="56" t="s">
        <v>299</v>
      </c>
    </row>
    <row r="17" spans="2:3" ht="31.5" customHeight="1" x14ac:dyDescent="0.25">
      <c r="B17" s="61">
        <v>16</v>
      </c>
      <c r="C17" s="63" t="s">
        <v>300</v>
      </c>
    </row>
    <row r="18" spans="2:3" x14ac:dyDescent="0.25">
      <c r="B18" s="62">
        <v>17</v>
      </c>
      <c r="C18" s="63" t="s">
        <v>301</v>
      </c>
    </row>
    <row r="19" spans="2:3" x14ac:dyDescent="0.25">
      <c r="B19" s="61">
        <v>18</v>
      </c>
      <c r="C19" s="56" t="s">
        <v>302</v>
      </c>
    </row>
    <row r="20" spans="2:3" x14ac:dyDescent="0.25">
      <c r="B20" s="62">
        <v>19</v>
      </c>
      <c r="C20" s="56" t="s">
        <v>303</v>
      </c>
    </row>
    <row r="21" spans="2:3" x14ac:dyDescent="0.25">
      <c r="B21" s="56">
        <v>20</v>
      </c>
      <c r="C21" s="56" t="s">
        <v>304</v>
      </c>
    </row>
    <row r="22" spans="2:3" x14ac:dyDescent="0.25">
      <c r="B22" s="62">
        <v>21</v>
      </c>
      <c r="C22" s="56" t="s">
        <v>302</v>
      </c>
    </row>
    <row r="23" spans="2:3" s="72" customFormat="1" ht="29.25" customHeight="1" x14ac:dyDescent="0.25">
      <c r="B23" s="71">
        <v>22</v>
      </c>
      <c r="C23" s="58" t="s">
        <v>331</v>
      </c>
    </row>
    <row r="24" spans="2:3" s="72" customFormat="1" ht="30.75" customHeight="1" x14ac:dyDescent="0.25">
      <c r="B24" s="73">
        <v>23</v>
      </c>
      <c r="C24" s="58" t="s">
        <v>332</v>
      </c>
    </row>
    <row r="25" spans="2:3" x14ac:dyDescent="0.25">
      <c r="B25" s="56">
        <v>24</v>
      </c>
      <c r="C25" s="56"/>
    </row>
    <row r="26" spans="2:3" x14ac:dyDescent="0.25">
      <c r="B26" s="62">
        <v>25</v>
      </c>
      <c r="C26" s="56"/>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activeCell="G36" sqref="G36"/>
    </sheetView>
  </sheetViews>
  <sheetFormatPr defaultColWidth="9.140625" defaultRowHeight="15" x14ac:dyDescent="0.25"/>
  <cols>
    <col min="1" max="1" width="9.140625" style="53"/>
    <col min="2" max="2" width="12.28515625" style="53" customWidth="1"/>
    <col min="3" max="16384" width="9.140625" style="53"/>
  </cols>
  <sheetData>
    <row r="2" spans="1:12" x14ac:dyDescent="0.25">
      <c r="B2" s="65" t="s">
        <v>305</v>
      </c>
      <c r="C2" s="219"/>
      <c r="D2" s="219"/>
    </row>
    <row r="3" spans="1:12" x14ac:dyDescent="0.25">
      <c r="D3" s="66"/>
      <c r="E3" s="66"/>
      <c r="F3" s="66"/>
      <c r="G3" s="66"/>
      <c r="H3" s="66"/>
      <c r="I3" s="66"/>
    </row>
    <row r="4" spans="1:12" x14ac:dyDescent="0.25">
      <c r="A4" s="65" t="s">
        <v>65</v>
      </c>
      <c r="B4" s="67" t="s">
        <v>306</v>
      </c>
      <c r="C4" s="220" t="s">
        <v>307</v>
      </c>
      <c r="D4" s="220"/>
      <c r="E4" s="220"/>
      <c r="F4" s="67"/>
      <c r="G4" s="221" t="s">
        <v>308</v>
      </c>
      <c r="H4" s="221"/>
      <c r="I4" s="221"/>
      <c r="J4" s="222" t="s">
        <v>309</v>
      </c>
      <c r="K4" s="222"/>
      <c r="L4" s="222"/>
    </row>
    <row r="5" spans="1:12" x14ac:dyDescent="0.25">
      <c r="A5" s="65"/>
      <c r="B5" s="67"/>
      <c r="C5" s="67" t="s">
        <v>310</v>
      </c>
      <c r="D5" s="67" t="s">
        <v>311</v>
      </c>
      <c r="E5" s="67" t="s">
        <v>312</v>
      </c>
      <c r="F5" s="67"/>
      <c r="G5" s="67" t="s">
        <v>310</v>
      </c>
      <c r="H5" s="67" t="s">
        <v>311</v>
      </c>
      <c r="I5" s="67" t="s">
        <v>312</v>
      </c>
      <c r="J5" s="67" t="s">
        <v>310</v>
      </c>
      <c r="K5" s="67" t="s">
        <v>311</v>
      </c>
      <c r="L5" s="67" t="s">
        <v>312</v>
      </c>
    </row>
    <row r="6" spans="1:12" x14ac:dyDescent="0.25">
      <c r="B6" s="54" t="s">
        <v>313</v>
      </c>
      <c r="C6" s="54"/>
      <c r="D6" s="54"/>
      <c r="E6" s="54">
        <f>C6*D6</f>
        <v>0</v>
      </c>
      <c r="F6" s="54" t="s">
        <v>330</v>
      </c>
      <c r="G6" s="54"/>
      <c r="H6" s="54"/>
      <c r="I6" s="54">
        <f>G6*H6</f>
        <v>0</v>
      </c>
      <c r="J6" s="54"/>
      <c r="K6" s="54"/>
      <c r="L6" s="54">
        <f>J6*K6</f>
        <v>0</v>
      </c>
    </row>
    <row r="7" spans="1:12" x14ac:dyDescent="0.25">
      <c r="B7" s="54"/>
      <c r="C7" s="54"/>
      <c r="D7" s="54"/>
      <c r="E7" s="54">
        <f t="shared" ref="E7:E41" si="0">C7*D7</f>
        <v>0</v>
      </c>
      <c r="F7" s="54" t="s">
        <v>330</v>
      </c>
      <c r="G7" s="54"/>
      <c r="H7" s="54"/>
      <c r="I7" s="54">
        <f t="shared" ref="I7:I35" si="1">G7*H7</f>
        <v>0</v>
      </c>
      <c r="J7" s="54"/>
      <c r="K7" s="54"/>
      <c r="L7" s="54">
        <f t="shared" ref="L7:L35" si="2">J7*K7</f>
        <v>0</v>
      </c>
    </row>
    <row r="8" spans="1:12" x14ac:dyDescent="0.25">
      <c r="B8" s="54"/>
      <c r="C8" s="54"/>
      <c r="D8" s="54"/>
      <c r="E8" s="54">
        <f t="shared" si="0"/>
        <v>0</v>
      </c>
      <c r="F8" s="54"/>
      <c r="G8" s="54"/>
      <c r="H8" s="54"/>
      <c r="I8" s="54">
        <f t="shared" si="1"/>
        <v>0</v>
      </c>
      <c r="J8" s="54"/>
      <c r="K8" s="54"/>
      <c r="L8" s="54">
        <f t="shared" si="2"/>
        <v>0</v>
      </c>
    </row>
    <row r="9" spans="1:12" x14ac:dyDescent="0.25">
      <c r="B9" s="54"/>
      <c r="C9" s="54"/>
      <c r="D9" s="54"/>
      <c r="E9" s="54">
        <f t="shared" si="0"/>
        <v>0</v>
      </c>
      <c r="F9" s="54" t="s">
        <v>314</v>
      </c>
      <c r="G9" s="54"/>
      <c r="H9" s="54"/>
      <c r="I9" s="54">
        <f t="shared" si="1"/>
        <v>0</v>
      </c>
      <c r="J9" s="54"/>
      <c r="K9" s="54"/>
      <c r="L9" s="54">
        <f t="shared" si="2"/>
        <v>0</v>
      </c>
    </row>
    <row r="10" spans="1:12" x14ac:dyDescent="0.25">
      <c r="B10" s="54" t="s">
        <v>315</v>
      </c>
      <c r="C10" s="54"/>
      <c r="D10" s="54"/>
      <c r="E10" s="54">
        <f t="shared" si="0"/>
        <v>0</v>
      </c>
      <c r="F10" s="54" t="s">
        <v>314</v>
      </c>
      <c r="G10" s="54"/>
      <c r="H10" s="54"/>
      <c r="I10" s="54">
        <f t="shared" si="1"/>
        <v>0</v>
      </c>
      <c r="J10" s="54"/>
      <c r="K10" s="54"/>
      <c r="L10" s="54">
        <f t="shared" si="2"/>
        <v>0</v>
      </c>
    </row>
    <row r="11" spans="1:12" x14ac:dyDescent="0.25">
      <c r="B11" s="54"/>
      <c r="C11" s="54"/>
      <c r="D11" s="54"/>
      <c r="E11" s="54">
        <f t="shared" si="0"/>
        <v>0</v>
      </c>
      <c r="F11" s="54" t="s">
        <v>316</v>
      </c>
      <c r="G11" s="54"/>
      <c r="H11" s="54"/>
      <c r="I11" s="54">
        <f t="shared" si="1"/>
        <v>0</v>
      </c>
      <c r="J11" s="54"/>
      <c r="K11" s="54"/>
      <c r="L11" s="54">
        <f t="shared" si="2"/>
        <v>0</v>
      </c>
    </row>
    <row r="12" spans="1:12" x14ac:dyDescent="0.25">
      <c r="B12" s="54"/>
      <c r="C12" s="54"/>
      <c r="D12" s="54"/>
      <c r="E12" s="54">
        <f t="shared" si="0"/>
        <v>0</v>
      </c>
      <c r="F12" s="54"/>
      <c r="G12" s="54"/>
      <c r="H12" s="54"/>
      <c r="I12" s="54">
        <f t="shared" si="1"/>
        <v>0</v>
      </c>
      <c r="J12" s="54"/>
      <c r="K12" s="54"/>
      <c r="L12" s="54">
        <f t="shared" si="2"/>
        <v>0</v>
      </c>
    </row>
    <row r="13" spans="1:12" x14ac:dyDescent="0.25">
      <c r="B13" s="54"/>
      <c r="C13" s="54"/>
      <c r="D13" s="54"/>
      <c r="E13" s="54">
        <f t="shared" si="0"/>
        <v>0</v>
      </c>
      <c r="F13" s="54"/>
      <c r="G13" s="54"/>
      <c r="H13" s="54"/>
      <c r="I13" s="54">
        <f t="shared" si="1"/>
        <v>0</v>
      </c>
      <c r="J13" s="54"/>
      <c r="K13" s="54"/>
      <c r="L13" s="54">
        <f t="shared" si="2"/>
        <v>0</v>
      </c>
    </row>
    <row r="14" spans="1:12" x14ac:dyDescent="0.25">
      <c r="B14" s="54" t="s">
        <v>317</v>
      </c>
      <c r="C14" s="54"/>
      <c r="D14" s="54"/>
      <c r="E14" s="54">
        <f t="shared" si="0"/>
        <v>0</v>
      </c>
      <c r="F14" s="54" t="s">
        <v>314</v>
      </c>
      <c r="G14" s="54"/>
      <c r="H14" s="54"/>
      <c r="I14" s="54">
        <f t="shared" si="1"/>
        <v>0</v>
      </c>
      <c r="J14" s="54"/>
      <c r="K14" s="54"/>
      <c r="L14" s="54">
        <f t="shared" si="2"/>
        <v>0</v>
      </c>
    </row>
    <row r="15" spans="1:12" x14ac:dyDescent="0.25">
      <c r="B15" s="54"/>
      <c r="C15" s="54"/>
      <c r="D15" s="54"/>
      <c r="E15" s="54">
        <f t="shared" si="0"/>
        <v>0</v>
      </c>
      <c r="F15" s="54" t="s">
        <v>316</v>
      </c>
      <c r="G15" s="54"/>
      <c r="H15" s="54"/>
      <c r="I15" s="54">
        <f t="shared" si="1"/>
        <v>0</v>
      </c>
      <c r="J15" s="54"/>
      <c r="K15" s="54"/>
      <c r="L15" s="54">
        <f t="shared" si="2"/>
        <v>0</v>
      </c>
    </row>
    <row r="16" spans="1:12" x14ac:dyDescent="0.25">
      <c r="B16" s="54"/>
      <c r="C16" s="54"/>
      <c r="D16" s="54"/>
      <c r="E16" s="54">
        <f t="shared" si="0"/>
        <v>0</v>
      </c>
      <c r="F16" s="54"/>
      <c r="G16" s="54"/>
      <c r="H16" s="54"/>
      <c r="I16" s="54">
        <f t="shared" si="1"/>
        <v>0</v>
      </c>
      <c r="J16" s="54"/>
      <c r="K16" s="54"/>
      <c r="L16" s="54">
        <f t="shared" si="2"/>
        <v>0</v>
      </c>
    </row>
    <row r="17" spans="2:12" x14ac:dyDescent="0.25">
      <c r="B17" s="54"/>
      <c r="C17" s="54"/>
      <c r="D17" s="54"/>
      <c r="E17" s="54">
        <f t="shared" si="0"/>
        <v>0</v>
      </c>
      <c r="F17" s="54"/>
      <c r="G17" s="54"/>
      <c r="H17" s="54"/>
      <c r="I17" s="54">
        <f t="shared" si="1"/>
        <v>0</v>
      </c>
      <c r="J17" s="54"/>
      <c r="K17" s="54"/>
      <c r="L17" s="54">
        <f t="shared" si="2"/>
        <v>0</v>
      </c>
    </row>
    <row r="18" spans="2:12" x14ac:dyDescent="0.25">
      <c r="B18" s="54" t="s">
        <v>318</v>
      </c>
      <c r="C18" s="54"/>
      <c r="D18" s="54"/>
      <c r="E18" s="54">
        <f t="shared" si="0"/>
        <v>0</v>
      </c>
      <c r="F18" s="54" t="s">
        <v>314</v>
      </c>
      <c r="G18" s="54"/>
      <c r="H18" s="54"/>
      <c r="I18" s="54">
        <f t="shared" si="1"/>
        <v>0</v>
      </c>
      <c r="J18" s="54"/>
      <c r="K18" s="54"/>
      <c r="L18" s="54">
        <f t="shared" si="2"/>
        <v>0</v>
      </c>
    </row>
    <row r="19" spans="2:12" x14ac:dyDescent="0.25">
      <c r="B19" s="54"/>
      <c r="C19" s="54"/>
      <c r="D19" s="54"/>
      <c r="E19" s="54">
        <f t="shared" si="0"/>
        <v>0</v>
      </c>
      <c r="F19" s="54" t="s">
        <v>316</v>
      </c>
      <c r="G19" s="54"/>
      <c r="H19" s="54"/>
      <c r="I19" s="54">
        <f t="shared" si="1"/>
        <v>0</v>
      </c>
      <c r="J19" s="54"/>
      <c r="K19" s="54"/>
      <c r="L19" s="54">
        <f t="shared" si="2"/>
        <v>0</v>
      </c>
    </row>
    <row r="20" spans="2:12" x14ac:dyDescent="0.25">
      <c r="B20" s="54"/>
      <c r="C20" s="54"/>
      <c r="D20" s="54"/>
      <c r="E20" s="54">
        <f t="shared" si="0"/>
        <v>0</v>
      </c>
      <c r="F20" s="54"/>
      <c r="G20" s="54"/>
      <c r="H20" s="54"/>
      <c r="I20" s="54">
        <f t="shared" si="1"/>
        <v>0</v>
      </c>
      <c r="J20" s="54"/>
      <c r="K20" s="54"/>
      <c r="L20" s="54">
        <f t="shared" si="2"/>
        <v>0</v>
      </c>
    </row>
    <row r="21" spans="2:12" x14ac:dyDescent="0.25">
      <c r="B21" s="54" t="s">
        <v>319</v>
      </c>
      <c r="C21" s="54"/>
      <c r="D21" s="54"/>
      <c r="E21" s="54">
        <f t="shared" si="0"/>
        <v>0</v>
      </c>
      <c r="F21" s="54" t="s">
        <v>314</v>
      </c>
      <c r="G21" s="54"/>
      <c r="H21" s="54"/>
      <c r="I21" s="54">
        <f t="shared" si="1"/>
        <v>0</v>
      </c>
      <c r="J21" s="54"/>
      <c r="K21" s="54"/>
      <c r="L21" s="54">
        <f t="shared" si="2"/>
        <v>0</v>
      </c>
    </row>
    <row r="22" spans="2:12" x14ac:dyDescent="0.25">
      <c r="B22" s="54"/>
      <c r="C22" s="54"/>
      <c r="D22" s="54"/>
      <c r="E22" s="54">
        <f t="shared" si="0"/>
        <v>0</v>
      </c>
      <c r="F22" s="54" t="s">
        <v>316</v>
      </c>
      <c r="G22" s="54"/>
      <c r="H22" s="54"/>
      <c r="I22" s="54">
        <f t="shared" si="1"/>
        <v>0</v>
      </c>
      <c r="J22" s="54"/>
      <c r="K22" s="54"/>
      <c r="L22" s="54">
        <f t="shared" si="2"/>
        <v>0</v>
      </c>
    </row>
    <row r="23" spans="2:12" x14ac:dyDescent="0.25">
      <c r="B23" s="54"/>
      <c r="C23" s="54"/>
      <c r="D23" s="54"/>
      <c r="E23" s="54">
        <f t="shared" si="0"/>
        <v>0</v>
      </c>
      <c r="F23" s="54"/>
      <c r="G23" s="54"/>
      <c r="H23" s="54"/>
      <c r="I23" s="54">
        <f t="shared" si="1"/>
        <v>0</v>
      </c>
      <c r="J23" s="54"/>
      <c r="K23" s="54"/>
      <c r="L23" s="54">
        <f t="shared" si="2"/>
        <v>0</v>
      </c>
    </row>
    <row r="24" spans="2:12" x14ac:dyDescent="0.25">
      <c r="B24" s="54" t="s">
        <v>320</v>
      </c>
      <c r="C24" s="54"/>
      <c r="D24" s="54"/>
      <c r="E24" s="54">
        <f t="shared" si="0"/>
        <v>0</v>
      </c>
      <c r="F24" s="54" t="s">
        <v>321</v>
      </c>
      <c r="G24" s="54"/>
      <c r="H24" s="54"/>
      <c r="I24" s="54">
        <f t="shared" si="1"/>
        <v>0</v>
      </c>
      <c r="J24" s="54"/>
      <c r="K24" s="54"/>
      <c r="L24" s="54">
        <f t="shared" si="2"/>
        <v>0</v>
      </c>
    </row>
    <row r="25" spans="2:12" x14ac:dyDescent="0.25">
      <c r="B25" s="54"/>
      <c r="C25" s="54"/>
      <c r="D25" s="54"/>
      <c r="E25" s="54">
        <f t="shared" ref="E25:E27" si="3">C25*D25</f>
        <v>0</v>
      </c>
      <c r="F25" s="54" t="s">
        <v>321</v>
      </c>
      <c r="G25" s="54"/>
      <c r="H25" s="54"/>
      <c r="I25" s="54">
        <f t="shared" ref="I25:I27" si="4">G25*H25</f>
        <v>0</v>
      </c>
      <c r="J25" s="54"/>
      <c r="K25" s="54"/>
      <c r="L25" s="54">
        <f t="shared" ref="L25:L27" si="5">J25*K25</f>
        <v>0</v>
      </c>
    </row>
    <row r="26" spans="2:12" x14ac:dyDescent="0.25">
      <c r="B26" s="54"/>
      <c r="C26" s="54"/>
      <c r="D26" s="54"/>
      <c r="E26" s="54">
        <f t="shared" si="3"/>
        <v>0</v>
      </c>
      <c r="F26" s="54" t="s">
        <v>321</v>
      </c>
      <c r="G26" s="54"/>
      <c r="H26" s="54"/>
      <c r="I26" s="54">
        <f t="shared" si="4"/>
        <v>0</v>
      </c>
      <c r="J26" s="54"/>
      <c r="K26" s="54"/>
      <c r="L26" s="54">
        <f t="shared" si="5"/>
        <v>0</v>
      </c>
    </row>
    <row r="27" spans="2:12" x14ac:dyDescent="0.25">
      <c r="B27" s="54"/>
      <c r="C27" s="54"/>
      <c r="D27" s="54"/>
      <c r="E27" s="54">
        <f t="shared" si="3"/>
        <v>0</v>
      </c>
      <c r="F27" s="54" t="s">
        <v>321</v>
      </c>
      <c r="G27" s="54"/>
      <c r="H27" s="54"/>
      <c r="I27" s="54">
        <f t="shared" si="4"/>
        <v>0</v>
      </c>
      <c r="J27" s="54"/>
      <c r="K27" s="54"/>
      <c r="L27" s="54">
        <f t="shared" si="5"/>
        <v>0</v>
      </c>
    </row>
    <row r="28" spans="2:12" x14ac:dyDescent="0.25">
      <c r="B28" s="54" t="s">
        <v>322</v>
      </c>
      <c r="C28" s="54"/>
      <c r="D28" s="54"/>
      <c r="E28" s="54">
        <f t="shared" si="0"/>
        <v>0</v>
      </c>
      <c r="F28" s="54" t="s">
        <v>321</v>
      </c>
      <c r="G28" s="54"/>
      <c r="H28" s="54"/>
      <c r="I28" s="54">
        <f t="shared" si="1"/>
        <v>0</v>
      </c>
      <c r="J28" s="54"/>
      <c r="K28" s="54"/>
      <c r="L28" s="54">
        <f t="shared" si="2"/>
        <v>0</v>
      </c>
    </row>
    <row r="29" spans="2:12" x14ac:dyDescent="0.25">
      <c r="B29" s="54" t="s">
        <v>323</v>
      </c>
      <c r="C29" s="54"/>
      <c r="D29" s="54"/>
      <c r="E29" s="54">
        <f t="shared" si="0"/>
        <v>0</v>
      </c>
      <c r="F29" s="54" t="s">
        <v>321</v>
      </c>
      <c r="G29" s="54"/>
      <c r="H29" s="54"/>
      <c r="I29" s="54">
        <f t="shared" si="1"/>
        <v>0</v>
      </c>
      <c r="J29" s="54"/>
      <c r="K29" s="54"/>
      <c r="L29" s="54">
        <f t="shared" si="2"/>
        <v>0</v>
      </c>
    </row>
    <row r="30" spans="2:12" x14ac:dyDescent="0.25">
      <c r="B30" s="54" t="s">
        <v>327</v>
      </c>
      <c r="C30" s="54"/>
      <c r="D30" s="54"/>
      <c r="E30" s="54">
        <f t="shared" si="0"/>
        <v>0</v>
      </c>
      <c r="F30" s="54"/>
      <c r="G30" s="54"/>
      <c r="H30" s="54"/>
      <c r="I30" s="54">
        <f t="shared" si="1"/>
        <v>0</v>
      </c>
      <c r="J30" s="54"/>
      <c r="K30" s="54"/>
      <c r="L30" s="54">
        <f t="shared" si="2"/>
        <v>0</v>
      </c>
    </row>
    <row r="31" spans="2:12" x14ac:dyDescent="0.25">
      <c r="B31" s="54"/>
      <c r="C31" s="54"/>
      <c r="D31" s="54"/>
      <c r="E31" s="54">
        <f t="shared" ref="E31:E32" si="6">C31*D31</f>
        <v>0</v>
      </c>
      <c r="F31" s="54"/>
      <c r="G31" s="54"/>
      <c r="H31" s="54"/>
      <c r="I31" s="54">
        <f t="shared" ref="I31:I32" si="7">G31*H31</f>
        <v>0</v>
      </c>
      <c r="J31" s="54"/>
      <c r="K31" s="54"/>
      <c r="L31" s="54">
        <f t="shared" ref="L31:L32" si="8">J31*K31</f>
        <v>0</v>
      </c>
    </row>
    <row r="32" spans="2:12" x14ac:dyDescent="0.25">
      <c r="B32" s="54"/>
      <c r="C32" s="54"/>
      <c r="D32" s="54"/>
      <c r="E32" s="54">
        <f t="shared" si="6"/>
        <v>0</v>
      </c>
      <c r="F32" s="54"/>
      <c r="G32" s="54"/>
      <c r="H32" s="54"/>
      <c r="I32" s="54">
        <f t="shared" si="7"/>
        <v>0</v>
      </c>
      <c r="J32" s="54"/>
      <c r="K32" s="54"/>
      <c r="L32" s="54">
        <f t="shared" si="8"/>
        <v>0</v>
      </c>
    </row>
    <row r="33" spans="2:12" x14ac:dyDescent="0.25">
      <c r="B33" s="54" t="s">
        <v>324</v>
      </c>
      <c r="C33" s="54"/>
      <c r="D33" s="54"/>
      <c r="E33" s="54">
        <f t="shared" si="0"/>
        <v>0</v>
      </c>
      <c r="F33" s="54"/>
      <c r="G33" s="54"/>
      <c r="H33" s="54"/>
      <c r="I33" s="54">
        <f t="shared" si="1"/>
        <v>0</v>
      </c>
      <c r="J33" s="54"/>
      <c r="K33" s="54"/>
      <c r="L33" s="54">
        <f t="shared" si="2"/>
        <v>0</v>
      </c>
    </row>
    <row r="34" spans="2:12" x14ac:dyDescent="0.25">
      <c r="B34" s="54" t="s">
        <v>328</v>
      </c>
      <c r="C34" s="54"/>
      <c r="D34" s="54"/>
      <c r="E34" s="54">
        <f t="shared" si="0"/>
        <v>0</v>
      </c>
      <c r="F34" s="54"/>
      <c r="G34" s="54"/>
      <c r="H34" s="54"/>
      <c r="I34" s="54">
        <f t="shared" si="1"/>
        <v>0</v>
      </c>
      <c r="J34" s="54"/>
      <c r="K34" s="54"/>
      <c r="L34" s="54">
        <f t="shared" si="2"/>
        <v>0</v>
      </c>
    </row>
    <row r="35" spans="2:12" x14ac:dyDescent="0.25">
      <c r="B35" s="54" t="s">
        <v>325</v>
      </c>
      <c r="C35" s="54"/>
      <c r="D35" s="54"/>
      <c r="E35" s="54">
        <f t="shared" si="0"/>
        <v>0</v>
      </c>
      <c r="F35" s="54"/>
      <c r="G35" s="54"/>
      <c r="H35" s="54"/>
      <c r="I35" s="54">
        <f t="shared" si="1"/>
        <v>0</v>
      </c>
      <c r="J35" s="54"/>
      <c r="K35" s="54"/>
      <c r="L35" s="54">
        <f t="shared" si="2"/>
        <v>0</v>
      </c>
    </row>
    <row r="36" spans="2:12" x14ac:dyDescent="0.25">
      <c r="B36" s="54" t="s">
        <v>326</v>
      </c>
      <c r="C36" s="54"/>
      <c r="D36" s="54"/>
      <c r="E36" s="54">
        <f t="shared" si="0"/>
        <v>0</v>
      </c>
      <c r="F36" s="54"/>
      <c r="G36" s="54"/>
      <c r="H36" s="54"/>
      <c r="I36" s="54">
        <f>G36*H36</f>
        <v>0</v>
      </c>
      <c r="J36" s="54"/>
      <c r="K36" s="54"/>
      <c r="L36" s="54">
        <f>J36*K36</f>
        <v>0</v>
      </c>
    </row>
    <row r="37" spans="2:12" x14ac:dyDescent="0.25">
      <c r="B37" s="54"/>
      <c r="C37" s="54"/>
      <c r="D37" s="54"/>
      <c r="E37" s="54">
        <f t="shared" ref="E37:E38" si="9">C37*D37</f>
        <v>0</v>
      </c>
      <c r="F37" s="54"/>
      <c r="G37" s="54"/>
      <c r="H37" s="54"/>
      <c r="I37" s="54">
        <f t="shared" ref="I37:I38" si="10">G37*H37</f>
        <v>0</v>
      </c>
      <c r="J37" s="54"/>
      <c r="K37" s="54"/>
      <c r="L37" s="54">
        <f t="shared" ref="L37:L38" si="11">J37*K37</f>
        <v>0</v>
      </c>
    </row>
    <row r="38" spans="2:12" x14ac:dyDescent="0.25">
      <c r="B38" s="54" t="s">
        <v>329</v>
      </c>
      <c r="C38" s="54"/>
      <c r="D38" s="54"/>
      <c r="E38" s="54">
        <f t="shared" si="9"/>
        <v>0</v>
      </c>
      <c r="F38" s="54"/>
      <c r="G38" s="54"/>
      <c r="H38" s="54"/>
      <c r="I38" s="54">
        <f t="shared" si="10"/>
        <v>0</v>
      </c>
      <c r="J38" s="54"/>
      <c r="K38" s="54"/>
      <c r="L38" s="54">
        <f t="shared" si="11"/>
        <v>0</v>
      </c>
    </row>
    <row r="39" spans="2:12" x14ac:dyDescent="0.25">
      <c r="B39" s="54"/>
      <c r="C39" s="54"/>
      <c r="D39" s="54"/>
      <c r="E39" s="54">
        <f t="shared" si="0"/>
        <v>0</v>
      </c>
      <c r="F39" s="54"/>
      <c r="G39" s="54"/>
      <c r="H39" s="54"/>
      <c r="I39" s="54">
        <f>G39*H39</f>
        <v>0</v>
      </c>
      <c r="J39" s="54"/>
      <c r="K39" s="54"/>
      <c r="L39" s="54">
        <f>J39*K39</f>
        <v>0</v>
      </c>
    </row>
    <row r="40" spans="2:12" x14ac:dyDescent="0.25">
      <c r="B40" s="54"/>
      <c r="C40" s="54"/>
      <c r="D40" s="54"/>
      <c r="E40" s="54">
        <f t="shared" si="0"/>
        <v>0</v>
      </c>
      <c r="F40" s="54"/>
      <c r="G40" s="54"/>
      <c r="H40" s="54"/>
      <c r="I40" s="54">
        <f>G40*H40</f>
        <v>0</v>
      </c>
      <c r="J40" s="54"/>
      <c r="K40" s="54"/>
      <c r="L40" s="54">
        <f>J40*K40</f>
        <v>0</v>
      </c>
    </row>
    <row r="41" spans="2:12" x14ac:dyDescent="0.25">
      <c r="B41" s="54"/>
      <c r="C41" s="54"/>
      <c r="D41" s="54"/>
      <c r="E41" s="54">
        <f t="shared" si="0"/>
        <v>0</v>
      </c>
      <c r="F41" s="54"/>
      <c r="G41" s="54"/>
      <c r="H41" s="54"/>
      <c r="I41" s="54">
        <f>G41*H41</f>
        <v>0</v>
      </c>
      <c r="J41" s="54"/>
      <c r="K41" s="54"/>
      <c r="L41" s="54">
        <f>J41*K41</f>
        <v>0</v>
      </c>
    </row>
    <row r="42" spans="2:12" x14ac:dyDescent="0.25">
      <c r="B42" s="54" t="s">
        <v>149</v>
      </c>
      <c r="C42" s="54"/>
      <c r="D42" s="54">
        <f>E42*10.764</f>
        <v>0</v>
      </c>
      <c r="E42" s="70">
        <f>SUM(E6:E41)</f>
        <v>0</v>
      </c>
      <c r="F42" s="54"/>
      <c r="G42" s="54"/>
      <c r="H42" s="54">
        <f>I42*10.764</f>
        <v>0</v>
      </c>
      <c r="I42" s="69">
        <f>SUM(I6:I41)</f>
        <v>0</v>
      </c>
      <c r="J42" s="54"/>
      <c r="K42" s="54">
        <f>L42*10.764</f>
        <v>0</v>
      </c>
      <c r="L42" s="68">
        <f>SUM(L6:L41)</f>
        <v>0</v>
      </c>
    </row>
    <row r="44" spans="2:12" x14ac:dyDescent="0.25">
      <c r="D44" s="53">
        <f>D42+H42</f>
        <v>0</v>
      </c>
      <c r="E44" s="5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2025-07-16T07:32:13Z</cp:lastPrinted>
  <dcterms:created xsi:type="dcterms:W3CDTF">2019-07-16T09:29:46Z</dcterms:created>
  <dcterms:modified xsi:type="dcterms:W3CDTF">2025-07-16T07:33:20Z</dcterms:modified>
</cp:coreProperties>
</file>