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04044A00-25FF-46E3-BD27-545E7E72EA9E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135" i="1"/>
  <c r="D134" i="1"/>
  <c r="D131" i="1"/>
  <c r="D130" i="1"/>
  <c r="D129" i="1"/>
  <c r="D128" i="1"/>
  <c r="D122" i="1"/>
  <c r="D123" i="1"/>
  <c r="D124" i="1"/>
  <c r="D125" i="1"/>
  <c r="D126" i="1"/>
  <c r="D121" i="1"/>
  <c r="D120" i="1"/>
  <c r="D119" i="1"/>
  <c r="L126" i="1"/>
  <c r="K126" i="1"/>
  <c r="J126" i="1"/>
  <c r="L119" i="1"/>
  <c r="K119" i="1"/>
  <c r="C97" i="1" l="1"/>
  <c r="M126" i="1"/>
  <c r="Q126" i="1" s="1"/>
  <c r="M122" i="1"/>
  <c r="J122" i="1"/>
  <c r="L122" i="1" s="1"/>
  <c r="K122" i="1"/>
  <c r="J119" i="1"/>
  <c r="M119" i="1" s="1"/>
  <c r="M120" i="1" l="1"/>
  <c r="Q119" i="1"/>
  <c r="M123" i="1"/>
  <c r="J123" i="1"/>
  <c r="K123" i="1"/>
  <c r="L123" i="1" s="1"/>
  <c r="I123" i="1"/>
  <c r="I122" i="1"/>
  <c r="G119" i="1" l="1"/>
  <c r="P119" i="1"/>
  <c r="O119" i="1"/>
  <c r="F119" i="1" l="1"/>
  <c r="N119" i="1"/>
  <c r="F120" i="1"/>
  <c r="I120" i="1" s="1"/>
  <c r="O120" i="1"/>
  <c r="P120" i="1"/>
  <c r="P121" i="1" s="1"/>
  <c r="P122" i="1" s="1"/>
  <c r="P123" i="1" s="1"/>
  <c r="P124" i="1" s="1"/>
  <c r="P125" i="1" s="1"/>
  <c r="P126" i="1" s="1"/>
  <c r="F121" i="1"/>
  <c r="I121" i="1" s="1"/>
  <c r="F122" i="1"/>
  <c r="F123" i="1"/>
  <c r="F124" i="1"/>
  <c r="F125" i="1"/>
  <c r="F126" i="1"/>
  <c r="F134" i="1"/>
  <c r="F131" i="1"/>
  <c r="F128" i="1"/>
  <c r="F135" i="1"/>
  <c r="F130" i="1"/>
  <c r="F129" i="1"/>
  <c r="G128" i="1"/>
  <c r="D58" i="1"/>
  <c r="O128" i="1"/>
  <c r="P128" i="1"/>
  <c r="E97" i="1" l="1"/>
  <c r="G97" i="1"/>
  <c r="N120" i="1"/>
  <c r="O121" i="1"/>
  <c r="N128" i="1"/>
  <c r="O129" i="1"/>
  <c r="P129" i="1"/>
  <c r="P130" i="1" s="1"/>
  <c r="P131" i="1" s="1"/>
  <c r="P132" i="1" s="1"/>
  <c r="P133" i="1" s="1"/>
  <c r="P134" i="1" s="1"/>
  <c r="P135" i="1" s="1"/>
  <c r="C61" i="1"/>
  <c r="H62" i="1"/>
  <c r="C67" i="1" l="1"/>
  <c r="C68" i="1" s="1"/>
  <c r="D68" i="1" s="1"/>
  <c r="O122" i="1"/>
  <c r="N121" i="1"/>
  <c r="N129" i="1"/>
  <c r="O130" i="1"/>
  <c r="D73" i="1"/>
  <c r="J65" i="1"/>
  <c r="D74" i="1"/>
  <c r="D70" i="1"/>
  <c r="J66" i="1"/>
  <c r="C65" i="1" s="1"/>
  <c r="D65" i="1" s="1"/>
  <c r="J64" i="1"/>
  <c r="D69" i="1"/>
  <c r="D72" i="1"/>
  <c r="J67" i="1"/>
  <c r="J68" i="1" s="1"/>
  <c r="J73" i="1" s="1"/>
  <c r="D71" i="1"/>
  <c r="G46" i="1"/>
  <c r="D67" i="1" l="1"/>
  <c r="N122" i="1"/>
  <c r="O123" i="1"/>
  <c r="N130" i="1"/>
  <c r="O131" i="1"/>
  <c r="J69" i="1"/>
  <c r="J70" i="1" s="1"/>
  <c r="J71" i="1" s="1"/>
  <c r="J72" i="1" s="1"/>
  <c r="A138" i="1"/>
  <c r="A139" i="1" s="1"/>
  <c r="A140" i="1" l="1"/>
  <c r="A142" i="1" s="1"/>
  <c r="A143" i="1" s="1"/>
  <c r="A144" i="1" s="1"/>
  <c r="A141" i="1"/>
  <c r="O124" i="1"/>
  <c r="N123" i="1"/>
  <c r="N131" i="1"/>
  <c r="O132" i="1"/>
  <c r="J74" i="1"/>
  <c r="C66" i="1" s="1"/>
  <c r="N124" i="1" l="1"/>
  <c r="O125" i="1"/>
  <c r="N132" i="1"/>
  <c r="O133" i="1"/>
  <c r="E65" i="1"/>
  <c r="I61" i="1" s="1"/>
  <c r="C63" i="1" s="1"/>
  <c r="D66" i="1"/>
  <c r="G65" i="1"/>
  <c r="O126" i="1" l="1"/>
  <c r="N126" i="1" s="1"/>
  <c r="N125" i="1"/>
  <c r="N133" i="1"/>
  <c r="O134" i="1"/>
  <c r="N134" i="1" l="1"/>
  <c r="O135" i="1"/>
  <c r="N135" i="1" s="1"/>
  <c r="D60" i="1" l="1"/>
  <c r="F75" i="1" s="1"/>
  <c r="C13" i="1" l="1"/>
  <c r="E40" i="1" l="1"/>
  <c r="E41" i="1" s="1"/>
  <c r="F103" i="1" l="1"/>
  <c r="G103" i="1"/>
  <c r="G104" i="1" s="1"/>
  <c r="G105" i="1" s="1"/>
  <c r="G106" i="1" s="1"/>
  <c r="G107" i="1" s="1"/>
  <c r="G108" i="1" s="1"/>
  <c r="G109" i="1" s="1"/>
  <c r="A104" i="1"/>
  <c r="A105" i="1" s="1"/>
  <c r="A106" i="1" s="1"/>
  <c r="A107" i="1" s="1"/>
  <c r="A108" i="1" s="1"/>
  <c r="A109" i="1" s="1"/>
  <c r="F104" i="1"/>
  <c r="F105" i="1"/>
  <c r="F106" i="1"/>
  <c r="F107" i="1"/>
  <c r="F108" i="1"/>
  <c r="F109" i="1"/>
  <c r="E24" i="1" l="1"/>
  <c r="E22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57" i="1" l="1"/>
  <c r="F91" i="1"/>
  <c r="C46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<sst xmlns="http://schemas.openxmlformats.org/spreadsheetml/2006/main" count="332" uniqueCount="259">
  <si>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</si>
  <si>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</si>
  <si>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</si>
  <si>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</si>
  <si>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</si>
  <si>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</si>
  <si>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</si>
  <si>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</si>
  <si>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</si>
  <si>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</si>
  <si>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</si>
  <si>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</si>
  <si>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</si>
  <si>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</si>
  <si>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</si>
  <si>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</si>
  <si>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</si>
  <si>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</si>
  <si>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</si>
  <si>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</si>
  <si>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</si>
  <si>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</si>
  <si>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</si>
  <si>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</si>
  <si>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</si>
  <si>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</si>
  <si>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</si>
  <si>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</si>
  <si>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</si>
  <si>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</si>
  <si>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</si>
  <si>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</si>
  <si>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</si>
  <si>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</si>
  <si>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</si>
  <si>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</si>
  <si>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</si>
  <si>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</si>
  <si>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</si>
  <si>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</si>
  <si>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</si>
  <si>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</si>
  <si>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</si>
  <si>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</si>
  <si>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</si>
  <si>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</si>
  <si>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</si>
  <si>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</si>
  <si>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</si>
  <si>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</si>
  <si>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</si>
  <si>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</si>
  <si>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</si>
  <si>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</si>
  <si>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</si>
  <si>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</si>
  <si>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</si>
  <si>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</si>
  <si>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</si>
  <si>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</si>
  <si>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</si>
  <si>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</si>
  <si>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</si>
  <si>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</si>
  <si>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</si>
  <si>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</si>
  <si>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</si>
  <si>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</si>
  <si>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</si>
  <si>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</si>
  <si>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</si>
  <si>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</si>
  <si>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</si>
  <si>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</si>
  <si>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</si>
  <si>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</si>
  <si>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</si>
  <si>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</si>
  <si>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</si>
  <si>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</si>
  <si>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</si>
  <si>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</si>
  <si>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</si>
  <si>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</si>
  <si>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</si>
  <si>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</si>
  <si>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</si>
  <si>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</si>
  <si>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</si>
  <si>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</si>
  <si>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</si>
  <si>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</si>
  <si>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</si>
  <si>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</si>
  <si>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</si>
  <si>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</si>
  <si>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</si>
  <si>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</si>
  <si>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</si>
  <si>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</si>
  <si>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</si>
  <si>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</si>
  <si>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</si>
  <si>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</si>
  <si>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</si>
  <si>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</si>
  <si>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</si>
  <si>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</si>
  <si>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</si>
  <si>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</si>
  <si>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</si>
  <si>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</si>
  <si>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</si>
  <si>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</si>
  <si>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</si>
  <si>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</si>
  <si>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</si>
  <si>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</si>
  <si>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</si>
  <si>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</si>
  <si>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</si>
  <si>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</si>
  <si>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</si>
  <si>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</si>
  <si>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</si>
  <si>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</si>
  <si>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</si>
  <si>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</si>
  <si>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</si>
  <si>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</si>
  <si>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</si>
  <si>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</si>
  <si>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</si>
  <si>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</si>
  <si>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</si>
  <si>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</si>
  <si>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</si>
  <si>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</si>
  <si>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</si>
  <si>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</si>
  <si>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</si>
  <si>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</si>
  <si>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</si>
  <si>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</si>
  <si>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</si>
  <si>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</si>
  <si>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</si>
  <si>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</si>
  <si>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</si>
  <si>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</si>
  <si>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</si>
  <si>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</si>
  <si>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</si>
  <si>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</si>
  <si>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</si>
  <si>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</si>
  <si>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</si>
  <si>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</si>
  <si>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</si>
  <si>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</si>
  <si>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</si>
  <si>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</si>
  <si>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</si>
  <si>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</si>
  <si>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</si>
  <si>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</si>
  <si>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</si>
  <si>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</si>
  <si>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</si>
  <si>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</si>
  <si>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</si>
  <si>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</si>
  <si>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</si>
  <si>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</si>
  <si>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</si>
  <si>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</si>
  <si>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</si>
  <si>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</si>
  <si>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</si>
  <si>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</si>
  <si>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</si>
  <si>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</si>
  <si>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</si>
  <si>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</si>
  <si>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</si>
  <si>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</si>
  <si>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</si>
  <si>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</si>
  <si>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</si>
  <si>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</si>
  <si>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</si>
  <si>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</si>
  <si>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 xml:space="preserve">P51700007024
</t>
  </si>
  <si>
    <t>M/s.Aniline Construction Company Private Limited</t>
  </si>
  <si>
    <t>Parkwoods D5</t>
  </si>
  <si>
    <t>Thane</t>
  </si>
  <si>
    <t>165/1A(pt), 166/6A(pt), 166/8A(pt</t>
  </si>
  <si>
    <t>New DP Road</t>
  </si>
  <si>
    <t>Cosmos Jewels</t>
  </si>
  <si>
    <t>As per RERA - 30/09/2025</t>
  </si>
  <si>
    <t>Kavesar</t>
  </si>
  <si>
    <t>2nd Basement + Mezzanine Floor for Parking</t>
  </si>
  <si>
    <t>1st Basement + Mezzanine Floor for Parking</t>
  </si>
  <si>
    <t>Ground Floor for Parking</t>
  </si>
  <si>
    <t>Podium Floor for Parking</t>
  </si>
  <si>
    <t>2BHK</t>
  </si>
  <si>
    <t>701,..,2601</t>
  </si>
  <si>
    <t>702,..,2602</t>
  </si>
  <si>
    <t>703,..,2603</t>
  </si>
  <si>
    <t>704,..,2604</t>
  </si>
  <si>
    <t>705,..,2605</t>
  </si>
  <si>
    <t>706,..,2606</t>
  </si>
  <si>
    <t>707,..,2607</t>
  </si>
  <si>
    <t>708,..,2608</t>
  </si>
  <si>
    <t>101,..,2901</t>
  </si>
  <si>
    <t>102,..,2902</t>
  </si>
  <si>
    <t>103,..,2903</t>
  </si>
  <si>
    <t>104,..,2904</t>
  </si>
  <si>
    <t>105,..,2905</t>
  </si>
  <si>
    <t>106,..,2906</t>
  </si>
  <si>
    <t>107,..,2907</t>
  </si>
  <si>
    <t>108,..,2908</t>
  </si>
  <si>
    <t>We considered  Saleable area  as per our calculation.</t>
  </si>
  <si>
    <t>D-Mart</t>
  </si>
  <si>
    <t>U/C Building</t>
  </si>
  <si>
    <t>Open Plot</t>
  </si>
  <si>
    <t xml:space="preserve">Residential </t>
  </si>
  <si>
    <t>Approved Plans, CC</t>
  </si>
  <si>
    <t>11Km from Thane Railway Station</t>
  </si>
  <si>
    <t>Survey No</t>
  </si>
  <si>
    <t>We considered Gross carpet area = Net carpet + Enclose balcony + C.B Area + E.P Area.</t>
  </si>
  <si>
    <t>Godhbunder Road</t>
  </si>
  <si>
    <t>Building - D5</t>
  </si>
  <si>
    <t>1st to 6th, 8th to 10th, 12th to 15th, 17th to 20th, 22nd to 25th &amp; 27th to 30th, 32nd to 35th, 37th to 40th, 42nd to 45th, 47th to 50th, 52nd to 55th Floor</t>
  </si>
  <si>
    <t>7th, 11th, 16th, 21st, 26th, 31st, 36th, 41th, 46th &amp; 51th Floor(Part refuge Area)</t>
  </si>
  <si>
    <t>Refuge Area</t>
  </si>
  <si>
    <t>Valid Up to: Building D5 = Basement 2 + Mezzanine 2 + Basement 1 + Mezzanine 1 + Gr + Podium + 1st to 47th Floor</t>
  </si>
  <si>
    <t>Building D5 = Basement 2 + Mezzanine 2 + Basement 1 + Mezzanine 1 + Gr + Podium + 1st to 55th Floor</t>
  </si>
  <si>
    <t>Location Link</t>
  </si>
  <si>
    <t>Area Statement Details :</t>
  </si>
  <si>
    <t>https://goo.gl/maps/V2uop4PqV8Dzxcwq8</t>
  </si>
  <si>
    <t>Flat 01</t>
  </si>
  <si>
    <t>Flat 03</t>
  </si>
  <si>
    <t>Flats - 420</t>
  </si>
  <si>
    <t>We have updated latest approved floor plans (on 02/06/2022).</t>
  </si>
  <si>
    <t>Recommended rate should be considered as all inclusive rate if other charges are not mentioned. (Excluding GST &amp; other government Taxes)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</si>
  <si>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</si>
  <si>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11500 to 12200</t>
  </si>
  <si>
    <t>sanket</t>
  </si>
  <si>
    <t>8,00,000/-</t>
  </si>
  <si>
    <t>Floor Rise Rate Per Sq.ft from 25th Floor</t>
  </si>
  <si>
    <t>Development Charges (Above 46th Floor)</t>
  </si>
  <si>
    <t>S06/00270/17TMC/TD-DP/3802/21</t>
  </si>
  <si>
    <t>S06/0270/17TMC/TDD/3802/21</t>
  </si>
  <si>
    <t>Valid Up to: Building D5 = 48th to 55th Floor</t>
  </si>
  <si>
    <t>S06/0270/17TMC/TDD/4323/23</t>
  </si>
  <si>
    <t>Ajay Songare</t>
  </si>
  <si>
    <t>Gaurav Panchal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</si>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</sst>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4" borderId="0" xfId="1" applyFont="1" applyFill="1"/>
    <xf numFmtId="14" fontId="7" fillId="4" borderId="0" xfId="1" applyNumberFormat="1" applyFont="1" applyFill="1"/>
    <xf numFmtId="14" fontId="16" fillId="0" borderId="0" xfId="1" applyNumberFormat="1" applyFont="1"/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24" fillId="0" borderId="1" xfId="9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179299</xdr:colOff>
      <xdr:row>216</xdr:row>
      <xdr:rowOff>81355</xdr:rowOff>
    </xdr:from>
    <xdr:to>
      <xdr:col>6</xdr:col>
      <xdr:colOff>212911</xdr:colOff>
      <xdr:row>230</xdr:row>
      <xdr:rowOff>137472</xdr:rowOff>
    </xdr:to>
    <xdr:pic>
      <xdr:nvPicPr>
        <xdr:cNvPr id="6" name="Picture 5" descr="Map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7328" y="41005237"/>
          <a:ext cx="449355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168093</xdr:colOff>
      <xdr:row>201</xdr:row>
      <xdr:rowOff>22411</xdr:rowOff>
    </xdr:from>
    <xdr:to>
      <xdr:col>6</xdr:col>
      <xdr:colOff>201705</xdr:colOff>
      <xdr:row>215</xdr:row>
      <xdr:rowOff>78528</xdr:rowOff>
    </xdr:to>
    <xdr:pic>
      <xdr:nvPicPr>
        <xdr:cNvPr id="7" name="Picture 6" descr="A screenshot of a compute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6122" y="39052499"/>
          <a:ext cx="4504759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621030</xdr:colOff>
      <xdr:row>178</xdr:row>
      <xdr:rowOff>89535</xdr:rowOff>
    </xdr:from>
    <xdr:to>
      <xdr:col>21</xdr:col>
      <xdr:colOff>283845</xdr:colOff>
      <xdr:row>192</xdr:row>
      <xdr:rowOff>124239</xdr:rowOff>
    </xdr:to>
    <xdr:pic>
      <xdr:nvPicPr>
        <xdr:cNvPr id="8" name="Picture 7" descr="https://vsjcllp.vsjadon.com/upload/insp-214517-1525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88190" y="33968055"/>
          <a:ext cx="2162175" cy="28083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40005</xdr:colOff>
      <xdr:row>157</xdr:row>
      <xdr:rowOff>60960</xdr:rowOff>
    </xdr:from>
    <xdr:to>
      <xdr:col>16</xdr:col>
      <xdr:colOff>141565</xdr:colOff>
      <xdr:row>177</xdr:row>
      <xdr:rowOff>182880</xdr:rowOff>
    </xdr:to>
    <xdr:pic>
      <xdr:nvPicPr>
        <xdr:cNvPr id="9" name="Picture 8" descr="https://vsjcllp.vsjadon.com/upload/insp-214517-84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4325" y="29786580"/>
          <a:ext cx="3149560" cy="40767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249555</xdr:colOff>
      <xdr:row>157</xdr:row>
      <xdr:rowOff>60960</xdr:rowOff>
    </xdr:from>
    <xdr:to>
      <xdr:col>21</xdr:col>
      <xdr:colOff>290155</xdr:colOff>
      <xdr:row>177</xdr:row>
      <xdr:rowOff>182880</xdr:rowOff>
    </xdr:to>
    <xdr:pic>
      <xdr:nvPicPr>
        <xdr:cNvPr id="11" name="Picture 10" descr="https://vsjcllp.vsjadon.com/upload/insp-214517-845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91875" y="29786580"/>
          <a:ext cx="3164800" cy="40767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278130</xdr:colOff>
      <xdr:row>178</xdr:row>
      <xdr:rowOff>94296</xdr:rowOff>
    </xdr:from>
    <xdr:to>
      <xdr:col>17</xdr:col>
      <xdr:colOff>492350</xdr:colOff>
      <xdr:row>192</xdr:row>
      <xdr:rowOff>128999</xdr:rowOff>
    </xdr:to>
    <xdr:pic>
      <xdr:nvPicPr>
        <xdr:cNvPr id="14" name="Picture 13" descr="https://vsjcllp.vsjadon.com/upload/insp-214517-849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2450" y="33972816"/>
          <a:ext cx="3887060" cy="280838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137160</xdr:colOff>
      <xdr:row>150</xdr:row>
      <xdr:rowOff>207645</xdr:rowOff>
    </xdr:from>
    <xdr:to>
      <xdr:col>20</xdr:col>
      <xdr:colOff>558043</xdr:colOff>
      <xdr:row>182</xdr:row>
      <xdr:rowOff>126841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B7D2DAF-C14D-94C5-0DBF-105E4FE82199}"/>
            </a:ext>
          </a:extLst>
        </xdr:cNvPr>
        <xdr:cNvGrpSpPr/>
      </xdr:nvGrpSpPr>
      <xdr:grpSpPr>
        <a:xfrm>
          <a:off x="7823835" y="28773120"/>
          <a:ext cx="5821558" cy="6558121"/>
          <a:chOff x="247412" y="167640"/>
          <a:chExt cx="5970148" cy="649906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14AF20F4-0E99-647C-9D0C-48126A77E3A9}"/>
              </a:ext>
            </a:extLst>
          </xdr:cNvPr>
          <xdr:cNvGrpSpPr/>
        </xdr:nvGrpSpPr>
        <xdr:grpSpPr>
          <a:xfrm>
            <a:off x="513595" y="4146706"/>
            <a:ext cx="5437783" cy="2520000"/>
            <a:chOff x="534568" y="4146706"/>
            <a:chExt cx="5437783" cy="252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29A725F4-C3A7-41A4-6BA7-712FE59E37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4568" y="4146706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66EF13E-C23B-B191-94C1-ACAD00FA49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84320" y="41467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5199B4E-4847-FB3E-685C-82C0C6C88559}"/>
              </a:ext>
            </a:extLst>
          </xdr:cNvPr>
          <xdr:cNvGrpSpPr/>
        </xdr:nvGrpSpPr>
        <xdr:grpSpPr>
          <a:xfrm>
            <a:off x="247412" y="167640"/>
            <a:ext cx="5970148" cy="3844005"/>
            <a:chOff x="247412" y="167640"/>
            <a:chExt cx="5970148" cy="3844005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7BC2C065-E691-8B31-127E-37EE6C3010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37560" y="16764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6C9029D5-30AA-D668-8B73-34EB4422D2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7412" y="16764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276224</xdr:colOff>
      <xdr:row>157</xdr:row>
      <xdr:rowOff>142874</xdr:rowOff>
    </xdr:from>
    <xdr:to>
      <xdr:col>7</xdr:col>
      <xdr:colOff>609599</xdr:colOff>
      <xdr:row>190</xdr:row>
      <xdr:rowOff>114300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25C898D6-FF0A-4B96-B7CC-B63E3C8A5BC7}"/>
            </a:ext>
          </a:extLst>
        </xdr:cNvPr>
        <xdr:cNvGrpSpPr/>
      </xdr:nvGrpSpPr>
      <xdr:grpSpPr>
        <a:xfrm>
          <a:off x="276224" y="30356174"/>
          <a:ext cx="6029325" cy="6562726"/>
          <a:chOff x="847165" y="251012"/>
          <a:chExt cx="5009304" cy="5610148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8ED8A690-A741-4F26-9193-D879F03FFE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165" y="25101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98925F43-A992-4624-A208-07D7894FE3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5101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F9209DE-3DA2-4FFE-8A3F-261FB56C80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2888" y="370116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A9FD5340-F7F6-41C6-B3F4-84F0437E41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37687" y="370116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2uop4PqV8Dzxcwq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00"/>
  <sheetViews>
    <sheetView tabSelected="1" view="pageBreakPreview" zoomScaleNormal="100" zoomScaleSheetLayoutView="100" zoomScalePageLayoutView="85" workbookViewId="0">
      <selection activeCell="J9" sqref="J9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17" t="s">
        <v>246</v>
      </c>
      <c r="B1" s="117"/>
      <c r="C1" s="117"/>
      <c r="D1" s="117"/>
      <c r="E1" s="117"/>
      <c r="F1" s="117"/>
      <c r="G1" s="117"/>
      <c r="H1" s="117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90" t="s">
        <v>1</v>
      </c>
      <c r="B3" s="90"/>
      <c r="C3" s="90"/>
      <c r="D3" s="90"/>
      <c r="E3" s="118" t="str">
        <f ca="1">TEXT(TODAY(),"DD/MM/YYYY")</f>
        <v>13/07/2025</v>
      </c>
      <c r="F3" s="118"/>
      <c r="G3" s="118"/>
      <c r="H3" s="118"/>
    </row>
    <row r="4" spans="1:8" ht="15" customHeight="1" x14ac:dyDescent="0.25">
      <c r="A4" s="90" t="s">
        <v>2</v>
      </c>
      <c r="B4" s="90"/>
      <c r="C4" s="90"/>
      <c r="D4" s="90"/>
      <c r="E4" s="116" t="s">
        <v>191</v>
      </c>
      <c r="F4" s="116"/>
      <c r="G4" s="116"/>
      <c r="H4" s="116"/>
    </row>
    <row r="5" spans="1:8" x14ac:dyDescent="0.25">
      <c r="A5" s="90" t="s">
        <v>3</v>
      </c>
      <c r="B5" s="90"/>
      <c r="C5" s="90"/>
      <c r="D5" s="90"/>
      <c r="E5" s="118">
        <v>45846</v>
      </c>
      <c r="F5" s="118"/>
      <c r="G5" s="118"/>
      <c r="H5" s="118"/>
    </row>
    <row r="6" spans="1:8" ht="16.5" customHeight="1" x14ac:dyDescent="0.25">
      <c r="A6" s="90" t="s">
        <v>4</v>
      </c>
      <c r="B6" s="90"/>
      <c r="C6" s="90"/>
      <c r="D6" s="90"/>
      <c r="E6" s="111" t="s">
        <v>193</v>
      </c>
      <c r="F6" s="111"/>
      <c r="G6" s="111"/>
      <c r="H6" s="111"/>
    </row>
    <row r="7" spans="1:8" ht="15" customHeight="1" x14ac:dyDescent="0.25">
      <c r="A7" s="90" t="s">
        <v>5</v>
      </c>
      <c r="B7" s="90"/>
      <c r="C7" s="90"/>
      <c r="D7" s="90"/>
      <c r="E7" s="111" t="str">
        <f>E6</f>
        <v>M/s.Aniline Construction Company Private Limited</v>
      </c>
      <c r="F7" s="111"/>
      <c r="G7" s="111"/>
      <c r="H7" s="111"/>
    </row>
    <row r="8" spans="1:8" x14ac:dyDescent="0.25">
      <c r="A8" s="90" t="s">
        <v>6</v>
      </c>
      <c r="B8" s="90"/>
      <c r="C8" s="90"/>
      <c r="D8" s="90"/>
      <c r="E8" s="104" t="s">
        <v>194</v>
      </c>
      <c r="F8" s="104"/>
      <c r="G8" s="104"/>
      <c r="H8" s="104"/>
    </row>
    <row r="9" spans="1:8" x14ac:dyDescent="0.25">
      <c r="A9" s="90" t="s">
        <v>163</v>
      </c>
      <c r="B9" s="90"/>
      <c r="C9" s="90"/>
      <c r="D9" s="90"/>
      <c r="E9" s="90">
        <v>9372750452</v>
      </c>
      <c r="F9" s="90"/>
      <c r="G9" s="90"/>
      <c r="H9" s="90"/>
    </row>
    <row r="10" spans="1:8" x14ac:dyDescent="0.25">
      <c r="A10" s="90" t="s">
        <v>7</v>
      </c>
      <c r="B10" s="90"/>
      <c r="C10" s="90"/>
      <c r="D10" s="90"/>
      <c r="E10" s="90" t="s">
        <v>232</v>
      </c>
      <c r="F10" s="90"/>
      <c r="G10" s="90"/>
      <c r="H10" s="90"/>
    </row>
    <row r="11" spans="1:8" x14ac:dyDescent="0.25">
      <c r="A11" s="90" t="s">
        <v>8</v>
      </c>
      <c r="B11" s="90"/>
      <c r="C11" s="90"/>
      <c r="D11" s="90"/>
      <c r="E11" s="111" t="s">
        <v>227</v>
      </c>
      <c r="F11" s="111"/>
      <c r="G11" s="111"/>
      <c r="H11" s="111"/>
    </row>
    <row r="12" spans="1:8" x14ac:dyDescent="0.25">
      <c r="A12" s="90" t="s">
        <v>9</v>
      </c>
      <c r="B12" s="90"/>
      <c r="C12" s="90"/>
      <c r="D12" s="90"/>
      <c r="E12" s="111" t="s">
        <v>192</v>
      </c>
      <c r="F12" s="90"/>
      <c r="G12" s="90"/>
      <c r="H12" s="90"/>
    </row>
    <row r="13" spans="1:8" ht="32.25" customHeight="1" x14ac:dyDescent="0.25">
      <c r="A13" s="111" t="s">
        <v>10</v>
      </c>
      <c r="B13" s="111"/>
      <c r="C13" s="111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Parkwoods D5, Survey No.165/1A(pt), 166/6A(pt), 166/8A(pt, near Cosmos Jewels, Godhbunder Road, Kavesar, Thane, Thane, Thane.</v>
      </c>
      <c r="D13" s="111"/>
      <c r="E13" s="111"/>
      <c r="F13" s="111"/>
      <c r="G13" s="111"/>
      <c r="H13" s="111"/>
    </row>
    <row r="14" spans="1:8" x14ac:dyDescent="0.25">
      <c r="A14" s="111" t="s">
        <v>229</v>
      </c>
      <c r="B14" s="111"/>
      <c r="C14" s="111" t="s">
        <v>196</v>
      </c>
      <c r="D14" s="111"/>
      <c r="E14" s="111"/>
      <c r="F14" s="111"/>
      <c r="G14" s="111"/>
      <c r="H14" s="111"/>
    </row>
    <row r="15" spans="1:8" ht="15.75" customHeight="1" x14ac:dyDescent="0.25">
      <c r="A15" s="111" t="s">
        <v>11</v>
      </c>
      <c r="B15" s="111"/>
      <c r="C15" s="90" t="s">
        <v>231</v>
      </c>
      <c r="D15" s="90"/>
      <c r="E15" s="111" t="s">
        <v>103</v>
      </c>
      <c r="F15" s="111"/>
      <c r="G15" s="111" t="s">
        <v>200</v>
      </c>
      <c r="H15" s="111"/>
    </row>
    <row r="16" spans="1:8" x14ac:dyDescent="0.25">
      <c r="A16" s="90" t="s">
        <v>13</v>
      </c>
      <c r="B16" s="90"/>
      <c r="C16" s="111" t="s">
        <v>195</v>
      </c>
      <c r="D16" s="111"/>
      <c r="E16" s="111" t="s">
        <v>12</v>
      </c>
      <c r="F16" s="111"/>
      <c r="G16" s="130" t="s">
        <v>195</v>
      </c>
      <c r="H16" s="130"/>
    </row>
    <row r="17" spans="1:8" x14ac:dyDescent="0.25">
      <c r="A17" s="90" t="s">
        <v>104</v>
      </c>
      <c r="B17" s="90"/>
      <c r="C17" s="111" t="s">
        <v>195</v>
      </c>
      <c r="D17" s="111"/>
      <c r="E17" s="111" t="s">
        <v>14</v>
      </c>
      <c r="F17" s="111"/>
      <c r="G17" s="111">
        <v>400602</v>
      </c>
      <c r="H17" s="111"/>
    </row>
    <row r="18" spans="1:8" ht="32.25" customHeight="1" x14ac:dyDescent="0.25">
      <c r="A18" s="90" t="s">
        <v>165</v>
      </c>
      <c r="B18" s="90"/>
      <c r="C18" s="124" t="s">
        <v>198</v>
      </c>
      <c r="D18" s="124"/>
      <c r="E18" s="111" t="s">
        <v>15</v>
      </c>
      <c r="F18" s="111"/>
      <c r="G18" s="111" t="s">
        <v>228</v>
      </c>
      <c r="H18" s="111"/>
    </row>
    <row r="19" spans="1:8" ht="15" customHeight="1" x14ac:dyDescent="0.25">
      <c r="A19" s="111" t="s">
        <v>109</v>
      </c>
      <c r="B19" s="111"/>
      <c r="C19" s="111"/>
      <c r="D19" s="111"/>
      <c r="E19" s="90" t="s">
        <v>16</v>
      </c>
      <c r="F19" s="90"/>
      <c r="G19" s="90"/>
      <c r="H19" s="90"/>
    </row>
    <row r="20" spans="1:8" ht="18.75" customHeight="1" x14ac:dyDescent="0.25">
      <c r="A20" s="111"/>
      <c r="B20" s="111"/>
      <c r="C20" s="111"/>
      <c r="D20" s="111"/>
      <c r="E20" s="90"/>
      <c r="F20" s="90"/>
      <c r="G20" s="90"/>
      <c r="H20" s="90"/>
    </row>
    <row r="21" spans="1:8" ht="15" customHeight="1" x14ac:dyDescent="0.25">
      <c r="A21" s="111" t="s">
        <v>17</v>
      </c>
      <c r="B21" s="111"/>
      <c r="C21" s="111"/>
      <c r="D21" s="111"/>
      <c r="E21" s="111" t="s">
        <v>18</v>
      </c>
      <c r="F21" s="111"/>
      <c r="G21" s="111"/>
      <c r="H21" s="111"/>
    </row>
    <row r="22" spans="1:8" ht="15" customHeight="1" x14ac:dyDescent="0.25">
      <c r="A22" s="90" t="s">
        <v>19</v>
      </c>
      <c r="B22" s="90"/>
      <c r="C22" s="90"/>
      <c r="D22" s="90"/>
      <c r="E22" s="111" t="str">
        <f>IF(AND(G16="Mumbai"),"Upper Class","Middle Class")</f>
        <v>Middle Class</v>
      </c>
      <c r="F22" s="111"/>
      <c r="G22" s="111"/>
      <c r="H22" s="111"/>
    </row>
    <row r="23" spans="1:8" x14ac:dyDescent="0.25">
      <c r="A23" s="90" t="s">
        <v>20</v>
      </c>
      <c r="B23" s="90"/>
      <c r="C23" s="90"/>
      <c r="D23" s="90"/>
      <c r="E23" s="111" t="s">
        <v>21</v>
      </c>
      <c r="F23" s="111"/>
      <c r="G23" s="111"/>
      <c r="H23" s="111"/>
    </row>
    <row r="24" spans="1:8" ht="15.75" customHeight="1" x14ac:dyDescent="0.25">
      <c r="A24" s="90" t="s">
        <v>22</v>
      </c>
      <c r="B24" s="90"/>
      <c r="C24" s="90"/>
      <c r="D24" s="90"/>
      <c r="E24" s="111" t="str">
        <f>IF(AND(G16="Mumbai"),"Developed","Developing")</f>
        <v>Developing</v>
      </c>
      <c r="F24" s="111"/>
      <c r="G24" s="111"/>
      <c r="H24" s="111"/>
    </row>
    <row r="25" spans="1:8" x14ac:dyDescent="0.25">
      <c r="A25" s="90" t="s">
        <v>23</v>
      </c>
      <c r="B25" s="90"/>
      <c r="C25" s="90"/>
      <c r="D25" s="90"/>
      <c r="E25" s="111" t="s">
        <v>24</v>
      </c>
      <c r="F25" s="111"/>
      <c r="G25" s="111"/>
      <c r="H25" s="111"/>
    </row>
    <row r="26" spans="1:8" x14ac:dyDescent="0.25">
      <c r="A26" s="90" t="s">
        <v>116</v>
      </c>
      <c r="B26" s="90"/>
      <c r="C26" s="90"/>
      <c r="D26" s="90"/>
      <c r="E26" s="111" t="s">
        <v>117</v>
      </c>
      <c r="F26" s="111"/>
      <c r="G26" s="111"/>
      <c r="H26" s="111"/>
    </row>
    <row r="27" spans="1:8" ht="15" customHeight="1" x14ac:dyDescent="0.25">
      <c r="A27" s="111" t="s">
        <v>35</v>
      </c>
      <c r="B27" s="111"/>
      <c r="C27" s="111"/>
      <c r="D27" s="111"/>
      <c r="E27" s="116" t="s">
        <v>226</v>
      </c>
      <c r="F27" s="116"/>
      <c r="G27" s="116"/>
      <c r="H27" s="116"/>
    </row>
    <row r="28" spans="1:8" x14ac:dyDescent="0.25">
      <c r="A28" s="111" t="s">
        <v>128</v>
      </c>
      <c r="B28" s="111"/>
      <c r="C28" s="111"/>
      <c r="D28" s="111"/>
      <c r="E28" s="111" t="s">
        <v>36</v>
      </c>
      <c r="F28" s="111"/>
      <c r="G28" s="111"/>
      <c r="H28" s="111"/>
    </row>
    <row r="29" spans="1:8" s="11" customFormat="1" x14ac:dyDescent="0.25">
      <c r="A29" s="115" t="s">
        <v>129</v>
      </c>
      <c r="B29" s="115"/>
      <c r="C29" s="112" t="s">
        <v>29</v>
      </c>
      <c r="D29" s="112"/>
      <c r="E29" s="112"/>
      <c r="F29" s="112" t="s">
        <v>31</v>
      </c>
      <c r="G29" s="112"/>
      <c r="H29" s="112"/>
    </row>
    <row r="30" spans="1:8" s="11" customFormat="1" x14ac:dyDescent="0.25">
      <c r="A30" s="113" t="s">
        <v>25</v>
      </c>
      <c r="B30" s="113" t="s">
        <v>30</v>
      </c>
      <c r="C30" s="114" t="s">
        <v>30</v>
      </c>
      <c r="D30" s="114"/>
      <c r="E30" s="114"/>
      <c r="F30" s="114" t="s">
        <v>223</v>
      </c>
      <c r="G30" s="114"/>
      <c r="H30" s="114"/>
    </row>
    <row r="31" spans="1:8" x14ac:dyDescent="0.25">
      <c r="A31" s="113" t="s">
        <v>26</v>
      </c>
      <c r="B31" s="113" t="s">
        <v>30</v>
      </c>
      <c r="C31" s="114" t="s">
        <v>30</v>
      </c>
      <c r="D31" s="114"/>
      <c r="E31" s="114"/>
      <c r="F31" s="114" t="s">
        <v>224</v>
      </c>
      <c r="G31" s="114"/>
      <c r="H31" s="114"/>
    </row>
    <row r="32" spans="1:8" s="11" customFormat="1" x14ac:dyDescent="0.25">
      <c r="A32" s="113" t="s">
        <v>28</v>
      </c>
      <c r="B32" s="113" t="s">
        <v>30</v>
      </c>
      <c r="C32" s="114" t="s">
        <v>30</v>
      </c>
      <c r="D32" s="114"/>
      <c r="E32" s="114"/>
      <c r="F32" s="114" t="s">
        <v>225</v>
      </c>
      <c r="G32" s="114"/>
      <c r="H32" s="114"/>
    </row>
    <row r="33" spans="1:8" x14ac:dyDescent="0.25">
      <c r="A33" s="113" t="s">
        <v>27</v>
      </c>
      <c r="B33" s="113" t="s">
        <v>30</v>
      </c>
      <c r="C33" s="114" t="s">
        <v>30</v>
      </c>
      <c r="D33" s="114"/>
      <c r="E33" s="114"/>
      <c r="F33" s="114" t="s">
        <v>197</v>
      </c>
      <c r="G33" s="114"/>
      <c r="H33" s="114"/>
    </row>
    <row r="34" spans="1:8" x14ac:dyDescent="0.25">
      <c r="A34" s="90" t="s">
        <v>32</v>
      </c>
      <c r="B34" s="90"/>
      <c r="C34" s="90"/>
      <c r="D34" s="90"/>
      <c r="E34" s="90"/>
      <c r="F34" s="90"/>
      <c r="G34" s="90"/>
      <c r="H34" s="90"/>
    </row>
    <row r="35" spans="1:8" ht="15.75" customHeight="1" x14ac:dyDescent="0.25">
      <c r="A35" s="112" t="s">
        <v>33</v>
      </c>
      <c r="B35" s="112"/>
      <c r="C35" s="113">
        <v>19.2603398732</v>
      </c>
      <c r="D35" s="113"/>
      <c r="E35" s="112" t="s">
        <v>34</v>
      </c>
      <c r="F35" s="112"/>
      <c r="G35" s="114">
        <v>72.968380139999994</v>
      </c>
      <c r="H35" s="114"/>
    </row>
    <row r="36" spans="1:8" x14ac:dyDescent="0.25">
      <c r="A36" s="84" t="s">
        <v>238</v>
      </c>
      <c r="B36" s="84"/>
      <c r="C36" s="125" t="s">
        <v>240</v>
      </c>
      <c r="D36" s="111"/>
      <c r="E36" s="111"/>
      <c r="F36" s="111"/>
      <c r="G36" s="111"/>
      <c r="H36" s="111"/>
    </row>
    <row r="37" spans="1:8" x14ac:dyDescent="0.25">
      <c r="A37" s="126" t="s">
        <v>239</v>
      </c>
      <c r="B37" s="126"/>
      <c r="C37" s="126"/>
      <c r="D37" s="126"/>
      <c r="E37" s="126"/>
      <c r="F37" s="126"/>
      <c r="G37" s="126"/>
      <c r="H37" s="126"/>
    </row>
    <row r="38" spans="1:8" x14ac:dyDescent="0.25">
      <c r="A38" s="90" t="s">
        <v>37</v>
      </c>
      <c r="B38" s="90"/>
      <c r="C38" s="90"/>
      <c r="D38" s="90"/>
      <c r="E38" s="91">
        <v>34270.28</v>
      </c>
      <c r="F38" s="91"/>
      <c r="G38" s="91"/>
      <c r="H38" s="91"/>
    </row>
    <row r="39" spans="1:8" x14ac:dyDescent="0.25">
      <c r="A39" s="90" t="s">
        <v>38</v>
      </c>
      <c r="B39" s="90"/>
      <c r="C39" s="90"/>
      <c r="D39" s="90"/>
      <c r="E39" s="102">
        <v>1.4</v>
      </c>
      <c r="F39" s="102"/>
      <c r="G39" s="102"/>
      <c r="H39" s="102"/>
    </row>
    <row r="40" spans="1:8" x14ac:dyDescent="0.25">
      <c r="A40" s="90" t="s">
        <v>39</v>
      </c>
      <c r="B40" s="90"/>
      <c r="C40" s="90"/>
      <c r="D40" s="90"/>
      <c r="E40" s="102">
        <f>E42/E38-E39</f>
        <v>-5.8359604704349977E-8</v>
      </c>
      <c r="F40" s="102"/>
      <c r="G40" s="102"/>
      <c r="H40" s="102"/>
    </row>
    <row r="41" spans="1:8" x14ac:dyDescent="0.25">
      <c r="A41" s="90" t="s">
        <v>40</v>
      </c>
      <c r="B41" s="90"/>
      <c r="C41" s="90"/>
      <c r="D41" s="90"/>
      <c r="E41" s="102">
        <f>E39+E40</f>
        <v>1.3999999416403952</v>
      </c>
      <c r="F41" s="102"/>
      <c r="G41" s="102"/>
      <c r="H41" s="102"/>
    </row>
    <row r="42" spans="1:8" x14ac:dyDescent="0.25">
      <c r="A42" s="90" t="s">
        <v>127</v>
      </c>
      <c r="B42" s="90"/>
      <c r="C42" s="90"/>
      <c r="D42" s="90"/>
      <c r="E42" s="103">
        <v>47978.39</v>
      </c>
      <c r="F42" s="103"/>
      <c r="G42" s="103"/>
      <c r="H42" s="103"/>
    </row>
    <row r="43" spans="1:8" x14ac:dyDescent="0.25">
      <c r="A43" s="90" t="s">
        <v>41</v>
      </c>
      <c r="B43" s="90"/>
      <c r="C43" s="90"/>
      <c r="D43" s="90"/>
      <c r="E43" s="90" t="s">
        <v>164</v>
      </c>
      <c r="F43" s="90"/>
      <c r="G43" s="90"/>
      <c r="H43" s="90"/>
    </row>
    <row r="44" spans="1:8" x14ac:dyDescent="0.25">
      <c r="A44" s="104" t="s">
        <v>42</v>
      </c>
      <c r="B44" s="104"/>
      <c r="C44" s="104"/>
      <c r="D44" s="104"/>
      <c r="E44" s="104"/>
      <c r="F44" s="104"/>
      <c r="G44" s="104"/>
      <c r="H44" s="104"/>
    </row>
    <row r="45" spans="1:8" x14ac:dyDescent="0.25">
      <c r="A45" s="111" t="s">
        <v>43</v>
      </c>
      <c r="B45" s="111"/>
      <c r="C45" s="124" t="s">
        <v>252</v>
      </c>
      <c r="D45" s="124"/>
      <c r="E45" s="124"/>
      <c r="F45" s="49" t="s">
        <v>44</v>
      </c>
      <c r="G45" s="110">
        <v>44451</v>
      </c>
      <c r="H45" s="110"/>
    </row>
    <row r="46" spans="1:8" x14ac:dyDescent="0.25">
      <c r="A46" s="90" t="s">
        <v>45</v>
      </c>
      <c r="B46" s="90"/>
      <c r="C46" s="124" t="str">
        <f>C45</f>
        <v>S06/00270/17TMC/TD-DP/3802/21</v>
      </c>
      <c r="D46" s="124"/>
      <c r="E46" s="124"/>
      <c r="F46" s="49" t="s">
        <v>44</v>
      </c>
      <c r="G46" s="110">
        <f>G45</f>
        <v>44451</v>
      </c>
      <c r="H46" s="110"/>
    </row>
    <row r="47" spans="1:8" s="10" customFormat="1" ht="17.25" customHeight="1" x14ac:dyDescent="0.25">
      <c r="A47" s="111" t="s">
        <v>46</v>
      </c>
      <c r="B47" s="111"/>
      <c r="C47" s="124" t="s">
        <v>253</v>
      </c>
      <c r="D47" s="85"/>
      <c r="E47" s="85"/>
      <c r="F47" s="13" t="s">
        <v>44</v>
      </c>
      <c r="G47" s="110">
        <v>44540</v>
      </c>
      <c r="H47" s="110"/>
    </row>
    <row r="48" spans="1:8" s="10" customFormat="1" ht="32.25" customHeight="1" x14ac:dyDescent="0.25">
      <c r="A48" s="111"/>
      <c r="B48" s="111"/>
      <c r="C48" s="121" t="s">
        <v>236</v>
      </c>
      <c r="D48" s="122"/>
      <c r="E48" s="122"/>
      <c r="F48" s="122"/>
      <c r="G48" s="122"/>
      <c r="H48" s="123"/>
    </row>
    <row r="49" spans="1:14" s="10" customFormat="1" ht="17.25" customHeight="1" x14ac:dyDescent="0.25">
      <c r="A49" s="111" t="s">
        <v>46</v>
      </c>
      <c r="B49" s="111"/>
      <c r="C49" s="124" t="s">
        <v>255</v>
      </c>
      <c r="D49" s="85"/>
      <c r="E49" s="85"/>
      <c r="F49" s="13" t="s">
        <v>44</v>
      </c>
      <c r="G49" s="110">
        <v>44998</v>
      </c>
      <c r="H49" s="110"/>
    </row>
    <row r="50" spans="1:14" s="10" customFormat="1" x14ac:dyDescent="0.25">
      <c r="A50" s="111"/>
      <c r="B50" s="111"/>
      <c r="C50" s="121" t="s">
        <v>254</v>
      </c>
      <c r="D50" s="122"/>
      <c r="E50" s="122"/>
      <c r="F50" s="122"/>
      <c r="G50" s="122"/>
      <c r="H50" s="123"/>
    </row>
    <row r="51" spans="1:14" x14ac:dyDescent="0.25">
      <c r="A51" s="153" t="s">
        <v>47</v>
      </c>
      <c r="B51" s="153"/>
      <c r="C51" s="157" t="s">
        <v>142</v>
      </c>
      <c r="D51" s="146"/>
      <c r="E51" s="146" t="s">
        <v>48</v>
      </c>
      <c r="F51" s="52" t="s">
        <v>44</v>
      </c>
      <c r="G51" s="120" t="s">
        <v>30</v>
      </c>
      <c r="H51" s="120"/>
    </row>
    <row r="52" spans="1:14" x14ac:dyDescent="0.25">
      <c r="A52" s="119" t="s">
        <v>50</v>
      </c>
      <c r="B52" s="119"/>
      <c r="C52" s="119"/>
      <c r="D52" s="119"/>
      <c r="E52" s="119"/>
      <c r="F52" s="119"/>
      <c r="G52" s="119"/>
      <c r="H52" s="119"/>
    </row>
    <row r="53" spans="1:14" x14ac:dyDescent="0.25">
      <c r="A53" s="111" t="s">
        <v>126</v>
      </c>
      <c r="B53" s="111"/>
      <c r="C53" s="111"/>
      <c r="D53" s="90">
        <v>14303.38</v>
      </c>
      <c r="E53" s="90"/>
      <c r="F53" s="90"/>
      <c r="G53" s="90"/>
      <c r="H53" s="90"/>
    </row>
    <row r="54" spans="1:14" x14ac:dyDescent="0.25">
      <c r="A54" s="111" t="s">
        <v>51</v>
      </c>
      <c r="B54" s="90"/>
      <c r="C54" s="90"/>
      <c r="D54" s="90" t="s">
        <v>243</v>
      </c>
      <c r="E54" s="90"/>
      <c r="F54" s="90"/>
      <c r="G54" s="90"/>
      <c r="H54" s="90"/>
      <c r="I54" s="40"/>
    </row>
    <row r="55" spans="1:14" ht="33" customHeight="1" x14ac:dyDescent="0.25">
      <c r="A55" s="107" t="s">
        <v>52</v>
      </c>
      <c r="B55" s="108"/>
      <c r="C55" s="109"/>
      <c r="D55" s="105" t="s">
        <v>237</v>
      </c>
      <c r="E55" s="106"/>
      <c r="F55" s="106"/>
      <c r="G55" s="106"/>
      <c r="H55" s="106"/>
    </row>
    <row r="56" spans="1:14" ht="32.25" customHeight="1" x14ac:dyDescent="0.25">
      <c r="A56" s="107" t="s">
        <v>124</v>
      </c>
      <c r="B56" s="108"/>
      <c r="C56" s="108"/>
      <c r="D56" s="101" t="s">
        <v>237</v>
      </c>
      <c r="E56" s="101"/>
      <c r="F56" s="101"/>
      <c r="G56" s="101"/>
      <c r="H56" s="101"/>
    </row>
    <row r="57" spans="1:14" ht="15.75" customHeight="1" x14ac:dyDescent="0.25">
      <c r="A57" s="90" t="s">
        <v>49</v>
      </c>
      <c r="B57" s="90"/>
      <c r="C57" s="90"/>
      <c r="D57" s="92" t="s">
        <v>199</v>
      </c>
      <c r="E57" s="92"/>
      <c r="F57" s="92"/>
      <c r="G57" s="92"/>
      <c r="H57" s="92"/>
      <c r="J57" s="39"/>
      <c r="K57" s="40"/>
      <c r="N57" s="40"/>
    </row>
    <row r="58" spans="1:14" ht="15.75" customHeight="1" x14ac:dyDescent="0.25">
      <c r="A58" s="90" t="s">
        <v>122</v>
      </c>
      <c r="B58" s="90"/>
      <c r="C58" s="90"/>
      <c r="D58" s="101" t="str">
        <f>(IF(G51="NA","60 Years After Completion",IF(G51&lt;&gt;"NA",""&amp;60-ROUNDDOWN((E3-G51)/360,0)&amp;" Years"," ")))</f>
        <v>60 Years After Completion</v>
      </c>
      <c r="E58" s="101"/>
      <c r="F58" s="101"/>
      <c r="G58" s="101"/>
      <c r="H58" s="101"/>
      <c r="N58" s="40"/>
    </row>
    <row r="59" spans="1:14" ht="15.75" customHeight="1" x14ac:dyDescent="0.25">
      <c r="A59" s="90" t="s">
        <v>123</v>
      </c>
      <c r="B59" s="90"/>
      <c r="C59" s="90"/>
      <c r="D59" s="111" t="s">
        <v>24</v>
      </c>
      <c r="E59" s="111"/>
      <c r="F59" s="111"/>
      <c r="G59" s="111"/>
      <c r="H59" s="111"/>
      <c r="J59" s="18"/>
      <c r="K59" s="18"/>
    </row>
    <row r="60" spans="1:14" ht="15.75" customHeight="1" thickBot="1" x14ac:dyDescent="0.3">
      <c r="A60" s="106" t="s">
        <v>121</v>
      </c>
      <c r="B60" s="106"/>
      <c r="C60" s="106"/>
      <c r="D60" s="105" t="str">
        <f ca="1">(IF(G65&gt;95%,"Nothing",IF(G65&gt;0%,"Cement, Aggregate, Steel, etc",IF(G65=0%,"Work not yet Started"))))</f>
        <v>Cement, Aggregate, Steel, etc</v>
      </c>
      <c r="E60" s="105"/>
      <c r="F60" s="105"/>
      <c r="G60" s="105"/>
      <c r="H60" s="105"/>
      <c r="J60" s="18"/>
    </row>
    <row r="61" spans="1:14" ht="31.5" customHeight="1" x14ac:dyDescent="0.25">
      <c r="A61" s="160" t="s">
        <v>183</v>
      </c>
      <c r="B61" s="161"/>
      <c r="C61" s="127" t="str">
        <f>D56</f>
        <v>Building D5 = Basement 2 + Mezzanine 2 + Basement 1 + Mezzanine 1 + Gr + Podium + 1st to 55th Floor</v>
      </c>
      <c r="D61" s="128"/>
      <c r="E61" s="128"/>
      <c r="F61" s="128"/>
      <c r="G61" s="128"/>
      <c r="H61" s="129"/>
      <c r="I61" s="42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Plaster, External Plaster upto 53 Floor, Flooring upto 17 Floor Completed</v>
      </c>
      <c r="J61" s="19"/>
    </row>
    <row r="62" spans="1:14" x14ac:dyDescent="0.25">
      <c r="A62" s="47" t="s">
        <v>185</v>
      </c>
      <c r="B62" s="50">
        <v>2</v>
      </c>
      <c r="C62" s="50" t="s">
        <v>102</v>
      </c>
      <c r="D62" s="50">
        <v>1</v>
      </c>
      <c r="E62" s="50" t="s">
        <v>101</v>
      </c>
      <c r="F62" s="50">
        <v>1</v>
      </c>
      <c r="G62" s="50" t="s">
        <v>115</v>
      </c>
      <c r="H62" s="48">
        <f ca="1">--TRIM(RIGHT(SUBSTITUTE(LEFT(C61,_xlfn.AGGREGATE(16,6,FIND({0,1,2,3,4,5,6,7,8,9},C61,ROW(INDIRECT("1:"&amp;LEN(C61)))),1))," ",REPT(" ",LEN(C61))),LEN(C61)))</f>
        <v>55</v>
      </c>
      <c r="I62" s="18"/>
      <c r="J62" s="20"/>
    </row>
    <row r="63" spans="1:14" ht="52.15" customHeight="1" x14ac:dyDescent="0.25">
      <c r="A63" s="159" t="s">
        <v>125</v>
      </c>
      <c r="B63" s="104"/>
      <c r="C63" s="153" t="str">
        <f ca="1">I61</f>
        <v>Excavation work Completed. Plinth work completed, RCC Slab, Brickwork, Internal Plaster, External Plaster upto 53 Floor, Flooring upto 17 Floor Completed</v>
      </c>
      <c r="D63" s="153"/>
      <c r="E63" s="153"/>
      <c r="F63" s="153"/>
      <c r="G63" s="153"/>
      <c r="H63" s="156"/>
      <c r="I63" s="18" t="s">
        <v>141</v>
      </c>
      <c r="J63" s="20"/>
    </row>
    <row r="64" spans="1:14" ht="15.75" customHeight="1" x14ac:dyDescent="0.25">
      <c r="A64" s="97" t="s">
        <v>53</v>
      </c>
      <c r="B64" s="98"/>
      <c r="C64" s="53" t="s">
        <v>182</v>
      </c>
      <c r="D64" s="53" t="s">
        <v>118</v>
      </c>
      <c r="E64" s="98" t="s">
        <v>120</v>
      </c>
      <c r="F64" s="98"/>
      <c r="G64" s="98" t="s">
        <v>119</v>
      </c>
      <c r="H64" s="158"/>
      <c r="I64" s="38" t="s">
        <v>184</v>
      </c>
      <c r="J64" s="21">
        <f ca="1">H62*25%</f>
        <v>13.75</v>
      </c>
    </row>
    <row r="65" spans="1:13" x14ac:dyDescent="0.25">
      <c r="A65" s="97" t="s">
        <v>171</v>
      </c>
      <c r="B65" s="98"/>
      <c r="C65" s="54">
        <f ca="1">J66</f>
        <v>55</v>
      </c>
      <c r="D65" s="55">
        <f ca="1">((100/H62)*C65)/100</f>
        <v>1</v>
      </c>
      <c r="E65" s="93">
        <f ca="1">(((C66/H62*10)+(40/(D62+F62+H62)*C67)+(7.5/(H62)*C68)+(7.5/(H62)*C69)+(10/H62*C70)+(10/H62*C71)+(5/H62*C72)+(5/H62*C73)+(5/H62*C74))/100)</f>
        <v>0.77727272727272734</v>
      </c>
      <c r="F65" s="93"/>
      <c r="G65" s="93">
        <f ca="1">((((C65/H62)*20)+((C66/H62)*25)+(30/(H62+F62+D62)*C67)+(5/H62*C68)+(5/H62*C69)+(5/H62*C70)+(5/H62*C71)+(0/H62*C72)+(0/H62*C73)+(5/H62*C74))/100)</f>
        <v>0.91363636363636358</v>
      </c>
      <c r="H65" s="95"/>
      <c r="I65" s="38" t="s">
        <v>136</v>
      </c>
      <c r="J65" s="41">
        <f ca="1">H62*50%</f>
        <v>27.5</v>
      </c>
    </row>
    <row r="66" spans="1:13" x14ac:dyDescent="0.25">
      <c r="A66" s="97" t="s">
        <v>54</v>
      </c>
      <c r="B66" s="98"/>
      <c r="C66" s="56">
        <f ca="1">J74</f>
        <v>55</v>
      </c>
      <c r="D66" s="55">
        <f ca="1">((100/H62)*C66)/100</f>
        <v>1</v>
      </c>
      <c r="E66" s="93"/>
      <c r="F66" s="93"/>
      <c r="G66" s="93"/>
      <c r="H66" s="95"/>
      <c r="I66" s="38" t="s">
        <v>137</v>
      </c>
      <c r="J66" s="41">
        <f ca="1">H62</f>
        <v>55</v>
      </c>
    </row>
    <row r="67" spans="1:13" ht="15.75" customHeight="1" x14ac:dyDescent="0.25">
      <c r="A67" s="97" t="s">
        <v>172</v>
      </c>
      <c r="B67" s="98"/>
      <c r="C67" s="56">
        <f ca="1">D62+F62+H62</f>
        <v>57</v>
      </c>
      <c r="D67" s="55">
        <f ca="1">((100/(D62+F62+H62))*C67)/100</f>
        <v>1</v>
      </c>
      <c r="E67" s="93"/>
      <c r="F67" s="93"/>
      <c r="G67" s="93"/>
      <c r="H67" s="95"/>
      <c r="I67" s="38" t="s">
        <v>138</v>
      </c>
      <c r="J67" s="44">
        <f ca="1">(IF(B62&gt;1,(H62/(B62+2)),H62/4))</f>
        <v>13.75</v>
      </c>
    </row>
    <row r="68" spans="1:13" ht="15.75" customHeight="1" x14ac:dyDescent="0.25">
      <c r="A68" s="97" t="s">
        <v>179</v>
      </c>
      <c r="B68" s="98" t="s">
        <v>173</v>
      </c>
      <c r="C68" s="56">
        <f ca="1">C67-D62-F62</f>
        <v>55</v>
      </c>
      <c r="D68" s="55">
        <f ca="1">((100/H62)*C68)/100</f>
        <v>1</v>
      </c>
      <c r="E68" s="93"/>
      <c r="F68" s="93"/>
      <c r="G68" s="93"/>
      <c r="H68" s="95"/>
      <c r="I68" s="38" t="s">
        <v>139</v>
      </c>
      <c r="J68" s="44">
        <f ca="1">(IF(B62&gt;1,(H62/(B62+2)+J67),H62/4+J67))</f>
        <v>27.5</v>
      </c>
    </row>
    <row r="69" spans="1:13" ht="15.75" customHeight="1" x14ac:dyDescent="0.25">
      <c r="A69" s="97" t="s">
        <v>180</v>
      </c>
      <c r="B69" s="98" t="s">
        <v>173</v>
      </c>
      <c r="C69" s="56">
        <v>55</v>
      </c>
      <c r="D69" s="55">
        <f ca="1">((100/H62)*C69)/100</f>
        <v>1</v>
      </c>
      <c r="E69" s="93"/>
      <c r="F69" s="93"/>
      <c r="G69" s="93"/>
      <c r="H69" s="95"/>
      <c r="I69" s="38" t="s">
        <v>189</v>
      </c>
      <c r="J69" s="44">
        <f ca="1">(IF(B62&gt;1,(H62/(B62+2)+J68),0))</f>
        <v>41.25</v>
      </c>
    </row>
    <row r="70" spans="1:13" ht="15" customHeight="1" x14ac:dyDescent="0.25">
      <c r="A70" s="97" t="s">
        <v>178</v>
      </c>
      <c r="B70" s="98" t="s">
        <v>175</v>
      </c>
      <c r="C70" s="56">
        <v>53</v>
      </c>
      <c r="D70" s="55">
        <f ca="1">((100/(H62))*C70)/100</f>
        <v>0.96363636363636362</v>
      </c>
      <c r="E70" s="93"/>
      <c r="F70" s="93"/>
      <c r="G70" s="93"/>
      <c r="H70" s="95"/>
      <c r="I70" s="38" t="s">
        <v>186</v>
      </c>
      <c r="J70" s="44">
        <f>(IF(B62&gt;2,(H62/(B62+2)+J69),0))</f>
        <v>0</v>
      </c>
    </row>
    <row r="71" spans="1:13" ht="15.75" customHeight="1" x14ac:dyDescent="0.25">
      <c r="A71" s="97" t="s">
        <v>174</v>
      </c>
      <c r="B71" s="98" t="s">
        <v>174</v>
      </c>
      <c r="C71" s="54">
        <v>17</v>
      </c>
      <c r="D71" s="55">
        <f ca="1">((100/H62)*C71)/100</f>
        <v>0.30909090909090908</v>
      </c>
      <c r="E71" s="93"/>
      <c r="F71" s="93"/>
      <c r="G71" s="93"/>
      <c r="H71" s="95"/>
      <c r="I71" s="38" t="s">
        <v>187</v>
      </c>
      <c r="J71" s="45">
        <f>(IF(B62&gt;3,(H62/(B62+2)+J70),0))</f>
        <v>0</v>
      </c>
    </row>
    <row r="72" spans="1:13" ht="15.75" customHeight="1" x14ac:dyDescent="0.25">
      <c r="A72" s="97" t="s">
        <v>181</v>
      </c>
      <c r="B72" s="98"/>
      <c r="C72" s="54">
        <v>0</v>
      </c>
      <c r="D72" s="55">
        <f ca="1">((100/H62)*C72)/100</f>
        <v>0</v>
      </c>
      <c r="E72" s="93"/>
      <c r="F72" s="93"/>
      <c r="G72" s="93"/>
      <c r="H72" s="95"/>
      <c r="I72" s="38" t="s">
        <v>188</v>
      </c>
      <c r="J72" s="44">
        <f>(IF(B62&gt;4,(H62/(B62+2)+J71),0))</f>
        <v>0</v>
      </c>
    </row>
    <row r="73" spans="1:13" ht="15.75" customHeight="1" x14ac:dyDescent="0.25">
      <c r="A73" s="97" t="s">
        <v>176</v>
      </c>
      <c r="B73" s="98" t="s">
        <v>176</v>
      </c>
      <c r="C73" s="54">
        <v>0</v>
      </c>
      <c r="D73" s="55">
        <f ca="1">((100/(H62))*C73)/100</f>
        <v>0</v>
      </c>
      <c r="E73" s="93"/>
      <c r="F73" s="93"/>
      <c r="G73" s="93"/>
      <c r="H73" s="95"/>
      <c r="I73" s="38" t="s">
        <v>190</v>
      </c>
      <c r="J73" s="44">
        <f>(IF(B62=1,(H62/(B62+3)+J68),IF(B62=0,(H62/4+J68),IF(B62&gt;1,0))))</f>
        <v>0</v>
      </c>
    </row>
    <row r="74" spans="1:13" ht="16.5" thickBot="1" x14ac:dyDescent="0.3">
      <c r="A74" s="99" t="s">
        <v>177</v>
      </c>
      <c r="B74" s="100"/>
      <c r="C74" s="57">
        <v>0</v>
      </c>
      <c r="D74" s="58">
        <f ca="1">((100/(H62))*C74)/100</f>
        <v>0</v>
      </c>
      <c r="E74" s="94"/>
      <c r="F74" s="94"/>
      <c r="G74" s="94"/>
      <c r="H74" s="96"/>
      <c r="I74" s="43" t="s">
        <v>140</v>
      </c>
      <c r="J74" s="46">
        <f ca="1">(IF(B62&gt;1.5,(H62/(B62+2)+J68+MAX(0,J69-J68)+MAX(0,J70-J69)+MAX(0,J71-J70)+MAX(0,J72-J71)+MAX(0,J73-J72)),IF(B62=1,(H62/(B62+3)+J73),IF(B62=0,H62/4+J73))))</f>
        <v>55</v>
      </c>
    </row>
    <row r="75" spans="1:13" x14ac:dyDescent="0.25">
      <c r="A75" s="150" t="s">
        <v>156</v>
      </c>
      <c r="B75" s="151"/>
      <c r="C75" s="151"/>
      <c r="D75" s="151"/>
      <c r="E75" s="152"/>
      <c r="F75" s="150" t="str">
        <f ca="1">(IF(D60="Nothing","Yes",IF(D60="Cement, Aggregate, Steel, etc","Under Construction",IF(D60="Work not yet Started","Work not yet Started"))))</f>
        <v>Under Construction</v>
      </c>
      <c r="G75" s="151"/>
      <c r="H75" s="152"/>
    </row>
    <row r="76" spans="1:13" x14ac:dyDescent="0.25">
      <c r="A76" s="90" t="s">
        <v>55</v>
      </c>
      <c r="B76" s="90"/>
      <c r="C76" s="90"/>
      <c r="D76" s="90"/>
      <c r="E76" s="90"/>
      <c r="F76" s="90"/>
      <c r="G76" s="90"/>
      <c r="H76" s="90"/>
    </row>
    <row r="77" spans="1:13" ht="15" customHeight="1" x14ac:dyDescent="0.25">
      <c r="A77" s="104" t="s">
        <v>105</v>
      </c>
      <c r="B77" s="104"/>
      <c r="C77" s="153" t="s">
        <v>106</v>
      </c>
      <c r="D77" s="153"/>
      <c r="E77" s="153"/>
      <c r="F77" s="153"/>
      <c r="G77" s="153"/>
      <c r="H77" s="153"/>
    </row>
    <row r="78" spans="1:13" x14ac:dyDescent="0.25">
      <c r="A78" s="126" t="s">
        <v>56</v>
      </c>
      <c r="B78" s="126"/>
      <c r="C78" s="126"/>
      <c r="D78" s="126"/>
      <c r="E78" s="126"/>
      <c r="F78" s="126"/>
      <c r="G78" s="126"/>
      <c r="H78" s="126"/>
    </row>
    <row r="79" spans="1:13" x14ac:dyDescent="0.25">
      <c r="A79" s="86" t="s">
        <v>107</v>
      </c>
      <c r="B79" s="86"/>
      <c r="C79" s="86"/>
      <c r="D79" s="86"/>
      <c r="E79" s="86"/>
      <c r="F79" s="146">
        <v>12400</v>
      </c>
      <c r="G79" s="146"/>
      <c r="H79" s="146"/>
      <c r="K79" s="61" t="s">
        <v>247</v>
      </c>
      <c r="L79" s="62">
        <v>45114</v>
      </c>
      <c r="M79" s="61" t="s">
        <v>248</v>
      </c>
    </row>
    <row r="80" spans="1:13" hidden="1" x14ac:dyDescent="0.25">
      <c r="A80" s="86" t="s">
        <v>113</v>
      </c>
      <c r="B80" s="86"/>
      <c r="C80" s="86"/>
      <c r="D80" s="86"/>
      <c r="E80" s="86"/>
      <c r="F80" s="85"/>
      <c r="G80" s="85"/>
      <c r="H80" s="85"/>
    </row>
    <row r="81" spans="1:12" hidden="1" x14ac:dyDescent="0.25">
      <c r="A81" s="86" t="s">
        <v>114</v>
      </c>
      <c r="B81" s="86"/>
      <c r="C81" s="86"/>
      <c r="D81" s="86"/>
      <c r="E81" s="86"/>
      <c r="F81" s="85"/>
      <c r="G81" s="85"/>
      <c r="H81" s="85"/>
    </row>
    <row r="82" spans="1:12" s="12" customFormat="1" x14ac:dyDescent="0.25">
      <c r="A82" s="86" t="s">
        <v>250</v>
      </c>
      <c r="B82" s="86"/>
      <c r="C82" s="86"/>
      <c r="D82" s="86"/>
      <c r="E82" s="86"/>
      <c r="F82" s="85">
        <v>50</v>
      </c>
      <c r="G82" s="85"/>
      <c r="H82" s="85"/>
      <c r="L82" s="63">
        <v>45136</v>
      </c>
    </row>
    <row r="83" spans="1:12" s="12" customFormat="1" x14ac:dyDescent="0.25">
      <c r="A83" s="86" t="s">
        <v>251</v>
      </c>
      <c r="B83" s="86"/>
      <c r="C83" s="86"/>
      <c r="D83" s="86"/>
      <c r="E83" s="86"/>
      <c r="F83" s="85">
        <v>700000</v>
      </c>
      <c r="G83" s="85"/>
      <c r="H83" s="85"/>
    </row>
    <row r="84" spans="1:12" s="12" customFormat="1" hidden="1" x14ac:dyDescent="0.25">
      <c r="A84" s="86" t="s">
        <v>130</v>
      </c>
      <c r="B84" s="86"/>
      <c r="C84" s="86"/>
      <c r="D84" s="86"/>
      <c r="E84" s="86"/>
      <c r="F84" s="85" t="s">
        <v>30</v>
      </c>
      <c r="G84" s="85"/>
      <c r="H84" s="85"/>
    </row>
    <row r="85" spans="1:12" s="12" customFormat="1" hidden="1" x14ac:dyDescent="0.25">
      <c r="A85" s="86" t="s">
        <v>131</v>
      </c>
      <c r="B85" s="86"/>
      <c r="C85" s="86"/>
      <c r="D85" s="86"/>
      <c r="E85" s="86"/>
      <c r="F85" s="85" t="s">
        <v>30</v>
      </c>
      <c r="G85" s="85"/>
      <c r="H85" s="85"/>
    </row>
    <row r="86" spans="1:12" s="12" customFormat="1" hidden="1" x14ac:dyDescent="0.25">
      <c r="A86" s="86" t="s">
        <v>132</v>
      </c>
      <c r="B86" s="86"/>
      <c r="C86" s="86"/>
      <c r="D86" s="86"/>
      <c r="E86" s="86"/>
      <c r="F86" s="85" t="s">
        <v>30</v>
      </c>
      <c r="G86" s="85"/>
      <c r="H86" s="85"/>
    </row>
    <row r="87" spans="1:12" s="12" customFormat="1" hidden="1" x14ac:dyDescent="0.25">
      <c r="A87" s="86" t="s">
        <v>133</v>
      </c>
      <c r="B87" s="86"/>
      <c r="C87" s="86"/>
      <c r="D87" s="86"/>
      <c r="E87" s="86"/>
      <c r="F87" s="85" t="s">
        <v>30</v>
      </c>
      <c r="G87" s="85"/>
      <c r="H87" s="85"/>
    </row>
    <row r="88" spans="1:12" s="12" customFormat="1" hidden="1" x14ac:dyDescent="0.25">
      <c r="A88" s="86" t="s">
        <v>134</v>
      </c>
      <c r="B88" s="86"/>
      <c r="C88" s="86"/>
      <c r="D88" s="86"/>
      <c r="E88" s="86"/>
      <c r="F88" s="85" t="s">
        <v>30</v>
      </c>
      <c r="G88" s="85"/>
      <c r="H88" s="85"/>
    </row>
    <row r="89" spans="1:12" s="12" customFormat="1" hidden="1" x14ac:dyDescent="0.25">
      <c r="A89" s="86" t="s">
        <v>135</v>
      </c>
      <c r="B89" s="86"/>
      <c r="C89" s="86"/>
      <c r="D89" s="86"/>
      <c r="E89" s="86"/>
      <c r="F89" s="85" t="s">
        <v>30</v>
      </c>
      <c r="G89" s="85"/>
      <c r="H89" s="85"/>
    </row>
    <row r="90" spans="1:12" x14ac:dyDescent="0.25">
      <c r="A90" s="86" t="s">
        <v>57</v>
      </c>
      <c r="B90" s="86"/>
      <c r="C90" s="86"/>
      <c r="D90" s="86"/>
      <c r="E90" s="86"/>
      <c r="F90" s="124" t="s">
        <v>249</v>
      </c>
      <c r="G90" s="124"/>
      <c r="H90" s="124"/>
    </row>
    <row r="91" spans="1:12" s="9" customFormat="1" x14ac:dyDescent="0.25">
      <c r="A91" s="126" t="s">
        <v>58</v>
      </c>
      <c r="B91" s="126"/>
      <c r="C91" s="126"/>
      <c r="D91" s="126"/>
      <c r="E91" s="126"/>
      <c r="F91" s="85">
        <f>F79*0.8</f>
        <v>9920</v>
      </c>
      <c r="G91" s="85"/>
      <c r="H91" s="85"/>
    </row>
    <row r="92" spans="1:12" s="1" customFormat="1" ht="15.75" hidden="1" customHeight="1" x14ac:dyDescent="0.25">
      <c r="A92" s="88" t="s">
        <v>108</v>
      </c>
      <c r="B92" s="88"/>
      <c r="C92" s="88"/>
      <c r="D92" s="88"/>
      <c r="E92" s="88"/>
      <c r="F92" s="88"/>
      <c r="G92" s="88"/>
      <c r="H92" s="88"/>
    </row>
    <row r="93" spans="1:12" s="1" customFormat="1" ht="15.75" hidden="1" customHeight="1" x14ac:dyDescent="0.25">
      <c r="A93" s="82" t="s">
        <v>59</v>
      </c>
      <c r="B93" s="82"/>
      <c r="C93" s="81" t="s">
        <v>111</v>
      </c>
      <c r="D93" s="81"/>
      <c r="E93" s="83" t="s">
        <v>60</v>
      </c>
      <c r="F93" s="83"/>
      <c r="G93" s="82" t="s">
        <v>61</v>
      </c>
      <c r="H93" s="82"/>
    </row>
    <row r="94" spans="1:12" s="1" customFormat="1" hidden="1" x14ac:dyDescent="0.25">
      <c r="A94" s="87"/>
      <c r="B94" s="87"/>
      <c r="C94" s="89"/>
      <c r="D94" s="89"/>
      <c r="E94" s="155"/>
      <c r="F94" s="155"/>
      <c r="G94" s="154"/>
      <c r="H94" s="154"/>
    </row>
    <row r="95" spans="1:12" s="1" customFormat="1" x14ac:dyDescent="0.25">
      <c r="A95" s="88" t="s">
        <v>100</v>
      </c>
      <c r="B95" s="88"/>
      <c r="C95" s="88"/>
      <c r="D95" s="88"/>
      <c r="E95" s="88"/>
      <c r="F95" s="88"/>
      <c r="G95" s="88"/>
      <c r="H95" s="88"/>
    </row>
    <row r="96" spans="1:12" s="1" customFormat="1" ht="15.75" customHeight="1" x14ac:dyDescent="0.25">
      <c r="A96" s="82" t="s">
        <v>59</v>
      </c>
      <c r="B96" s="82"/>
      <c r="C96" s="81" t="s">
        <v>111</v>
      </c>
      <c r="D96" s="81"/>
      <c r="E96" s="83" t="s">
        <v>60</v>
      </c>
      <c r="F96" s="83"/>
      <c r="G96" s="82" t="s">
        <v>61</v>
      </c>
      <c r="H96" s="82"/>
    </row>
    <row r="97" spans="1:14" s="1" customFormat="1" x14ac:dyDescent="0.25">
      <c r="A97" s="87" t="s">
        <v>79</v>
      </c>
      <c r="B97" s="87"/>
      <c r="C97" s="89">
        <f>COUNT(D119:D126)*45+COUNT(D128:D131,D134:D135)*10</f>
        <v>420</v>
      </c>
      <c r="D97" s="89"/>
      <c r="E97" s="147">
        <f>SUM(D119:D126)*45+SUM(D128:D131,D134:D135)*10</f>
        <v>304393.10438160005</v>
      </c>
      <c r="F97" s="147"/>
      <c r="G97" s="148">
        <f>SUM(F119:F126)*45+SUM(F128:F131,F134:F135)*10</f>
        <v>471809.31179148</v>
      </c>
      <c r="H97" s="149"/>
    </row>
    <row r="98" spans="1:14" s="9" customFormat="1" x14ac:dyDescent="0.25">
      <c r="A98" s="84" t="s">
        <v>64</v>
      </c>
      <c r="B98" s="84"/>
      <c r="C98" s="84"/>
      <c r="D98" s="84"/>
      <c r="E98" s="84"/>
      <c r="F98" s="84"/>
      <c r="G98" s="84"/>
      <c r="H98" s="84"/>
    </row>
    <row r="99" spans="1:14" x14ac:dyDescent="0.25">
      <c r="A99" s="84" t="s">
        <v>65</v>
      </c>
      <c r="B99" s="84"/>
      <c r="C99" s="84"/>
      <c r="D99" s="84"/>
      <c r="E99" s="84"/>
      <c r="F99" s="84"/>
      <c r="G99" s="84"/>
      <c r="H99" s="84"/>
    </row>
    <row r="100" spans="1:14" ht="47.25" hidden="1" customHeight="1" x14ac:dyDescent="0.25">
      <c r="A100" s="74" t="s">
        <v>160</v>
      </c>
      <c r="B100" s="74" t="s">
        <v>159</v>
      </c>
      <c r="C100" s="74" t="s">
        <v>66</v>
      </c>
      <c r="D100" s="74" t="s">
        <v>67</v>
      </c>
      <c r="E100" s="76" t="s">
        <v>68</v>
      </c>
      <c r="F100" s="34" t="s">
        <v>157</v>
      </c>
      <c r="G100" s="72" t="s">
        <v>69</v>
      </c>
      <c r="H100" s="78"/>
    </row>
    <row r="101" spans="1:14" s="2" customFormat="1" hidden="1" x14ac:dyDescent="0.25">
      <c r="A101" s="75"/>
      <c r="B101" s="75"/>
      <c r="C101" s="75"/>
      <c r="D101" s="75"/>
      <c r="E101" s="77"/>
      <c r="F101" s="35">
        <v>0.6</v>
      </c>
      <c r="G101" s="73"/>
      <c r="H101" s="79"/>
    </row>
    <row r="102" spans="1:14" s="2" customFormat="1" ht="15.75" hidden="1" customHeight="1" x14ac:dyDescent="0.25">
      <c r="A102" s="64" t="s">
        <v>158</v>
      </c>
      <c r="B102" s="65"/>
      <c r="C102" s="65"/>
      <c r="D102" s="65"/>
      <c r="E102" s="65"/>
      <c r="F102" s="65"/>
      <c r="G102" s="65"/>
      <c r="H102" s="66"/>
    </row>
    <row r="103" spans="1:14" s="2" customFormat="1" hidden="1" x14ac:dyDescent="0.25">
      <c r="A103" s="69">
        <v>1</v>
      </c>
      <c r="B103" s="70"/>
      <c r="C103" s="36"/>
      <c r="D103" s="36"/>
      <c r="E103" s="36">
        <v>0</v>
      </c>
      <c r="F103" s="36">
        <f>D103*(($F$101)+1)+E103</f>
        <v>0</v>
      </c>
      <c r="G103" s="69" t="str">
        <f>A102</f>
        <v>Ground Floor</v>
      </c>
      <c r="H103" s="70"/>
      <c r="I103" s="37"/>
      <c r="L103" s="80"/>
      <c r="M103" s="80"/>
      <c r="N103" s="37"/>
    </row>
    <row r="104" spans="1:14" s="2" customFormat="1" hidden="1" x14ac:dyDescent="0.25">
      <c r="A104" s="69">
        <f>A103+1</f>
        <v>2</v>
      </c>
      <c r="B104" s="70"/>
      <c r="C104" s="36"/>
      <c r="D104" s="36"/>
      <c r="E104" s="36">
        <v>0</v>
      </c>
      <c r="F104" s="36">
        <f t="shared" ref="F104:F105" si="0">D104*(($F$101)+1)+E104</f>
        <v>0</v>
      </c>
      <c r="G104" s="69" t="str">
        <f t="shared" ref="G104:G109" si="1">G103</f>
        <v>Ground Floor</v>
      </c>
      <c r="H104" s="70"/>
      <c r="I104" s="37"/>
      <c r="L104" s="80"/>
      <c r="M104" s="80"/>
      <c r="N104" s="37"/>
    </row>
    <row r="105" spans="1:14" s="2" customFormat="1" hidden="1" x14ac:dyDescent="0.25">
      <c r="A105" s="69">
        <f t="shared" ref="A105:A107" si="2">A104+1</f>
        <v>3</v>
      </c>
      <c r="B105" s="70"/>
      <c r="C105" s="36"/>
      <c r="D105" s="36"/>
      <c r="E105" s="36">
        <v>0</v>
      </c>
      <c r="F105" s="36">
        <f t="shared" si="0"/>
        <v>0</v>
      </c>
      <c r="G105" s="69" t="str">
        <f t="shared" si="1"/>
        <v>Ground Floor</v>
      </c>
      <c r="H105" s="70"/>
      <c r="I105" s="37"/>
      <c r="L105" s="80"/>
      <c r="M105" s="80"/>
      <c r="N105" s="37"/>
    </row>
    <row r="106" spans="1:14" s="2" customFormat="1" hidden="1" x14ac:dyDescent="0.25">
      <c r="A106" s="69">
        <f t="shared" si="2"/>
        <v>4</v>
      </c>
      <c r="B106" s="70"/>
      <c r="C106" s="36"/>
      <c r="D106" s="36"/>
      <c r="E106" s="36">
        <v>0</v>
      </c>
      <c r="F106" s="36">
        <f t="shared" ref="F106:F107" si="3">D106*(($F$101)+1)+E106</f>
        <v>0</v>
      </c>
      <c r="G106" s="69" t="str">
        <f t="shared" si="1"/>
        <v>Ground Floor</v>
      </c>
      <c r="H106" s="70"/>
      <c r="I106" s="37"/>
      <c r="L106" s="80"/>
      <c r="M106" s="80"/>
      <c r="N106" s="37"/>
    </row>
    <row r="107" spans="1:14" s="2" customFormat="1" hidden="1" x14ac:dyDescent="0.25">
      <c r="A107" s="69">
        <f t="shared" si="2"/>
        <v>5</v>
      </c>
      <c r="B107" s="70"/>
      <c r="C107" s="36"/>
      <c r="D107" s="36"/>
      <c r="E107" s="36">
        <v>0</v>
      </c>
      <c r="F107" s="36">
        <f t="shared" si="3"/>
        <v>0</v>
      </c>
      <c r="G107" s="69" t="str">
        <f t="shared" si="1"/>
        <v>Ground Floor</v>
      </c>
      <c r="H107" s="70"/>
      <c r="I107" s="37"/>
      <c r="L107" s="80"/>
      <c r="M107" s="80"/>
      <c r="N107" s="37"/>
    </row>
    <row r="108" spans="1:14" s="2" customFormat="1" hidden="1" x14ac:dyDescent="0.25">
      <c r="A108" s="69">
        <f t="shared" ref="A108:A109" si="4">A107+1</f>
        <v>6</v>
      </c>
      <c r="B108" s="70"/>
      <c r="C108" s="36"/>
      <c r="D108" s="36"/>
      <c r="E108" s="36">
        <v>0</v>
      </c>
      <c r="F108" s="36">
        <f t="shared" ref="F108:F109" si="5">D108*(($F$101)+1)+E108</f>
        <v>0</v>
      </c>
      <c r="G108" s="69" t="str">
        <f t="shared" si="1"/>
        <v>Ground Floor</v>
      </c>
      <c r="H108" s="70"/>
      <c r="I108" s="37"/>
      <c r="L108" s="80"/>
      <c r="M108" s="80"/>
      <c r="N108" s="37"/>
    </row>
    <row r="109" spans="1:14" s="2" customFormat="1" hidden="1" x14ac:dyDescent="0.25">
      <c r="A109" s="69">
        <f t="shared" si="4"/>
        <v>7</v>
      </c>
      <c r="B109" s="70"/>
      <c r="C109" s="36"/>
      <c r="D109" s="36"/>
      <c r="E109" s="36">
        <v>0</v>
      </c>
      <c r="F109" s="36">
        <f t="shared" si="5"/>
        <v>0</v>
      </c>
      <c r="G109" s="69" t="str">
        <f t="shared" si="1"/>
        <v>Ground Floor</v>
      </c>
      <c r="H109" s="70"/>
      <c r="I109" s="37"/>
      <c r="L109" s="80"/>
      <c r="M109" s="80"/>
      <c r="N109" s="37"/>
    </row>
    <row r="110" spans="1:14" s="2" customFormat="1" hidden="1" x14ac:dyDescent="0.25">
      <c r="A110" s="69"/>
      <c r="B110" s="71"/>
      <c r="C110" s="71"/>
      <c r="D110" s="71"/>
      <c r="E110" s="71"/>
      <c r="F110" s="71"/>
      <c r="G110" s="71"/>
      <c r="H110" s="70"/>
      <c r="I110" s="37"/>
      <c r="N110" s="37"/>
    </row>
    <row r="111" spans="1:14" ht="47.25" customHeight="1" x14ac:dyDescent="0.25">
      <c r="A111" s="72" t="s">
        <v>161</v>
      </c>
      <c r="B111" s="72" t="s">
        <v>162</v>
      </c>
      <c r="C111" s="74" t="s">
        <v>66</v>
      </c>
      <c r="D111" s="74" t="s">
        <v>67</v>
      </c>
      <c r="E111" s="76" t="s">
        <v>68</v>
      </c>
      <c r="F111" s="34" t="s">
        <v>157</v>
      </c>
      <c r="G111" s="72" t="s">
        <v>69</v>
      </c>
      <c r="H111" s="78"/>
      <c r="I111" s="37"/>
    </row>
    <row r="112" spans="1:14" s="2" customFormat="1" x14ac:dyDescent="0.25">
      <c r="A112" s="73"/>
      <c r="B112" s="73"/>
      <c r="C112" s="75"/>
      <c r="D112" s="75"/>
      <c r="E112" s="77"/>
      <c r="F112" s="35">
        <v>0.55000000000000004</v>
      </c>
      <c r="G112" s="73"/>
      <c r="H112" s="79"/>
      <c r="I112" s="37"/>
    </row>
    <row r="113" spans="1:17" s="2" customFormat="1" x14ac:dyDescent="0.25">
      <c r="A113" s="64" t="s">
        <v>232</v>
      </c>
      <c r="B113" s="65"/>
      <c r="C113" s="65"/>
      <c r="D113" s="65"/>
      <c r="E113" s="65"/>
      <c r="F113" s="65"/>
      <c r="G113" s="65"/>
      <c r="H113" s="66"/>
    </row>
    <row r="114" spans="1:17" s="2" customFormat="1" x14ac:dyDescent="0.25">
      <c r="A114" s="64" t="s">
        <v>201</v>
      </c>
      <c r="B114" s="65"/>
      <c r="C114" s="65"/>
      <c r="D114" s="65"/>
      <c r="E114" s="65"/>
      <c r="F114" s="65"/>
      <c r="G114" s="65"/>
      <c r="H114" s="66"/>
    </row>
    <row r="115" spans="1:17" s="2" customFormat="1" ht="15.75" customHeight="1" x14ac:dyDescent="0.25">
      <c r="A115" s="64" t="s">
        <v>202</v>
      </c>
      <c r="B115" s="65"/>
      <c r="C115" s="65"/>
      <c r="D115" s="65"/>
      <c r="E115" s="65"/>
      <c r="F115" s="65"/>
      <c r="G115" s="65"/>
      <c r="H115" s="66"/>
    </row>
    <row r="116" spans="1:17" s="2" customFormat="1" ht="15.75" customHeight="1" x14ac:dyDescent="0.25">
      <c r="A116" s="64" t="s">
        <v>203</v>
      </c>
      <c r="B116" s="65"/>
      <c r="C116" s="65"/>
      <c r="D116" s="65"/>
      <c r="E116" s="65"/>
      <c r="F116" s="65"/>
      <c r="G116" s="65"/>
      <c r="H116" s="66"/>
    </row>
    <row r="117" spans="1:17" s="2" customFormat="1" ht="15.75" customHeight="1" x14ac:dyDescent="0.25">
      <c r="A117" s="64" t="s">
        <v>204</v>
      </c>
      <c r="B117" s="65"/>
      <c r="C117" s="65"/>
      <c r="D117" s="65"/>
      <c r="E117" s="65"/>
      <c r="F117" s="65"/>
      <c r="G117" s="65"/>
      <c r="H117" s="66"/>
    </row>
    <row r="118" spans="1:17" s="2" customFormat="1" ht="32.25" customHeight="1" x14ac:dyDescent="0.25">
      <c r="A118" s="64" t="s">
        <v>233</v>
      </c>
      <c r="B118" s="65"/>
      <c r="C118" s="65"/>
      <c r="D118" s="65"/>
      <c r="E118" s="65"/>
      <c r="F118" s="65"/>
      <c r="G118" s="65"/>
      <c r="H118" s="66"/>
      <c r="I118" s="37"/>
    </row>
    <row r="119" spans="1:17" s="2" customFormat="1" ht="15.75" customHeight="1" x14ac:dyDescent="0.25">
      <c r="A119" s="67" t="s">
        <v>214</v>
      </c>
      <c r="B119" s="68"/>
      <c r="C119" s="36" t="s">
        <v>205</v>
      </c>
      <c r="D119" s="36">
        <f>(3.05*5.215+1.02*2.645+1.915*1.402+2.855*2.402+3.05*3.5+3.5*3.2+2.135*1.415+2.135*1.415+2.13*1.08+0.6*(2+1.55)+0.75*(1.73+1.5+2.4+2.9))*10.764</f>
        <v>720.01623096000003</v>
      </c>
      <c r="E119" s="36">
        <v>0</v>
      </c>
      <c r="F119" s="36">
        <f t="shared" ref="F119:F123" si="6">D119*(($F$112)+1)+E119</f>
        <v>1116.025157988</v>
      </c>
      <c r="G119" s="138" t="str">
        <f>A118</f>
        <v>1st to 6th, 8th to 10th, 12th to 15th, 17th to 20th, 22nd to 25th &amp; 27th to 30th, 32nd to 35th, 37th to 40th, 42nd to 45th, 47th to 50th, 52nd to 55th Floor</v>
      </c>
      <c r="H119" s="140"/>
      <c r="I119" s="59" t="s">
        <v>241</v>
      </c>
      <c r="J119" s="60">
        <f>3.05*5.215+1.02*2.645+1.915*1.402+2.855*2.402+3.05*3.5+3.5*3.2+2.135*1.415+2.135*1.415+2.13*1.08</f>
        <v>58.363640000000011</v>
      </c>
      <c r="K119" s="60">
        <f>0.6*(2+1.55)</f>
        <v>2.13</v>
      </c>
      <c r="L119" s="60">
        <f>0.75*(1.73+1.5+2.4+2.9)</f>
        <v>6.3974999999999991</v>
      </c>
      <c r="M119" s="60">
        <f>L119+K119+J119</f>
        <v>66.891140000000007</v>
      </c>
      <c r="N119" s="60" t="str">
        <f t="shared" ref="N119:N124" ca="1" si="7">O119&amp;""&amp;",..,"&amp;""&amp;P119</f>
        <v>16801,..,5501</v>
      </c>
      <c r="O119" s="60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</f>
        <v>16801</v>
      </c>
      <c r="P119" s="60">
        <f ca="1">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5501</v>
      </c>
      <c r="Q119" s="60">
        <f>M119*10.764</f>
        <v>720.01623096000003</v>
      </c>
    </row>
    <row r="120" spans="1:17" s="2" customFormat="1" ht="15.75" customHeight="1" x14ac:dyDescent="0.25">
      <c r="A120" s="67" t="s">
        <v>215</v>
      </c>
      <c r="B120" s="68"/>
      <c r="C120" s="36" t="s">
        <v>205</v>
      </c>
      <c r="D120" s="36">
        <f>(3.05*5.215+1.02*2.645+1.915*1.402+2.855*2.402+3.05*3.5+3.5*3.2+2.135*1.415+2.135*1.415+2.13*1.08+0.6*(2+1.55)+0.75*(1.73+1.5+2.4+2.9))*10.764</f>
        <v>720.01623096000003</v>
      </c>
      <c r="E120" s="36">
        <v>0</v>
      </c>
      <c r="F120" s="36">
        <f t="shared" si="6"/>
        <v>1116.025157988</v>
      </c>
      <c r="G120" s="144"/>
      <c r="H120" s="145"/>
      <c r="I120" s="37">
        <f>10500000/F120</f>
        <v>9408.390057200575</v>
      </c>
      <c r="M120" s="2">
        <f>M119*10.764</f>
        <v>720.01623096000003</v>
      </c>
      <c r="N120" s="2" t="str">
        <f t="shared" ca="1" si="7"/>
        <v>16802,..,5502</v>
      </c>
      <c r="O120" s="2">
        <f t="shared" ref="O120:P123" ca="1" si="8">O119+1</f>
        <v>16802</v>
      </c>
      <c r="P120" s="2">
        <f t="shared" ca="1" si="8"/>
        <v>5502</v>
      </c>
    </row>
    <row r="121" spans="1:17" s="2" customFormat="1" ht="15.75" customHeight="1" x14ac:dyDescent="0.25">
      <c r="A121" s="67" t="s">
        <v>216</v>
      </c>
      <c r="B121" s="68"/>
      <c r="C121" s="36" t="s">
        <v>205</v>
      </c>
      <c r="D121" s="36">
        <f>(3.05*5.22+1.65*1.8+1.02*2.65+2.975*2.402+3.05*3.5+3.5*3.2+2.135*1.415+2.135*1.415+2.13*1.08+0.6*(1.55+2)+0.75*(2.402+1.5+2.9+1.73))*10.764</f>
        <v>726.42360959999996</v>
      </c>
      <c r="E121" s="36">
        <v>0</v>
      </c>
      <c r="F121" s="36">
        <f t="shared" si="6"/>
        <v>1125.95659488</v>
      </c>
      <c r="G121" s="144"/>
      <c r="H121" s="145"/>
      <c r="I121" s="37">
        <f>12500000/F121</f>
        <v>11101.67128718865</v>
      </c>
      <c r="N121" s="2" t="str">
        <f t="shared" ca="1" si="7"/>
        <v>16803,..,5503</v>
      </c>
      <c r="O121" s="2">
        <f t="shared" ca="1" si="8"/>
        <v>16803</v>
      </c>
      <c r="P121" s="2">
        <f t="shared" ca="1" si="8"/>
        <v>5503</v>
      </c>
    </row>
    <row r="122" spans="1:17" s="2" customFormat="1" ht="15.75" customHeight="1" x14ac:dyDescent="0.25">
      <c r="A122" s="67" t="s">
        <v>217</v>
      </c>
      <c r="B122" s="68"/>
      <c r="C122" s="36" t="s">
        <v>205</v>
      </c>
      <c r="D122" s="36">
        <f t="shared" ref="D122:D126" si="9">(3.05*5.22+1.65*1.8+1.02*2.65+2.975*2.402+3.05*3.5+3.5*3.2+2.135*1.415+2.135*1.415+2.13*1.08+0.6*(1.55+2)+0.75*(2.402+1.5+2.9+1.73))*10.764</f>
        <v>726.42360959999996</v>
      </c>
      <c r="E122" s="36">
        <v>0</v>
      </c>
      <c r="F122" s="36">
        <f t="shared" si="6"/>
        <v>1125.95659488</v>
      </c>
      <c r="G122" s="144"/>
      <c r="H122" s="145"/>
      <c r="I122" s="36">
        <f>(60.15+(1.75+1.52)*0.6+(2.6+2.39)*0.7)*10.764</f>
        <v>706.17222000000004</v>
      </c>
      <c r="J122" s="2">
        <f>3.05*5.215+1.165*1.8+1.02*2.645+2.975*2.402+3.05*3.5+3.5*3.2+2.135*1.415+2.135*1.415+2.13*1.08+2*0.6+1.5*0.6</f>
        <v>60.16405000000001</v>
      </c>
      <c r="K122" s="2">
        <f>(1.73+1.5+2.4021+3.1)*0.75</f>
        <v>6.5490749999999993</v>
      </c>
      <c r="L122" s="2">
        <f>J122+K122</f>
        <v>66.713125000000005</v>
      </c>
      <c r="M122" s="2">
        <f>60.15+(1.75+1.52)*0.6+(2.6+2.39)*0.7</f>
        <v>65.605000000000004</v>
      </c>
      <c r="N122" s="2" t="str">
        <f t="shared" ca="1" si="7"/>
        <v>16804,..,5504</v>
      </c>
      <c r="O122" s="2">
        <f t="shared" ca="1" si="8"/>
        <v>16804</v>
      </c>
      <c r="P122" s="2">
        <f t="shared" ca="1" si="8"/>
        <v>5504</v>
      </c>
    </row>
    <row r="123" spans="1:17" s="2" customFormat="1" ht="15.75" customHeight="1" x14ac:dyDescent="0.25">
      <c r="A123" s="67" t="s">
        <v>218</v>
      </c>
      <c r="B123" s="68"/>
      <c r="C123" s="36" t="s">
        <v>205</v>
      </c>
      <c r="D123" s="36">
        <f t="shared" si="9"/>
        <v>726.42360959999996</v>
      </c>
      <c r="E123" s="36">
        <v>0</v>
      </c>
      <c r="F123" s="36">
        <f t="shared" si="6"/>
        <v>1125.95659488</v>
      </c>
      <c r="G123" s="144"/>
      <c r="H123" s="145"/>
      <c r="I123" s="36">
        <f>(58.1+(1.75+1.52)*0.6+(2.39+2.6)*0.7)*10.764</f>
        <v>684.10602000000006</v>
      </c>
      <c r="J123" s="2">
        <f>(3.05*5.215+2.975*2.402+3.05*3.5+3.5*3.2+1.165*1.8+1.02*2.645+2.13*1.08+2.135*1.415*2+1.55*0.6+1*0.6)</f>
        <v>59.59405000000001</v>
      </c>
      <c r="K123" s="2">
        <f>(3.1+1.5+1.5+2.402)*0.75</f>
        <v>6.3764999999999992</v>
      </c>
      <c r="L123" s="2">
        <f>J123+K123</f>
        <v>65.970550000000003</v>
      </c>
      <c r="M123" s="2">
        <f>58.1+(1.75+1.52)*0.6+(2.39+2.6)*0.7</f>
        <v>63.555000000000007</v>
      </c>
      <c r="N123" s="2" t="str">
        <f t="shared" ca="1" si="7"/>
        <v>16805,..,5505</v>
      </c>
      <c r="O123" s="2">
        <f t="shared" ca="1" si="8"/>
        <v>16805</v>
      </c>
      <c r="P123" s="2">
        <f t="shared" ca="1" si="8"/>
        <v>5505</v>
      </c>
    </row>
    <row r="124" spans="1:17" s="2" customFormat="1" ht="15.75" customHeight="1" x14ac:dyDescent="0.25">
      <c r="A124" s="67" t="s">
        <v>219</v>
      </c>
      <c r="B124" s="68"/>
      <c r="C124" s="36" t="s">
        <v>205</v>
      </c>
      <c r="D124" s="36">
        <f t="shared" si="9"/>
        <v>726.42360959999996</v>
      </c>
      <c r="E124" s="36">
        <v>0</v>
      </c>
      <c r="F124" s="36">
        <f t="shared" ref="F124:F125" si="10">D124*(($F$112)+1)+E124</f>
        <v>1125.95659488</v>
      </c>
      <c r="G124" s="144"/>
      <c r="H124" s="145"/>
      <c r="I124" s="37"/>
      <c r="N124" s="2" t="str">
        <f t="shared" ca="1" si="7"/>
        <v>16806,..,5506</v>
      </c>
      <c r="O124" s="2">
        <f t="shared" ref="O124:P124" ca="1" si="11">O123+1</f>
        <v>16806</v>
      </c>
      <c r="P124" s="2">
        <f t="shared" ca="1" si="11"/>
        <v>5506</v>
      </c>
    </row>
    <row r="125" spans="1:17" s="2" customFormat="1" ht="15.75" customHeight="1" x14ac:dyDescent="0.25">
      <c r="A125" s="67" t="s">
        <v>220</v>
      </c>
      <c r="B125" s="68"/>
      <c r="C125" s="36" t="s">
        <v>205</v>
      </c>
      <c r="D125" s="36">
        <f t="shared" si="9"/>
        <v>726.42360959999996</v>
      </c>
      <c r="E125" s="36">
        <v>0</v>
      </c>
      <c r="F125" s="36">
        <f t="shared" si="10"/>
        <v>1125.95659488</v>
      </c>
      <c r="G125" s="144"/>
      <c r="H125" s="145"/>
      <c r="I125" s="37"/>
      <c r="N125" s="2" t="str">
        <f t="shared" ref="N125:N126" ca="1" si="12">O125&amp;""&amp;",..,"&amp;""&amp;P125</f>
        <v>16807,..,5507</v>
      </c>
      <c r="O125" s="2">
        <f t="shared" ref="O125:P125" ca="1" si="13">O124+1</f>
        <v>16807</v>
      </c>
      <c r="P125" s="2">
        <f t="shared" ca="1" si="13"/>
        <v>5507</v>
      </c>
    </row>
    <row r="126" spans="1:17" s="2" customFormat="1" ht="15.75" customHeight="1" x14ac:dyDescent="0.25">
      <c r="A126" s="67" t="s">
        <v>221</v>
      </c>
      <c r="B126" s="68"/>
      <c r="C126" s="36" t="s">
        <v>205</v>
      </c>
      <c r="D126" s="36">
        <f t="shared" si="9"/>
        <v>726.42360959999996</v>
      </c>
      <c r="E126" s="36">
        <v>0</v>
      </c>
      <c r="F126" s="36">
        <f t="shared" ref="F126" si="14">D126*(($F$112)+1)+E126</f>
        <v>1125.95659488</v>
      </c>
      <c r="G126" s="141"/>
      <c r="H126" s="143"/>
      <c r="I126" s="59" t="s">
        <v>242</v>
      </c>
      <c r="J126" s="60">
        <f>3.05*5.22+1.65*1.8+1.02*2.65+2.975*2.402+3.05*3.5+3.5*3.2+2.135*1.415+2.135*1.415+2.13*1.08</f>
        <v>58.957400000000007</v>
      </c>
      <c r="K126" s="60">
        <f>0.6*(1.55+2)</f>
        <v>2.13</v>
      </c>
      <c r="L126" s="60">
        <f>0.75*(2.402+1.5+2.9+1.73)</f>
        <v>6.399</v>
      </c>
      <c r="M126" s="60">
        <f>J126+K126+L126</f>
        <v>67.486400000000003</v>
      </c>
      <c r="N126" s="60" t="str">
        <f t="shared" ca="1" si="12"/>
        <v>16808,..,5508</v>
      </c>
      <c r="O126" s="60">
        <f t="shared" ref="O126:P126" ca="1" si="15">O125+1</f>
        <v>16808</v>
      </c>
      <c r="P126" s="60">
        <f t="shared" ca="1" si="15"/>
        <v>5508</v>
      </c>
      <c r="Q126" s="60">
        <f>M126*10.764</f>
        <v>726.42360959999996</v>
      </c>
    </row>
    <row r="127" spans="1:17" s="2" customFormat="1" ht="15.75" customHeight="1" x14ac:dyDescent="0.25">
      <c r="A127" s="64" t="s">
        <v>234</v>
      </c>
      <c r="B127" s="65"/>
      <c r="C127" s="65"/>
      <c r="D127" s="65"/>
      <c r="E127" s="65"/>
      <c r="F127" s="65"/>
      <c r="G127" s="65"/>
      <c r="H127" s="66"/>
      <c r="I127" s="37"/>
    </row>
    <row r="128" spans="1:17" s="2" customFormat="1" ht="15.75" customHeight="1" x14ac:dyDescent="0.25">
      <c r="A128" s="67" t="s">
        <v>206</v>
      </c>
      <c r="B128" s="68"/>
      <c r="C128" s="36" t="s">
        <v>205</v>
      </c>
      <c r="D128" s="36">
        <f>(3.05*5.215+1.02*2.645+1.915*1.402+2.855*2.402+3.05*3.5+3.5*3.2+2.135*1.415+2.135*1.415+2.13*1.08+0.6*(2+1.55)+0.75*(1.73+1.5+2.4+2.9))*10.764</f>
        <v>720.01623096000003</v>
      </c>
      <c r="E128" s="36">
        <v>0</v>
      </c>
      <c r="F128" s="36">
        <f t="shared" ref="F128:F135" si="16">D128*(($F$112)+1)+E128</f>
        <v>1116.025157988</v>
      </c>
      <c r="G128" s="138" t="str">
        <f>A127</f>
        <v>7th, 11th, 16th, 21st, 26th, 31st, 36th, 41th, 46th &amp; 51th Floor(Part refuge Area)</v>
      </c>
      <c r="H128" s="140"/>
      <c r="I128" s="37"/>
      <c r="N128" s="2" t="str">
        <f t="shared" ref="N128:N135" ca="1" si="17">O128&amp;""&amp;",..,"&amp;""&amp;P128</f>
        <v>71101,..,5101</v>
      </c>
      <c r="O128" s="2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</f>
        <v>71101</v>
      </c>
      <c r="P128" s="2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5101</v>
      </c>
    </row>
    <row r="129" spans="1:16" s="2" customFormat="1" ht="15.75" customHeight="1" x14ac:dyDescent="0.25">
      <c r="A129" s="67" t="s">
        <v>207</v>
      </c>
      <c r="B129" s="68"/>
      <c r="C129" s="36" t="s">
        <v>205</v>
      </c>
      <c r="D129" s="36">
        <f>(3.05*5.215+1.02*2.645+1.915*1.402+2.855*2.402+3.05*3.5+3.5*3.2+2.135*1.415+2.135*1.415+2.13*1.08+0.6*(2+1.55)+0.75*(1.73+1.5+2.4+2.9))*10.764</f>
        <v>720.01623096000003</v>
      </c>
      <c r="E129" s="36">
        <v>0</v>
      </c>
      <c r="F129" s="36">
        <f t="shared" si="16"/>
        <v>1116.025157988</v>
      </c>
      <c r="G129" s="144"/>
      <c r="H129" s="145"/>
      <c r="I129" s="37"/>
      <c r="N129" s="2" t="str">
        <f t="shared" ca="1" si="17"/>
        <v>71102,..,5102</v>
      </c>
      <c r="O129" s="2">
        <f t="shared" ref="O129:P129" ca="1" si="18">O128+1</f>
        <v>71102</v>
      </c>
      <c r="P129" s="2">
        <f t="shared" ca="1" si="18"/>
        <v>5102</v>
      </c>
    </row>
    <row r="130" spans="1:16" s="2" customFormat="1" ht="15.75" customHeight="1" x14ac:dyDescent="0.25">
      <c r="A130" s="67" t="s">
        <v>208</v>
      </c>
      <c r="B130" s="68"/>
      <c r="C130" s="36" t="s">
        <v>205</v>
      </c>
      <c r="D130" s="36">
        <f>(3.05*5.22+1.65*1.8+1.02*2.65+2.975*2.402+3.05*3.5+3.5*3.2+2.135*1.415+2.135*1.415+2.13*1.08+0.6*(1.55+2)+0.75*(2.402+1.5+2.9+1.73))*10.764</f>
        <v>726.42360959999996</v>
      </c>
      <c r="E130" s="36">
        <v>0</v>
      </c>
      <c r="F130" s="36">
        <f t="shared" si="16"/>
        <v>1125.95659488</v>
      </c>
      <c r="G130" s="144"/>
      <c r="H130" s="145"/>
      <c r="I130" s="37"/>
      <c r="N130" s="2" t="str">
        <f t="shared" ca="1" si="17"/>
        <v>71103,..,5103</v>
      </c>
      <c r="O130" s="2">
        <f t="shared" ref="O130:P130" ca="1" si="19">O129+1</f>
        <v>71103</v>
      </c>
      <c r="P130" s="2">
        <f t="shared" ca="1" si="19"/>
        <v>5103</v>
      </c>
    </row>
    <row r="131" spans="1:16" s="2" customFormat="1" ht="15.75" customHeight="1" x14ac:dyDescent="0.25">
      <c r="A131" s="67" t="s">
        <v>209</v>
      </c>
      <c r="B131" s="68"/>
      <c r="C131" s="36" t="s">
        <v>205</v>
      </c>
      <c r="D131" s="36">
        <f t="shared" ref="D131" si="20">(3.05*5.22+1.65*1.8+1.02*2.65+2.975*2.402+3.05*3.5+3.5*3.2+2.135*1.415+2.135*1.415+2.13*1.08+0.6*(1.55+2)+0.75*(2.402+1.5+2.9+1.73))*10.764</f>
        <v>726.42360959999996</v>
      </c>
      <c r="E131" s="36">
        <v>0</v>
      </c>
      <c r="F131" s="36">
        <f t="shared" si="16"/>
        <v>1125.95659488</v>
      </c>
      <c r="G131" s="144"/>
      <c r="H131" s="145"/>
      <c r="I131" s="37"/>
      <c r="N131" s="2" t="str">
        <f t="shared" ca="1" si="17"/>
        <v>71104,..,5104</v>
      </c>
      <c r="O131" s="2">
        <f t="shared" ref="O131:P131" ca="1" si="21">O130+1</f>
        <v>71104</v>
      </c>
      <c r="P131" s="2">
        <f t="shared" ca="1" si="21"/>
        <v>5104</v>
      </c>
    </row>
    <row r="132" spans="1:16" s="2" customFormat="1" ht="15.75" customHeight="1" x14ac:dyDescent="0.25">
      <c r="A132" s="67" t="s">
        <v>210</v>
      </c>
      <c r="B132" s="68"/>
      <c r="C132" s="138" t="s">
        <v>235</v>
      </c>
      <c r="D132" s="139"/>
      <c r="E132" s="139"/>
      <c r="F132" s="140"/>
      <c r="G132" s="144"/>
      <c r="H132" s="145"/>
      <c r="I132" s="37"/>
      <c r="N132" s="2" t="str">
        <f t="shared" ca="1" si="17"/>
        <v>71105,..,5105</v>
      </c>
      <c r="O132" s="2">
        <f t="shared" ref="O132:P132" ca="1" si="22">O131+1</f>
        <v>71105</v>
      </c>
      <c r="P132" s="2">
        <f t="shared" ca="1" si="22"/>
        <v>5105</v>
      </c>
    </row>
    <row r="133" spans="1:16" s="2" customFormat="1" ht="15.75" customHeight="1" x14ac:dyDescent="0.25">
      <c r="A133" s="67" t="s">
        <v>211</v>
      </c>
      <c r="B133" s="68"/>
      <c r="C133" s="141"/>
      <c r="D133" s="142"/>
      <c r="E133" s="142"/>
      <c r="F133" s="143"/>
      <c r="G133" s="144"/>
      <c r="H133" s="145"/>
      <c r="I133" s="37"/>
      <c r="N133" s="2" t="str">
        <f t="shared" ca="1" si="17"/>
        <v>71106,..,5106</v>
      </c>
      <c r="O133" s="2">
        <f t="shared" ref="O133:P133" ca="1" si="23">O132+1</f>
        <v>71106</v>
      </c>
      <c r="P133" s="2">
        <f t="shared" ca="1" si="23"/>
        <v>5106</v>
      </c>
    </row>
    <row r="134" spans="1:16" s="2" customFormat="1" ht="15.75" customHeight="1" x14ac:dyDescent="0.25">
      <c r="A134" s="67" t="s">
        <v>212</v>
      </c>
      <c r="B134" s="68"/>
      <c r="C134" s="36" t="s">
        <v>205</v>
      </c>
      <c r="D134" s="36">
        <f>(3.05*5.22+1.65*1.8+1.02*2.65+2.975*2.402+3.05*3.5+3.5*3.2+2.135*1.415+2.135*1.415+2.13*1.08+0.6*(1.55+2)+0.75*(2.402+1.5+2.9+1.73))*10.764</f>
        <v>726.42360959999996</v>
      </c>
      <c r="E134" s="36">
        <v>0</v>
      </c>
      <c r="F134" s="36">
        <f t="shared" si="16"/>
        <v>1125.95659488</v>
      </c>
      <c r="G134" s="144"/>
      <c r="H134" s="145"/>
      <c r="I134" s="37"/>
      <c r="N134" s="2" t="str">
        <f t="shared" ca="1" si="17"/>
        <v>71107,..,5107</v>
      </c>
      <c r="O134" s="2">
        <f t="shared" ref="O134:P134" ca="1" si="24">O133+1</f>
        <v>71107</v>
      </c>
      <c r="P134" s="2">
        <f t="shared" ca="1" si="24"/>
        <v>5107</v>
      </c>
    </row>
    <row r="135" spans="1:16" s="2" customFormat="1" ht="15.75" customHeight="1" x14ac:dyDescent="0.25">
      <c r="A135" s="67" t="s">
        <v>213</v>
      </c>
      <c r="B135" s="68"/>
      <c r="C135" s="36" t="s">
        <v>205</v>
      </c>
      <c r="D135" s="36">
        <f t="shared" ref="D135" si="25">(3.05*5.22+1.65*1.8+1.02*2.65+2.975*2.402+3.05*3.5+3.5*3.2+2.135*1.415+2.135*1.415+2.13*1.08+0.6*(1.55+2)+0.75*(2.402+1.5+2.9+1.73))*10.764</f>
        <v>726.42360959999996</v>
      </c>
      <c r="E135" s="36">
        <v>0</v>
      </c>
      <c r="F135" s="36">
        <f t="shared" si="16"/>
        <v>1125.95659488</v>
      </c>
      <c r="G135" s="141"/>
      <c r="H135" s="143"/>
      <c r="I135" s="37"/>
      <c r="N135" s="2" t="str">
        <f t="shared" ca="1" si="17"/>
        <v>71108,..,5108</v>
      </c>
      <c r="O135" s="2">
        <f t="shared" ref="O135:P135" ca="1" si="26">O134+1</f>
        <v>71108</v>
      </c>
      <c r="P135" s="2">
        <f t="shared" ca="1" si="26"/>
        <v>5108</v>
      </c>
    </row>
    <row r="136" spans="1:16" s="1" customFormat="1" x14ac:dyDescent="0.25">
      <c r="A136" s="137" t="s">
        <v>77</v>
      </c>
      <c r="B136" s="137"/>
      <c r="C136" s="137"/>
      <c r="D136" s="137"/>
      <c r="E136" s="137"/>
      <c r="F136" s="137"/>
      <c r="G136" s="137"/>
      <c r="H136" s="137"/>
    </row>
    <row r="137" spans="1:16" s="1" customFormat="1" x14ac:dyDescent="0.25">
      <c r="A137" s="51">
        <v>1</v>
      </c>
      <c r="B137" s="134" t="s">
        <v>258</v>
      </c>
      <c r="C137" s="135"/>
      <c r="D137" s="135"/>
      <c r="E137" s="135"/>
      <c r="F137" s="135"/>
      <c r="G137" s="135"/>
      <c r="H137" s="136"/>
    </row>
    <row r="138" spans="1:16" s="1" customFormat="1" x14ac:dyDescent="0.25">
      <c r="A138" s="51">
        <f>A137+1</f>
        <v>2</v>
      </c>
      <c r="B138" s="134" t="s">
        <v>222</v>
      </c>
      <c r="C138" s="135"/>
      <c r="D138" s="135"/>
      <c r="E138" s="135"/>
      <c r="F138" s="135"/>
      <c r="G138" s="135"/>
      <c r="H138" s="136"/>
    </row>
    <row r="139" spans="1:16" s="1" customFormat="1" x14ac:dyDescent="0.25">
      <c r="A139" s="51">
        <f t="shared" ref="A139:A144" si="27">A138+1</f>
        <v>3</v>
      </c>
      <c r="B139" s="134" t="s">
        <v>166</v>
      </c>
      <c r="C139" s="135"/>
      <c r="D139" s="135"/>
      <c r="E139" s="135"/>
      <c r="F139" s="135"/>
      <c r="G139" s="135"/>
      <c r="H139" s="136"/>
    </row>
    <row r="140" spans="1:16" s="1" customFormat="1" x14ac:dyDescent="0.25">
      <c r="A140" s="51">
        <f t="shared" si="27"/>
        <v>4</v>
      </c>
      <c r="B140" s="134" t="s">
        <v>230</v>
      </c>
      <c r="C140" s="135"/>
      <c r="D140" s="135"/>
      <c r="E140" s="135"/>
      <c r="F140" s="135"/>
      <c r="G140" s="135"/>
      <c r="H140" s="136"/>
    </row>
    <row r="141" spans="1:16" s="1" customFormat="1" ht="33" customHeight="1" x14ac:dyDescent="0.25">
      <c r="A141" s="51">
        <f>A139+1</f>
        <v>4</v>
      </c>
      <c r="B141" s="134" t="s">
        <v>245</v>
      </c>
      <c r="C141" s="135"/>
      <c r="D141" s="135"/>
      <c r="E141" s="135"/>
      <c r="F141" s="135"/>
      <c r="G141" s="135"/>
      <c r="H141" s="136"/>
    </row>
    <row r="142" spans="1:16" s="1" customFormat="1" x14ac:dyDescent="0.25">
      <c r="A142" s="51">
        <f>A140+1</f>
        <v>5</v>
      </c>
      <c r="B142" s="134" t="s">
        <v>167</v>
      </c>
      <c r="C142" s="135"/>
      <c r="D142" s="135"/>
      <c r="E142" s="135"/>
      <c r="F142" s="135"/>
      <c r="G142" s="135"/>
      <c r="H142" s="136"/>
    </row>
    <row r="143" spans="1:16" s="1" customFormat="1" x14ac:dyDescent="0.25">
      <c r="A143" s="51">
        <f t="shared" si="27"/>
        <v>6</v>
      </c>
      <c r="B143" s="134" t="s">
        <v>168</v>
      </c>
      <c r="C143" s="135"/>
      <c r="D143" s="135"/>
      <c r="E143" s="135"/>
      <c r="F143" s="135"/>
      <c r="G143" s="135"/>
      <c r="H143" s="136"/>
    </row>
    <row r="144" spans="1:16" s="1" customFormat="1" x14ac:dyDescent="0.25">
      <c r="A144" s="51">
        <f t="shared" si="27"/>
        <v>7</v>
      </c>
      <c r="B144" s="134" t="s">
        <v>244</v>
      </c>
      <c r="C144" s="135"/>
      <c r="D144" s="135"/>
      <c r="E144" s="135"/>
      <c r="F144" s="135"/>
      <c r="G144" s="135"/>
      <c r="H144" s="136"/>
    </row>
    <row r="145" spans="1:8" x14ac:dyDescent="0.25">
      <c r="A145" s="119" t="s">
        <v>70</v>
      </c>
      <c r="B145" s="119"/>
      <c r="C145" s="119"/>
      <c r="D145" s="119"/>
      <c r="E145" s="119"/>
      <c r="F145" s="119"/>
      <c r="G145" s="119"/>
      <c r="H145" s="119"/>
    </row>
    <row r="146" spans="1:8" x14ac:dyDescent="0.25">
      <c r="A146" s="90" t="s">
        <v>71</v>
      </c>
      <c r="B146" s="90"/>
      <c r="C146" s="90"/>
      <c r="D146" s="90"/>
      <c r="E146" s="90"/>
      <c r="F146" s="90"/>
      <c r="G146" s="90"/>
      <c r="H146" s="90"/>
    </row>
    <row r="147" spans="1:8" ht="15.75" customHeight="1" x14ac:dyDescent="0.25">
      <c r="A147" s="133" t="s">
        <v>72</v>
      </c>
      <c r="B147" s="133"/>
      <c r="C147" s="133"/>
      <c r="D147" s="133"/>
      <c r="E147" s="133"/>
      <c r="F147" s="133"/>
      <c r="G147" s="133"/>
      <c r="H147" s="133"/>
    </row>
    <row r="148" spans="1:8" x14ac:dyDescent="0.25">
      <c r="A148" s="90" t="s">
        <v>73</v>
      </c>
      <c r="B148" s="90"/>
      <c r="C148" s="90"/>
      <c r="D148" s="90"/>
      <c r="E148" s="90"/>
      <c r="F148" s="90"/>
      <c r="G148" s="90"/>
      <c r="H148" s="90"/>
    </row>
    <row r="149" spans="1:8" x14ac:dyDescent="0.25">
      <c r="A149" s="90" t="s">
        <v>74</v>
      </c>
      <c r="B149" s="90"/>
      <c r="C149" s="90"/>
      <c r="D149" s="90"/>
      <c r="E149" s="90"/>
      <c r="F149" s="90"/>
      <c r="G149" s="90"/>
      <c r="H149" s="90"/>
    </row>
    <row r="150" spans="1:8" x14ac:dyDescent="0.25">
      <c r="A150" s="90" t="s">
        <v>169</v>
      </c>
      <c r="B150" s="90"/>
      <c r="C150" s="90"/>
      <c r="D150" s="90"/>
      <c r="E150" s="90"/>
      <c r="F150" s="90"/>
      <c r="G150" s="90"/>
      <c r="H150" s="90"/>
    </row>
    <row r="151" spans="1:8" ht="35.25" customHeight="1" x14ac:dyDescent="0.25">
      <c r="A151" s="111" t="s">
        <v>170</v>
      </c>
      <c r="B151" s="111"/>
      <c r="C151" s="111"/>
      <c r="D151" s="111"/>
      <c r="E151" s="111"/>
      <c r="F151" s="111"/>
      <c r="G151" s="111"/>
      <c r="H151" s="111"/>
    </row>
    <row r="152" spans="1:8" x14ac:dyDescent="0.25">
      <c r="A152" s="132" t="s">
        <v>110</v>
      </c>
      <c r="B152" s="132"/>
      <c r="C152" s="132" t="s">
        <v>256</v>
      </c>
      <c r="D152" s="132"/>
      <c r="E152" s="132" t="s">
        <v>143</v>
      </c>
      <c r="F152" s="132"/>
      <c r="G152" s="132" t="s">
        <v>257</v>
      </c>
      <c r="H152" s="132"/>
    </row>
    <row r="153" spans="1:8" x14ac:dyDescent="0.25">
      <c r="A153" s="131" t="s">
        <v>112</v>
      </c>
      <c r="B153" s="131"/>
      <c r="C153" s="131"/>
      <c r="D153" s="131"/>
      <c r="E153" s="131"/>
      <c r="F153" s="131"/>
      <c r="G153" s="131"/>
      <c r="H153" s="131"/>
    </row>
    <row r="154" spans="1:8" x14ac:dyDescent="0.25">
      <c r="A154" s="131"/>
      <c r="B154" s="131"/>
      <c r="C154" s="131"/>
      <c r="D154" s="131"/>
      <c r="E154" s="131"/>
      <c r="F154" s="131"/>
      <c r="G154" s="131"/>
      <c r="H154" s="131"/>
    </row>
    <row r="155" spans="1:8" x14ac:dyDescent="0.25">
      <c r="A155" s="131"/>
      <c r="B155" s="131"/>
      <c r="C155" s="131"/>
      <c r="D155" s="131"/>
      <c r="E155" s="131"/>
      <c r="F155" s="131"/>
      <c r="G155" s="131"/>
      <c r="H155" s="131"/>
    </row>
    <row r="156" spans="1:8" x14ac:dyDescent="0.25">
      <c r="A156" s="131"/>
      <c r="B156" s="131"/>
      <c r="C156" s="131"/>
      <c r="D156" s="131"/>
      <c r="E156" s="131"/>
      <c r="F156" s="131"/>
      <c r="G156" s="131"/>
      <c r="H156" s="131"/>
    </row>
    <row r="157" spans="1:8" x14ac:dyDescent="0.25">
      <c r="A157" s="14" t="s">
        <v>75</v>
      </c>
      <c r="B157" s="15"/>
      <c r="C157" s="15"/>
      <c r="D157" s="14" t="str">
        <f>E8</f>
        <v>Parkwoods D5</v>
      </c>
      <c r="F157" s="15"/>
      <c r="G157" s="15"/>
      <c r="H157" s="15"/>
    </row>
    <row r="158" spans="1:8" x14ac:dyDescent="0.25">
      <c r="A158" s="15"/>
      <c r="B158" s="15"/>
      <c r="C158" s="15"/>
      <c r="D158" s="15"/>
      <c r="E158" s="15"/>
      <c r="F158" s="15"/>
      <c r="G158" s="15"/>
      <c r="H158" s="15"/>
    </row>
    <row r="159" spans="1:8" x14ac:dyDescent="0.25">
      <c r="A159" s="15"/>
      <c r="B159" s="15"/>
      <c r="C159" s="15"/>
      <c r="D159" s="15"/>
      <c r="E159" s="15"/>
      <c r="F159" s="15"/>
      <c r="G159" s="15"/>
      <c r="H159" s="15"/>
    </row>
    <row r="160" spans="1:8" ht="15" customHeight="1" x14ac:dyDescent="0.25"/>
    <row r="200" spans="1:1" x14ac:dyDescent="0.25">
      <c r="A200" s="17" t="s">
        <v>76</v>
      </c>
    </row>
  </sheetData>
  <mergeCells count="283">
    <mergeCell ref="A69:B69"/>
    <mergeCell ref="A59:C59"/>
    <mergeCell ref="D59:H59"/>
    <mergeCell ref="C63:H63"/>
    <mergeCell ref="A39:D39"/>
    <mergeCell ref="C45:E45"/>
    <mergeCell ref="G45:H45"/>
    <mergeCell ref="G47:H47"/>
    <mergeCell ref="D53:H53"/>
    <mergeCell ref="C47:E47"/>
    <mergeCell ref="A56:C56"/>
    <mergeCell ref="D56:H56"/>
    <mergeCell ref="C46:E46"/>
    <mergeCell ref="A51:B51"/>
    <mergeCell ref="C51:E51"/>
    <mergeCell ref="A66:B66"/>
    <mergeCell ref="A68:B68"/>
    <mergeCell ref="E64:F64"/>
    <mergeCell ref="A64:B64"/>
    <mergeCell ref="A67:B67"/>
    <mergeCell ref="A65:B65"/>
    <mergeCell ref="G64:H64"/>
    <mergeCell ref="A63:B63"/>
    <mergeCell ref="A61:B61"/>
    <mergeCell ref="G94:H94"/>
    <mergeCell ref="A93:B93"/>
    <mergeCell ref="F86:H86"/>
    <mergeCell ref="C93:D93"/>
    <mergeCell ref="F82:H82"/>
    <mergeCell ref="F89:H89"/>
    <mergeCell ref="F87:H87"/>
    <mergeCell ref="G93:H93"/>
    <mergeCell ref="E94:F94"/>
    <mergeCell ref="A72:B72"/>
    <mergeCell ref="A75:E75"/>
    <mergeCell ref="F75:H75"/>
    <mergeCell ref="F81:H81"/>
    <mergeCell ref="A92:H92"/>
    <mergeCell ref="A90:E90"/>
    <mergeCell ref="F90:H90"/>
    <mergeCell ref="A91:E91"/>
    <mergeCell ref="F91:H91"/>
    <mergeCell ref="A88:E88"/>
    <mergeCell ref="F85:H85"/>
    <mergeCell ref="A79:E79"/>
    <mergeCell ref="C77:H77"/>
    <mergeCell ref="F80:H80"/>
    <mergeCell ref="A80:E80"/>
    <mergeCell ref="A89:E89"/>
    <mergeCell ref="A81:E81"/>
    <mergeCell ref="A76:H76"/>
    <mergeCell ref="A77:B77"/>
    <mergeCell ref="A78:H78"/>
    <mergeCell ref="A70:B70"/>
    <mergeCell ref="F79:H79"/>
    <mergeCell ref="A107:B107"/>
    <mergeCell ref="E97:F97"/>
    <mergeCell ref="G97:H97"/>
    <mergeCell ref="A120:B120"/>
    <mergeCell ref="B111:B112"/>
    <mergeCell ref="A118:H118"/>
    <mergeCell ref="A114:H114"/>
    <mergeCell ref="A115:H115"/>
    <mergeCell ref="A116:H116"/>
    <mergeCell ref="A117:H117"/>
    <mergeCell ref="C97:D97"/>
    <mergeCell ref="A103:B103"/>
    <mergeCell ref="A104:B104"/>
    <mergeCell ref="A105:B105"/>
    <mergeCell ref="A106:B106"/>
    <mergeCell ref="A113:H113"/>
    <mergeCell ref="G119:H126"/>
    <mergeCell ref="A126:B126"/>
    <mergeCell ref="A102:H102"/>
    <mergeCell ref="E100:E101"/>
    <mergeCell ref="G100:H101"/>
    <mergeCell ref="D111:D112"/>
    <mergeCell ref="B144:H144"/>
    <mergeCell ref="B137:H137"/>
    <mergeCell ref="B138:H138"/>
    <mergeCell ref="B139:H139"/>
    <mergeCell ref="B140:H140"/>
    <mergeCell ref="B142:H142"/>
    <mergeCell ref="A136:H136"/>
    <mergeCell ref="A130:B130"/>
    <mergeCell ref="A131:B131"/>
    <mergeCell ref="A132:B132"/>
    <mergeCell ref="C132:F133"/>
    <mergeCell ref="B143:H143"/>
    <mergeCell ref="G128:H135"/>
    <mergeCell ref="B141:H141"/>
    <mergeCell ref="A153:H156"/>
    <mergeCell ref="A152:B152"/>
    <mergeCell ref="E152:F152"/>
    <mergeCell ref="C152:D152"/>
    <mergeCell ref="G152:H152"/>
    <mergeCell ref="A151:H151"/>
    <mergeCell ref="A149:H149"/>
    <mergeCell ref="A145:H145"/>
    <mergeCell ref="A146:H146"/>
    <mergeCell ref="A148:H148"/>
    <mergeCell ref="A150:H150"/>
    <mergeCell ref="A147:H147"/>
    <mergeCell ref="C61:H61"/>
    <mergeCell ref="A10:D10"/>
    <mergeCell ref="E10:H10"/>
    <mergeCell ref="E19:H20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45:B45"/>
    <mergeCell ref="A46:B46"/>
    <mergeCell ref="A14:B14"/>
    <mergeCell ref="A11:D11"/>
    <mergeCell ref="E11:H11"/>
    <mergeCell ref="A12:D12"/>
    <mergeCell ref="E12:H12"/>
    <mergeCell ref="A13:B13"/>
    <mergeCell ref="C13:H13"/>
    <mergeCell ref="C14:H14"/>
    <mergeCell ref="A60:C60"/>
    <mergeCell ref="D60:H60"/>
    <mergeCell ref="A52:H52"/>
    <mergeCell ref="A53:C53"/>
    <mergeCell ref="A54:C54"/>
    <mergeCell ref="D54:H54"/>
    <mergeCell ref="G51:H51"/>
    <mergeCell ref="C48:H48"/>
    <mergeCell ref="A49:B50"/>
    <mergeCell ref="C49:E49"/>
    <mergeCell ref="G49:H49"/>
    <mergeCell ref="C50:H50"/>
    <mergeCell ref="A36:B36"/>
    <mergeCell ref="C36:H36"/>
    <mergeCell ref="A37:H37"/>
    <mergeCell ref="E39:H39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:D20"/>
    <mergeCell ref="E23:H23"/>
    <mergeCell ref="A25:D25"/>
    <mergeCell ref="E25:H25"/>
    <mergeCell ref="A22:D22"/>
    <mergeCell ref="E22:H22"/>
    <mergeCell ref="A26:D26"/>
    <mergeCell ref="E26:H26"/>
    <mergeCell ref="A23:D23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F33:H33"/>
    <mergeCell ref="A32:B32"/>
    <mergeCell ref="C32:E32"/>
    <mergeCell ref="F32:H32"/>
    <mergeCell ref="A38:D38"/>
    <mergeCell ref="E38:H38"/>
    <mergeCell ref="A57:C57"/>
    <mergeCell ref="A58:C58"/>
    <mergeCell ref="D57:H57"/>
    <mergeCell ref="E65:F74"/>
    <mergeCell ref="G65:H74"/>
    <mergeCell ref="A73:B73"/>
    <mergeCell ref="A74:B74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5:H55"/>
    <mergeCell ref="A55:C55"/>
    <mergeCell ref="G46:H46"/>
    <mergeCell ref="A47:B48"/>
    <mergeCell ref="A71:B71"/>
    <mergeCell ref="C96:D96"/>
    <mergeCell ref="G96:H96"/>
    <mergeCell ref="E93:F93"/>
    <mergeCell ref="A98:H98"/>
    <mergeCell ref="F88:H88"/>
    <mergeCell ref="D100:D101"/>
    <mergeCell ref="A82:E82"/>
    <mergeCell ref="A84:E84"/>
    <mergeCell ref="F84:H84"/>
    <mergeCell ref="A85:E85"/>
    <mergeCell ref="A87:E87"/>
    <mergeCell ref="A86:E86"/>
    <mergeCell ref="A83:E83"/>
    <mergeCell ref="F83:H83"/>
    <mergeCell ref="A97:B97"/>
    <mergeCell ref="A94:B94"/>
    <mergeCell ref="A95:H95"/>
    <mergeCell ref="C100:C101"/>
    <mergeCell ref="C94:D94"/>
    <mergeCell ref="A96:B96"/>
    <mergeCell ref="B100:B101"/>
    <mergeCell ref="A100:A101"/>
    <mergeCell ref="E96:F96"/>
    <mergeCell ref="A99:H99"/>
    <mergeCell ref="L109:M109"/>
    <mergeCell ref="L108:M108"/>
    <mergeCell ref="G105:H105"/>
    <mergeCell ref="G103:H103"/>
    <mergeCell ref="G109:H109"/>
    <mergeCell ref="G108:H108"/>
    <mergeCell ref="G104:H104"/>
    <mergeCell ref="G107:H107"/>
    <mergeCell ref="G106:H106"/>
    <mergeCell ref="L107:M107"/>
    <mergeCell ref="L106:M106"/>
    <mergeCell ref="L105:M105"/>
    <mergeCell ref="L104:M104"/>
    <mergeCell ref="L103:M103"/>
    <mergeCell ref="A127:H127"/>
    <mergeCell ref="A128:B128"/>
    <mergeCell ref="A129:B129"/>
    <mergeCell ref="A108:B108"/>
    <mergeCell ref="A109:B109"/>
    <mergeCell ref="A135:B135"/>
    <mergeCell ref="A133:B133"/>
    <mergeCell ref="A134:B134"/>
    <mergeCell ref="A125:B125"/>
    <mergeCell ref="A110:H110"/>
    <mergeCell ref="A111:A112"/>
    <mergeCell ref="A124:B124"/>
    <mergeCell ref="A123:B123"/>
    <mergeCell ref="A122:B122"/>
    <mergeCell ref="A119:B119"/>
    <mergeCell ref="C111:C112"/>
    <mergeCell ref="A121:B121"/>
    <mergeCell ref="E111:E112"/>
    <mergeCell ref="G111:H112"/>
  </mergeCells>
  <phoneticPr fontId="23" type="noConversion"/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&amp;P</oddFooter>
  </headerFooter>
  <rowBreaks count="4" manualBreakCount="4">
    <brk id="36" max="16383" man="1"/>
    <brk id="135" max="16383" man="1"/>
    <brk id="156" max="16383" man="1"/>
    <brk id="19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C22" sqref="C22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78</v>
      </c>
      <c r="C2" s="162"/>
      <c r="D2" s="162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79</v>
      </c>
      <c r="B4" s="5" t="s">
        <v>80</v>
      </c>
      <c r="C4" s="163" t="s">
        <v>81</v>
      </c>
      <c r="D4" s="163"/>
      <c r="E4" s="163"/>
      <c r="F4" s="6"/>
      <c r="G4" s="163" t="s">
        <v>82</v>
      </c>
      <c r="H4" s="163"/>
      <c r="I4" s="163"/>
      <c r="J4" s="163" t="s">
        <v>83</v>
      </c>
      <c r="K4" s="163"/>
      <c r="L4" s="163"/>
    </row>
    <row r="5" spans="1:12" x14ac:dyDescent="0.25">
      <c r="A5" s="3">
        <v>202</v>
      </c>
      <c r="B5" s="5"/>
      <c r="C5" s="5" t="s">
        <v>84</v>
      </c>
      <c r="D5" s="5" t="s">
        <v>85</v>
      </c>
      <c r="E5" s="5" t="s">
        <v>62</v>
      </c>
      <c r="F5" s="5"/>
      <c r="G5" s="5" t="s">
        <v>84</v>
      </c>
      <c r="H5" s="5" t="s">
        <v>85</v>
      </c>
      <c r="I5" s="5" t="s">
        <v>62</v>
      </c>
      <c r="J5" s="5" t="s">
        <v>84</v>
      </c>
      <c r="K5" s="5" t="s">
        <v>85</v>
      </c>
      <c r="L5" s="5" t="s">
        <v>62</v>
      </c>
    </row>
    <row r="6" spans="1:12" x14ac:dyDescent="0.25">
      <c r="B6" s="7" t="s">
        <v>86</v>
      </c>
      <c r="C6" s="7"/>
      <c r="D6" s="7"/>
      <c r="E6" s="7">
        <f>C6*D6</f>
        <v>0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89</v>
      </c>
      <c r="C9" s="7"/>
      <c r="D9" s="7"/>
      <c r="E9" s="7">
        <f t="shared" si="0"/>
        <v>0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92</v>
      </c>
      <c r="C23" s="7"/>
      <c r="D23" s="7"/>
      <c r="E23" s="7">
        <f t="shared" si="0"/>
        <v>0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63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2"/>
    <col min="2" max="2" width="22.140625" style="22" customWidth="1"/>
    <col min="3" max="3" width="37" style="22" customWidth="1"/>
    <col min="4" max="5" width="11.42578125" style="22" customWidth="1"/>
    <col min="6" max="6" width="14" style="22" customWidth="1"/>
    <col min="7" max="7" width="20" style="22" customWidth="1"/>
    <col min="8" max="8" width="16.42578125" style="22" customWidth="1"/>
    <col min="9" max="16384" width="8.7109375" style="22"/>
  </cols>
  <sheetData>
    <row r="1" spans="1:9" ht="15" customHeight="1" x14ac:dyDescent="0.25"/>
    <row r="2" spans="1:9" ht="15" customHeight="1" x14ac:dyDescent="0.2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25">
      <c r="A3" s="23"/>
      <c r="B3" s="164" t="s">
        <v>144</v>
      </c>
      <c r="C3" s="164"/>
      <c r="D3" s="164"/>
      <c r="E3" s="164"/>
      <c r="F3" s="164"/>
      <c r="G3" s="164"/>
      <c r="H3" s="164"/>
    </row>
    <row r="4" spans="1:9" x14ac:dyDescent="0.25">
      <c r="A4" s="23"/>
      <c r="B4" s="24" t="s">
        <v>145</v>
      </c>
      <c r="C4" s="24" t="s">
        <v>146</v>
      </c>
      <c r="D4" s="24" t="s">
        <v>79</v>
      </c>
      <c r="E4" s="24" t="s">
        <v>147</v>
      </c>
      <c r="F4" s="24" t="s">
        <v>154</v>
      </c>
      <c r="G4" s="24" t="s">
        <v>155</v>
      </c>
      <c r="H4" s="24" t="s">
        <v>148</v>
      </c>
    </row>
    <row r="5" spans="1:9" ht="15" customHeight="1" x14ac:dyDescent="0.25">
      <c r="A5" s="23"/>
      <c r="B5" s="26" t="s">
        <v>149</v>
      </c>
      <c r="C5" s="27"/>
      <c r="D5" s="26" t="s">
        <v>150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25">
      <c r="A6" s="23"/>
      <c r="B6" s="26" t="s">
        <v>149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25">
      <c r="A7" s="23"/>
      <c r="B7" s="26" t="s">
        <v>149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25">
      <c r="A8" s="23"/>
      <c r="B8" s="26" t="s">
        <v>149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25">
      <c r="A9" s="23"/>
      <c r="B9" s="26" t="s">
        <v>149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25">
      <c r="A10" s="23"/>
      <c r="B10" s="26" t="s">
        <v>151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25">
      <c r="A11" s="23"/>
      <c r="B11" s="26" t="s">
        <v>151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25">
      <c r="A12" s="23"/>
      <c r="B12" s="31" t="s">
        <v>152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25">
      <c r="B13" s="31" t="s">
        <v>153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2025-07-13T11:38:58Z</cp:lastPrinted>
  <dcterms:created xsi:type="dcterms:W3CDTF">2019-07-16T09:29:46Z</dcterms:created>
  <dcterms:modified xsi:type="dcterms:W3CDTF">2025-07-13T11:39:42Z</dcterms:modified>
</cp:coreProperties>
</file>