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July 25\Dump\"/>
    </mc:Choice>
  </mc:AlternateContent>
  <xr:revisionPtr revIDLastSave="0" documentId="13_ncr:1_{E2E3EA27-8394-4485-AC8E-69A7F3DC2E71}" xr6:coauthVersionLast="36" xr6:coauthVersionMax="36" xr10:uidLastSave="{00000000-0000-0000-0000-000000000000}"/>
  <bookViews>
    <workbookView xWindow="0" yWindow="0" windowWidth="20490" windowHeight="71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2" i="1" l="1"/>
  <c r="F122" i="1" s="1"/>
  <c r="D121" i="1"/>
  <c r="F121" i="1" s="1"/>
  <c r="I95" i="1" s="1"/>
  <c r="D120" i="1"/>
  <c r="D119" i="1"/>
  <c r="D118" i="1"/>
  <c r="D117" i="1"/>
  <c r="J120" i="1"/>
  <c r="I120" i="1"/>
  <c r="I117" i="1"/>
  <c r="D112" i="1"/>
  <c r="F112" i="1" s="1"/>
  <c r="D111" i="1"/>
  <c r="F111" i="1" s="1"/>
  <c r="D110" i="1"/>
  <c r="F110" i="1" s="1"/>
  <c r="D109" i="1"/>
  <c r="F109" i="1" s="1"/>
  <c r="D108" i="1"/>
  <c r="D107" i="1"/>
  <c r="D106" i="1"/>
  <c r="D105" i="1"/>
  <c r="I108" i="1"/>
  <c r="I106" i="1"/>
  <c r="I105" i="1"/>
  <c r="E98" i="1" l="1"/>
  <c r="C95" i="1"/>
  <c r="C98" i="1"/>
  <c r="E95" i="1"/>
  <c r="D59" i="1"/>
  <c r="E29" i="1"/>
  <c r="B125" i="1"/>
  <c r="C65" i="1"/>
  <c r="B66" i="1" s="1"/>
  <c r="E24" i="1"/>
  <c r="E99" i="1" l="1"/>
  <c r="C99" i="1"/>
  <c r="E26" i="1"/>
  <c r="C14" i="1"/>
  <c r="E42" i="1" l="1"/>
  <c r="E43" i="1" s="1"/>
  <c r="F118" i="1" l="1"/>
  <c r="F119" i="1"/>
  <c r="F120" i="1"/>
  <c r="F117" i="1"/>
  <c r="A118" i="1"/>
  <c r="A119" i="1" s="1"/>
  <c r="A120" i="1" s="1"/>
  <c r="A121" i="1" s="1"/>
  <c r="A122" i="1" s="1"/>
  <c r="G117" i="1"/>
  <c r="G98" i="1" l="1"/>
  <c r="F92" i="1"/>
  <c r="F106" i="1" l="1"/>
  <c r="F107" i="1"/>
  <c r="F108" i="1"/>
  <c r="F105" i="1"/>
  <c r="G95" i="1" l="1"/>
  <c r="G99" i="1" s="1"/>
  <c r="B12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45" i="1"/>
  <c r="A106" i="1"/>
  <c r="A107" i="1" s="1"/>
  <c r="A108" i="1" s="1"/>
  <c r="G105" i="1"/>
  <c r="D54" i="1"/>
  <c r="C49" i="1"/>
  <c r="C50" i="1" s="1"/>
  <c r="E7" i="1"/>
  <c r="E3" i="1"/>
  <c r="H66" i="1"/>
  <c r="A109" i="1" l="1"/>
  <c r="A110" i="1" s="1"/>
  <c r="A111" i="1" s="1"/>
  <c r="A112" i="1" s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3" i="1" l="1"/>
  <c r="J74" i="1" s="1"/>
  <c r="J75" i="1" s="1"/>
  <c r="J76" i="1" s="1"/>
  <c r="D71" i="1"/>
  <c r="J67" i="1"/>
  <c r="D69" i="1"/>
  <c r="J78" i="1" l="1"/>
  <c r="C70" i="1" s="1"/>
  <c r="G69" i="1" s="1"/>
  <c r="D63" i="1" l="1"/>
  <c r="D64" i="1" s="1"/>
  <c r="J66" i="1"/>
  <c r="D70" i="1"/>
  <c r="I66" i="1" s="1"/>
  <c r="E69" i="1"/>
  <c r="F64" i="1" l="1"/>
  <c r="I67" i="1"/>
  <c r="I65" i="1" s="1"/>
  <c r="C67" i="1" s="1"/>
</calcChain>
</file>

<file path=xl/sharedStrings.xml><?xml version="1.0" encoding="utf-8"?>
<sst xmlns="http://schemas.openxmlformats.org/spreadsheetml/2006/main" count="272" uniqueCount="217">
  <si>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</si>
  <si>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</si>
  <si>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</si>
  <si>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</si>
  <si>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</si>
  <si>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</si>
  <si>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</si>
  <si>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</si>
  <si>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</si>
  <si>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</si>
  <si>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</si>
  <si>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</si>
  <si>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</si>
  <si>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</si>
  <si>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</si>
  <si>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</si>
  <si>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</si>
  <si>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</si>
  <si>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</si>
  <si>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</si>
  <si>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</si>
  <si>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</si>
  <si>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</si>
  <si>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</si>
  <si>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</si>
  <si>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</si>
  <si>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</si>
  <si>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</si>
  <si>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</si>
  <si>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</si>
  <si>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</si>
  <si>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</si>
  <si>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</si>
  <si>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</si>
  <si>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</si>
  <si>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</si>
  <si>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</si>
  <si>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</si>
  <si>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</si>
  <si>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</si>
  <si>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</si>
  <si>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</si>
  <si>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</si>
  <si>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</si>
  <si>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</si>
  <si>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</si>
  <si>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</si>
  <si>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</si>
  <si>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</si>
  <si>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</si>
  <si>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</si>
  <si>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</si>
  <si>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</si>
  <si>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</si>
  <si>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</si>
  <si>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</si>
  <si>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</si>
  <si>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</si>
  <si>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</si>
  <si>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</si>
  <si>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</si>
  <si>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</si>
  <si>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</si>
  <si>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</si>
  <si>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</si>
  <si>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</si>
  <si>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</si>
  <si>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</si>
  <si>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</si>
  <si>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</si>
  <si>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</si>
  <si>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</si>
  <si>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</si>
  <si>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</si>
  <si>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</si>
  <si>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</si>
  <si>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</si>
  <si>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</si>
  <si>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</si>
  <si>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</si>
  <si>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</si>
  <si>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</si>
  <si>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</si>
  <si>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</si>
  <si>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</si>
  <si>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</si>
  <si>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</si>
  <si>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</si>
  <si>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</si>
  <si>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</si>
  <si>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</si>
  <si>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</si>
  <si>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</si>
  <si>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</si>
  <si>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</si>
  <si>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</si>
  <si>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</si>
  <si>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</si>
  <si>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</si>
  <si>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</si>
  <si>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</si>
  <si>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</si>
  <si>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</si>
  <si>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</si>
  <si>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</si>
  <si>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</si>
  <si>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</si>
  <si>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</si>
  <si>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</si>
  <si>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</si>
  <si>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</si>
  <si>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</si>
  <si>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</si>
  <si>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</si>
  <si>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</si>
  <si>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</si>
  <si>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</si>
  <si>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</si>
  <si>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</si>
  <si>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</si>
  <si>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</si>
  <si>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</si>
  <si>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</si>
  <si>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</si>
  <si>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</si>
  <si>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</si>
  <si>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</si>
  <si>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</si>
  <si>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</si>
  <si>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</si>
  <si>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</si>
  <si>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</si>
  <si>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</si>
  <si>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</si>
  <si>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</si>
  <si>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</si>
  <si>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</si>
  <si>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</si>
  <si>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</si>
  <si>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</si>
  <si>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</si>
  <si>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</si>
  <si>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</si>
  <si>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</si>
  <si>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</si>
  <si>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</si>
  <si>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</si>
  <si>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</si>
  <si>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</si>
  <si>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</si>
  <si>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</si>
  <si>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</si>
  <si>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</si>
  <si>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</si>
  <si>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</si>
  <si>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</si>
  <si>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</si>
  <si>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</si>
  <si>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</si>
  <si>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</si>
  <si>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</si>
  <si>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</si>
  <si>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</si>
  <si>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</si>
  <si>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</si>
  <si>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</si>
  <si>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</si>
  <si>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</si>
  <si>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</si>
  <si>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</si>
  <si>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</si>
  <si>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</si>
  <si>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</si>
  <si>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</si>
  <si>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</si>
  <si>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</si>
  <si>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Sanpada</t>
  </si>
  <si>
    <t>Alibag Skyvistas</t>
  </si>
  <si>
    <t>Acorp</t>
  </si>
  <si>
    <t>01Building</t>
  </si>
  <si>
    <t>Approved Plans, CC, Sale Plans, Cost Sheet</t>
  </si>
  <si>
    <t>P52000033126</t>
  </si>
  <si>
    <t>CTS</t>
  </si>
  <si>
    <t>Alibag</t>
  </si>
  <si>
    <t>Raigad</t>
  </si>
  <si>
    <t>Alibag Municipal Council</t>
  </si>
  <si>
    <t>G + 1st to 6th Floor</t>
  </si>
  <si>
    <t>As per RERA - 31/12/2027</t>
  </si>
  <si>
    <t>Shop</t>
  </si>
  <si>
    <t>Ground + Mezzanine Floor For Entrance Lobby, Commercial &amp; Parking</t>
  </si>
  <si>
    <t>1st to 6th Floor For Residential</t>
  </si>
  <si>
    <t>1BHK</t>
  </si>
  <si>
    <t>2BHK</t>
  </si>
  <si>
    <t>We considered Gross carpet area = Net carpet + Enclose balcony + E.P Area.</t>
  </si>
  <si>
    <t>Flats</t>
  </si>
  <si>
    <t>Flats - 36, Shops - 08</t>
  </si>
  <si>
    <t>https://goo.gl/maps/tKHo6gKY5YtA7DaZ7</t>
  </si>
  <si>
    <t>Dr.Tiwari Hospital</t>
  </si>
  <si>
    <t>Shri Sadgurukrupa Medical &amp; General Stores</t>
  </si>
  <si>
    <t>Raghukul Apartments</t>
  </si>
  <si>
    <t>Ramnath Road</t>
  </si>
  <si>
    <t>Talkar Nagar</t>
  </si>
  <si>
    <t>0.600 KM from Alibag Bus Stand</t>
  </si>
  <si>
    <t>Cost sheet</t>
  </si>
  <si>
    <t xml:space="preserve">Ashmedha &amp; Alibag Skyvista </t>
  </si>
  <si>
    <t>2.4KM</t>
  </si>
  <si>
    <t>other charges can be added</t>
  </si>
  <si>
    <t>Water, MSEB, Development Charges</t>
  </si>
  <si>
    <t>3800 to 4000&amp; other charges</t>
  </si>
  <si>
    <t>rushikesh</t>
  </si>
  <si>
    <t>cost sheet</t>
  </si>
  <si>
    <t>Mr. Varun Ajmera - 9870087874</t>
  </si>
  <si>
    <t>18.650175,72.871663</t>
  </si>
  <si>
    <t>Mr. Brijesh 9554084617</t>
  </si>
  <si>
    <t>Meter Work &amp; Gate work is pending.
Construction work is in process at the time of Visit (Slow Speed).</t>
  </si>
  <si>
    <t>Gaurav Panchal</t>
  </si>
  <si>
    <t>Nitesh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</si>
</sst>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8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5.png"/><Relationship Id="rId1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86591</xdr:colOff>
      <xdr:row>188</xdr:row>
      <xdr:rowOff>17318</xdr:rowOff>
    </xdr:from>
    <xdr:to>
      <xdr:col>5</xdr:col>
      <xdr:colOff>683445</xdr:colOff>
      <xdr:row>202</xdr:row>
      <xdr:rowOff>109092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45227" y="41684863"/>
          <a:ext cx="3168604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187585</xdr:colOff>
      <xdr:row>203</xdr:row>
      <xdr:rowOff>28419</xdr:rowOff>
    </xdr:from>
    <xdr:to>
      <xdr:col>5</xdr:col>
      <xdr:colOff>593782</xdr:colOff>
      <xdr:row>217</xdr:row>
      <xdr:rowOff>120191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46221" y="44683351"/>
          <a:ext cx="2977947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395381</xdr:colOff>
      <xdr:row>245</xdr:row>
      <xdr:rowOff>126096</xdr:rowOff>
    </xdr:from>
    <xdr:to>
      <xdr:col>6</xdr:col>
      <xdr:colOff>325843</xdr:colOff>
      <xdr:row>260</xdr:row>
      <xdr:rowOff>18711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7381" y="52397639"/>
          <a:ext cx="4080049" cy="2874354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390788</xdr:colOff>
      <xdr:row>230</xdr:row>
      <xdr:rowOff>25225</xdr:rowOff>
    </xdr:from>
    <xdr:to>
      <xdr:col>6</xdr:col>
      <xdr:colOff>325843</xdr:colOff>
      <xdr:row>244</xdr:row>
      <xdr:rowOff>117000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2788" y="49315029"/>
          <a:ext cx="4084642" cy="287473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900546</xdr:colOff>
      <xdr:row>251</xdr:row>
      <xdr:rowOff>34638</xdr:rowOff>
    </xdr:from>
    <xdr:to>
      <xdr:col>4</xdr:col>
      <xdr:colOff>441614</xdr:colOff>
      <xdr:row>253</xdr:row>
      <xdr:rowOff>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20215742">
          <a:off x="3307773" y="54838024"/>
          <a:ext cx="484909" cy="363682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280036</xdr:colOff>
      <xdr:row>146</xdr:row>
      <xdr:rowOff>22861</xdr:rowOff>
    </xdr:from>
    <xdr:to>
      <xdr:col>13</xdr:col>
      <xdr:colOff>805816</xdr:colOff>
      <xdr:row>184</xdr:row>
      <xdr:rowOff>190501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6804661" y="30636211"/>
          <a:ext cx="5726430" cy="7759065"/>
          <a:chOff x="296102" y="123698"/>
          <a:chExt cx="6118719" cy="8835195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385781" y="123698"/>
            <a:ext cx="5939360" cy="3845341"/>
            <a:chOff x="296102" y="123698"/>
            <a:chExt cx="5939360" cy="3845341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96102" y="123698"/>
              <a:ext cx="2880000" cy="3845341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55462" y="123698"/>
              <a:ext cx="2880000" cy="3845341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296102" y="4123966"/>
            <a:ext cx="6118719" cy="2520000"/>
            <a:chOff x="296102" y="4123966"/>
            <a:chExt cx="6118719" cy="252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96102" y="4123966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11774" y="4123966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27446" y="4123966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/>
        </xdr:nvGrpSpPr>
        <xdr:grpSpPr>
          <a:xfrm>
            <a:off x="716824" y="6798893"/>
            <a:ext cx="5277274" cy="2160000"/>
            <a:chOff x="867922" y="6798893"/>
            <a:chExt cx="5277274" cy="216000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67922" y="6798893"/>
              <a:ext cx="161775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13969" y="6798893"/>
              <a:ext cx="161775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27446" y="6798893"/>
              <a:ext cx="1617750" cy="2160000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8</xdr:col>
      <xdr:colOff>504825</xdr:colOff>
      <xdr:row>145</xdr:row>
      <xdr:rowOff>171450</xdr:rowOff>
    </xdr:from>
    <xdr:to>
      <xdr:col>15</xdr:col>
      <xdr:colOff>180975</xdr:colOff>
      <xdr:row>184</xdr:row>
      <xdr:rowOff>4175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C2D3BC6D-6814-421B-8264-C8DC064052A0}"/>
            </a:ext>
          </a:extLst>
        </xdr:cNvPr>
        <xdr:cNvGrpSpPr/>
      </xdr:nvGrpSpPr>
      <xdr:grpSpPr>
        <a:xfrm>
          <a:off x="7029450" y="30584775"/>
          <a:ext cx="6372225" cy="7624175"/>
          <a:chOff x="95250" y="30470475"/>
          <a:chExt cx="6372225" cy="7624175"/>
        </a:xfrm>
      </xdr:grpSpPr>
      <xdr:pic>
        <xdr:nvPicPr>
          <xdr:cNvPr id="20" name="Picture 19" descr="https://vsjcllp.vsjadon.com/upload/insp-226020-1525.jpg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181600" y="36371414"/>
            <a:ext cx="1285875" cy="171688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26020-843.jpg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90499" y="30470475"/>
            <a:ext cx="3010475" cy="4019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26020-845.jpg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57450" y="36371414"/>
            <a:ext cx="1285875" cy="171688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26020-847.jpg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19525" y="36371414"/>
            <a:ext cx="1285875" cy="171688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26020-849.jpg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36377766"/>
            <a:ext cx="2285999" cy="171688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26020-861.jp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95649" y="30470475"/>
            <a:ext cx="3010475" cy="4019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26020-1022.jpg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19525" y="34575749"/>
            <a:ext cx="1282460" cy="17123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26020-928.jp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66975" y="34575749"/>
            <a:ext cx="1282460" cy="17123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26020-925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181600" y="34575749"/>
            <a:ext cx="1282460" cy="17123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26020-871.jpg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4776" y="34575749"/>
            <a:ext cx="2279928" cy="17123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171449</xdr:colOff>
      <xdr:row>145</xdr:row>
      <xdr:rowOff>114299</xdr:rowOff>
    </xdr:from>
    <xdr:to>
      <xdr:col>7</xdr:col>
      <xdr:colOff>619124</xdr:colOff>
      <xdr:row>183</xdr:row>
      <xdr:rowOff>190499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0D3F014E-A890-46A7-87C4-600C9CC79327}"/>
            </a:ext>
          </a:extLst>
        </xdr:cNvPr>
        <xdr:cNvGrpSpPr/>
      </xdr:nvGrpSpPr>
      <xdr:grpSpPr>
        <a:xfrm>
          <a:off x="171449" y="30527624"/>
          <a:ext cx="6143625" cy="7667625"/>
          <a:chOff x="-87622" y="299882"/>
          <a:chExt cx="6740624" cy="8453306"/>
        </a:xfrm>
      </xdr:grpSpPr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7A9DC14E-F37A-4FA0-9ED0-4E5A569C25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2035" y="299882"/>
            <a:ext cx="2291813" cy="30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6E37C209-EE32-4F87-B603-FB799349A1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42101" y="306992"/>
            <a:ext cx="2291813" cy="30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85300DB0-60D4-48D7-B4F6-557E56BEB9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7013" y="3539351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C94EDE56-5FD9-405F-9967-C93C44464F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5537" y="3539351"/>
            <a:ext cx="23966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86793D71-2B9F-4689-8F84-4BA3745241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02310" y="3539351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B56656FE-F098-4F00-8CD3-80953B8635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96002" y="5527357"/>
            <a:ext cx="2157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C97B3C-3379-4DFA-A4C2-175EE868A9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21431" y="7312268"/>
            <a:ext cx="1917333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7EC800CF-74D9-4A98-83F4-118B68CB68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87622" y="5527357"/>
            <a:ext cx="2157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83F978FA-A795-42E2-83A9-15A5FCA442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60727" y="7313188"/>
            <a:ext cx="1078500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BCB2D715-35A5-4BEE-877B-D8372A972A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61190" y="7313188"/>
            <a:ext cx="1078500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1976620F-7338-4304-93B8-4E345E97BD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04190" y="5527357"/>
            <a:ext cx="2157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tKHo6gKY5YtA7DaZ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29"/>
  <sheetViews>
    <sheetView tabSelected="1" view="pageBreakPreview" zoomScaleNormal="100" zoomScaleSheetLayoutView="100" workbookViewId="0">
      <selection activeCell="C18" sqref="C18:D18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32.85546875" style="21" customWidth="1"/>
    <col min="10" max="10" width="11.42578125" style="21" customWidth="1"/>
    <col min="11" max="11" width="11.285156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30" t="s">
        <v>171</v>
      </c>
      <c r="B1" s="130"/>
      <c r="C1" s="130"/>
      <c r="D1" s="130"/>
      <c r="E1" s="130"/>
      <c r="F1" s="130"/>
      <c r="G1" s="130"/>
      <c r="H1" s="130"/>
    </row>
    <row r="2" spans="1:8" ht="16.5" customHeight="1" x14ac:dyDescent="0.25">
      <c r="A2" s="131" t="s">
        <v>0</v>
      </c>
      <c r="B2" s="131"/>
      <c r="C2" s="131"/>
      <c r="D2" s="131"/>
      <c r="E2" s="131"/>
      <c r="F2" s="131"/>
      <c r="G2" s="131"/>
      <c r="H2" s="131"/>
    </row>
    <row r="3" spans="1:8" x14ac:dyDescent="0.25">
      <c r="A3" s="91" t="s">
        <v>1</v>
      </c>
      <c r="B3" s="91"/>
      <c r="C3" s="91"/>
      <c r="D3" s="91"/>
      <c r="E3" s="91" t="str">
        <f ca="1">TEXT(TODAY(),"DD/MM/YYYY")</f>
        <v>14/07/2025</v>
      </c>
      <c r="F3" s="91"/>
      <c r="G3" s="91"/>
      <c r="H3" s="91"/>
    </row>
    <row r="4" spans="1:8" x14ac:dyDescent="0.25">
      <c r="A4" s="91" t="s">
        <v>2</v>
      </c>
      <c r="B4" s="91"/>
      <c r="C4" s="91"/>
      <c r="D4" s="91"/>
      <c r="E4" s="91" t="s">
        <v>176</v>
      </c>
      <c r="F4" s="91"/>
      <c r="G4" s="91"/>
      <c r="H4" s="91"/>
    </row>
    <row r="5" spans="1:8" x14ac:dyDescent="0.25">
      <c r="A5" s="91" t="s">
        <v>3</v>
      </c>
      <c r="B5" s="91"/>
      <c r="C5" s="91"/>
      <c r="D5" s="91"/>
      <c r="E5" s="129">
        <v>45850</v>
      </c>
      <c r="F5" s="91"/>
      <c r="G5" s="91"/>
      <c r="H5" s="91"/>
    </row>
    <row r="6" spans="1:8" ht="16.5" customHeight="1" x14ac:dyDescent="0.25">
      <c r="A6" s="91" t="s">
        <v>4</v>
      </c>
      <c r="B6" s="91"/>
      <c r="C6" s="91"/>
      <c r="D6" s="91"/>
      <c r="E6" s="91" t="s">
        <v>178</v>
      </c>
      <c r="F6" s="91"/>
      <c r="G6" s="91"/>
      <c r="H6" s="91"/>
    </row>
    <row r="7" spans="1:8" ht="15" customHeight="1" x14ac:dyDescent="0.25">
      <c r="A7" s="91" t="s">
        <v>5</v>
      </c>
      <c r="B7" s="91"/>
      <c r="C7" s="91"/>
      <c r="D7" s="91"/>
      <c r="E7" s="91" t="str">
        <f>E6</f>
        <v>Acorp</v>
      </c>
      <c r="F7" s="91"/>
      <c r="G7" s="91"/>
      <c r="H7" s="91"/>
    </row>
    <row r="8" spans="1:8" x14ac:dyDescent="0.25">
      <c r="A8" s="91" t="s">
        <v>6</v>
      </c>
      <c r="B8" s="91"/>
      <c r="C8" s="91"/>
      <c r="D8" s="91"/>
      <c r="E8" s="122" t="s">
        <v>177</v>
      </c>
      <c r="F8" s="123"/>
      <c r="G8" s="123"/>
      <c r="H8" s="124"/>
    </row>
    <row r="9" spans="1:8" x14ac:dyDescent="0.25">
      <c r="A9" s="91" t="s">
        <v>174</v>
      </c>
      <c r="B9" s="91"/>
      <c r="C9" s="91"/>
      <c r="D9" s="91"/>
      <c r="E9" s="91" t="s">
        <v>211</v>
      </c>
      <c r="F9" s="91"/>
      <c r="G9" s="91"/>
      <c r="H9" s="91"/>
    </row>
    <row r="10" spans="1:8" x14ac:dyDescent="0.25">
      <c r="A10" s="91" t="s">
        <v>175</v>
      </c>
      <c r="B10" s="91"/>
      <c r="C10" s="91"/>
      <c r="D10" s="91"/>
      <c r="E10" s="91" t="s">
        <v>213</v>
      </c>
      <c r="F10" s="91"/>
      <c r="G10" s="91"/>
      <c r="H10" s="91"/>
    </row>
    <row r="11" spans="1:8" x14ac:dyDescent="0.25">
      <c r="A11" s="91" t="s">
        <v>7</v>
      </c>
      <c r="B11" s="91"/>
      <c r="C11" s="91"/>
      <c r="D11" s="91"/>
      <c r="E11" s="91" t="s">
        <v>179</v>
      </c>
      <c r="F11" s="91"/>
      <c r="G11" s="91"/>
      <c r="H11" s="91"/>
    </row>
    <row r="12" spans="1:8" x14ac:dyDescent="0.25">
      <c r="A12" s="70" t="s">
        <v>8</v>
      </c>
      <c r="B12" s="70"/>
      <c r="C12" s="70"/>
      <c r="D12" s="70"/>
      <c r="E12" s="110" t="s">
        <v>180</v>
      </c>
      <c r="F12" s="110"/>
      <c r="G12" s="110"/>
      <c r="H12" s="110"/>
    </row>
    <row r="13" spans="1:8" x14ac:dyDescent="0.25">
      <c r="A13" s="70" t="s">
        <v>9</v>
      </c>
      <c r="B13" s="70"/>
      <c r="C13" s="70"/>
      <c r="D13" s="70"/>
      <c r="E13" s="110" t="s">
        <v>181</v>
      </c>
      <c r="F13" s="91"/>
      <c r="G13" s="91"/>
      <c r="H13" s="91"/>
    </row>
    <row r="14" spans="1:8" ht="35.25" customHeight="1" x14ac:dyDescent="0.25">
      <c r="A14" s="99" t="s">
        <v>10</v>
      </c>
      <c r="B14" s="99"/>
      <c r="C14" s="99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Alibag Skyvistas, CTS.1252, near Dr.Tiwari Hospital, Ramnath Road, Talkar Nagar, Alibag, Alibag, Alibag, Raigad - 402201.</v>
      </c>
      <c r="D14" s="99"/>
      <c r="E14" s="99"/>
      <c r="F14" s="99"/>
      <c r="G14" s="99"/>
      <c r="H14" s="99"/>
    </row>
    <row r="15" spans="1:8" x14ac:dyDescent="0.25">
      <c r="A15" s="110" t="s">
        <v>182</v>
      </c>
      <c r="B15" s="110"/>
      <c r="C15" s="110">
        <v>1252</v>
      </c>
      <c r="D15" s="110"/>
      <c r="E15" s="110"/>
      <c r="F15" s="110"/>
      <c r="G15" s="110"/>
      <c r="H15" s="110"/>
    </row>
    <row r="16" spans="1:8" ht="15.75" customHeight="1" x14ac:dyDescent="0.25">
      <c r="A16" s="110" t="s">
        <v>169</v>
      </c>
      <c r="B16" s="110"/>
      <c r="C16" s="110" t="s">
        <v>201</v>
      </c>
      <c r="D16" s="110"/>
      <c r="E16" s="110"/>
      <c r="F16" s="110"/>
      <c r="G16" s="110"/>
      <c r="H16" s="110"/>
    </row>
    <row r="17" spans="1:8" ht="15.75" customHeight="1" x14ac:dyDescent="0.25">
      <c r="A17" s="99" t="s">
        <v>11</v>
      </c>
      <c r="B17" s="99"/>
      <c r="C17" s="91" t="s">
        <v>200</v>
      </c>
      <c r="D17" s="91"/>
      <c r="E17" s="99" t="s">
        <v>75</v>
      </c>
      <c r="F17" s="99"/>
      <c r="G17" s="110" t="s">
        <v>183</v>
      </c>
      <c r="H17" s="110"/>
    </row>
    <row r="18" spans="1:8" x14ac:dyDescent="0.25">
      <c r="A18" s="70" t="s">
        <v>13</v>
      </c>
      <c r="B18" s="70"/>
      <c r="C18" s="110" t="s">
        <v>183</v>
      </c>
      <c r="D18" s="110"/>
      <c r="E18" s="99" t="s">
        <v>12</v>
      </c>
      <c r="F18" s="99"/>
      <c r="G18" s="132" t="s">
        <v>184</v>
      </c>
      <c r="H18" s="132"/>
    </row>
    <row r="19" spans="1:8" x14ac:dyDescent="0.25">
      <c r="A19" s="70" t="s">
        <v>76</v>
      </c>
      <c r="B19" s="70"/>
      <c r="C19" s="110" t="s">
        <v>183</v>
      </c>
      <c r="D19" s="110"/>
      <c r="E19" s="99" t="s">
        <v>14</v>
      </c>
      <c r="F19" s="99"/>
      <c r="G19" s="110">
        <v>402201</v>
      </c>
      <c r="H19" s="110"/>
    </row>
    <row r="20" spans="1:8" ht="32.25" customHeight="1" x14ac:dyDescent="0.25">
      <c r="A20" s="70" t="s">
        <v>127</v>
      </c>
      <c r="B20" s="70"/>
      <c r="C20" s="110" t="s">
        <v>197</v>
      </c>
      <c r="D20" s="110"/>
      <c r="E20" s="99" t="s">
        <v>15</v>
      </c>
      <c r="F20" s="99"/>
      <c r="G20" s="110" t="s">
        <v>202</v>
      </c>
      <c r="H20" s="110"/>
    </row>
    <row r="21" spans="1:8" ht="15" customHeight="1" x14ac:dyDescent="0.25">
      <c r="A21" s="99" t="s">
        <v>79</v>
      </c>
      <c r="B21" s="99"/>
      <c r="C21" s="99"/>
      <c r="D21" s="99"/>
      <c r="E21" s="91" t="s">
        <v>16</v>
      </c>
      <c r="F21" s="91"/>
      <c r="G21" s="91"/>
      <c r="H21" s="91"/>
    </row>
    <row r="22" spans="1:8" ht="18.75" customHeight="1" x14ac:dyDescent="0.25">
      <c r="A22" s="99"/>
      <c r="B22" s="99"/>
      <c r="C22" s="99"/>
      <c r="D22" s="99"/>
      <c r="E22" s="91"/>
      <c r="F22" s="91"/>
      <c r="G22" s="91"/>
      <c r="H22" s="91"/>
    </row>
    <row r="23" spans="1:8" ht="15" customHeight="1" x14ac:dyDescent="0.25">
      <c r="A23" s="99" t="s">
        <v>17</v>
      </c>
      <c r="B23" s="99"/>
      <c r="C23" s="99"/>
      <c r="D23" s="99"/>
      <c r="E23" s="110" t="s">
        <v>18</v>
      </c>
      <c r="F23" s="110"/>
      <c r="G23" s="110"/>
      <c r="H23" s="110"/>
    </row>
    <row r="24" spans="1:8" ht="15" customHeight="1" x14ac:dyDescent="0.25">
      <c r="A24" s="70" t="s">
        <v>19</v>
      </c>
      <c r="B24" s="70"/>
      <c r="C24" s="70"/>
      <c r="D24" s="70"/>
      <c r="E24" s="110" t="str">
        <f>IF(AND(G18="Mumbai"),"Upper Class","Middle Class")</f>
        <v>Middle Class</v>
      </c>
      <c r="F24" s="110"/>
      <c r="G24" s="110"/>
      <c r="H24" s="110"/>
    </row>
    <row r="25" spans="1:8" x14ac:dyDescent="0.25">
      <c r="A25" s="70" t="s">
        <v>20</v>
      </c>
      <c r="B25" s="70"/>
      <c r="C25" s="70"/>
      <c r="D25" s="70"/>
      <c r="E25" s="110" t="s">
        <v>21</v>
      </c>
      <c r="F25" s="110"/>
      <c r="G25" s="110"/>
      <c r="H25" s="110"/>
    </row>
    <row r="26" spans="1:8" ht="15.75" customHeight="1" x14ac:dyDescent="0.25">
      <c r="A26" s="70" t="s">
        <v>22</v>
      </c>
      <c r="B26" s="70"/>
      <c r="C26" s="70"/>
      <c r="D26" s="70"/>
      <c r="E26" s="110" t="str">
        <f>IF(AND(G18="Mumbai"),"Developed","Developing")</f>
        <v>Developing</v>
      </c>
      <c r="F26" s="110"/>
      <c r="G26" s="110"/>
      <c r="H26" s="110"/>
    </row>
    <row r="27" spans="1:8" x14ac:dyDescent="0.25">
      <c r="A27" s="70" t="s">
        <v>23</v>
      </c>
      <c r="B27" s="70"/>
      <c r="C27" s="70"/>
      <c r="D27" s="70"/>
      <c r="E27" s="110" t="s">
        <v>24</v>
      </c>
      <c r="F27" s="110"/>
      <c r="G27" s="110"/>
      <c r="H27" s="110"/>
    </row>
    <row r="28" spans="1:8" ht="15.75" customHeight="1" x14ac:dyDescent="0.25">
      <c r="A28" s="70" t="s">
        <v>84</v>
      </c>
      <c r="B28" s="70"/>
      <c r="C28" s="70"/>
      <c r="D28" s="70"/>
      <c r="E28" s="110" t="s">
        <v>85</v>
      </c>
      <c r="F28" s="110"/>
      <c r="G28" s="110"/>
      <c r="H28" s="110"/>
    </row>
    <row r="29" spans="1:8" ht="15" customHeight="1" x14ac:dyDescent="0.25">
      <c r="A29" s="70" t="s">
        <v>33</v>
      </c>
      <c r="B29" s="70"/>
      <c r="C29" s="70"/>
      <c r="D29" s="70"/>
      <c r="E29" s="11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10"/>
      <c r="G29" s="110"/>
      <c r="H29" s="110"/>
    </row>
    <row r="30" spans="1:8" ht="15.75" customHeight="1" x14ac:dyDescent="0.25">
      <c r="A30" s="70" t="s">
        <v>96</v>
      </c>
      <c r="B30" s="70"/>
      <c r="C30" s="70"/>
      <c r="D30" s="70"/>
      <c r="E30" s="110" t="s">
        <v>34</v>
      </c>
      <c r="F30" s="110"/>
      <c r="G30" s="110"/>
      <c r="H30" s="110"/>
    </row>
    <row r="31" spans="1:8" s="22" customFormat="1" x14ac:dyDescent="0.25">
      <c r="A31" s="128" t="s">
        <v>97</v>
      </c>
      <c r="B31" s="128"/>
      <c r="C31" s="126" t="s">
        <v>29</v>
      </c>
      <c r="D31" s="126"/>
      <c r="E31" s="126"/>
      <c r="F31" s="126" t="s">
        <v>31</v>
      </c>
      <c r="G31" s="126"/>
      <c r="H31" s="126"/>
    </row>
    <row r="32" spans="1:8" s="22" customFormat="1" x14ac:dyDescent="0.25">
      <c r="A32" s="105" t="s">
        <v>25</v>
      </c>
      <c r="B32" s="105" t="s">
        <v>30</v>
      </c>
      <c r="C32" s="106" t="s">
        <v>30</v>
      </c>
      <c r="D32" s="106"/>
      <c r="E32" s="106"/>
      <c r="F32" s="106" t="s">
        <v>199</v>
      </c>
      <c r="G32" s="106"/>
      <c r="H32" s="106"/>
    </row>
    <row r="33" spans="1:8" x14ac:dyDescent="0.25">
      <c r="A33" s="105" t="s">
        <v>26</v>
      </c>
      <c r="B33" s="105" t="s">
        <v>30</v>
      </c>
      <c r="C33" s="106" t="s">
        <v>30</v>
      </c>
      <c r="D33" s="106"/>
      <c r="E33" s="106"/>
      <c r="F33" s="106" t="s">
        <v>200</v>
      </c>
      <c r="G33" s="106"/>
      <c r="H33" s="106"/>
    </row>
    <row r="34" spans="1:8" s="22" customFormat="1" ht="30.75" customHeight="1" x14ac:dyDescent="0.25">
      <c r="A34" s="125" t="s">
        <v>28</v>
      </c>
      <c r="B34" s="125" t="s">
        <v>30</v>
      </c>
      <c r="C34" s="125" t="s">
        <v>30</v>
      </c>
      <c r="D34" s="125"/>
      <c r="E34" s="125"/>
      <c r="F34" s="127" t="s">
        <v>198</v>
      </c>
      <c r="G34" s="127"/>
      <c r="H34" s="127"/>
    </row>
    <row r="35" spans="1:8" x14ac:dyDescent="0.25">
      <c r="A35" s="105" t="s">
        <v>27</v>
      </c>
      <c r="B35" s="105" t="s">
        <v>30</v>
      </c>
      <c r="C35" s="106" t="s">
        <v>30</v>
      </c>
      <c r="D35" s="106"/>
      <c r="E35" s="106"/>
      <c r="F35" s="106" t="s">
        <v>197</v>
      </c>
      <c r="G35" s="106"/>
      <c r="H35" s="106"/>
    </row>
    <row r="36" spans="1:8" x14ac:dyDescent="0.25">
      <c r="A36" s="70" t="s">
        <v>32</v>
      </c>
      <c r="B36" s="70"/>
      <c r="C36" s="70"/>
      <c r="D36" s="70"/>
      <c r="E36" s="70"/>
      <c r="F36" s="70"/>
      <c r="G36" s="70"/>
      <c r="H36" s="70"/>
    </row>
    <row r="37" spans="1:8" ht="15.75" customHeight="1" x14ac:dyDescent="0.25">
      <c r="A37" s="70" t="s">
        <v>172</v>
      </c>
      <c r="B37" s="70"/>
      <c r="C37" s="93" t="s">
        <v>212</v>
      </c>
      <c r="D37" s="93"/>
      <c r="E37" s="93"/>
      <c r="F37" s="93"/>
      <c r="G37" s="93"/>
      <c r="H37" s="93"/>
    </row>
    <row r="38" spans="1:8" x14ac:dyDescent="0.25">
      <c r="A38" s="70" t="s">
        <v>168</v>
      </c>
      <c r="B38" s="70"/>
      <c r="C38" s="109" t="s">
        <v>196</v>
      </c>
      <c r="D38" s="110"/>
      <c r="E38" s="110"/>
      <c r="F38" s="110"/>
      <c r="G38" s="110"/>
      <c r="H38" s="110"/>
    </row>
    <row r="39" spans="1:8" x14ac:dyDescent="0.25">
      <c r="A39" s="108" t="s">
        <v>35</v>
      </c>
      <c r="B39" s="108"/>
      <c r="C39" s="108"/>
      <c r="D39" s="108"/>
      <c r="E39" s="108"/>
      <c r="F39" s="108"/>
      <c r="G39" s="108"/>
      <c r="H39" s="108"/>
    </row>
    <row r="40" spans="1:8" x14ac:dyDescent="0.25">
      <c r="A40" s="70" t="s">
        <v>36</v>
      </c>
      <c r="B40" s="70"/>
      <c r="C40" s="70"/>
      <c r="D40" s="70"/>
      <c r="E40" s="107">
        <v>820.39</v>
      </c>
      <c r="F40" s="107"/>
      <c r="G40" s="107"/>
      <c r="H40" s="107"/>
    </row>
    <row r="41" spans="1:8" x14ac:dyDescent="0.25">
      <c r="A41" s="70" t="s">
        <v>37</v>
      </c>
      <c r="B41" s="70"/>
      <c r="C41" s="70"/>
      <c r="D41" s="70"/>
      <c r="E41" s="89">
        <v>1.1000000000000001</v>
      </c>
      <c r="F41" s="89"/>
      <c r="G41" s="89"/>
      <c r="H41" s="89"/>
    </row>
    <row r="42" spans="1:8" x14ac:dyDescent="0.25">
      <c r="A42" s="70" t="s">
        <v>38</v>
      </c>
      <c r="B42" s="70"/>
      <c r="C42" s="70"/>
      <c r="D42" s="70"/>
      <c r="E42" s="89">
        <f>E44/E40-E41</f>
        <v>1.5097831519155522</v>
      </c>
      <c r="F42" s="89"/>
      <c r="G42" s="89"/>
      <c r="H42" s="89"/>
    </row>
    <row r="43" spans="1:8" x14ac:dyDescent="0.25">
      <c r="A43" s="70" t="s">
        <v>39</v>
      </c>
      <c r="B43" s="70"/>
      <c r="C43" s="70"/>
      <c r="D43" s="70"/>
      <c r="E43" s="89">
        <f>E41+E42</f>
        <v>2.6097831519155523</v>
      </c>
      <c r="F43" s="89"/>
      <c r="G43" s="89"/>
      <c r="H43" s="89"/>
    </row>
    <row r="44" spans="1:8" x14ac:dyDescent="0.25">
      <c r="A44" s="70" t="s">
        <v>95</v>
      </c>
      <c r="B44" s="70"/>
      <c r="C44" s="70"/>
      <c r="D44" s="70"/>
      <c r="E44" s="90">
        <v>2141.04</v>
      </c>
      <c r="F44" s="90"/>
      <c r="G44" s="90"/>
      <c r="H44" s="90"/>
    </row>
    <row r="45" spans="1:8" x14ac:dyDescent="0.25">
      <c r="A45" s="91" t="s">
        <v>40</v>
      </c>
      <c r="B45" s="91"/>
      <c r="C45" s="91"/>
      <c r="D45" s="91"/>
      <c r="E45" s="91" t="s">
        <v>126</v>
      </c>
      <c r="F45" s="91"/>
      <c r="G45" s="91"/>
      <c r="H45" s="91"/>
    </row>
    <row r="46" spans="1:8" x14ac:dyDescent="0.25">
      <c r="A46" s="108" t="s">
        <v>41</v>
      </c>
      <c r="B46" s="108"/>
      <c r="C46" s="108"/>
      <c r="D46" s="108"/>
      <c r="E46" s="108"/>
      <c r="F46" s="108"/>
      <c r="G46" s="108"/>
      <c r="H46" s="108"/>
    </row>
    <row r="47" spans="1:8" ht="33.75" customHeight="1" x14ac:dyDescent="0.25">
      <c r="A47" s="121" t="s">
        <v>155</v>
      </c>
      <c r="B47" s="116"/>
      <c r="C47" s="122" t="s">
        <v>185</v>
      </c>
      <c r="D47" s="123"/>
      <c r="E47" s="123"/>
      <c r="F47" s="123"/>
      <c r="G47" s="123"/>
      <c r="H47" s="124"/>
    </row>
    <row r="48" spans="1:8" ht="15.75" customHeight="1" x14ac:dyDescent="0.25">
      <c r="A48" s="121" t="s">
        <v>42</v>
      </c>
      <c r="B48" s="116"/>
      <c r="C48" s="121">
        <v>2563</v>
      </c>
      <c r="D48" s="162"/>
      <c r="E48" s="116"/>
      <c r="F48" s="18" t="s">
        <v>43</v>
      </c>
      <c r="G48" s="115">
        <v>44474</v>
      </c>
      <c r="H48" s="116"/>
    </row>
    <row r="49" spans="1:14" x14ac:dyDescent="0.25">
      <c r="A49" s="121" t="s">
        <v>44</v>
      </c>
      <c r="B49" s="116"/>
      <c r="C49" s="121">
        <f>C48</f>
        <v>2563</v>
      </c>
      <c r="D49" s="162"/>
      <c r="E49" s="116"/>
      <c r="F49" s="18" t="s">
        <v>43</v>
      </c>
      <c r="G49" s="115">
        <v>44474</v>
      </c>
      <c r="H49" s="116"/>
    </row>
    <row r="50" spans="1:14" s="23" customFormat="1" ht="15.75" customHeight="1" x14ac:dyDescent="0.25">
      <c r="A50" s="117" t="s">
        <v>159</v>
      </c>
      <c r="B50" s="118"/>
      <c r="C50" s="121">
        <f>C49</f>
        <v>2563</v>
      </c>
      <c r="D50" s="162"/>
      <c r="E50" s="116"/>
      <c r="F50" s="18" t="s">
        <v>43</v>
      </c>
      <c r="G50" s="115">
        <v>44474</v>
      </c>
      <c r="H50" s="116"/>
    </row>
    <row r="51" spans="1:14" s="23" customFormat="1" x14ac:dyDescent="0.25">
      <c r="A51" s="119"/>
      <c r="B51" s="120"/>
      <c r="C51" s="121" t="s">
        <v>186</v>
      </c>
      <c r="D51" s="162"/>
      <c r="E51" s="162"/>
      <c r="F51" s="162"/>
      <c r="G51" s="162"/>
      <c r="H51" s="116"/>
    </row>
    <row r="52" spans="1:14" x14ac:dyDescent="0.25">
      <c r="A52" s="157" t="s">
        <v>45</v>
      </c>
      <c r="B52" s="158"/>
      <c r="C52" s="157" t="s">
        <v>108</v>
      </c>
      <c r="D52" s="159"/>
      <c r="E52" s="158"/>
      <c r="F52" s="46" t="s">
        <v>43</v>
      </c>
      <c r="G52" s="160" t="s">
        <v>30</v>
      </c>
      <c r="H52" s="161"/>
    </row>
    <row r="53" spans="1:14" x14ac:dyDescent="0.25">
      <c r="A53" s="137" t="s">
        <v>47</v>
      </c>
      <c r="B53" s="137"/>
      <c r="C53" s="137"/>
      <c r="D53" s="137"/>
      <c r="E53" s="137"/>
      <c r="F53" s="137"/>
      <c r="G53" s="137"/>
      <c r="H53" s="137"/>
    </row>
    <row r="54" spans="1:14" x14ac:dyDescent="0.25">
      <c r="A54" s="99" t="s">
        <v>94</v>
      </c>
      <c r="B54" s="99"/>
      <c r="C54" s="99"/>
      <c r="D54" s="70">
        <f>E44</f>
        <v>2141.04</v>
      </c>
      <c r="E54" s="70"/>
      <c r="F54" s="70"/>
      <c r="G54" s="70"/>
      <c r="H54" s="70"/>
    </row>
    <row r="55" spans="1:14" x14ac:dyDescent="0.25">
      <c r="A55" s="110" t="s">
        <v>48</v>
      </c>
      <c r="B55" s="91"/>
      <c r="C55" s="91"/>
      <c r="D55" s="91" t="s">
        <v>195</v>
      </c>
      <c r="E55" s="91"/>
      <c r="F55" s="91"/>
      <c r="G55" s="91"/>
      <c r="H55" s="91"/>
      <c r="I55" s="24"/>
    </row>
    <row r="56" spans="1:14" x14ac:dyDescent="0.25">
      <c r="A56" s="112" t="s">
        <v>49</v>
      </c>
      <c r="B56" s="113"/>
      <c r="C56" s="114"/>
      <c r="D56" s="102" t="s">
        <v>186</v>
      </c>
      <c r="E56" s="111"/>
      <c r="F56" s="111"/>
      <c r="G56" s="111"/>
      <c r="H56" s="111"/>
    </row>
    <row r="57" spans="1:14" ht="15.75" customHeight="1" x14ac:dyDescent="0.25">
      <c r="A57" s="112" t="s">
        <v>92</v>
      </c>
      <c r="B57" s="113"/>
      <c r="C57" s="113"/>
      <c r="D57" s="168" t="s">
        <v>186</v>
      </c>
      <c r="E57" s="169"/>
      <c r="F57" s="169"/>
      <c r="G57" s="169"/>
      <c r="H57" s="170"/>
    </row>
    <row r="58" spans="1:14" ht="15.75" customHeight="1" x14ac:dyDescent="0.25">
      <c r="A58" s="70" t="s">
        <v>46</v>
      </c>
      <c r="B58" s="70"/>
      <c r="C58" s="70"/>
      <c r="D58" s="74" t="s">
        <v>187</v>
      </c>
      <c r="E58" s="74"/>
      <c r="F58" s="74"/>
      <c r="G58" s="74"/>
      <c r="H58" s="74"/>
      <c r="J58" s="25"/>
      <c r="K58" s="24"/>
      <c r="N58" s="24"/>
    </row>
    <row r="59" spans="1:14" ht="15.75" customHeight="1" x14ac:dyDescent="0.25">
      <c r="A59" s="70" t="s">
        <v>90</v>
      </c>
      <c r="B59" s="70"/>
      <c r="C59" s="70"/>
      <c r="D59" s="88" t="str">
        <f>(IF(G52="NA","60 Years After Completion",IF(G52&lt;&gt;"NA",""&amp;60-ROUNDDOWN((E3-G52)/360,0)&amp;" Years"," ")))</f>
        <v>60 Years After Completion</v>
      </c>
      <c r="E59" s="88"/>
      <c r="F59" s="88"/>
      <c r="G59" s="88"/>
      <c r="H59" s="88"/>
      <c r="N59" s="24"/>
    </row>
    <row r="60" spans="1:14" ht="15.75" customHeight="1" x14ac:dyDescent="0.25">
      <c r="A60" s="70" t="s">
        <v>91</v>
      </c>
      <c r="B60" s="70"/>
      <c r="C60" s="70"/>
      <c r="D60" s="99" t="s">
        <v>24</v>
      </c>
      <c r="E60" s="99"/>
      <c r="F60" s="99"/>
      <c r="G60" s="99"/>
      <c r="H60" s="99"/>
      <c r="J60" s="26"/>
      <c r="K60" s="26"/>
    </row>
    <row r="61" spans="1:14" hidden="1" x14ac:dyDescent="0.25">
      <c r="A61" s="70" t="s">
        <v>77</v>
      </c>
      <c r="B61" s="70"/>
      <c r="C61" s="70"/>
      <c r="D61" s="110"/>
      <c r="E61" s="99"/>
      <c r="F61" s="99"/>
      <c r="G61" s="99"/>
      <c r="H61" s="99"/>
    </row>
    <row r="62" spans="1:14" x14ac:dyDescent="0.25">
      <c r="A62" s="99" t="s">
        <v>153</v>
      </c>
      <c r="B62" s="99"/>
      <c r="C62" s="99"/>
      <c r="D62" s="99" t="s">
        <v>30</v>
      </c>
      <c r="E62" s="99"/>
      <c r="F62" s="99"/>
      <c r="G62" s="99"/>
      <c r="H62" s="99"/>
      <c r="I62" s="27"/>
      <c r="J62" s="27"/>
      <c r="K62" s="27"/>
      <c r="L62" s="27"/>
      <c r="M62" s="27"/>
      <c r="N62" s="27"/>
    </row>
    <row r="63" spans="1:14" ht="15.75" customHeight="1" x14ac:dyDescent="0.25">
      <c r="A63" s="103" t="s">
        <v>89</v>
      </c>
      <c r="B63" s="103"/>
      <c r="C63" s="103"/>
      <c r="D63" s="102" t="str">
        <f ca="1">(IF(G69&gt;95%,"Nothing",IF(G69&gt;0%,"Cement, Aggregate, Steel, etc",IF(G69=0%,"Work not yet Started"))))</f>
        <v>Cement, Aggregate, Steel, etc</v>
      </c>
      <c r="E63" s="102"/>
      <c r="F63" s="102"/>
      <c r="G63" s="102"/>
      <c r="H63" s="102"/>
      <c r="J63" s="26"/>
    </row>
    <row r="64" spans="1:14" ht="33.75" customHeight="1" thickBot="1" x14ac:dyDescent="0.3">
      <c r="A64" s="163" t="s">
        <v>121</v>
      </c>
      <c r="B64" s="163"/>
      <c r="C64" s="163"/>
      <c r="D64" s="102" t="str">
        <f ca="1">(IF(D63="Nothing","Yes",IF(D63="Cement, Aggregate, Steel, etc","Under Construction",IF(D63="Work not yet Started","Work not yet Started"))))</f>
        <v>Under Construction</v>
      </c>
      <c r="E64" s="102"/>
      <c r="F64" s="102" t="str">
        <f ca="1">(IF(D63="Nothing","Yes",IF(D63="Cement, Aggregate, Steel, etc","Under Construction",IF(D63="Work not yet Started","Work not yet Started"))))</f>
        <v>Under Construction</v>
      </c>
      <c r="G64" s="102"/>
      <c r="H64" s="102"/>
    </row>
    <row r="65" spans="1:10" ht="15.75" customHeight="1" x14ac:dyDescent="0.25">
      <c r="A65" s="94" t="s">
        <v>145</v>
      </c>
      <c r="B65" s="95"/>
      <c r="C65" s="96" t="str">
        <f>D57</f>
        <v>G + 1st to 6th Floor</v>
      </c>
      <c r="D65" s="97"/>
      <c r="E65" s="97"/>
      <c r="F65" s="97"/>
      <c r="G65" s="97"/>
      <c r="H65" s="98"/>
      <c r="I65" s="50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Plaster, Flooring, Painting Completed, Finishing upto 5 Floor Completed</v>
      </c>
      <c r="J65" s="51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Finishing upto 5 Floor</v>
      </c>
    </row>
    <row r="66" spans="1:10" x14ac:dyDescent="0.25">
      <c r="A66" s="16" t="s">
        <v>147</v>
      </c>
      <c r="B66" s="48">
        <f>IF(AND(ISNUMBER(SEARCH("1B",C65))),1,IF(AND(ISNUMBER(SEARCH("2B",C65))),2,IF(AND(ISNUMBER(SEARCH("3B",C65))),3,IF(AND(ISNUMBER(SEARCH("4B",C65))),4,IF(ISNUMBER(SEARCH("5B",C65)),5,0)))))</f>
        <v>0</v>
      </c>
      <c r="C66" s="48" t="s">
        <v>74</v>
      </c>
      <c r="D66" s="48">
        <v>1</v>
      </c>
      <c r="E66" s="48" t="s">
        <v>73</v>
      </c>
      <c r="F66" s="48">
        <v>0</v>
      </c>
      <c r="G66" s="49" t="s">
        <v>83</v>
      </c>
      <c r="H66" s="17">
        <f ca="1">--TRIM(RIGHT(SUBSTITUTE(LEFT(C65,_xlfn.AGGREGATE(16,6,FIND({0,1,2,3,4,5,6,7,8,9},C65,ROW(INDIRECT("1:"&amp;LEN(C65)))),1))," ",REPT(" ",LEN(C65))),LEN(C65)))</f>
        <v>6</v>
      </c>
      <c r="I66" s="52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Flooring, Painting</v>
      </c>
      <c r="J66" s="53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5.450000000000003" customHeight="1" x14ac:dyDescent="0.25">
      <c r="A67" s="92" t="s">
        <v>93</v>
      </c>
      <c r="B67" s="93"/>
      <c r="C67" s="100" t="str">
        <f ca="1">I65</f>
        <v>Excavation, Plinth, RCC Slab, Brickwork, Internal Plaster, External Plaster, Flooring, Painting Completed, Finishing upto 5 Floor Completed</v>
      </c>
      <c r="D67" s="100"/>
      <c r="E67" s="100"/>
      <c r="F67" s="100"/>
      <c r="G67" s="100"/>
      <c r="H67" s="101"/>
      <c r="I67" s="52" t="str">
        <f ca="1">IF(I66&lt;&gt;""," Completed","")</f>
        <v xml:space="preserve"> Completed</v>
      </c>
      <c r="J67" s="53" t="str">
        <f ca="1">IF(J65&lt;&gt;"","Completed","")</f>
        <v>Completed</v>
      </c>
    </row>
    <row r="68" spans="1:10" ht="15.75" customHeight="1" x14ac:dyDescent="0.25">
      <c r="A68" s="84" t="s">
        <v>50</v>
      </c>
      <c r="B68" s="85"/>
      <c r="C68" s="44" t="s">
        <v>144</v>
      </c>
      <c r="D68" s="44" t="s">
        <v>86</v>
      </c>
      <c r="E68" s="85" t="s">
        <v>88</v>
      </c>
      <c r="F68" s="85"/>
      <c r="G68" s="85" t="s">
        <v>87</v>
      </c>
      <c r="H68" s="104"/>
      <c r="I68" s="14" t="s">
        <v>146</v>
      </c>
      <c r="J68" s="28">
        <f ca="1">H66*25%</f>
        <v>1.5</v>
      </c>
    </row>
    <row r="69" spans="1:10" x14ac:dyDescent="0.25">
      <c r="A69" s="84" t="s">
        <v>133</v>
      </c>
      <c r="B69" s="85"/>
      <c r="C69" s="44">
        <f ca="1">J70</f>
        <v>6</v>
      </c>
      <c r="D69" s="19">
        <f ca="1">((100/H66)*C69)/100</f>
        <v>1</v>
      </c>
      <c r="E69" s="75">
        <f ca="1">(((C70/H66*10)+(40/(D66+F66+H66)*C71)+(7.5/(H66)*C72)+(7.5/(H66)*C73)+(10/H66*C74)+(10/H66*C75)+(5/H66*C76)+(5/H66*C77)+(5/H66*C78))/100)</f>
        <v>0.94166666666666676</v>
      </c>
      <c r="F69" s="76"/>
      <c r="G69" s="75">
        <f ca="1">((((C69/H66)*20)+((C70/H66)*25)+(30/(H66+F66+D66)*C71)+(5/H66*C72)+(5/H66*C73)+(5/H66*C74)+(5/H66*C75)+(0/H66*C76)+(0/H66*C77)+(5/H66*C78))/100)</f>
        <v>0.95</v>
      </c>
      <c r="H69" s="81"/>
      <c r="I69" s="14" t="s">
        <v>103</v>
      </c>
      <c r="J69" s="29">
        <f ca="1">H66*50%</f>
        <v>3</v>
      </c>
    </row>
    <row r="70" spans="1:10" x14ac:dyDescent="0.25">
      <c r="A70" s="84" t="s">
        <v>51</v>
      </c>
      <c r="B70" s="85"/>
      <c r="C70" s="44">
        <f ca="1">J78</f>
        <v>6</v>
      </c>
      <c r="D70" s="19">
        <f ca="1">((100/H66)*C70)/100</f>
        <v>1</v>
      </c>
      <c r="E70" s="77"/>
      <c r="F70" s="78"/>
      <c r="G70" s="77"/>
      <c r="H70" s="82"/>
      <c r="I70" s="14" t="s">
        <v>104</v>
      </c>
      <c r="J70" s="29">
        <f ca="1">H66</f>
        <v>6</v>
      </c>
    </row>
    <row r="71" spans="1:10" ht="15.75" customHeight="1" x14ac:dyDescent="0.25">
      <c r="A71" s="84" t="s">
        <v>134</v>
      </c>
      <c r="B71" s="85"/>
      <c r="C71" s="44">
        <v>7</v>
      </c>
      <c r="D71" s="19">
        <f ca="1">((100/(D66+F66+H66))*C71)/100</f>
        <v>1</v>
      </c>
      <c r="E71" s="77"/>
      <c r="F71" s="78"/>
      <c r="G71" s="77"/>
      <c r="H71" s="82"/>
      <c r="I71" s="14" t="s">
        <v>105</v>
      </c>
      <c r="J71" s="30">
        <f ca="1">(IF(B66&gt;1,(H66/(B66+2)),H66/4))</f>
        <v>1.5</v>
      </c>
    </row>
    <row r="72" spans="1:10" ht="15.75" customHeight="1" x14ac:dyDescent="0.25">
      <c r="A72" s="84" t="s">
        <v>141</v>
      </c>
      <c r="B72" s="85" t="s">
        <v>135</v>
      </c>
      <c r="C72" s="44">
        <v>6</v>
      </c>
      <c r="D72" s="19">
        <f ca="1">((100/H66)*C72)/100</f>
        <v>1</v>
      </c>
      <c r="E72" s="77"/>
      <c r="F72" s="78"/>
      <c r="G72" s="77"/>
      <c r="H72" s="82"/>
      <c r="I72" s="14" t="s">
        <v>106</v>
      </c>
      <c r="J72" s="30">
        <f ca="1">(IF(B66&gt;1,(H66/(B66+2)+J71),H66/4+J71))</f>
        <v>3</v>
      </c>
    </row>
    <row r="73" spans="1:10" ht="15.75" customHeight="1" x14ac:dyDescent="0.25">
      <c r="A73" s="84" t="s">
        <v>142</v>
      </c>
      <c r="B73" s="85" t="s">
        <v>135</v>
      </c>
      <c r="C73" s="44">
        <v>6</v>
      </c>
      <c r="D73" s="19">
        <f ca="1">((100/H66)*C73)/100</f>
        <v>1</v>
      </c>
      <c r="E73" s="77"/>
      <c r="F73" s="78"/>
      <c r="G73" s="77"/>
      <c r="H73" s="82"/>
      <c r="I73" s="14" t="s">
        <v>151</v>
      </c>
      <c r="J73" s="30">
        <f>(IF(B66&gt;1,(H66/(B66+2)+J72),0))</f>
        <v>0</v>
      </c>
    </row>
    <row r="74" spans="1:10" ht="15" customHeight="1" x14ac:dyDescent="0.25">
      <c r="A74" s="84" t="s">
        <v>140</v>
      </c>
      <c r="B74" s="85" t="s">
        <v>137</v>
      </c>
      <c r="C74" s="44">
        <v>6</v>
      </c>
      <c r="D74" s="19">
        <f ca="1">((100/(H66))*C74)/100</f>
        <v>1</v>
      </c>
      <c r="E74" s="77"/>
      <c r="F74" s="78"/>
      <c r="G74" s="77"/>
      <c r="H74" s="82"/>
      <c r="I74" s="14" t="s">
        <v>148</v>
      </c>
      <c r="J74" s="30">
        <f>(IF(B66&gt;2,(H66/(B66+2)+J73),0))</f>
        <v>0</v>
      </c>
    </row>
    <row r="75" spans="1:10" ht="15.75" customHeight="1" x14ac:dyDescent="0.25">
      <c r="A75" s="84" t="s">
        <v>136</v>
      </c>
      <c r="B75" s="85" t="s">
        <v>136</v>
      </c>
      <c r="C75" s="44">
        <v>6</v>
      </c>
      <c r="D75" s="19">
        <f ca="1">((100/H66)*C75)/100</f>
        <v>1</v>
      </c>
      <c r="E75" s="77"/>
      <c r="F75" s="78"/>
      <c r="G75" s="77"/>
      <c r="H75" s="82"/>
      <c r="I75" s="14" t="s">
        <v>149</v>
      </c>
      <c r="J75" s="31">
        <f>(IF(B66&gt;3,(H66/(B66+2)+J74),0))</f>
        <v>0</v>
      </c>
    </row>
    <row r="76" spans="1:10" ht="15.75" customHeight="1" x14ac:dyDescent="0.25">
      <c r="A76" s="84" t="s">
        <v>143</v>
      </c>
      <c r="B76" s="85"/>
      <c r="C76" s="44">
        <v>6</v>
      </c>
      <c r="D76" s="19">
        <f ca="1">((100/H66)*C76)/100</f>
        <v>1</v>
      </c>
      <c r="E76" s="77"/>
      <c r="F76" s="78"/>
      <c r="G76" s="77"/>
      <c r="H76" s="82"/>
      <c r="I76" s="14" t="s">
        <v>150</v>
      </c>
      <c r="J76" s="30">
        <f>(IF(B66&gt;4,(H66/(B66+2)+J75),0))</f>
        <v>0</v>
      </c>
    </row>
    <row r="77" spans="1:10" ht="15.75" customHeight="1" x14ac:dyDescent="0.25">
      <c r="A77" s="84" t="s">
        <v>138</v>
      </c>
      <c r="B77" s="85" t="s">
        <v>138</v>
      </c>
      <c r="C77" s="44">
        <v>5</v>
      </c>
      <c r="D77" s="19">
        <f ca="1">((100/(H66))*C77)/100</f>
        <v>0.83333333333333348</v>
      </c>
      <c r="E77" s="77"/>
      <c r="F77" s="78"/>
      <c r="G77" s="77"/>
      <c r="H77" s="82"/>
      <c r="I77" s="14" t="s">
        <v>152</v>
      </c>
      <c r="J77" s="30">
        <f ca="1">(IF(B66=1,(H66/(B66+3)+J72),IF(B66=0,(H66/4+J72),IF(B66&gt;1,0))))</f>
        <v>4.5</v>
      </c>
    </row>
    <row r="78" spans="1:10" ht="16.5" thickBot="1" x14ac:dyDescent="0.3">
      <c r="A78" s="86" t="s">
        <v>139</v>
      </c>
      <c r="B78" s="87"/>
      <c r="C78" s="45">
        <v>0</v>
      </c>
      <c r="D78" s="20">
        <f ca="1">((100/(H66))*C78)/100</f>
        <v>0</v>
      </c>
      <c r="E78" s="79"/>
      <c r="F78" s="80"/>
      <c r="G78" s="79"/>
      <c r="H78" s="83"/>
      <c r="I78" s="15" t="s">
        <v>107</v>
      </c>
      <c r="J78" s="32">
        <f ca="1">(IF(B66&gt;1.5,(H66/(B66+2)+J72+MAX(0,J73-J72)+MAX(0,J74-J73)+MAX(0,J75-J74)+MAX(0,J76-J75)+MAX(0,J77-J76)),IF(B66=1,(H66/(B66+3)+J77),IF(B66=0,H66/4+J77))))</f>
        <v>6</v>
      </c>
    </row>
    <row r="79" spans="1:10" x14ac:dyDescent="0.25">
      <c r="A79" s="73" t="s">
        <v>161</v>
      </c>
      <c r="B79" s="73"/>
      <c r="C79" s="73"/>
      <c r="D79" s="73"/>
      <c r="E79" s="73"/>
      <c r="F79" s="65" t="s">
        <v>166</v>
      </c>
      <c r="G79" s="65"/>
      <c r="H79" s="65"/>
    </row>
    <row r="80" spans="1:10" x14ac:dyDescent="0.25">
      <c r="A80" s="70" t="s">
        <v>164</v>
      </c>
      <c r="B80" s="70"/>
      <c r="C80" s="70"/>
      <c r="D80" s="70"/>
      <c r="E80" s="70"/>
      <c r="F80" s="167">
        <v>4000</v>
      </c>
      <c r="G80" s="167"/>
      <c r="H80" s="167"/>
      <c r="I80" s="21" t="s">
        <v>206</v>
      </c>
    </row>
    <row r="81" spans="1:13" x14ac:dyDescent="0.25">
      <c r="A81" s="70" t="s">
        <v>163</v>
      </c>
      <c r="B81" s="70"/>
      <c r="C81" s="70"/>
      <c r="D81" s="70"/>
      <c r="E81" s="70"/>
      <c r="F81" s="66">
        <v>6000</v>
      </c>
      <c r="G81" s="66"/>
      <c r="H81" s="66"/>
      <c r="J81" s="57" t="s">
        <v>208</v>
      </c>
      <c r="K81" s="58">
        <v>45084</v>
      </c>
      <c r="L81" s="57" t="s">
        <v>209</v>
      </c>
      <c r="M81" s="57" t="s">
        <v>210</v>
      </c>
    </row>
    <row r="82" spans="1:13" hidden="1" x14ac:dyDescent="0.25">
      <c r="A82" s="70" t="s">
        <v>165</v>
      </c>
      <c r="B82" s="70"/>
      <c r="C82" s="70"/>
      <c r="D82" s="70"/>
      <c r="E82" s="70"/>
      <c r="F82" s="66"/>
      <c r="G82" s="66"/>
      <c r="H82" s="66"/>
    </row>
    <row r="83" spans="1:13" s="33" customFormat="1" hidden="1" x14ac:dyDescent="0.25">
      <c r="A83" s="70" t="s">
        <v>162</v>
      </c>
      <c r="B83" s="70"/>
      <c r="C83" s="70"/>
      <c r="D83" s="70"/>
      <c r="E83" s="70"/>
      <c r="F83" s="66"/>
      <c r="G83" s="66"/>
      <c r="H83" s="66"/>
    </row>
    <row r="84" spans="1:13" s="33" customFormat="1" x14ac:dyDescent="0.25">
      <c r="A84" s="70" t="s">
        <v>207</v>
      </c>
      <c r="B84" s="70"/>
      <c r="C84" s="70"/>
      <c r="D84" s="70"/>
      <c r="E84" s="70"/>
      <c r="F84" s="66">
        <v>150000</v>
      </c>
      <c r="G84" s="66"/>
      <c r="H84" s="66"/>
    </row>
    <row r="85" spans="1:13" s="33" customFormat="1" hidden="1" x14ac:dyDescent="0.25">
      <c r="A85" s="70" t="s">
        <v>98</v>
      </c>
      <c r="B85" s="70"/>
      <c r="C85" s="70"/>
      <c r="D85" s="70"/>
      <c r="E85" s="70"/>
      <c r="F85" s="66"/>
      <c r="G85" s="66"/>
      <c r="H85" s="66"/>
    </row>
    <row r="86" spans="1:13" s="33" customFormat="1" hidden="1" x14ac:dyDescent="0.25">
      <c r="A86" s="70" t="s">
        <v>167</v>
      </c>
      <c r="B86" s="70"/>
      <c r="C86" s="70"/>
      <c r="D86" s="70"/>
      <c r="E86" s="70"/>
      <c r="F86" s="66">
        <v>100</v>
      </c>
      <c r="G86" s="66"/>
      <c r="H86" s="66"/>
    </row>
    <row r="87" spans="1:13" s="33" customFormat="1" hidden="1" x14ac:dyDescent="0.25">
      <c r="A87" s="70" t="s">
        <v>99</v>
      </c>
      <c r="B87" s="70"/>
      <c r="C87" s="70"/>
      <c r="D87" s="70"/>
      <c r="E87" s="70"/>
      <c r="F87" s="66"/>
      <c r="G87" s="66"/>
      <c r="H87" s="66"/>
    </row>
    <row r="88" spans="1:13" s="33" customFormat="1" hidden="1" x14ac:dyDescent="0.25">
      <c r="A88" s="70" t="s">
        <v>100</v>
      </c>
      <c r="B88" s="70"/>
      <c r="C88" s="70"/>
      <c r="D88" s="70"/>
      <c r="E88" s="70"/>
      <c r="F88" s="66"/>
      <c r="G88" s="66"/>
      <c r="H88" s="66"/>
    </row>
    <row r="89" spans="1:13" s="33" customFormat="1" x14ac:dyDescent="0.25">
      <c r="A89" s="70" t="s">
        <v>101</v>
      </c>
      <c r="B89" s="70"/>
      <c r="C89" s="70"/>
      <c r="D89" s="70"/>
      <c r="E89" s="70"/>
      <c r="F89" s="66">
        <v>100000</v>
      </c>
      <c r="G89" s="66"/>
      <c r="H89" s="66"/>
    </row>
    <row r="90" spans="1:13" s="33" customFormat="1" x14ac:dyDescent="0.25">
      <c r="A90" s="70" t="s">
        <v>102</v>
      </c>
      <c r="B90" s="70"/>
      <c r="C90" s="70"/>
      <c r="D90" s="70"/>
      <c r="E90" s="70"/>
      <c r="F90" s="66">
        <v>50000</v>
      </c>
      <c r="G90" s="66"/>
      <c r="H90" s="66"/>
    </row>
    <row r="91" spans="1:13" x14ac:dyDescent="0.25">
      <c r="A91" s="70" t="s">
        <v>52</v>
      </c>
      <c r="B91" s="70"/>
      <c r="C91" s="70"/>
      <c r="D91" s="70"/>
      <c r="E91" s="70"/>
      <c r="F91" s="66">
        <v>100000</v>
      </c>
      <c r="G91" s="66"/>
      <c r="H91" s="66"/>
    </row>
    <row r="92" spans="1:13" s="34" customFormat="1" x14ac:dyDescent="0.25">
      <c r="A92" s="108" t="s">
        <v>53</v>
      </c>
      <c r="B92" s="108"/>
      <c r="C92" s="108"/>
      <c r="D92" s="108"/>
      <c r="E92" s="108"/>
      <c r="F92" s="66">
        <f>F80*0.8</f>
        <v>3200</v>
      </c>
      <c r="G92" s="66"/>
      <c r="H92" s="66"/>
    </row>
    <row r="93" spans="1:13" s="35" customFormat="1" ht="15.75" customHeight="1" x14ac:dyDescent="0.25">
      <c r="A93" s="135" t="s">
        <v>78</v>
      </c>
      <c r="B93" s="135"/>
      <c r="C93" s="135"/>
      <c r="D93" s="135"/>
      <c r="E93" s="135"/>
      <c r="F93" s="135"/>
      <c r="G93" s="135"/>
      <c r="H93" s="135"/>
    </row>
    <row r="94" spans="1:13" s="35" customFormat="1" ht="15.75" customHeight="1" x14ac:dyDescent="0.25">
      <c r="A94" s="139" t="s">
        <v>54</v>
      </c>
      <c r="B94" s="139"/>
      <c r="C94" s="138" t="s">
        <v>81</v>
      </c>
      <c r="D94" s="138"/>
      <c r="E94" s="145" t="s">
        <v>55</v>
      </c>
      <c r="F94" s="145"/>
      <c r="G94" s="139" t="s">
        <v>56</v>
      </c>
      <c r="H94" s="139"/>
      <c r="I94" s="56" t="s">
        <v>203</v>
      </c>
    </row>
    <row r="95" spans="1:13" s="35" customFormat="1" x14ac:dyDescent="0.25">
      <c r="A95" s="136" t="s">
        <v>188</v>
      </c>
      <c r="B95" s="136"/>
      <c r="C95" s="152">
        <f>COUNT(D105:D112)</f>
        <v>8</v>
      </c>
      <c r="D95" s="155"/>
      <c r="E95" s="153">
        <f t="shared" ref="E95" si="0">SUM(D105:D112)</f>
        <v>2189.1478751999998</v>
      </c>
      <c r="F95" s="156"/>
      <c r="G95" s="153">
        <f>SUM(F105:F112)</f>
        <v>3283.7218127999995</v>
      </c>
      <c r="H95" s="156"/>
      <c r="I95" s="55">
        <f>3210150/F121</f>
        <v>4232.8875931214507</v>
      </c>
    </row>
    <row r="96" spans="1:13" s="35" customFormat="1" x14ac:dyDescent="0.25">
      <c r="A96" s="135" t="s">
        <v>72</v>
      </c>
      <c r="B96" s="135"/>
      <c r="C96" s="135"/>
      <c r="D96" s="135"/>
      <c r="E96" s="135"/>
      <c r="F96" s="135"/>
      <c r="G96" s="135"/>
      <c r="H96" s="135"/>
    </row>
    <row r="97" spans="1:14" s="35" customFormat="1" ht="15.75" customHeight="1" x14ac:dyDescent="0.25">
      <c r="A97" s="139" t="s">
        <v>54</v>
      </c>
      <c r="B97" s="139"/>
      <c r="C97" s="138" t="s">
        <v>81</v>
      </c>
      <c r="D97" s="138"/>
      <c r="E97" s="145" t="s">
        <v>55</v>
      </c>
      <c r="F97" s="145"/>
      <c r="G97" s="139" t="s">
        <v>56</v>
      </c>
      <c r="H97" s="139"/>
    </row>
    <row r="98" spans="1:14" s="35" customFormat="1" ht="16.5" thickBot="1" x14ac:dyDescent="0.3">
      <c r="A98" s="136" t="s">
        <v>194</v>
      </c>
      <c r="B98" s="136"/>
      <c r="C98" s="152">
        <f>COUNT(D117:D122)*6</f>
        <v>36</v>
      </c>
      <c r="D98" s="152"/>
      <c r="E98" s="153">
        <f>SUM(D117:D122)*6</f>
        <v>20884.851000000002</v>
      </c>
      <c r="F98" s="153"/>
      <c r="G98" s="153">
        <f>SUM(F117:F122)*6</f>
        <v>30283.033949999997</v>
      </c>
      <c r="H98" s="153"/>
      <c r="I98" s="35" t="s">
        <v>204</v>
      </c>
      <c r="J98" s="35" t="s">
        <v>205</v>
      </c>
    </row>
    <row r="99" spans="1:14" s="35" customFormat="1" ht="16.5" thickBot="1" x14ac:dyDescent="0.3">
      <c r="A99" s="143" t="s">
        <v>173</v>
      </c>
      <c r="B99" s="144"/>
      <c r="C99" s="164">
        <f>C95+C98</f>
        <v>44</v>
      </c>
      <c r="D99" s="165"/>
      <c r="E99" s="164">
        <f>E95+E98</f>
        <v>23073.998875200003</v>
      </c>
      <c r="F99" s="165"/>
      <c r="G99" s="164">
        <f>G95+G98</f>
        <v>33566.7557628</v>
      </c>
      <c r="H99" s="165"/>
    </row>
    <row r="100" spans="1:14" s="34" customFormat="1" x14ac:dyDescent="0.25">
      <c r="A100" s="65" t="s">
        <v>57</v>
      </c>
      <c r="B100" s="65"/>
      <c r="C100" s="65"/>
      <c r="D100" s="65"/>
      <c r="E100" s="65"/>
      <c r="F100" s="65"/>
      <c r="G100" s="65"/>
      <c r="H100" s="65"/>
    </row>
    <row r="101" spans="1:14" x14ac:dyDescent="0.25">
      <c r="A101" s="131" t="s">
        <v>58</v>
      </c>
      <c r="B101" s="131"/>
      <c r="C101" s="131"/>
      <c r="D101" s="131"/>
      <c r="E101" s="131"/>
      <c r="F101" s="131"/>
      <c r="G101" s="131"/>
      <c r="H101" s="131"/>
    </row>
    <row r="102" spans="1:14" ht="47.25" customHeight="1" x14ac:dyDescent="0.25">
      <c r="A102" s="71" t="s">
        <v>123</v>
      </c>
      <c r="B102" s="71" t="s">
        <v>122</v>
      </c>
      <c r="C102" s="71" t="s">
        <v>59</v>
      </c>
      <c r="D102" s="71" t="s">
        <v>60</v>
      </c>
      <c r="E102" s="59" t="s">
        <v>160</v>
      </c>
      <c r="F102" s="43" t="s">
        <v>154</v>
      </c>
      <c r="G102" s="61" t="s">
        <v>62</v>
      </c>
      <c r="H102" s="62"/>
    </row>
    <row r="103" spans="1:14" s="37" customFormat="1" x14ac:dyDescent="0.25">
      <c r="A103" s="72"/>
      <c r="B103" s="72"/>
      <c r="C103" s="72"/>
      <c r="D103" s="72"/>
      <c r="E103" s="60"/>
      <c r="F103" s="13">
        <v>0.5</v>
      </c>
      <c r="G103" s="63"/>
      <c r="H103" s="64"/>
    </row>
    <row r="104" spans="1:14" s="37" customFormat="1" x14ac:dyDescent="0.25">
      <c r="A104" s="140" t="s">
        <v>189</v>
      </c>
      <c r="B104" s="141"/>
      <c r="C104" s="141"/>
      <c r="D104" s="141"/>
      <c r="E104" s="141"/>
      <c r="F104" s="141"/>
      <c r="G104" s="141"/>
      <c r="H104" s="142"/>
      <c r="J104" s="36"/>
    </row>
    <row r="105" spans="1:14" s="37" customFormat="1" ht="15.75" customHeight="1" x14ac:dyDescent="0.25">
      <c r="A105" s="67">
        <v>1</v>
      </c>
      <c r="B105" s="69"/>
      <c r="C105" s="42" t="s">
        <v>188</v>
      </c>
      <c r="D105" s="54">
        <f>(18.56+1.6*4+1.35*1.13)*(10.764)</f>
        <v>285.089922</v>
      </c>
      <c r="E105" s="42">
        <v>0</v>
      </c>
      <c r="F105" s="42">
        <f>(D105+E105)*(($F$103)+1)</f>
        <v>427.634883</v>
      </c>
      <c r="G105" s="172" t="str">
        <f>A104</f>
        <v>Ground + Mezzanine Floor For Entrance Lobby, Commercial &amp; Parking</v>
      </c>
      <c r="H105" s="173"/>
      <c r="I105" s="36">
        <f>4.24*4+1.35*1.13</f>
        <v>18.485500000000002</v>
      </c>
      <c r="L105" s="171"/>
      <c r="M105" s="171"/>
      <c r="N105" s="36"/>
    </row>
    <row r="106" spans="1:14" s="37" customFormat="1" ht="15.75" customHeight="1" x14ac:dyDescent="0.25">
      <c r="A106" s="67">
        <f t="shared" ref="A106:A112" si="1">A105+1</f>
        <v>2</v>
      </c>
      <c r="B106" s="69"/>
      <c r="C106" s="42" t="s">
        <v>188</v>
      </c>
      <c r="D106" s="54">
        <f>(16.94+4.24*1.4)*(10.764)</f>
        <v>246.23726400000001</v>
      </c>
      <c r="E106" s="42">
        <v>0</v>
      </c>
      <c r="F106" s="42">
        <f t="shared" ref="F106:F108" si="2">(D106+E106)*(($F$103)+1)</f>
        <v>369.35589600000003</v>
      </c>
      <c r="G106" s="174"/>
      <c r="H106" s="175"/>
      <c r="I106" s="36">
        <f>4.24*4</f>
        <v>16.96</v>
      </c>
      <c r="J106" s="178"/>
      <c r="K106" s="178"/>
      <c r="L106" s="178"/>
      <c r="M106" s="178"/>
      <c r="N106" s="36"/>
    </row>
    <row r="107" spans="1:14" s="37" customFormat="1" ht="15.75" customHeight="1" x14ac:dyDescent="0.25">
      <c r="A107" s="67">
        <f t="shared" si="1"/>
        <v>3</v>
      </c>
      <c r="B107" s="69"/>
      <c r="C107" s="42" t="s">
        <v>188</v>
      </c>
      <c r="D107" s="54">
        <f>(21.45+3*2.3+1.5*1.13)*(10.764)</f>
        <v>323.40437999999995</v>
      </c>
      <c r="E107" s="42">
        <v>0</v>
      </c>
      <c r="F107" s="42">
        <f t="shared" si="2"/>
        <v>485.10656999999992</v>
      </c>
      <c r="G107" s="174"/>
      <c r="H107" s="175"/>
      <c r="I107" s="36"/>
      <c r="L107" s="171"/>
      <c r="M107" s="171"/>
      <c r="N107" s="36"/>
    </row>
    <row r="108" spans="1:14" s="37" customFormat="1" ht="15.75" customHeight="1" x14ac:dyDescent="0.25">
      <c r="A108" s="67">
        <f t="shared" si="1"/>
        <v>4</v>
      </c>
      <c r="B108" s="69"/>
      <c r="C108" s="42" t="s">
        <v>188</v>
      </c>
      <c r="D108" s="54">
        <f>(19.63+2.78*2.3+1.2*1.13)*(10.764)</f>
        <v>294.71831999999995</v>
      </c>
      <c r="E108" s="42">
        <v>0</v>
      </c>
      <c r="F108" s="42">
        <f t="shared" si="2"/>
        <v>442.07747999999992</v>
      </c>
      <c r="G108" s="174"/>
      <c r="H108" s="175"/>
      <c r="I108" s="54">
        <f>10.764</f>
        <v>10.763999999999999</v>
      </c>
      <c r="L108" s="171"/>
      <c r="M108" s="171"/>
      <c r="N108" s="36"/>
    </row>
    <row r="109" spans="1:14" s="37" customFormat="1" x14ac:dyDescent="0.25">
      <c r="A109" s="67">
        <f t="shared" si="1"/>
        <v>5</v>
      </c>
      <c r="B109" s="69"/>
      <c r="C109" s="42" t="s">
        <v>188</v>
      </c>
      <c r="D109" s="54">
        <f>(19.85+2.77*2.3+1.38*1.13)*(10.764)</f>
        <v>299.02822559999998</v>
      </c>
      <c r="E109" s="42">
        <v>0</v>
      </c>
      <c r="F109" s="42">
        <f>(D109+E109)*(($F$103)+1)</f>
        <v>448.54233839999995</v>
      </c>
      <c r="G109" s="174"/>
      <c r="H109" s="175"/>
      <c r="I109" s="36"/>
      <c r="L109" s="171"/>
      <c r="M109" s="171"/>
      <c r="N109" s="36"/>
    </row>
    <row r="110" spans="1:14" s="37" customFormat="1" x14ac:dyDescent="0.25">
      <c r="A110" s="67">
        <f t="shared" si="1"/>
        <v>6</v>
      </c>
      <c r="B110" s="69"/>
      <c r="C110" s="42" t="s">
        <v>188</v>
      </c>
      <c r="D110" s="54">
        <f>(22.46+3.15*2.3+1.63*1.13)*(10.764)</f>
        <v>339.57083159999996</v>
      </c>
      <c r="E110" s="42">
        <v>0</v>
      </c>
      <c r="F110" s="42">
        <f t="shared" ref="F110:F111" si="3">(D110+E110)*(($F$103)+1)</f>
        <v>509.35624739999992</v>
      </c>
      <c r="G110" s="174"/>
      <c r="H110" s="175"/>
      <c r="I110" s="36"/>
      <c r="L110" s="171"/>
      <c r="M110" s="171"/>
      <c r="N110" s="36"/>
    </row>
    <row r="111" spans="1:14" s="37" customFormat="1" x14ac:dyDescent="0.25">
      <c r="A111" s="67">
        <f t="shared" si="1"/>
        <v>7</v>
      </c>
      <c r="B111" s="69"/>
      <c r="C111" s="42" t="s">
        <v>188</v>
      </c>
      <c r="D111" s="54">
        <f>(12.8+3.2*1.3)*(10.764)</f>
        <v>182.55743999999999</v>
      </c>
      <c r="E111" s="42">
        <v>0</v>
      </c>
      <c r="F111" s="42">
        <f t="shared" si="3"/>
        <v>273.83615999999995</v>
      </c>
      <c r="G111" s="174"/>
      <c r="H111" s="175"/>
      <c r="I111" s="36"/>
      <c r="L111" s="171"/>
      <c r="M111" s="171"/>
      <c r="N111" s="36"/>
    </row>
    <row r="112" spans="1:14" s="37" customFormat="1" x14ac:dyDescent="0.25">
      <c r="A112" s="67">
        <f t="shared" si="1"/>
        <v>8</v>
      </c>
      <c r="B112" s="69"/>
      <c r="C112" s="42" t="s">
        <v>188</v>
      </c>
      <c r="D112" s="54">
        <f>(14.26+1.2*4+1.1*1.13)*(10.764)</f>
        <v>218.54149199999995</v>
      </c>
      <c r="E112" s="42">
        <v>0</v>
      </c>
      <c r="F112" s="42">
        <f t="shared" ref="F112" si="4">(D112+E112)*(($F$103)+1)</f>
        <v>327.81223799999992</v>
      </c>
      <c r="G112" s="176"/>
      <c r="H112" s="177"/>
      <c r="I112" s="36"/>
      <c r="L112" s="171"/>
      <c r="M112" s="171"/>
      <c r="N112" s="36"/>
    </row>
    <row r="113" spans="1:14" s="37" customFormat="1" x14ac:dyDescent="0.25">
      <c r="A113" s="67"/>
      <c r="B113" s="68"/>
      <c r="C113" s="68"/>
      <c r="D113" s="68"/>
      <c r="E113" s="68"/>
      <c r="F113" s="68"/>
      <c r="G113" s="68"/>
      <c r="H113" s="69"/>
      <c r="I113" s="36"/>
      <c r="N113" s="36"/>
    </row>
    <row r="114" spans="1:14" ht="47.25" customHeight="1" x14ac:dyDescent="0.25">
      <c r="A114" s="61" t="s">
        <v>124</v>
      </c>
      <c r="B114" s="61" t="s">
        <v>125</v>
      </c>
      <c r="C114" s="71" t="s">
        <v>59</v>
      </c>
      <c r="D114" s="71" t="s">
        <v>60</v>
      </c>
      <c r="E114" s="59" t="s">
        <v>61</v>
      </c>
      <c r="F114" s="43" t="s">
        <v>154</v>
      </c>
      <c r="G114" s="61" t="s">
        <v>62</v>
      </c>
      <c r="H114" s="62"/>
      <c r="I114" s="36"/>
    </row>
    <row r="115" spans="1:14" s="37" customFormat="1" x14ac:dyDescent="0.25">
      <c r="A115" s="63"/>
      <c r="B115" s="63"/>
      <c r="C115" s="72"/>
      <c r="D115" s="72"/>
      <c r="E115" s="60"/>
      <c r="F115" s="13">
        <v>0.45</v>
      </c>
      <c r="G115" s="63"/>
      <c r="H115" s="64"/>
      <c r="I115" s="36"/>
    </row>
    <row r="116" spans="1:14" s="37" customFormat="1" x14ac:dyDescent="0.25">
      <c r="A116" s="140" t="s">
        <v>190</v>
      </c>
      <c r="B116" s="141"/>
      <c r="C116" s="141"/>
      <c r="D116" s="141"/>
      <c r="E116" s="141"/>
      <c r="F116" s="141"/>
      <c r="G116" s="141"/>
      <c r="H116" s="142"/>
      <c r="J116" s="36"/>
    </row>
    <row r="117" spans="1:14" s="37" customFormat="1" ht="15.75" customHeight="1" x14ac:dyDescent="0.25">
      <c r="A117" s="67">
        <v>1</v>
      </c>
      <c r="B117" s="69"/>
      <c r="C117" s="42" t="s">
        <v>191</v>
      </c>
      <c r="D117" s="54">
        <f>(39.6+0.75*(3.14+2.21+3.45+4.4))*(10.764)</f>
        <v>532.81799999999998</v>
      </c>
      <c r="E117" s="42">
        <v>0</v>
      </c>
      <c r="F117" s="42">
        <f t="shared" ref="F117:F122" si="5">D117*(($F$115)+1)+(IF(E117&lt;101,E117,IF(E117&lt;201,E117/2,IF(E117&lt;=301,E117/3,E117/4))))</f>
        <v>772.58609999999999</v>
      </c>
      <c r="G117" s="172" t="str">
        <f>A116</f>
        <v>1st to 6th Floor For Residential</v>
      </c>
      <c r="H117" s="173"/>
      <c r="I117" s="36">
        <f>4.1*3.14+2.45*2.21+3.6*3.45+1.1*2.1+1.1*1.1+1*2.21+1.15*1</f>
        <v>37.588500000000003</v>
      </c>
      <c r="L117" s="171"/>
      <c r="M117" s="171"/>
      <c r="N117" s="36"/>
    </row>
    <row r="118" spans="1:14" s="37" customFormat="1" ht="15.75" customHeight="1" x14ac:dyDescent="0.25">
      <c r="A118" s="67">
        <f t="shared" ref="A118:A122" si="6">A117+1</f>
        <v>2</v>
      </c>
      <c r="B118" s="69"/>
      <c r="C118" s="42" t="s">
        <v>191</v>
      </c>
      <c r="D118" s="54">
        <f>(38.34+0.75*(3.27+2.21+3.02+4.4))*(10.764)</f>
        <v>516.83345999999995</v>
      </c>
      <c r="E118" s="42">
        <v>0</v>
      </c>
      <c r="F118" s="42">
        <f t="shared" si="5"/>
        <v>749.40851699999985</v>
      </c>
      <c r="G118" s="174"/>
      <c r="H118" s="175"/>
      <c r="I118" s="36"/>
      <c r="L118" s="171"/>
      <c r="M118" s="171"/>
      <c r="N118" s="36"/>
    </row>
    <row r="119" spans="1:14" s="37" customFormat="1" ht="15.75" customHeight="1" x14ac:dyDescent="0.25">
      <c r="A119" s="67">
        <f t="shared" si="6"/>
        <v>3</v>
      </c>
      <c r="B119" s="69"/>
      <c r="C119" s="42" t="s">
        <v>192</v>
      </c>
      <c r="D119" s="54">
        <f>(54.31+0.75*(3.1+3+2.45+3))*(10.764)</f>
        <v>677.83599000000004</v>
      </c>
      <c r="E119" s="42">
        <v>0</v>
      </c>
      <c r="F119" s="42">
        <f t="shared" si="5"/>
        <v>982.86218550000001</v>
      </c>
      <c r="G119" s="174"/>
      <c r="H119" s="175"/>
      <c r="I119" s="36"/>
      <c r="L119" s="171"/>
      <c r="M119" s="171"/>
      <c r="N119" s="36"/>
    </row>
    <row r="120" spans="1:14" s="37" customFormat="1" ht="15.75" customHeight="1" x14ac:dyDescent="0.25">
      <c r="A120" s="67">
        <f t="shared" si="6"/>
        <v>4</v>
      </c>
      <c r="B120" s="69"/>
      <c r="C120" s="42" t="s">
        <v>191</v>
      </c>
      <c r="D120" s="54">
        <f>(34.34+7.31+0.75*(3.27+2.21+3.02+4.4))*(10.764)</f>
        <v>552.46230000000003</v>
      </c>
      <c r="E120" s="42">
        <v>0</v>
      </c>
      <c r="F120" s="42">
        <f t="shared" si="5"/>
        <v>801.070335</v>
      </c>
      <c r="G120" s="174"/>
      <c r="H120" s="175"/>
      <c r="I120" s="36">
        <f>4.3*3.27+1.1*2.21+2.1*3.02+1.1*2.15+1.1*1.15+2.3*1+2.1*2</f>
        <v>32.964000000000006</v>
      </c>
      <c r="J120" s="37">
        <f>3.02*1.4+2.21*1.4</f>
        <v>7.3219999999999992</v>
      </c>
      <c r="L120" s="171"/>
      <c r="M120" s="171"/>
      <c r="N120" s="36"/>
    </row>
    <row r="121" spans="1:14" s="37" customFormat="1" ht="15.75" customHeight="1" x14ac:dyDescent="0.25">
      <c r="A121" s="67">
        <f t="shared" si="6"/>
        <v>5</v>
      </c>
      <c r="B121" s="69"/>
      <c r="C121" s="42" t="s">
        <v>191</v>
      </c>
      <c r="D121" s="54">
        <f>(31.35+7.34+0.75*(3.55+2.21+3.04+4.4))*(10.764)</f>
        <v>523.02275999999995</v>
      </c>
      <c r="E121" s="42">
        <v>0</v>
      </c>
      <c r="F121" s="42">
        <f t="shared" si="5"/>
        <v>758.38300199999992</v>
      </c>
      <c r="G121" s="174"/>
      <c r="H121" s="175"/>
      <c r="I121" s="36"/>
      <c r="L121" s="171"/>
      <c r="M121" s="171"/>
      <c r="N121" s="36"/>
    </row>
    <row r="122" spans="1:14" s="37" customFormat="1" ht="15.75" customHeight="1" x14ac:dyDescent="0.25">
      <c r="A122" s="67">
        <f t="shared" si="6"/>
        <v>6</v>
      </c>
      <c r="B122" s="69"/>
      <c r="C122" s="42" t="s">
        <v>192</v>
      </c>
      <c r="D122" s="54">
        <f>(54.31+0.75*(3.1+3+2.45+3))*(10.764)</f>
        <v>677.83599000000004</v>
      </c>
      <c r="E122" s="42">
        <v>0</v>
      </c>
      <c r="F122" s="42">
        <f t="shared" si="5"/>
        <v>982.86218550000001</v>
      </c>
      <c r="G122" s="176"/>
      <c r="H122" s="177"/>
      <c r="I122" s="36"/>
      <c r="L122" s="171"/>
      <c r="M122" s="171"/>
      <c r="N122" s="36"/>
    </row>
    <row r="123" spans="1:14" s="35" customFormat="1" x14ac:dyDescent="0.25">
      <c r="A123" s="154" t="s">
        <v>70</v>
      </c>
      <c r="B123" s="154"/>
      <c r="C123" s="154"/>
      <c r="D123" s="154"/>
      <c r="E123" s="154"/>
      <c r="F123" s="154"/>
      <c r="G123" s="154"/>
      <c r="H123" s="154"/>
    </row>
    <row r="124" spans="1:14" s="35" customFormat="1" x14ac:dyDescent="0.25">
      <c r="A124" s="47" t="s">
        <v>157</v>
      </c>
      <c r="B124" s="149" t="s">
        <v>214</v>
      </c>
      <c r="C124" s="150"/>
      <c r="D124" s="150"/>
      <c r="E124" s="150"/>
      <c r="F124" s="150"/>
      <c r="G124" s="150"/>
      <c r="H124" s="151"/>
    </row>
    <row r="125" spans="1:14" s="35" customFormat="1" x14ac:dyDescent="0.25">
      <c r="A125" s="47" t="s">
        <v>157</v>
      </c>
      <c r="B125" s="149" t="str">
        <f>(IF(F114="Saleable area Loading :","We have considered Saleable area of Flats as per our Calculation.","We considered Saleable area of Flat as per Builder area Sheet."))</f>
        <v>We have considered Saleable area of Flats as per our Calculation.</v>
      </c>
      <c r="C125" s="150"/>
      <c r="D125" s="150"/>
      <c r="E125" s="150"/>
      <c r="F125" s="150"/>
      <c r="G125" s="150"/>
      <c r="H125" s="151"/>
    </row>
    <row r="126" spans="1:14" s="35" customFormat="1" x14ac:dyDescent="0.25">
      <c r="A126" s="47" t="s">
        <v>157</v>
      </c>
      <c r="B126" s="149" t="str">
        <f>(IF(F102="Saleable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26" s="150"/>
      <c r="D126" s="150"/>
      <c r="E126" s="150"/>
      <c r="F126" s="150"/>
      <c r="G126" s="150"/>
      <c r="H126" s="151"/>
    </row>
    <row r="127" spans="1:14" s="35" customFormat="1" x14ac:dyDescent="0.25">
      <c r="A127" s="47" t="s">
        <v>157</v>
      </c>
      <c r="B127" s="146" t="s">
        <v>128</v>
      </c>
      <c r="C127" s="147"/>
      <c r="D127" s="147"/>
      <c r="E127" s="147"/>
      <c r="F127" s="147"/>
      <c r="G127" s="147"/>
      <c r="H127" s="148"/>
    </row>
    <row r="128" spans="1:14" s="35" customFormat="1" x14ac:dyDescent="0.25">
      <c r="A128" s="47" t="s">
        <v>157</v>
      </c>
      <c r="B128" s="146" t="s">
        <v>193</v>
      </c>
      <c r="C128" s="147"/>
      <c r="D128" s="147"/>
      <c r="E128" s="147"/>
      <c r="F128" s="147"/>
      <c r="G128" s="147"/>
      <c r="H128" s="148"/>
    </row>
    <row r="129" spans="1:8" s="35" customFormat="1" x14ac:dyDescent="0.25">
      <c r="A129" s="47" t="s">
        <v>157</v>
      </c>
      <c r="B129" s="146" t="s">
        <v>156</v>
      </c>
      <c r="C129" s="147"/>
      <c r="D129" s="147"/>
      <c r="E129" s="147"/>
      <c r="F129" s="147"/>
      <c r="G129" s="147"/>
      <c r="H129" s="148"/>
    </row>
    <row r="130" spans="1:8" s="35" customFormat="1" x14ac:dyDescent="0.25">
      <c r="A130" s="47" t="s">
        <v>157</v>
      </c>
      <c r="B130" s="146" t="s">
        <v>129</v>
      </c>
      <c r="C130" s="147"/>
      <c r="D130" s="147"/>
      <c r="E130" s="147"/>
      <c r="F130" s="147"/>
      <c r="G130" s="147"/>
      <c r="H130" s="148"/>
    </row>
    <row r="131" spans="1:8" s="35" customFormat="1" ht="34.5" customHeight="1" x14ac:dyDescent="0.25">
      <c r="A131" s="47" t="s">
        <v>157</v>
      </c>
      <c r="B131" s="146" t="s">
        <v>158</v>
      </c>
      <c r="C131" s="147"/>
      <c r="D131" s="147"/>
      <c r="E131" s="147"/>
      <c r="F131" s="147"/>
      <c r="G131" s="147"/>
      <c r="H131" s="148"/>
    </row>
    <row r="132" spans="1:8" s="35" customFormat="1" x14ac:dyDescent="0.25">
      <c r="A132" s="47" t="s">
        <v>157</v>
      </c>
      <c r="B132" s="146" t="s">
        <v>130</v>
      </c>
      <c r="C132" s="147"/>
      <c r="D132" s="147"/>
      <c r="E132" s="147"/>
      <c r="F132" s="147"/>
      <c r="G132" s="147"/>
      <c r="H132" s="148"/>
    </row>
    <row r="133" spans="1:8" x14ac:dyDescent="0.25">
      <c r="A133" s="137" t="s">
        <v>63</v>
      </c>
      <c r="B133" s="137"/>
      <c r="C133" s="137"/>
      <c r="D133" s="137"/>
      <c r="E133" s="137"/>
      <c r="F133" s="137"/>
      <c r="G133" s="137"/>
      <c r="H133" s="137"/>
    </row>
    <row r="134" spans="1:8" x14ac:dyDescent="0.25">
      <c r="A134" s="70" t="s">
        <v>64</v>
      </c>
      <c r="B134" s="70"/>
      <c r="C134" s="70"/>
      <c r="D134" s="70"/>
      <c r="E134" s="70"/>
      <c r="F134" s="70"/>
      <c r="G134" s="70"/>
      <c r="H134" s="70"/>
    </row>
    <row r="135" spans="1:8" ht="15.75" customHeight="1" x14ac:dyDescent="0.25">
      <c r="A135" s="166" t="s">
        <v>65</v>
      </c>
      <c r="B135" s="166"/>
      <c r="C135" s="166"/>
      <c r="D135" s="166"/>
      <c r="E135" s="166"/>
      <c r="F135" s="166"/>
      <c r="G135" s="166"/>
      <c r="H135" s="166"/>
    </row>
    <row r="136" spans="1:8" x14ac:dyDescent="0.25">
      <c r="A136" s="70" t="s">
        <v>66</v>
      </c>
      <c r="B136" s="70"/>
      <c r="C136" s="70"/>
      <c r="D136" s="70"/>
      <c r="E136" s="70"/>
      <c r="F136" s="70"/>
      <c r="G136" s="70"/>
      <c r="H136" s="70"/>
    </row>
    <row r="137" spans="1:8" x14ac:dyDescent="0.25">
      <c r="A137" s="70" t="s">
        <v>67</v>
      </c>
      <c r="B137" s="70"/>
      <c r="C137" s="70"/>
      <c r="D137" s="70"/>
      <c r="E137" s="70"/>
      <c r="F137" s="70"/>
      <c r="G137" s="70"/>
      <c r="H137" s="70"/>
    </row>
    <row r="138" spans="1:8" x14ac:dyDescent="0.25">
      <c r="A138" s="70" t="s">
        <v>131</v>
      </c>
      <c r="B138" s="70"/>
      <c r="C138" s="70"/>
      <c r="D138" s="70"/>
      <c r="E138" s="70"/>
      <c r="F138" s="70"/>
      <c r="G138" s="70"/>
      <c r="H138" s="70"/>
    </row>
    <row r="139" spans="1:8" x14ac:dyDescent="0.25">
      <c r="A139" s="99" t="s">
        <v>132</v>
      </c>
      <c r="B139" s="99"/>
      <c r="C139" s="99"/>
      <c r="D139" s="99"/>
      <c r="E139" s="99"/>
      <c r="F139" s="99"/>
      <c r="G139" s="99"/>
      <c r="H139" s="99"/>
    </row>
    <row r="140" spans="1:8" x14ac:dyDescent="0.25">
      <c r="A140" s="134" t="s">
        <v>80</v>
      </c>
      <c r="B140" s="134"/>
      <c r="C140" s="134" t="s">
        <v>216</v>
      </c>
      <c r="D140" s="134"/>
      <c r="E140" s="134" t="s">
        <v>109</v>
      </c>
      <c r="F140" s="134"/>
      <c r="G140" s="134" t="s">
        <v>215</v>
      </c>
      <c r="H140" s="134"/>
    </row>
    <row r="141" spans="1:8" x14ac:dyDescent="0.25">
      <c r="A141" s="133" t="s">
        <v>82</v>
      </c>
      <c r="B141" s="133"/>
      <c r="C141" s="133"/>
      <c r="D141" s="133"/>
      <c r="E141" s="133"/>
      <c r="F141" s="133"/>
      <c r="G141" s="133"/>
      <c r="H141" s="133"/>
    </row>
    <row r="142" spans="1:8" x14ac:dyDescent="0.25">
      <c r="A142" s="133"/>
      <c r="B142" s="133"/>
      <c r="C142" s="133"/>
      <c r="D142" s="133"/>
      <c r="E142" s="133"/>
      <c r="F142" s="133"/>
      <c r="G142" s="133"/>
      <c r="H142" s="133"/>
    </row>
    <row r="143" spans="1:8" x14ac:dyDescent="0.25">
      <c r="A143" s="133"/>
      <c r="B143" s="133"/>
      <c r="C143" s="133"/>
      <c r="D143" s="133"/>
      <c r="E143" s="133"/>
      <c r="F143" s="133"/>
      <c r="G143" s="133"/>
      <c r="H143" s="133"/>
    </row>
    <row r="144" spans="1:8" x14ac:dyDescent="0.25">
      <c r="A144" s="133"/>
      <c r="B144" s="133"/>
      <c r="C144" s="133"/>
      <c r="D144" s="133"/>
      <c r="E144" s="133"/>
      <c r="F144" s="133"/>
      <c r="G144" s="133"/>
      <c r="H144" s="133"/>
    </row>
    <row r="145" spans="1:8" x14ac:dyDescent="0.25">
      <c r="A145" s="38" t="s">
        <v>68</v>
      </c>
      <c r="B145" s="39"/>
      <c r="C145" s="39"/>
      <c r="D145" s="38" t="str">
        <f>E8</f>
        <v>Alibag Skyvistas</v>
      </c>
      <c r="F145" s="39"/>
      <c r="G145" s="39"/>
      <c r="H145" s="39"/>
    </row>
    <row r="146" spans="1:8" x14ac:dyDescent="0.25">
      <c r="A146" s="39"/>
      <c r="B146" s="39"/>
      <c r="C146" s="39"/>
      <c r="D146" s="39"/>
      <c r="E146" s="39"/>
      <c r="F146" s="39"/>
      <c r="G146" s="39"/>
      <c r="H146" s="39"/>
    </row>
    <row r="147" spans="1:8" x14ac:dyDescent="0.25">
      <c r="A147" s="39"/>
      <c r="B147" s="39"/>
      <c r="C147" s="39"/>
      <c r="D147" s="39"/>
      <c r="E147" s="39"/>
      <c r="F147" s="39"/>
      <c r="G147" s="39"/>
      <c r="H147" s="39"/>
    </row>
    <row r="148" spans="1:8" ht="15" customHeight="1" x14ac:dyDescent="0.25"/>
    <row r="187" spans="1:1" x14ac:dyDescent="0.25">
      <c r="A187" s="41" t="s">
        <v>170</v>
      </c>
    </row>
    <row r="229" spans="1:1" x14ac:dyDescent="0.25">
      <c r="A229" s="41" t="s">
        <v>69</v>
      </c>
    </row>
  </sheetData>
  <mergeCells count="275">
    <mergeCell ref="L122:M122"/>
    <mergeCell ref="G117:H122"/>
    <mergeCell ref="A112:B112"/>
    <mergeCell ref="L112:M112"/>
    <mergeCell ref="G105:H112"/>
    <mergeCell ref="J106:K106"/>
    <mergeCell ref="A121:B121"/>
    <mergeCell ref="L121:M121"/>
    <mergeCell ref="A109:B109"/>
    <mergeCell ref="L109:M109"/>
    <mergeCell ref="A110:B110"/>
    <mergeCell ref="L110:M110"/>
    <mergeCell ref="A111:B111"/>
    <mergeCell ref="L111:M111"/>
    <mergeCell ref="L108:M108"/>
    <mergeCell ref="L107:M107"/>
    <mergeCell ref="L106:M106"/>
    <mergeCell ref="L105:M105"/>
    <mergeCell ref="L120:M120"/>
    <mergeCell ref="L117:M117"/>
    <mergeCell ref="L118:M118"/>
    <mergeCell ref="L119:M119"/>
    <mergeCell ref="A117:B117"/>
    <mergeCell ref="C99:D99"/>
    <mergeCell ref="E99:F99"/>
    <mergeCell ref="G99:H99"/>
    <mergeCell ref="E41:H41"/>
    <mergeCell ref="A41:D41"/>
    <mergeCell ref="A138:H138"/>
    <mergeCell ref="A135:H135"/>
    <mergeCell ref="A97:B97"/>
    <mergeCell ref="D114:D115"/>
    <mergeCell ref="E114:E115"/>
    <mergeCell ref="G114:H115"/>
    <mergeCell ref="A74:B74"/>
    <mergeCell ref="F80:H80"/>
    <mergeCell ref="G95:H95"/>
    <mergeCell ref="A48:B48"/>
    <mergeCell ref="C48:E48"/>
    <mergeCell ref="G48:H48"/>
    <mergeCell ref="G50:H50"/>
    <mergeCell ref="D54:H54"/>
    <mergeCell ref="C50:E50"/>
    <mergeCell ref="A57:C57"/>
    <mergeCell ref="D57:H57"/>
    <mergeCell ref="C49:E49"/>
    <mergeCell ref="A122:B122"/>
    <mergeCell ref="A89:E89"/>
    <mergeCell ref="C95:D95"/>
    <mergeCell ref="E95:F95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F89:H89"/>
    <mergeCell ref="E94:F94"/>
    <mergeCell ref="A94:B94"/>
    <mergeCell ref="C94:D94"/>
    <mergeCell ref="F90:H90"/>
    <mergeCell ref="G94:H94"/>
    <mergeCell ref="A70:B70"/>
    <mergeCell ref="A72:B72"/>
    <mergeCell ref="E68:F68"/>
    <mergeCell ref="A61:C61"/>
    <mergeCell ref="D61:H61"/>
    <mergeCell ref="A64:C64"/>
    <mergeCell ref="A134:H134"/>
    <mergeCell ref="E97:F97"/>
    <mergeCell ref="B132:H132"/>
    <mergeCell ref="B130:H130"/>
    <mergeCell ref="B126:H126"/>
    <mergeCell ref="A100:H100"/>
    <mergeCell ref="B124:H124"/>
    <mergeCell ref="B125:H125"/>
    <mergeCell ref="C98:D98"/>
    <mergeCell ref="E98:F98"/>
    <mergeCell ref="G98:H98"/>
    <mergeCell ref="A118:B118"/>
    <mergeCell ref="A119:B119"/>
    <mergeCell ref="B127:H127"/>
    <mergeCell ref="B128:H128"/>
    <mergeCell ref="A123:H123"/>
    <mergeCell ref="A120:B120"/>
    <mergeCell ref="A101:H101"/>
    <mergeCell ref="B131:H131"/>
    <mergeCell ref="B129:H129"/>
    <mergeCell ref="D102:D103"/>
    <mergeCell ref="A105:B105"/>
    <mergeCell ref="A106:B106"/>
    <mergeCell ref="A104:H104"/>
    <mergeCell ref="A141:H144"/>
    <mergeCell ref="A140:B140"/>
    <mergeCell ref="E140:F140"/>
    <mergeCell ref="C140:D140"/>
    <mergeCell ref="G140:H140"/>
    <mergeCell ref="A93:H93"/>
    <mergeCell ref="A91:E91"/>
    <mergeCell ref="F91:H91"/>
    <mergeCell ref="A92:E92"/>
    <mergeCell ref="F92:H92"/>
    <mergeCell ref="A98:B98"/>
    <mergeCell ref="A95:B95"/>
    <mergeCell ref="A136:H136"/>
    <mergeCell ref="A96:H96"/>
    <mergeCell ref="A139:H139"/>
    <mergeCell ref="A137:H137"/>
    <mergeCell ref="A133:H133"/>
    <mergeCell ref="C97:D97"/>
    <mergeCell ref="G97:H97"/>
    <mergeCell ref="B102:B103"/>
    <mergeCell ref="A102:A103"/>
    <mergeCell ref="C114:C115"/>
    <mergeCell ref="A116:H116"/>
    <mergeCell ref="A99:B99"/>
    <mergeCell ref="A16:B16"/>
    <mergeCell ref="C16:H16"/>
    <mergeCell ref="A21:D22"/>
    <mergeCell ref="E21:H22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A37:B37"/>
    <mergeCell ref="C37:H37"/>
    <mergeCell ref="A38:B38"/>
    <mergeCell ref="C38:H38"/>
    <mergeCell ref="A43:D43"/>
    <mergeCell ref="F35:H35"/>
    <mergeCell ref="A45:D45"/>
    <mergeCell ref="A46:H46"/>
    <mergeCell ref="D56:H56"/>
    <mergeCell ref="A56:C56"/>
    <mergeCell ref="G49:H49"/>
    <mergeCell ref="A50:B51"/>
    <mergeCell ref="A47:B47"/>
    <mergeCell ref="C47:H47"/>
    <mergeCell ref="A42:D42"/>
    <mergeCell ref="E42:H42"/>
    <mergeCell ref="E43:H43"/>
    <mergeCell ref="E44:H44"/>
    <mergeCell ref="E45:H45"/>
    <mergeCell ref="A44:D44"/>
    <mergeCell ref="A76:B76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D64:H64"/>
    <mergeCell ref="A62:C62"/>
    <mergeCell ref="D62:H62"/>
    <mergeCell ref="A63:C63"/>
    <mergeCell ref="D63:H63"/>
    <mergeCell ref="A69:B69"/>
    <mergeCell ref="G68:H68"/>
    <mergeCell ref="A81:E81"/>
    <mergeCell ref="A83:E83"/>
    <mergeCell ref="F86:H86"/>
    <mergeCell ref="A80:E80"/>
    <mergeCell ref="A59:C59"/>
    <mergeCell ref="D58:H58"/>
    <mergeCell ref="E69:F78"/>
    <mergeCell ref="G69:H78"/>
    <mergeCell ref="A77:B77"/>
    <mergeCell ref="A78:B78"/>
    <mergeCell ref="D59:H59"/>
    <mergeCell ref="E102:E103"/>
    <mergeCell ref="G102:H103"/>
    <mergeCell ref="F79:H79"/>
    <mergeCell ref="F84:H84"/>
    <mergeCell ref="A113:H113"/>
    <mergeCell ref="A114:A115"/>
    <mergeCell ref="A90:E90"/>
    <mergeCell ref="C102:C103"/>
    <mergeCell ref="B114:B115"/>
    <mergeCell ref="A108:B108"/>
    <mergeCell ref="A107:B107"/>
    <mergeCell ref="A85:E85"/>
    <mergeCell ref="F85:H85"/>
    <mergeCell ref="A86:E86"/>
    <mergeCell ref="A88:E88"/>
    <mergeCell ref="F82:H82"/>
    <mergeCell ref="A87:E87"/>
    <mergeCell ref="A82:E82"/>
    <mergeCell ref="A79:E79"/>
    <mergeCell ref="F83:H83"/>
    <mergeCell ref="A84:E84"/>
    <mergeCell ref="F87:H87"/>
    <mergeCell ref="F88:H88"/>
    <mergeCell ref="F81:H81"/>
  </mergeCell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44" max="16383" man="1"/>
    <brk id="186" max="16383" man="1"/>
    <brk id="22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9" t="s">
        <v>110</v>
      </c>
      <c r="C3" s="179"/>
      <c r="D3" s="179"/>
      <c r="E3" s="179"/>
      <c r="F3" s="179"/>
      <c r="G3" s="179"/>
      <c r="H3" s="179"/>
    </row>
    <row r="4" spans="1:9" x14ac:dyDescent="0.2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2025-07-14T05:26:44Z</cp:lastPrinted>
  <dcterms:created xsi:type="dcterms:W3CDTF">2019-07-16T09:29:46Z</dcterms:created>
  <dcterms:modified xsi:type="dcterms:W3CDTF">2025-07-14T05:28:35Z</dcterms:modified>
</cp:coreProperties>
</file>