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5D51D434-CFE9-4982-83F8-B28030754220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L76" i="1" l="1"/>
  <c r="L74" i="1"/>
  <c r="E276" i="1" l="1"/>
  <c r="J277" i="1"/>
  <c r="D166" i="1"/>
  <c r="G166" i="1"/>
  <c r="A167" i="1"/>
  <c r="A168" i="1" s="1"/>
  <c r="A169" i="1" s="1"/>
  <c r="D167" i="1"/>
  <c r="F167" i="1" s="1"/>
  <c r="D168" i="1"/>
  <c r="F168" i="1" s="1"/>
  <c r="D169" i="1"/>
  <c r="F169" i="1" s="1"/>
  <c r="A131" i="1"/>
  <c r="A132" i="1" s="1"/>
  <c r="A133" i="1" s="1"/>
  <c r="A134" i="1" s="1"/>
  <c r="E302" i="1"/>
  <c r="D302" i="1"/>
  <c r="D298" i="1"/>
  <c r="F298" i="1" s="1"/>
  <c r="D297" i="1"/>
  <c r="F297" i="1" s="1"/>
  <c r="D296" i="1"/>
  <c r="F296" i="1" s="1"/>
  <c r="D295" i="1"/>
  <c r="F295" i="1" s="1"/>
  <c r="E291" i="1"/>
  <c r="D293" i="1"/>
  <c r="F293" i="1" s="1"/>
  <c r="D292" i="1"/>
  <c r="F292" i="1" s="1"/>
  <c r="D291" i="1"/>
  <c r="D289" i="1"/>
  <c r="D288" i="1"/>
  <c r="F288" i="1" s="1"/>
  <c r="D287" i="1"/>
  <c r="F287" i="1" s="1"/>
  <c r="E285" i="1"/>
  <c r="D285" i="1"/>
  <c r="D284" i="1"/>
  <c r="F284" i="1" s="1"/>
  <c r="D283" i="1"/>
  <c r="F283" i="1" s="1"/>
  <c r="D281" i="1"/>
  <c r="F281" i="1" s="1"/>
  <c r="D280" i="1"/>
  <c r="F280" i="1" s="1"/>
  <c r="D279" i="1"/>
  <c r="F279" i="1" s="1"/>
  <c r="D278" i="1"/>
  <c r="F278" i="1" s="1"/>
  <c r="D276" i="1"/>
  <c r="D275" i="1"/>
  <c r="F275" i="1" s="1"/>
  <c r="D274" i="1"/>
  <c r="F274" i="1" s="1"/>
  <c r="D272" i="1"/>
  <c r="F272" i="1" s="1"/>
  <c r="D271" i="1"/>
  <c r="F271" i="1" s="1"/>
  <c r="D270" i="1"/>
  <c r="F270" i="1" s="1"/>
  <c r="D269" i="1"/>
  <c r="F269" i="1" s="1"/>
  <c r="D267" i="1"/>
  <c r="F267" i="1" s="1"/>
  <c r="D266" i="1"/>
  <c r="F266" i="1" s="1"/>
  <c r="D265" i="1"/>
  <c r="F265" i="1" s="1"/>
  <c r="D264" i="1"/>
  <c r="F264" i="1" s="1"/>
  <c r="D262" i="1"/>
  <c r="F262" i="1" s="1"/>
  <c r="D261" i="1"/>
  <c r="F261" i="1" s="1"/>
  <c r="D260" i="1"/>
  <c r="F260" i="1" s="1"/>
  <c r="D259" i="1"/>
  <c r="F259" i="1" s="1"/>
  <c r="D257" i="1"/>
  <c r="F257" i="1" s="1"/>
  <c r="D256" i="1"/>
  <c r="F256" i="1" s="1"/>
  <c r="D255" i="1"/>
  <c r="F255" i="1" s="1"/>
  <c r="D254" i="1"/>
  <c r="F254" i="1" s="1"/>
  <c r="D252" i="1"/>
  <c r="F252" i="1" s="1"/>
  <c r="D251" i="1"/>
  <c r="F251" i="1" s="1"/>
  <c r="D250" i="1"/>
  <c r="F250" i="1" s="1"/>
  <c r="D249" i="1"/>
  <c r="F249" i="1" s="1"/>
  <c r="D247" i="1"/>
  <c r="D246" i="1"/>
  <c r="D245" i="1"/>
  <c r="D244" i="1"/>
  <c r="D242" i="1"/>
  <c r="F242" i="1" s="1"/>
  <c r="D241" i="1"/>
  <c r="F241" i="1" s="1"/>
  <c r="D240" i="1"/>
  <c r="F240" i="1" s="1"/>
  <c r="D239" i="1"/>
  <c r="F239" i="1" s="1"/>
  <c r="D237" i="1"/>
  <c r="F237" i="1" s="1"/>
  <c r="D236" i="1"/>
  <c r="F236" i="1" s="1"/>
  <c r="D235" i="1"/>
  <c r="F235" i="1" s="1"/>
  <c r="D234" i="1"/>
  <c r="F234" i="1" s="1"/>
  <c r="D232" i="1"/>
  <c r="F232" i="1" s="1"/>
  <c r="D231" i="1"/>
  <c r="F231" i="1" s="1"/>
  <c r="D230" i="1"/>
  <c r="F230" i="1" s="1"/>
  <c r="D229" i="1"/>
  <c r="F229" i="1" s="1"/>
  <c r="D227" i="1"/>
  <c r="D226" i="1"/>
  <c r="D225" i="1"/>
  <c r="D224" i="1"/>
  <c r="E219" i="1"/>
  <c r="D219" i="1"/>
  <c r="D217" i="1"/>
  <c r="D216" i="1"/>
  <c r="D215" i="1"/>
  <c r="D214" i="1"/>
  <c r="D212" i="1"/>
  <c r="D211" i="1"/>
  <c r="D210" i="1"/>
  <c r="D209" i="1"/>
  <c r="D207" i="1"/>
  <c r="D206" i="1"/>
  <c r="D205" i="1"/>
  <c r="D204" i="1"/>
  <c r="E200" i="1"/>
  <c r="D202" i="1"/>
  <c r="D201" i="1"/>
  <c r="D200" i="1"/>
  <c r="E196" i="1"/>
  <c r="D198" i="1"/>
  <c r="D197" i="1"/>
  <c r="D196" i="1"/>
  <c r="D194" i="1"/>
  <c r="D193" i="1"/>
  <c r="D192" i="1"/>
  <c r="D191" i="1"/>
  <c r="D189" i="1"/>
  <c r="D188" i="1"/>
  <c r="D187" i="1"/>
  <c r="D186" i="1"/>
  <c r="D184" i="1"/>
  <c r="D183" i="1"/>
  <c r="D182" i="1"/>
  <c r="D181" i="1"/>
  <c r="D179" i="1"/>
  <c r="D178" i="1"/>
  <c r="D177" i="1"/>
  <c r="D176" i="1"/>
  <c r="D174" i="1"/>
  <c r="D173" i="1"/>
  <c r="D172" i="1"/>
  <c r="D171" i="1"/>
  <c r="D159" i="1"/>
  <c r="F159" i="1" s="1"/>
  <c r="E157" i="1"/>
  <c r="D157" i="1"/>
  <c r="D156" i="1"/>
  <c r="F156" i="1" s="1"/>
  <c r="D155" i="1"/>
  <c r="F155" i="1" s="1"/>
  <c r="E153" i="1"/>
  <c r="E152" i="1"/>
  <c r="E149" i="1"/>
  <c r="E145" i="1"/>
  <c r="D153" i="1"/>
  <c r="D152" i="1"/>
  <c r="D151" i="1"/>
  <c r="D150" i="1"/>
  <c r="D149" i="1"/>
  <c r="D148" i="1"/>
  <c r="D147" i="1"/>
  <c r="D146" i="1"/>
  <c r="D145" i="1"/>
  <c r="D144" i="1"/>
  <c r="D143" i="1"/>
  <c r="E130" i="1"/>
  <c r="D134" i="1"/>
  <c r="D133" i="1"/>
  <c r="D132" i="1"/>
  <c r="D131" i="1"/>
  <c r="D130" i="1"/>
  <c r="J131" i="1"/>
  <c r="I131" i="1"/>
  <c r="A301" i="1"/>
  <c r="A302" i="1" s="1"/>
  <c r="G300" i="1"/>
  <c r="A296" i="1"/>
  <c r="A297" i="1" s="1"/>
  <c r="A298" i="1" s="1"/>
  <c r="G295" i="1"/>
  <c r="A293" i="1"/>
  <c r="G291" i="1"/>
  <c r="A288" i="1"/>
  <c r="A289" i="1" s="1"/>
  <c r="G287" i="1"/>
  <c r="A284" i="1"/>
  <c r="A285" i="1" s="1"/>
  <c r="G283" i="1"/>
  <c r="A279" i="1"/>
  <c r="A280" i="1" s="1"/>
  <c r="A281" i="1" s="1"/>
  <c r="G278" i="1"/>
  <c r="A275" i="1"/>
  <c r="A276" i="1" s="1"/>
  <c r="G274" i="1"/>
  <c r="A270" i="1"/>
  <c r="A271" i="1" s="1"/>
  <c r="A272" i="1" s="1"/>
  <c r="G269" i="1"/>
  <c r="A265" i="1"/>
  <c r="A266" i="1" s="1"/>
  <c r="A267" i="1" s="1"/>
  <c r="G264" i="1"/>
  <c r="A255" i="1"/>
  <c r="A256" i="1" s="1"/>
  <c r="A257" i="1" s="1"/>
  <c r="G254" i="1"/>
  <c r="J244" i="1"/>
  <c r="I244" i="1"/>
  <c r="I239" i="1"/>
  <c r="A260" i="1"/>
  <c r="A261" i="1" s="1"/>
  <c r="A262" i="1" s="1"/>
  <c r="G259" i="1"/>
  <c r="A250" i="1"/>
  <c r="A251" i="1" s="1"/>
  <c r="A252" i="1" s="1"/>
  <c r="G249" i="1"/>
  <c r="A245" i="1"/>
  <c r="A246" i="1" s="1"/>
  <c r="A247" i="1" s="1"/>
  <c r="A240" i="1"/>
  <c r="A241" i="1" s="1"/>
  <c r="A242" i="1" s="1"/>
  <c r="G239" i="1"/>
  <c r="J224" i="1"/>
  <c r="J225" i="1"/>
  <c r="A235" i="1"/>
  <c r="A236" i="1" s="1"/>
  <c r="A237" i="1" s="1"/>
  <c r="G234" i="1"/>
  <c r="A230" i="1"/>
  <c r="A231" i="1" s="1"/>
  <c r="A232" i="1" s="1"/>
  <c r="G229" i="1"/>
  <c r="A225" i="1"/>
  <c r="A226" i="1" s="1"/>
  <c r="A227" i="1" s="1"/>
  <c r="A156" i="1"/>
  <c r="A157" i="1" s="1"/>
  <c r="A159" i="1" s="1"/>
  <c r="G155" i="1"/>
  <c r="C120" i="1" l="1"/>
  <c r="C119" i="1"/>
  <c r="E120" i="1"/>
  <c r="C113" i="1"/>
  <c r="F276" i="1"/>
  <c r="E113" i="1"/>
  <c r="C114" i="1"/>
  <c r="E114" i="1"/>
  <c r="E115" i="1"/>
  <c r="E119" i="1"/>
  <c r="F166" i="1"/>
  <c r="C115" i="1"/>
  <c r="F302" i="1"/>
  <c r="F291" i="1"/>
  <c r="F289" i="1"/>
  <c r="F285" i="1"/>
  <c r="F157" i="1"/>
  <c r="G115" i="1" s="1"/>
  <c r="F147" i="1"/>
  <c r="F146" i="1"/>
  <c r="F153" i="1"/>
  <c r="F144" i="1"/>
  <c r="F143" i="1"/>
  <c r="F152" i="1"/>
  <c r="F151" i="1"/>
  <c r="F150" i="1"/>
  <c r="F149" i="1"/>
  <c r="F148" i="1"/>
  <c r="A220" i="1"/>
  <c r="A221" i="1" s="1"/>
  <c r="G219" i="1"/>
  <c r="F217" i="1"/>
  <c r="F216" i="1"/>
  <c r="F215" i="1"/>
  <c r="A215" i="1"/>
  <c r="A216" i="1" s="1"/>
  <c r="A217" i="1" s="1"/>
  <c r="G214" i="1"/>
  <c r="F214" i="1"/>
  <c r="F212" i="1"/>
  <c r="F211" i="1"/>
  <c r="F210" i="1"/>
  <c r="A210" i="1"/>
  <c r="A211" i="1" s="1"/>
  <c r="A212" i="1" s="1"/>
  <c r="G209" i="1"/>
  <c r="F209" i="1"/>
  <c r="F207" i="1"/>
  <c r="F206" i="1"/>
  <c r="F205" i="1"/>
  <c r="A205" i="1"/>
  <c r="A206" i="1" s="1"/>
  <c r="A207" i="1" s="1"/>
  <c r="G204" i="1"/>
  <c r="F204" i="1"/>
  <c r="F202" i="1"/>
  <c r="F201" i="1"/>
  <c r="A201" i="1"/>
  <c r="A202" i="1" s="1"/>
  <c r="G200" i="1"/>
  <c r="F200" i="1"/>
  <c r="F174" i="1"/>
  <c r="F184" i="1"/>
  <c r="F194" i="1"/>
  <c r="A197" i="1"/>
  <c r="A198" i="1" s="1"/>
  <c r="F193" i="1"/>
  <c r="F192" i="1"/>
  <c r="A192" i="1"/>
  <c r="A193" i="1" s="1"/>
  <c r="A194" i="1" s="1"/>
  <c r="G191" i="1"/>
  <c r="F191" i="1"/>
  <c r="F188" i="1"/>
  <c r="F187" i="1"/>
  <c r="F183" i="1"/>
  <c r="F182" i="1"/>
  <c r="F173" i="1"/>
  <c r="F172" i="1"/>
  <c r="F186" i="1"/>
  <c r="F181" i="1"/>
  <c r="F189" i="1"/>
  <c r="A187" i="1"/>
  <c r="A188" i="1" s="1"/>
  <c r="A189" i="1" s="1"/>
  <c r="G186" i="1"/>
  <c r="A182" i="1"/>
  <c r="A183" i="1" s="1"/>
  <c r="A184" i="1" s="1"/>
  <c r="G181" i="1"/>
  <c r="I168" i="1"/>
  <c r="F171" i="1"/>
  <c r="I166" i="1"/>
  <c r="A172" i="1"/>
  <c r="A173" i="1" s="1"/>
  <c r="A174" i="1" s="1"/>
  <c r="G171" i="1"/>
  <c r="F134" i="1"/>
  <c r="A137" i="1"/>
  <c r="G136" i="1"/>
  <c r="G143" i="1"/>
  <c r="C49" i="1"/>
  <c r="C121" i="1" l="1"/>
  <c r="C116" i="1"/>
  <c r="E121" i="1"/>
  <c r="E116" i="1"/>
  <c r="F145" i="1"/>
  <c r="G114" i="1" s="1"/>
  <c r="F219" i="1"/>
  <c r="E29" i="1"/>
  <c r="B305" i="1"/>
  <c r="C68" i="1"/>
  <c r="B69" i="1" s="1"/>
  <c r="E24" i="1"/>
  <c r="E26" i="1" l="1"/>
  <c r="C14" i="1"/>
  <c r="E122" i="1" l="1"/>
  <c r="C122" i="1"/>
  <c r="E42" i="1" l="1"/>
  <c r="E43" i="1" s="1"/>
  <c r="F110" i="1" l="1"/>
  <c r="F131" i="1" l="1"/>
  <c r="F132" i="1"/>
  <c r="F133" i="1"/>
  <c r="F130" i="1"/>
  <c r="G113" i="1" l="1"/>
  <c r="G116" i="1" s="1"/>
  <c r="F247" i="1"/>
  <c r="F246" i="1"/>
  <c r="F245" i="1"/>
  <c r="F244" i="1"/>
  <c r="F227" i="1"/>
  <c r="F226" i="1"/>
  <c r="F225" i="1"/>
  <c r="F224" i="1"/>
  <c r="F198" i="1"/>
  <c r="F197" i="1"/>
  <c r="F196" i="1"/>
  <c r="F179" i="1"/>
  <c r="F177" i="1"/>
  <c r="F176" i="1"/>
  <c r="F178" i="1"/>
  <c r="G119" i="1" l="1"/>
  <c r="G120" i="1"/>
  <c r="B306" i="1"/>
  <c r="G121" i="1" l="1"/>
  <c r="G122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29" i="1"/>
  <c r="G244" i="1"/>
  <c r="G224" i="1"/>
  <c r="G196" i="1"/>
  <c r="G176" i="1"/>
  <c r="A177" i="1"/>
  <c r="A178" i="1" s="1"/>
  <c r="A179" i="1" s="1"/>
  <c r="G130" i="1"/>
  <c r="C82" i="1"/>
  <c r="B83" i="1" s="1"/>
  <c r="D56" i="1"/>
  <c r="G49" i="1"/>
  <c r="E7" i="1"/>
  <c r="E3" i="1"/>
  <c r="H69" i="1"/>
  <c r="D81" i="1" l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H83" i="1"/>
  <c r="D94" i="1" l="1"/>
  <c r="D91" i="1"/>
  <c r="J85" i="1"/>
  <c r="J86" i="1"/>
  <c r="D93" i="1"/>
  <c r="J88" i="1"/>
  <c r="J89" i="1" s="1"/>
  <c r="J90" i="1" s="1"/>
  <c r="J91" i="1" s="1"/>
  <c r="J92" i="1" s="1"/>
  <c r="J93" i="1" s="1"/>
  <c r="D95" i="1"/>
  <c r="D92" i="1"/>
  <c r="J87" i="1"/>
  <c r="C86" i="1" s="1"/>
  <c r="D86" i="1" s="1"/>
  <c r="J82" i="1"/>
  <c r="J84" i="1" s="1"/>
  <c r="D89" i="1"/>
  <c r="D90" i="1"/>
  <c r="J94" i="1"/>
  <c r="J76" i="1"/>
  <c r="J77" i="1" s="1"/>
  <c r="J78" i="1" s="1"/>
  <c r="J79" i="1" s="1"/>
  <c r="D88" i="1"/>
  <c r="D74" i="1"/>
  <c r="J70" i="1"/>
  <c r="D72" i="1"/>
  <c r="J81" i="1" l="1"/>
  <c r="C73" i="1" s="1"/>
  <c r="G72" i="1" s="1"/>
  <c r="D66" i="1" s="1"/>
  <c r="J95" i="1"/>
  <c r="C87" i="1" l="1"/>
  <c r="J83" i="1" s="1"/>
  <c r="D67" i="1"/>
  <c r="J69" i="1"/>
  <c r="D73" i="1"/>
  <c r="I69" i="1" s="1"/>
  <c r="E72" i="1"/>
  <c r="D87" i="1" l="1"/>
  <c r="I83" i="1" s="1"/>
  <c r="E86" i="1"/>
  <c r="G86" i="1"/>
  <c r="F67" i="1"/>
  <c r="I70" i="1"/>
  <c r="I68" i="1" s="1"/>
  <c r="C70" i="1" s="1"/>
  <c r="I84" i="1" l="1"/>
  <c r="I82" i="1" s="1"/>
  <c r="C84" i="1" s="1"/>
</calcChain>
</file>

<file path=xl/sharedStrings.xml><?xml version="1.0" encoding="utf-8"?>
<sst xmlns="http://schemas.openxmlformats.org/spreadsheetml/2006/main" count="487" uniqueCount="273">
  <si>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</si>
  <si>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</si>
  <si>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</si>
  <si>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</si>
  <si>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</si>
  <si>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</si>
  <si>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</si>
  <si>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</si>
  <si>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</si>
  <si>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</si>
  <si>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</si>
  <si>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</si>
  <si>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</si>
  <si>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</si>
  <si>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</si>
  <si>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</si>
  <si>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</si>
  <si>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</si>
  <si>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</si>
  <si>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</si>
  <si>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</si>
  <si>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</si>
  <si>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</si>
  <si>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</si>
  <si>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</si>
  <si>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</si>
  <si>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</si>
  <si>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</si>
  <si>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</si>
  <si>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</si>
  <si>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</si>
  <si>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</si>
  <si>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</si>
  <si>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</si>
  <si>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</si>
  <si>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</si>
  <si>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</si>
  <si>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</si>
  <si>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</si>
  <si>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</si>
  <si>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</si>
  <si>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</si>
  <si>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</si>
  <si>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</si>
  <si>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</si>
  <si>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</si>
  <si>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</si>
  <si>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</si>
  <si>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</si>
  <si>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</si>
  <si>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</si>
  <si>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</si>
  <si>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</si>
  <si>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</si>
  <si>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</si>
  <si>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</si>
  <si>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</si>
  <si>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</si>
  <si>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</si>
  <si>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</si>
  <si>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</si>
  <si>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</si>
  <si>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</si>
  <si>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</si>
  <si>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</si>
  <si>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</si>
  <si>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</si>
  <si>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</si>
  <si>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</si>
  <si>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</si>
  <si>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</si>
  <si>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</si>
  <si>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</si>
  <si>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</si>
  <si>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</si>
  <si>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</si>
  <si>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</si>
  <si>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</si>
  <si>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</si>
  <si>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</si>
  <si>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</si>
  <si>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</si>
  <si>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</si>
  <si>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</si>
  <si>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</si>
  <si>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</si>
  <si>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</si>
  <si>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</si>
  <si>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</si>
  <si>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</si>
  <si>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</si>
  <si>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</si>
  <si>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</si>
  <si>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</si>
  <si>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</si>
  <si>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</si>
  <si>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</si>
  <si>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</si>
  <si>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</si>
  <si>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</si>
  <si>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</si>
  <si>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</si>
  <si>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</si>
  <si>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</si>
  <si>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</si>
  <si>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</si>
  <si>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</si>
  <si>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</si>
  <si>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</si>
  <si>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</si>
  <si>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</si>
  <si>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</si>
  <si>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</si>
  <si>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</si>
  <si>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</si>
  <si>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</si>
  <si>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</si>
  <si>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</si>
  <si>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</si>
  <si>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</si>
  <si>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</si>
  <si>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</si>
  <si>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</si>
  <si>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</si>
  <si>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</si>
  <si>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</si>
  <si>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</si>
  <si>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</si>
  <si>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</si>
  <si>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</si>
  <si>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</si>
  <si>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</si>
  <si>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</si>
  <si>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</si>
  <si>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</si>
  <si>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</si>
  <si>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</si>
  <si>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</si>
  <si>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</si>
  <si>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</si>
  <si>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</si>
  <si>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</si>
  <si>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</si>
  <si>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</si>
  <si>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</si>
  <si>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</si>
  <si>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</si>
  <si>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</si>
  <si>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</si>
  <si>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</si>
  <si>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</si>
  <si>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</si>
  <si>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</si>
  <si>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</si>
  <si>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</si>
  <si>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</si>
  <si>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</si>
  <si>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</si>
  <si>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</si>
  <si>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</si>
  <si>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</si>
  <si>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</si>
  <si>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</si>
  <si>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</si>
  <si>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</si>
  <si>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</si>
  <si>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</si>
  <si>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</si>
  <si>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</si>
  <si>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</si>
  <si>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</si>
  <si>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</si>
  <si>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</si>
  <si>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</si>
  <si>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</si>
  <si>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Empire Towers</t>
  </si>
  <si>
    <t>P51700005215</t>
  </si>
  <si>
    <t>Thane</t>
  </si>
  <si>
    <t>1.6 KM from Thane Railway Station</t>
  </si>
  <si>
    <t>Dharamveer Nagar</t>
  </si>
  <si>
    <t>Lal Bahadur Shastri Marg</t>
  </si>
  <si>
    <t>Thane (West)</t>
  </si>
  <si>
    <t>Laxminarayan Tower</t>
  </si>
  <si>
    <t>Open Plot</t>
  </si>
  <si>
    <t>https://goo.gl/maps/JrshXiKVdsw2N9Ze6</t>
  </si>
  <si>
    <t>Srushti Heights</t>
  </si>
  <si>
    <t>19.189516, 72.964002</t>
  </si>
  <si>
    <t>Thane Municipal Corporation (TMC)</t>
  </si>
  <si>
    <t>S3T/0019/16/TMC/TD-DP/TPS/4106/
22</t>
  </si>
  <si>
    <t>S3T/0019/16/TMC/TDD/4106/22</t>
  </si>
  <si>
    <t>1st &amp; 2nd Basement Floor For Parking</t>
  </si>
  <si>
    <t>1st Basement Floor For Pump Room &amp; Parking</t>
  </si>
  <si>
    <t>2nd Basement Floor For Parking</t>
  </si>
  <si>
    <t>Ground Floor For Entrance Lobby, Society Office, Drivers Room, Meter Room, Commercial &amp; Parking</t>
  </si>
  <si>
    <t>Shop</t>
  </si>
  <si>
    <t>Shop Duplex With 1st Podium Floor</t>
  </si>
  <si>
    <t>1st Podium Floor For Commercial &amp; Parking</t>
  </si>
  <si>
    <t>Shop Duplex With Ground Floor</t>
  </si>
  <si>
    <t>2nd Podium Floor For Parking</t>
  </si>
  <si>
    <t>Panchpakhadi</t>
  </si>
  <si>
    <t>1st Floor For Residential</t>
  </si>
  <si>
    <t>2.5BHK</t>
  </si>
  <si>
    <t>3BHK</t>
  </si>
  <si>
    <t>2BHK</t>
  </si>
  <si>
    <t>2nd to 4th, 6th to 8th Floor</t>
  </si>
  <si>
    <t>5th Floor (Refuge Area Provided)</t>
  </si>
  <si>
    <t>10th to 13th, 15th to 18th, 20th, 21st, 28th &amp; 30th Floor</t>
  </si>
  <si>
    <t>22nd Floor</t>
  </si>
  <si>
    <t>5BHK</t>
  </si>
  <si>
    <t>23rd, 25th &amp; 27th Floor</t>
  </si>
  <si>
    <t xml:space="preserve">24th Floor (Refuge Area Provided) </t>
  </si>
  <si>
    <t>26th Floor</t>
  </si>
  <si>
    <t>31st Floor (Part Terrace Area)</t>
  </si>
  <si>
    <t>Open Terrace</t>
  </si>
  <si>
    <t>Ground Floor For Entrance Lobby, Society Office, L.V Room, Meter Room, Commercial &amp; Parking</t>
  </si>
  <si>
    <t>9A</t>
  </si>
  <si>
    <t>9B</t>
  </si>
  <si>
    <t>Office</t>
  </si>
  <si>
    <t>-</t>
  </si>
  <si>
    <t>2nd Floor</t>
  </si>
  <si>
    <t>1BHK</t>
  </si>
  <si>
    <t>3rd to 4th Floor</t>
  </si>
  <si>
    <t>6th to 8th Floor</t>
  </si>
  <si>
    <t>9th Floor (Refuge Area Provided)</t>
  </si>
  <si>
    <t>10th to 13th, 15th to 18th, 20th, 21st Floor</t>
  </si>
  <si>
    <t>22nd &amp; 23rd Floor</t>
  </si>
  <si>
    <t>25th Floor</t>
  </si>
  <si>
    <t>27th Floor</t>
  </si>
  <si>
    <t>28th Floor</t>
  </si>
  <si>
    <t>29th Floor (Refuge Area Provided)</t>
  </si>
  <si>
    <t>1+2</t>
  </si>
  <si>
    <t>4BHK</t>
  </si>
  <si>
    <t>30th Floor</t>
  </si>
  <si>
    <t>Sale</t>
  </si>
  <si>
    <t>Building No.1 (Legend)</t>
  </si>
  <si>
    <t>Building No.1 (Legend) Sale Building 
Building No.2 (Legacy) Sale Building</t>
  </si>
  <si>
    <t>Building No.1 (Legend) = 2B + G + 2P + 1st to 31st Floor
Building No.2 (Legacy) = 2B + G + 2P + 1st to 31st Floor</t>
  </si>
  <si>
    <t>Building No.1 (Legend) = 2B + G + 2P + 1st to 32nd Floor</t>
  </si>
  <si>
    <t>Building No.2 (Legacy) = 2B + G + 2P + 1st to 32nd Floor</t>
  </si>
  <si>
    <t>Building No.2 (Legacy)</t>
  </si>
  <si>
    <t>Building No.2
(Legacy)</t>
  </si>
  <si>
    <t>Approved Plans, CC, Sale Plans, Cost Sheet</t>
  </si>
  <si>
    <t>Building No.1 = 2B + G + 2P + 1st to 31st Floor
Building No.2 = 2B + G + 2P + 1st to 31st Floor</t>
  </si>
  <si>
    <t>Flats - 234, Shops - 16, Offices - 04</t>
  </si>
  <si>
    <t>Mr. Shaheen Khan - 9320182338</t>
  </si>
  <si>
    <t>02 Buildings</t>
  </si>
  <si>
    <t>5th Floor (Refuge Area at Midlanding)</t>
  </si>
  <si>
    <t>9th Floor (Refuge Area at Midlanding)</t>
  </si>
  <si>
    <t>14th &amp; 19th Floor (Refuge Area at Midlanding)</t>
  </si>
  <si>
    <t>24th Floor (Refuge Area at Midlanding)</t>
  </si>
  <si>
    <t>29th Floor (Refuge Area at Midlanding)</t>
  </si>
  <si>
    <t xml:space="preserve">14th &amp; 19th Floor (Refuge Area) </t>
  </si>
  <si>
    <t xml:space="preserve">Address mentioned in Approved floor plan &amp; Rera is Final Plot No. is 208/4 &amp; 214/6
Address mentioned in CC is Final Plot No. is 208/4 &amp; 208/6.
We have considered Final plot no. from CC.
Please check Final Plot No from your end before any disbursement.
</t>
  </si>
  <si>
    <t>Recommended rate of the Shop Per Sq. Ft. (Ground Floor)</t>
  </si>
  <si>
    <t>Recommended rate of the Shop Per Sq. Ft. (Ground Floor + 1st Floor )</t>
  </si>
  <si>
    <t>Development Charges, Water, Electricity</t>
  </si>
  <si>
    <t>Gill Charges</t>
  </si>
  <si>
    <t>208/4 &amp; 214/6</t>
  </si>
  <si>
    <t>F.P No</t>
  </si>
  <si>
    <t xml:space="preserve">We have considered Final plot no. as 208/4 &amp; 214/6 with reference to Approved floor plan, Rera and Legal report.
</t>
  </si>
  <si>
    <t>S3T/0019/16/TMC/TDD/OCC/0998/22
Approved upto : Building No.1 &amp; 2 = Ground floor Shop 1 to 15</t>
  </si>
  <si>
    <t>60 Years After Completion</t>
  </si>
  <si>
    <t>Lakhani Realty LLP</t>
  </si>
  <si>
    <t>Ms. Pratibha 9320182338</t>
  </si>
  <si>
    <t>Gymnasium, Children's play area, Club House, Multipurpose Room, Jogging Track, Swimming Pool, Rain Water Harvesting, 24Hr Security, Power Backup, Landscaping &amp; Tree Planting, Car Parking, Lift Available, Sports Facility, Concierge Service, Indoor Games, Mini Theatre etc.</t>
  </si>
  <si>
    <t>As per RERA - 29/07/2025</t>
  </si>
  <si>
    <t>S3T/0019/16/TMC/TDD/29</t>
  </si>
  <si>
    <t>Building No.1 = 31st (Pt) + 32nd Floor
Building No.2 = 31st (Pt) + 32nd Floor &amp; 1st floor Commercial</t>
  </si>
  <si>
    <t>We have updated latest CC from Rera (On 04/01/2025).</t>
  </si>
  <si>
    <t>Ajay Songare</t>
  </si>
  <si>
    <t>Construction work is in process at the time of Visit. Internal photographs was not allowed. (Slow Speed)</t>
  </si>
  <si>
    <t>Please provide revised approved plans.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</si>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</sst>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27" fillId="0" borderId="0" xfId="0" applyFont="1" applyAlignment="1">
      <alignment horizontal="left" vertical="center" readingOrder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microsoft.com/office/2007/relationships/hdphoto" Target="../media/hdphoto1.wdp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127315</xdr:colOff>
      <xdr:row>433</xdr:row>
      <xdr:rowOff>63160</xdr:rowOff>
    </xdr:from>
    <xdr:to>
      <xdr:col>6</xdr:col>
      <xdr:colOff>662636</xdr:colOff>
      <xdr:row>449</xdr:row>
      <xdr:rowOff>116615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9315" y="65586501"/>
          <a:ext cx="4683026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121227</xdr:colOff>
      <xdr:row>416</xdr:row>
      <xdr:rowOff>17318</xdr:rowOff>
    </xdr:from>
    <xdr:to>
      <xdr:col>6</xdr:col>
      <xdr:colOff>662636</xdr:colOff>
      <xdr:row>432</xdr:row>
      <xdr:rowOff>70773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3227" y="62154954"/>
          <a:ext cx="4689114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314740</xdr:colOff>
      <xdr:row>373</xdr:row>
      <xdr:rowOff>16565</xdr:rowOff>
    </xdr:from>
    <xdr:to>
      <xdr:col>6</xdr:col>
      <xdr:colOff>485153</xdr:colOff>
      <xdr:row>386</xdr:row>
      <xdr:rowOff>99523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903174" y="79862740"/>
          <a:ext cx="2667131" cy="43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674739</xdr:colOff>
      <xdr:row>387</xdr:row>
      <xdr:rowOff>85708</xdr:rowOff>
    </xdr:from>
    <xdr:to>
      <xdr:col>6</xdr:col>
      <xdr:colOff>125152</xdr:colOff>
      <xdr:row>408</xdr:row>
      <xdr:rowOff>130286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27232" y="83850780"/>
          <a:ext cx="4219014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662609</xdr:colOff>
      <xdr:row>396</xdr:row>
      <xdr:rowOff>41413</xdr:rowOff>
    </xdr:from>
    <xdr:to>
      <xdr:col>4</xdr:col>
      <xdr:colOff>57978</xdr:colOff>
      <xdr:row>399</xdr:row>
      <xdr:rowOff>99391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21304275">
          <a:off x="3072848" y="85286022"/>
          <a:ext cx="339587" cy="65432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704021</xdr:colOff>
      <xdr:row>378</xdr:row>
      <xdr:rowOff>173935</xdr:rowOff>
    </xdr:from>
    <xdr:to>
      <xdr:col>6</xdr:col>
      <xdr:colOff>57978</xdr:colOff>
      <xdr:row>381</xdr:row>
      <xdr:rowOff>140804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058478" y="81840457"/>
          <a:ext cx="911087" cy="56321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695740</xdr:colOff>
      <xdr:row>378</xdr:row>
      <xdr:rowOff>182218</xdr:rowOff>
    </xdr:from>
    <xdr:to>
      <xdr:col>4</xdr:col>
      <xdr:colOff>662609</xdr:colOff>
      <xdr:row>381</xdr:row>
      <xdr:rowOff>149087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05979" y="81848740"/>
          <a:ext cx="911087" cy="56321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654326</xdr:colOff>
      <xdr:row>377</xdr:row>
      <xdr:rowOff>99391</xdr:rowOff>
    </xdr:from>
    <xdr:to>
      <xdr:col>6</xdr:col>
      <xdr:colOff>91109</xdr:colOff>
      <xdr:row>378</xdr:row>
      <xdr:rowOff>132521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08783" y="81567130"/>
          <a:ext cx="993913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No.1</a:t>
          </a:r>
        </a:p>
      </xdr:txBody>
    </xdr:sp>
    <xdr:clientData/>
  </xdr:twoCellAnchor>
  <xdr:twoCellAnchor>
    <xdr:from>
      <xdr:col>3</xdr:col>
      <xdr:colOff>679175</xdr:colOff>
      <xdr:row>377</xdr:row>
      <xdr:rowOff>99392</xdr:rowOff>
    </xdr:from>
    <xdr:to>
      <xdr:col>4</xdr:col>
      <xdr:colOff>728870</xdr:colOff>
      <xdr:row>378</xdr:row>
      <xdr:rowOff>132522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89414" y="81567131"/>
          <a:ext cx="993913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No.2</a:t>
          </a:r>
        </a:p>
      </xdr:txBody>
    </xdr:sp>
    <xdr:clientData/>
  </xdr:twoCellAnchor>
  <xdr:twoCellAnchor>
    <xdr:from>
      <xdr:col>4</xdr:col>
      <xdr:colOff>25042</xdr:colOff>
      <xdr:row>440</xdr:row>
      <xdr:rowOff>38987</xdr:rowOff>
    </xdr:from>
    <xdr:to>
      <xdr:col>5</xdr:col>
      <xdr:colOff>11467</xdr:colOff>
      <xdr:row>442</xdr:row>
      <xdr:rowOff>30705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4466783">
          <a:off x="3567352" y="94040960"/>
          <a:ext cx="389283" cy="76499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247652</xdr:colOff>
      <xdr:row>329</xdr:row>
      <xdr:rowOff>19049</xdr:rowOff>
    </xdr:from>
    <xdr:to>
      <xdr:col>14</xdr:col>
      <xdr:colOff>47992</xdr:colOff>
      <xdr:row>362</xdr:row>
      <xdr:rowOff>47624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600827" y="73675874"/>
          <a:ext cx="6001115" cy="6619875"/>
          <a:chOff x="200027" y="73523474"/>
          <a:chExt cx="6001115" cy="6619875"/>
        </a:xfrm>
      </xdr:grpSpPr>
      <xdr:pic>
        <xdr:nvPicPr>
          <xdr:cNvPr id="24" name="Picture 23" descr="https://vsjcllp.vsjadon.com/upload/insp-226051-1525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67202" y="77562075"/>
            <a:ext cx="1933940" cy="25812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26051-845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0027" y="77543025"/>
            <a:ext cx="1933940" cy="25812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26051-849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38377" y="77562075"/>
            <a:ext cx="1933940" cy="258127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3238500" y="73523474"/>
            <a:ext cx="2947297" cy="3933826"/>
            <a:chOff x="3238500" y="73523474"/>
            <a:chExt cx="2947297" cy="3933826"/>
          </a:xfrm>
        </xdr:grpSpPr>
        <xdr:pic>
          <xdr:nvPicPr>
            <xdr:cNvPr id="29" name="Picture 28" descr="https://vsjcllp.vsjadon.com/upload/insp-226051-847.jpg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8500" y="73523474"/>
              <a:ext cx="2947297" cy="39338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 txBox="1"/>
          </xdr:nvSpPr>
          <xdr:spPr>
            <a:xfrm>
              <a:off x="5095874" y="73542523"/>
              <a:ext cx="561975" cy="285751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200" b="1"/>
                <a:t>Bldg 1</a:t>
              </a: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219075" y="73523474"/>
            <a:ext cx="2947297" cy="3933826"/>
            <a:chOff x="219075" y="73523474"/>
            <a:chExt cx="2947297" cy="3933826"/>
          </a:xfrm>
        </xdr:grpSpPr>
        <xdr:pic>
          <xdr:nvPicPr>
            <xdr:cNvPr id="31" name="Picture 30" descr="https://vsjcllp.vsjadon.com/upload/insp-226051-851.jpg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9075" y="73523474"/>
              <a:ext cx="2947297" cy="39338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666750" y="74294999"/>
              <a:ext cx="561975" cy="285751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200" b="1"/>
                <a:t>Bldg 2</a:t>
              </a:r>
            </a:p>
          </xdr:txBody>
        </xdr:sp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/>
          </xdr:nvSpPr>
          <xdr:spPr>
            <a:xfrm>
              <a:off x="1247775" y="73628249"/>
              <a:ext cx="561975" cy="285751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IN" sz="1200" b="1"/>
                <a:t>Bldg 1</a:t>
              </a:r>
            </a:p>
          </xdr:txBody>
        </xdr:sp>
      </xdr:grpSp>
    </xdr:grpSp>
    <xdr:clientData/>
  </xdr:twoCellAnchor>
  <xdr:twoCellAnchor>
    <xdr:from>
      <xdr:col>0</xdr:col>
      <xdr:colOff>304800</xdr:colOff>
      <xdr:row>329</xdr:row>
      <xdr:rowOff>133350</xdr:rowOff>
    </xdr:from>
    <xdr:to>
      <xdr:col>7</xdr:col>
      <xdr:colOff>263913</xdr:colOff>
      <xdr:row>361</xdr:row>
      <xdr:rowOff>44758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CCA3A9D5-BCFA-4965-874A-E3984A83CADE}"/>
            </a:ext>
          </a:extLst>
        </xdr:cNvPr>
        <xdr:cNvGrpSpPr/>
      </xdr:nvGrpSpPr>
      <xdr:grpSpPr>
        <a:xfrm>
          <a:off x="304800" y="73790175"/>
          <a:ext cx="5588388" cy="6302683"/>
          <a:chOff x="432190" y="340659"/>
          <a:chExt cx="5588388" cy="6302683"/>
        </a:xfrm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C808E0BE-58E7-4EF5-8579-005B246AE1A8}"/>
              </a:ext>
            </a:extLst>
          </xdr:cNvPr>
          <xdr:cNvGrpSpPr/>
        </xdr:nvGrpSpPr>
        <xdr:grpSpPr>
          <a:xfrm>
            <a:off x="432190" y="340659"/>
            <a:ext cx="5567582" cy="6302683"/>
            <a:chOff x="432190" y="340659"/>
            <a:chExt cx="5567582" cy="6302683"/>
          </a:xfrm>
        </xdr:grpSpPr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22F39393-66B3-4472-89FE-A869E7C888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190" y="340659"/>
              <a:ext cx="2697188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8DAF79C5-AAE3-4D5F-A6F8-2B0E812E68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02584" y="340659"/>
              <a:ext cx="2697188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3C0F9716-527B-4C8D-A32F-DF1BC1F524D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41347" y="412334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F456A0F9-E326-42C7-A993-4BB0E4540C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02584" y="412334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6" name="TextBox 98">
            <a:extLst>
              <a:ext uri="{FF2B5EF4-FFF2-40B4-BE49-F238E27FC236}">
                <a16:creationId xmlns:a16="http://schemas.microsoft.com/office/drawing/2014/main" id="{85FC071B-AAB1-415F-956D-B5D1BA61241D}"/>
              </a:ext>
            </a:extLst>
          </xdr:cNvPr>
          <xdr:cNvSpPr txBox="1"/>
        </xdr:nvSpPr>
        <xdr:spPr>
          <a:xfrm>
            <a:off x="1780784" y="2140659"/>
            <a:ext cx="1037463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Bldg  1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27" name="TextBox 99">
            <a:extLst>
              <a:ext uri="{FF2B5EF4-FFF2-40B4-BE49-F238E27FC236}">
                <a16:creationId xmlns:a16="http://schemas.microsoft.com/office/drawing/2014/main" id="{9C2F3661-B1AE-450A-9CE8-C7E83907239C}"/>
              </a:ext>
            </a:extLst>
          </xdr:cNvPr>
          <xdr:cNvSpPr txBox="1"/>
        </xdr:nvSpPr>
        <xdr:spPr>
          <a:xfrm>
            <a:off x="526055" y="610864"/>
            <a:ext cx="1037463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Bldg  2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35" name="TextBox 100">
            <a:extLst>
              <a:ext uri="{FF2B5EF4-FFF2-40B4-BE49-F238E27FC236}">
                <a16:creationId xmlns:a16="http://schemas.microsoft.com/office/drawing/2014/main" id="{530B8AF4-828B-4888-834A-3D5FF91F74E5}"/>
              </a:ext>
            </a:extLst>
          </xdr:cNvPr>
          <xdr:cNvSpPr txBox="1"/>
        </xdr:nvSpPr>
        <xdr:spPr>
          <a:xfrm>
            <a:off x="4983115" y="3001831"/>
            <a:ext cx="1037463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Bldg  1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36" name="TextBox 101">
            <a:extLst>
              <a:ext uri="{FF2B5EF4-FFF2-40B4-BE49-F238E27FC236}">
                <a16:creationId xmlns:a16="http://schemas.microsoft.com/office/drawing/2014/main" id="{58672A4F-D78F-45C1-8316-3A412856E141}"/>
              </a:ext>
            </a:extLst>
          </xdr:cNvPr>
          <xdr:cNvSpPr txBox="1"/>
        </xdr:nvSpPr>
        <xdr:spPr>
          <a:xfrm>
            <a:off x="3429000" y="465522"/>
            <a:ext cx="1037463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Bldg  2</a:t>
            </a:r>
            <a:endParaRPr lang="en-IN" sz="24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rshXiKVdsw2N9Ze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15"/>
  <sheetViews>
    <sheetView tabSelected="1" view="pageBreakPreview" topLeftCell="A70" zoomScaleNormal="100" zoomScaleSheetLayoutView="100" workbookViewId="0">
      <selection activeCell="C78" sqref="C7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0.7109375" style="40" customWidth="1"/>
    <col min="8" max="8" width="10.85546875" style="40" customWidth="1"/>
    <col min="9" max="9" width="36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38" t="s">
        <v>169</v>
      </c>
      <c r="B1" s="138"/>
      <c r="C1" s="138"/>
      <c r="D1" s="138"/>
      <c r="E1" s="138"/>
      <c r="F1" s="138"/>
      <c r="G1" s="138"/>
      <c r="H1" s="138"/>
    </row>
    <row r="2" spans="1:8" ht="16.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x14ac:dyDescent="0.25">
      <c r="A3" s="139" t="s">
        <v>1</v>
      </c>
      <c r="B3" s="139"/>
      <c r="C3" s="139"/>
      <c r="D3" s="139"/>
      <c r="E3" s="139" t="str">
        <f ca="1">TEXT(TODAY(),"DD/MM/YYYY")</f>
        <v>10/07/2025</v>
      </c>
      <c r="F3" s="139"/>
      <c r="G3" s="139"/>
      <c r="H3" s="139"/>
    </row>
    <row r="4" spans="1:8" x14ac:dyDescent="0.25">
      <c r="A4" s="139" t="s">
        <v>2</v>
      </c>
      <c r="B4" s="139"/>
      <c r="C4" s="139"/>
      <c r="D4" s="139"/>
      <c r="E4" s="139" t="s">
        <v>174</v>
      </c>
      <c r="F4" s="139"/>
      <c r="G4" s="139"/>
      <c r="H4" s="139"/>
    </row>
    <row r="5" spans="1:8" x14ac:dyDescent="0.25">
      <c r="A5" s="139" t="s">
        <v>3</v>
      </c>
      <c r="B5" s="139"/>
      <c r="C5" s="139"/>
      <c r="D5" s="139"/>
      <c r="E5" s="143">
        <v>45847</v>
      </c>
      <c r="F5" s="139"/>
      <c r="G5" s="139"/>
      <c r="H5" s="139"/>
    </row>
    <row r="6" spans="1:8" ht="16.5" customHeight="1" x14ac:dyDescent="0.25">
      <c r="A6" s="139" t="s">
        <v>4</v>
      </c>
      <c r="B6" s="139"/>
      <c r="C6" s="139"/>
      <c r="D6" s="139"/>
      <c r="E6" s="139" t="s">
        <v>262</v>
      </c>
      <c r="F6" s="139"/>
      <c r="G6" s="139"/>
      <c r="H6" s="139"/>
    </row>
    <row r="7" spans="1:8" ht="15" customHeight="1" x14ac:dyDescent="0.25">
      <c r="A7" s="139" t="s">
        <v>5</v>
      </c>
      <c r="B7" s="139"/>
      <c r="C7" s="139"/>
      <c r="D7" s="139"/>
      <c r="E7" s="139" t="str">
        <f>E6</f>
        <v>Lakhani Realty LLP</v>
      </c>
      <c r="F7" s="139"/>
      <c r="G7" s="139"/>
      <c r="H7" s="139"/>
    </row>
    <row r="8" spans="1:8" x14ac:dyDescent="0.25">
      <c r="A8" s="139" t="s">
        <v>6</v>
      </c>
      <c r="B8" s="139"/>
      <c r="C8" s="139"/>
      <c r="D8" s="139"/>
      <c r="E8" s="140" t="s">
        <v>175</v>
      </c>
      <c r="F8" s="141"/>
      <c r="G8" s="141"/>
      <c r="H8" s="142"/>
    </row>
    <row r="9" spans="1:8" x14ac:dyDescent="0.25">
      <c r="A9" s="139" t="s">
        <v>172</v>
      </c>
      <c r="B9" s="139"/>
      <c r="C9" s="139"/>
      <c r="D9" s="139"/>
      <c r="E9" s="139" t="s">
        <v>244</v>
      </c>
      <c r="F9" s="139"/>
      <c r="G9" s="139"/>
      <c r="H9" s="139"/>
    </row>
    <row r="10" spans="1:8" hidden="1" x14ac:dyDescent="0.25">
      <c r="A10" s="139" t="s">
        <v>173</v>
      </c>
      <c r="B10" s="139"/>
      <c r="C10" s="139"/>
      <c r="D10" s="139"/>
      <c r="E10" s="139" t="s">
        <v>263</v>
      </c>
      <c r="F10" s="139"/>
      <c r="G10" s="139"/>
      <c r="H10" s="139"/>
    </row>
    <row r="11" spans="1:8" ht="34.5" customHeight="1" x14ac:dyDescent="0.25">
      <c r="A11" s="139" t="s">
        <v>7</v>
      </c>
      <c r="B11" s="139"/>
      <c r="C11" s="139"/>
      <c r="D11" s="139"/>
      <c r="E11" s="120" t="s">
        <v>235</v>
      </c>
      <c r="F11" s="139"/>
      <c r="G11" s="139"/>
      <c r="H11" s="139"/>
    </row>
    <row r="12" spans="1:8" x14ac:dyDescent="0.25">
      <c r="A12" s="74" t="s">
        <v>8</v>
      </c>
      <c r="B12" s="74"/>
      <c r="C12" s="74"/>
      <c r="D12" s="74"/>
      <c r="E12" s="120" t="s">
        <v>241</v>
      </c>
      <c r="F12" s="120"/>
      <c r="G12" s="120"/>
      <c r="H12" s="120"/>
    </row>
    <row r="13" spans="1:8" x14ac:dyDescent="0.25">
      <c r="A13" s="74" t="s">
        <v>9</v>
      </c>
      <c r="B13" s="74"/>
      <c r="C13" s="74"/>
      <c r="D13" s="74"/>
      <c r="E13" s="120" t="s">
        <v>176</v>
      </c>
      <c r="F13" s="139"/>
      <c r="G13" s="139"/>
      <c r="H13" s="139"/>
    </row>
    <row r="14" spans="1:8" ht="32.450000000000003" customHeight="1" x14ac:dyDescent="0.25">
      <c r="A14" s="121" t="s">
        <v>10</v>
      </c>
      <c r="B14" s="121"/>
      <c r="C14" s="12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Empire Towers, F.P No.208/4 &amp; 214/6, near Srushti Heights, Lal Bahadur Shastri Marg, Dharamveer Nagar, Panchpakhadi, Thane (West), Thane, Thane - 400602.</v>
      </c>
      <c r="D14" s="121"/>
      <c r="E14" s="121"/>
      <c r="F14" s="121"/>
      <c r="G14" s="121"/>
      <c r="H14" s="121"/>
    </row>
    <row r="15" spans="1:8" x14ac:dyDescent="0.25">
      <c r="A15" s="120" t="s">
        <v>258</v>
      </c>
      <c r="B15" s="120"/>
      <c r="C15" s="120" t="s">
        <v>257</v>
      </c>
      <c r="D15" s="120"/>
      <c r="E15" s="120"/>
      <c r="F15" s="120"/>
      <c r="G15" s="120"/>
      <c r="H15" s="120"/>
    </row>
    <row r="16" spans="1:8" ht="15.75" customHeight="1" x14ac:dyDescent="0.25">
      <c r="A16" s="120" t="s">
        <v>167</v>
      </c>
      <c r="B16" s="120"/>
      <c r="C16" s="120" t="s">
        <v>179</v>
      </c>
      <c r="D16" s="120"/>
      <c r="E16" s="120"/>
      <c r="F16" s="120"/>
      <c r="G16" s="120"/>
      <c r="H16" s="120"/>
    </row>
    <row r="17" spans="1:8" ht="15.75" customHeight="1" x14ac:dyDescent="0.25">
      <c r="A17" s="121" t="s">
        <v>11</v>
      </c>
      <c r="B17" s="121"/>
      <c r="C17" s="139" t="s">
        <v>180</v>
      </c>
      <c r="D17" s="139"/>
      <c r="E17" s="121" t="s">
        <v>75</v>
      </c>
      <c r="F17" s="121"/>
      <c r="G17" s="120" t="s">
        <v>199</v>
      </c>
      <c r="H17" s="120"/>
    </row>
    <row r="18" spans="1:8" x14ac:dyDescent="0.25">
      <c r="A18" s="74" t="s">
        <v>13</v>
      </c>
      <c r="B18" s="74"/>
      <c r="C18" s="120" t="s">
        <v>181</v>
      </c>
      <c r="D18" s="120"/>
      <c r="E18" s="121" t="s">
        <v>12</v>
      </c>
      <c r="F18" s="121"/>
      <c r="G18" s="144" t="s">
        <v>177</v>
      </c>
      <c r="H18" s="144"/>
    </row>
    <row r="19" spans="1:8" x14ac:dyDescent="0.25">
      <c r="A19" s="74" t="s">
        <v>76</v>
      </c>
      <c r="B19" s="74"/>
      <c r="C19" s="120" t="s">
        <v>177</v>
      </c>
      <c r="D19" s="120"/>
      <c r="E19" s="121" t="s">
        <v>14</v>
      </c>
      <c r="F19" s="121"/>
      <c r="G19" s="120">
        <v>400602</v>
      </c>
      <c r="H19" s="120"/>
    </row>
    <row r="20" spans="1:8" ht="32.25" customHeight="1" x14ac:dyDescent="0.25">
      <c r="A20" s="74" t="s">
        <v>124</v>
      </c>
      <c r="B20" s="74"/>
      <c r="C20" s="120" t="s">
        <v>185</v>
      </c>
      <c r="D20" s="120"/>
      <c r="E20" s="121" t="s">
        <v>15</v>
      </c>
      <c r="F20" s="121"/>
      <c r="G20" s="120" t="s">
        <v>178</v>
      </c>
      <c r="H20" s="120"/>
    </row>
    <row r="21" spans="1:8" ht="15" customHeight="1" x14ac:dyDescent="0.25">
      <c r="A21" s="121" t="s">
        <v>79</v>
      </c>
      <c r="B21" s="121"/>
      <c r="C21" s="121"/>
      <c r="D21" s="121"/>
      <c r="E21" s="139" t="s">
        <v>16</v>
      </c>
      <c r="F21" s="139"/>
      <c r="G21" s="139"/>
      <c r="H21" s="139"/>
    </row>
    <row r="22" spans="1:8" ht="18.75" customHeight="1" x14ac:dyDescent="0.25">
      <c r="A22" s="121"/>
      <c r="B22" s="121"/>
      <c r="C22" s="121"/>
      <c r="D22" s="121"/>
      <c r="E22" s="139"/>
      <c r="F22" s="139"/>
      <c r="G22" s="139"/>
      <c r="H22" s="139"/>
    </row>
    <row r="23" spans="1:8" ht="15" customHeight="1" x14ac:dyDescent="0.25">
      <c r="A23" s="121" t="s">
        <v>17</v>
      </c>
      <c r="B23" s="121"/>
      <c r="C23" s="121"/>
      <c r="D23" s="121"/>
      <c r="E23" s="120" t="s">
        <v>18</v>
      </c>
      <c r="F23" s="120"/>
      <c r="G23" s="120"/>
      <c r="H23" s="120"/>
    </row>
    <row r="24" spans="1:8" ht="15" customHeight="1" x14ac:dyDescent="0.25">
      <c r="A24" s="74" t="s">
        <v>19</v>
      </c>
      <c r="B24" s="74"/>
      <c r="C24" s="74"/>
      <c r="D24" s="74"/>
      <c r="E24" s="145" t="str">
        <f>IF(AND(G18="Mumbai"),"Upper Class","Middle Class")</f>
        <v>Middle Class</v>
      </c>
      <c r="F24" s="145"/>
      <c r="G24" s="145"/>
      <c r="H24" s="145"/>
    </row>
    <row r="25" spans="1:8" x14ac:dyDescent="0.25">
      <c r="A25" s="74" t="s">
        <v>20</v>
      </c>
      <c r="B25" s="74"/>
      <c r="C25" s="74"/>
      <c r="D25" s="74"/>
      <c r="E25" s="120" t="s">
        <v>21</v>
      </c>
      <c r="F25" s="120"/>
      <c r="G25" s="120"/>
      <c r="H25" s="120"/>
    </row>
    <row r="26" spans="1:8" ht="15.75" customHeight="1" x14ac:dyDescent="0.25">
      <c r="A26" s="74" t="s">
        <v>22</v>
      </c>
      <c r="B26" s="74"/>
      <c r="C26" s="74"/>
      <c r="D26" s="74"/>
      <c r="E26" s="145" t="str">
        <f>IF(AND(G18="Mumbai"),"Developed","Developing")</f>
        <v>Developing</v>
      </c>
      <c r="F26" s="145"/>
      <c r="G26" s="145"/>
      <c r="H26" s="145"/>
    </row>
    <row r="27" spans="1:8" x14ac:dyDescent="0.25">
      <c r="A27" s="74" t="s">
        <v>23</v>
      </c>
      <c r="B27" s="74"/>
      <c r="C27" s="74"/>
      <c r="D27" s="74"/>
      <c r="E27" s="120" t="s">
        <v>24</v>
      </c>
      <c r="F27" s="120"/>
      <c r="G27" s="120"/>
      <c r="H27" s="120"/>
    </row>
    <row r="28" spans="1:8" ht="15.75" customHeight="1" x14ac:dyDescent="0.25">
      <c r="A28" s="74" t="s">
        <v>84</v>
      </c>
      <c r="B28" s="74"/>
      <c r="C28" s="74"/>
      <c r="D28" s="74"/>
      <c r="E28" s="120" t="s">
        <v>85</v>
      </c>
      <c r="F28" s="120"/>
      <c r="G28" s="120"/>
      <c r="H28" s="120"/>
    </row>
    <row r="29" spans="1:8" ht="15" customHeight="1" x14ac:dyDescent="0.25">
      <c r="A29" s="74" t="s">
        <v>33</v>
      </c>
      <c r="B29" s="74"/>
      <c r="C29" s="74"/>
      <c r="D29" s="74"/>
      <c r="E29" s="14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145"/>
      <c r="G29" s="145"/>
      <c r="H29" s="145"/>
    </row>
    <row r="30" spans="1:8" ht="15.75" customHeight="1" x14ac:dyDescent="0.25">
      <c r="A30" s="74" t="s">
        <v>96</v>
      </c>
      <c r="B30" s="74"/>
      <c r="C30" s="74"/>
      <c r="D30" s="74"/>
      <c r="E30" s="120" t="s">
        <v>34</v>
      </c>
      <c r="F30" s="120"/>
      <c r="G30" s="120"/>
      <c r="H30" s="120"/>
    </row>
    <row r="31" spans="1:8" s="22" customFormat="1" x14ac:dyDescent="0.25">
      <c r="A31" s="149" t="s">
        <v>97</v>
      </c>
      <c r="B31" s="149"/>
      <c r="C31" s="148" t="s">
        <v>29</v>
      </c>
      <c r="D31" s="148"/>
      <c r="E31" s="148"/>
      <c r="F31" s="148" t="s">
        <v>31</v>
      </c>
      <c r="G31" s="148"/>
      <c r="H31" s="148"/>
    </row>
    <row r="32" spans="1:8" s="22" customFormat="1" x14ac:dyDescent="0.25">
      <c r="A32" s="146" t="s">
        <v>25</v>
      </c>
      <c r="B32" s="146" t="s">
        <v>30</v>
      </c>
      <c r="C32" s="147" t="s">
        <v>30</v>
      </c>
      <c r="D32" s="147"/>
      <c r="E32" s="147"/>
      <c r="F32" s="147" t="s">
        <v>182</v>
      </c>
      <c r="G32" s="147"/>
      <c r="H32" s="147"/>
    </row>
    <row r="33" spans="1:8" x14ac:dyDescent="0.25">
      <c r="A33" s="146" t="s">
        <v>26</v>
      </c>
      <c r="B33" s="146" t="s">
        <v>30</v>
      </c>
      <c r="C33" s="147" t="s">
        <v>30</v>
      </c>
      <c r="D33" s="147"/>
      <c r="E33" s="147"/>
      <c r="F33" s="147" t="s">
        <v>180</v>
      </c>
      <c r="G33" s="147"/>
      <c r="H33" s="147"/>
    </row>
    <row r="34" spans="1:8" s="22" customFormat="1" x14ac:dyDescent="0.25">
      <c r="A34" s="146" t="s">
        <v>28</v>
      </c>
      <c r="B34" s="146" t="s">
        <v>30</v>
      </c>
      <c r="C34" s="147" t="s">
        <v>30</v>
      </c>
      <c r="D34" s="147"/>
      <c r="E34" s="147"/>
      <c r="F34" s="147" t="s">
        <v>183</v>
      </c>
      <c r="G34" s="147"/>
      <c r="H34" s="147"/>
    </row>
    <row r="35" spans="1:8" x14ac:dyDescent="0.25">
      <c r="A35" s="146" t="s">
        <v>27</v>
      </c>
      <c r="B35" s="146" t="s">
        <v>30</v>
      </c>
      <c r="C35" s="147" t="s">
        <v>30</v>
      </c>
      <c r="D35" s="147"/>
      <c r="E35" s="147"/>
      <c r="F35" s="147" t="s">
        <v>180</v>
      </c>
      <c r="G35" s="147"/>
      <c r="H35" s="147"/>
    </row>
    <row r="36" spans="1:8" x14ac:dyDescent="0.25">
      <c r="A36" s="74" t="s">
        <v>32</v>
      </c>
      <c r="B36" s="74"/>
      <c r="C36" s="74"/>
      <c r="D36" s="74"/>
      <c r="E36" s="74"/>
      <c r="F36" s="74"/>
      <c r="G36" s="74"/>
      <c r="H36" s="74"/>
    </row>
    <row r="37" spans="1:8" ht="15.75" customHeight="1" x14ac:dyDescent="0.25">
      <c r="A37" s="74" t="s">
        <v>170</v>
      </c>
      <c r="B37" s="74"/>
      <c r="C37" s="133" t="s">
        <v>186</v>
      </c>
      <c r="D37" s="133"/>
      <c r="E37" s="133"/>
      <c r="F37" s="133"/>
      <c r="G37" s="133"/>
      <c r="H37" s="133"/>
    </row>
    <row r="38" spans="1:8" x14ac:dyDescent="0.25">
      <c r="A38" s="74" t="s">
        <v>166</v>
      </c>
      <c r="B38" s="74"/>
      <c r="C38" s="214" t="s">
        <v>184</v>
      </c>
      <c r="D38" s="120"/>
      <c r="E38" s="120"/>
      <c r="F38" s="120"/>
      <c r="G38" s="120"/>
      <c r="H38" s="120"/>
    </row>
    <row r="39" spans="1:8" x14ac:dyDescent="0.25">
      <c r="A39" s="133" t="s">
        <v>35</v>
      </c>
      <c r="B39" s="133"/>
      <c r="C39" s="133"/>
      <c r="D39" s="133"/>
      <c r="E39" s="133"/>
      <c r="F39" s="133"/>
      <c r="G39" s="133"/>
      <c r="H39" s="133"/>
    </row>
    <row r="40" spans="1:8" x14ac:dyDescent="0.25">
      <c r="A40" s="74" t="s">
        <v>36</v>
      </c>
      <c r="B40" s="74"/>
      <c r="C40" s="74"/>
      <c r="D40" s="74"/>
      <c r="E40" s="174">
        <v>6646.68</v>
      </c>
      <c r="F40" s="174"/>
      <c r="G40" s="174"/>
      <c r="H40" s="174"/>
    </row>
    <row r="41" spans="1:8" x14ac:dyDescent="0.25">
      <c r="A41" s="74" t="s">
        <v>37</v>
      </c>
      <c r="B41" s="74"/>
      <c r="C41" s="74"/>
      <c r="D41" s="74"/>
      <c r="E41" s="100">
        <v>1.1000000000000001</v>
      </c>
      <c r="F41" s="100"/>
      <c r="G41" s="100"/>
      <c r="H41" s="100"/>
    </row>
    <row r="42" spans="1:8" x14ac:dyDescent="0.25">
      <c r="A42" s="74" t="s">
        <v>38</v>
      </c>
      <c r="B42" s="74"/>
      <c r="C42" s="74"/>
      <c r="D42" s="74"/>
      <c r="E42" s="100">
        <f>E44/E40-E41</f>
        <v>3.8994839528907668</v>
      </c>
      <c r="F42" s="100"/>
      <c r="G42" s="100"/>
      <c r="H42" s="100"/>
    </row>
    <row r="43" spans="1:8" x14ac:dyDescent="0.25">
      <c r="A43" s="74" t="s">
        <v>39</v>
      </c>
      <c r="B43" s="74"/>
      <c r="C43" s="74"/>
      <c r="D43" s="74"/>
      <c r="E43" s="100">
        <f>E41+E42</f>
        <v>4.9994839528907669</v>
      </c>
      <c r="F43" s="100"/>
      <c r="G43" s="100"/>
      <c r="H43" s="100"/>
    </row>
    <row r="44" spans="1:8" x14ac:dyDescent="0.25">
      <c r="A44" s="74" t="s">
        <v>95</v>
      </c>
      <c r="B44" s="74"/>
      <c r="C44" s="74"/>
      <c r="D44" s="74"/>
      <c r="E44" s="220">
        <v>33229.97</v>
      </c>
      <c r="F44" s="220"/>
      <c r="G44" s="220"/>
      <c r="H44" s="220"/>
    </row>
    <row r="45" spans="1:8" x14ac:dyDescent="0.25">
      <c r="A45" s="139" t="s">
        <v>40</v>
      </c>
      <c r="B45" s="139"/>
      <c r="C45" s="139"/>
      <c r="D45" s="139"/>
      <c r="E45" s="139" t="s">
        <v>245</v>
      </c>
      <c r="F45" s="139"/>
      <c r="G45" s="139"/>
      <c r="H45" s="139"/>
    </row>
    <row r="46" spans="1:8" x14ac:dyDescent="0.25">
      <c r="A46" s="133" t="s">
        <v>41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25">
      <c r="A47" s="169" t="s">
        <v>154</v>
      </c>
      <c r="B47" s="171"/>
      <c r="C47" s="140" t="s">
        <v>187</v>
      </c>
      <c r="D47" s="141"/>
      <c r="E47" s="141"/>
      <c r="F47" s="141"/>
      <c r="G47" s="141"/>
      <c r="H47" s="142"/>
    </row>
    <row r="48" spans="1:8" ht="33" customHeight="1" x14ac:dyDescent="0.25">
      <c r="A48" s="169" t="s">
        <v>42</v>
      </c>
      <c r="B48" s="171"/>
      <c r="C48" s="169" t="s">
        <v>188</v>
      </c>
      <c r="D48" s="170"/>
      <c r="E48" s="171"/>
      <c r="F48" s="18" t="s">
        <v>43</v>
      </c>
      <c r="G48" s="154">
        <v>44741</v>
      </c>
      <c r="H48" s="171"/>
    </row>
    <row r="49" spans="1:14" ht="30.75" customHeight="1" x14ac:dyDescent="0.25">
      <c r="A49" s="169" t="s">
        <v>44</v>
      </c>
      <c r="B49" s="171"/>
      <c r="C49" s="169" t="str">
        <f>C48</f>
        <v>S3T/0019/16/TMC/TD-DP/TPS/4106/
22</v>
      </c>
      <c r="D49" s="170"/>
      <c r="E49" s="171"/>
      <c r="F49" s="18" t="s">
        <v>43</v>
      </c>
      <c r="G49" s="154">
        <f>G48</f>
        <v>44741</v>
      </c>
      <c r="H49" s="155"/>
    </row>
    <row r="50" spans="1:14" s="23" customFormat="1" x14ac:dyDescent="0.25">
      <c r="A50" s="156" t="s">
        <v>158</v>
      </c>
      <c r="B50" s="157"/>
      <c r="C50" s="169" t="s">
        <v>189</v>
      </c>
      <c r="D50" s="170"/>
      <c r="E50" s="171"/>
      <c r="F50" s="18" t="s">
        <v>43</v>
      </c>
      <c r="G50" s="154">
        <f>G48</f>
        <v>44741</v>
      </c>
      <c r="H50" s="155"/>
    </row>
    <row r="51" spans="1:14" s="23" customFormat="1" ht="34.5" customHeight="1" x14ac:dyDescent="0.25">
      <c r="A51" s="158"/>
      <c r="B51" s="159"/>
      <c r="C51" s="169" t="s">
        <v>242</v>
      </c>
      <c r="D51" s="170"/>
      <c r="E51" s="170"/>
      <c r="F51" s="170"/>
      <c r="G51" s="170"/>
      <c r="H51" s="171"/>
    </row>
    <row r="52" spans="1:14" s="23" customFormat="1" x14ac:dyDescent="0.25">
      <c r="A52" s="156"/>
      <c r="B52" s="157"/>
      <c r="C52" s="169" t="s">
        <v>266</v>
      </c>
      <c r="D52" s="170"/>
      <c r="E52" s="171"/>
      <c r="F52" s="18" t="s">
        <v>43</v>
      </c>
      <c r="G52" s="154">
        <v>45499</v>
      </c>
      <c r="H52" s="155"/>
    </row>
    <row r="53" spans="1:14" s="23" customFormat="1" ht="34.5" customHeight="1" x14ac:dyDescent="0.25">
      <c r="A53" s="158"/>
      <c r="B53" s="159"/>
      <c r="C53" s="169" t="s">
        <v>267</v>
      </c>
      <c r="D53" s="170"/>
      <c r="E53" s="170"/>
      <c r="F53" s="170"/>
      <c r="G53" s="170"/>
      <c r="H53" s="171"/>
    </row>
    <row r="54" spans="1:14" ht="48" customHeight="1" x14ac:dyDescent="0.25">
      <c r="A54" s="184" t="s">
        <v>45</v>
      </c>
      <c r="B54" s="185"/>
      <c r="C54" s="184" t="s">
        <v>260</v>
      </c>
      <c r="D54" s="186"/>
      <c r="E54" s="185"/>
      <c r="F54" s="46" t="s">
        <v>43</v>
      </c>
      <c r="G54" s="167">
        <v>44590</v>
      </c>
      <c r="H54" s="168"/>
    </row>
    <row r="55" spans="1:14" x14ac:dyDescent="0.25">
      <c r="A55" s="134" t="s">
        <v>47</v>
      </c>
      <c r="B55" s="134"/>
      <c r="C55" s="134"/>
      <c r="D55" s="134"/>
      <c r="E55" s="134"/>
      <c r="F55" s="134"/>
      <c r="G55" s="134"/>
      <c r="H55" s="134"/>
    </row>
    <row r="56" spans="1:14" x14ac:dyDescent="0.25">
      <c r="A56" s="121" t="s">
        <v>94</v>
      </c>
      <c r="B56" s="121"/>
      <c r="C56" s="121"/>
      <c r="D56" s="74">
        <f>E44</f>
        <v>33229.97</v>
      </c>
      <c r="E56" s="74"/>
      <c r="F56" s="74"/>
      <c r="G56" s="74"/>
      <c r="H56" s="74"/>
    </row>
    <row r="57" spans="1:14" x14ac:dyDescent="0.25">
      <c r="A57" s="120" t="s">
        <v>48</v>
      </c>
      <c r="B57" s="139"/>
      <c r="C57" s="139"/>
      <c r="D57" s="139" t="s">
        <v>243</v>
      </c>
      <c r="E57" s="139"/>
      <c r="F57" s="139"/>
      <c r="G57" s="139"/>
      <c r="H57" s="139"/>
      <c r="I57" s="24"/>
    </row>
    <row r="58" spans="1:14" ht="33.75" customHeight="1" x14ac:dyDescent="0.25">
      <c r="A58" s="151" t="s">
        <v>49</v>
      </c>
      <c r="B58" s="152"/>
      <c r="C58" s="153"/>
      <c r="D58" s="123" t="s">
        <v>236</v>
      </c>
      <c r="E58" s="150"/>
      <c r="F58" s="150"/>
      <c r="G58" s="150"/>
      <c r="H58" s="150"/>
    </row>
    <row r="59" spans="1:14" ht="15.75" customHeight="1" x14ac:dyDescent="0.25">
      <c r="A59" s="151" t="s">
        <v>92</v>
      </c>
      <c r="B59" s="152"/>
      <c r="C59" s="152"/>
      <c r="D59" s="178" t="s">
        <v>237</v>
      </c>
      <c r="E59" s="179"/>
      <c r="F59" s="179"/>
      <c r="G59" s="179"/>
      <c r="H59" s="180"/>
    </row>
    <row r="60" spans="1:14" ht="15.75" customHeight="1" x14ac:dyDescent="0.25">
      <c r="A60" s="176"/>
      <c r="B60" s="177"/>
      <c r="C60" s="177"/>
      <c r="D60" s="181" t="s">
        <v>238</v>
      </c>
      <c r="E60" s="182"/>
      <c r="F60" s="182"/>
      <c r="G60" s="182"/>
      <c r="H60" s="183"/>
    </row>
    <row r="61" spans="1:14" ht="15.75" customHeight="1" x14ac:dyDescent="0.25">
      <c r="A61" s="74" t="s">
        <v>46</v>
      </c>
      <c r="B61" s="74"/>
      <c r="C61" s="74"/>
      <c r="D61" s="175" t="s">
        <v>265</v>
      </c>
      <c r="E61" s="175"/>
      <c r="F61" s="175"/>
      <c r="G61" s="175"/>
      <c r="H61" s="175"/>
      <c r="J61" s="25"/>
      <c r="K61" s="24"/>
      <c r="N61" s="24"/>
    </row>
    <row r="62" spans="1:14" ht="15.75" customHeight="1" x14ac:dyDescent="0.25">
      <c r="A62" s="74" t="s">
        <v>90</v>
      </c>
      <c r="B62" s="74"/>
      <c r="C62" s="74"/>
      <c r="D62" s="219" t="s">
        <v>261</v>
      </c>
      <c r="E62" s="219"/>
      <c r="F62" s="219"/>
      <c r="G62" s="219"/>
      <c r="H62" s="219"/>
      <c r="N62" s="24"/>
    </row>
    <row r="63" spans="1:14" ht="15.75" customHeight="1" x14ac:dyDescent="0.25">
      <c r="A63" s="74" t="s">
        <v>91</v>
      </c>
      <c r="B63" s="74"/>
      <c r="C63" s="74"/>
      <c r="D63" s="121" t="s">
        <v>24</v>
      </c>
      <c r="E63" s="121"/>
      <c r="F63" s="121"/>
      <c r="G63" s="121"/>
      <c r="H63" s="121"/>
      <c r="J63" s="26"/>
      <c r="K63" s="26"/>
    </row>
    <row r="64" spans="1:14" ht="81" customHeight="1" x14ac:dyDescent="0.25">
      <c r="A64" s="74" t="s">
        <v>77</v>
      </c>
      <c r="B64" s="74"/>
      <c r="C64" s="74"/>
      <c r="D64" s="120" t="s">
        <v>264</v>
      </c>
      <c r="E64" s="121"/>
      <c r="F64" s="121"/>
      <c r="G64" s="121"/>
      <c r="H64" s="121"/>
    </row>
    <row r="65" spans="1:14" x14ac:dyDescent="0.25">
      <c r="A65" s="121" t="s">
        <v>151</v>
      </c>
      <c r="B65" s="121"/>
      <c r="C65" s="121"/>
      <c r="D65" s="121" t="s">
        <v>30</v>
      </c>
      <c r="E65" s="121"/>
      <c r="F65" s="121"/>
      <c r="G65" s="121"/>
      <c r="H65" s="121"/>
      <c r="I65" s="27"/>
      <c r="J65" s="27"/>
      <c r="K65" s="27"/>
      <c r="L65" s="27"/>
      <c r="M65" s="27"/>
      <c r="N65" s="27"/>
    </row>
    <row r="66" spans="1:14" ht="15.75" customHeight="1" x14ac:dyDescent="0.25">
      <c r="A66" s="124" t="s">
        <v>89</v>
      </c>
      <c r="B66" s="124"/>
      <c r="C66" s="124"/>
      <c r="D66" s="123" t="str">
        <f ca="1">(IF(G72&gt;95%,"Nothing",IF(G72&gt;0%,"Cement, Aggregate, Steel, etc",IF(G72=0%,"Work not yet Started"))))</f>
        <v>Cement, Aggregate, Steel, etc</v>
      </c>
      <c r="E66" s="123"/>
      <c r="F66" s="123"/>
      <c r="G66" s="123"/>
      <c r="H66" s="123"/>
      <c r="J66" s="26"/>
    </row>
    <row r="67" spans="1:14" ht="33.75" customHeight="1" thickBot="1" x14ac:dyDescent="0.3">
      <c r="A67" s="122" t="s">
        <v>119</v>
      </c>
      <c r="B67" s="122"/>
      <c r="C67" s="122"/>
      <c r="D67" s="123" t="str">
        <f ca="1">(IF(D66="Nothing","Yes",IF(D66="Cement, Aggregate, Steel, etc","Under Construction",IF(D66="Work not yet Started","Work not yet Started"))))</f>
        <v>Under Construction</v>
      </c>
      <c r="E67" s="123"/>
      <c r="F67" s="123" t="str">
        <f ca="1">(IF(D66="Nothing","Yes",IF(D66="Cement, Aggregate, Steel, etc","Under Construction",IF(D66="Work not yet Started","Work not yet Started"))))</f>
        <v>Under Construction</v>
      </c>
      <c r="G67" s="123"/>
      <c r="H67" s="123"/>
    </row>
    <row r="68" spans="1:14" ht="15.75" customHeight="1" x14ac:dyDescent="0.25">
      <c r="A68" s="113" t="s">
        <v>143</v>
      </c>
      <c r="B68" s="114"/>
      <c r="C68" s="162" t="str">
        <f>D59</f>
        <v>Building No.1 (Legend) = 2B + G + 2P + 1st to 32nd Floor</v>
      </c>
      <c r="D68" s="163"/>
      <c r="E68" s="163"/>
      <c r="F68" s="163"/>
      <c r="G68" s="163"/>
      <c r="H68" s="164"/>
      <c r="I68" s="48" t="str">
        <f ca="1">IF(D81=100%,"All work Completed. Possession granted to the Building.",IF(D80=100%,"All work Completed, Waiting for OC",I69&amp;""&amp;I70&amp;""&amp;J69&amp;""&amp;J68&amp;" "&amp;J70))</f>
        <v>Excavation, Plinth Completed, RCC upto 32 Slab, Brickwork upto 31 Floor, Internal Plaster upto 30 Floor, External Plaster upto 29 Floor, Flooring upto 23 Floor, Painting upto 18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32 Slab, Brickwork upto 31 Floor, Internal Plaster upto 30 Floor, External Plaster upto 29 Floor, Flooring upto 23 Floor, Painting upto 18 Floor</v>
      </c>
    </row>
    <row r="69" spans="1:14" x14ac:dyDescent="0.25">
      <c r="A69" s="16" t="s">
        <v>145</v>
      </c>
      <c r="B69" s="52">
        <f>IF(AND(ISNUMBER(SEARCH("1B",C68))),1,IF(AND(ISNUMBER(SEARCH("2B",C68))),2,IF(AND(ISNUMBER(SEARCH("3B",C68))),3,IF(AND(ISNUMBER(SEARCH("4B",C68))),4,IF(ISNUMBER(SEARCH("5B",C68)),5,0)))))</f>
        <v>2</v>
      </c>
      <c r="C69" s="60" t="s">
        <v>74</v>
      </c>
      <c r="D69" s="60">
        <v>1</v>
      </c>
      <c r="E69" s="60" t="s">
        <v>73</v>
      </c>
      <c r="F69" s="60">
        <v>2</v>
      </c>
      <c r="G69" s="60" t="s">
        <v>83</v>
      </c>
      <c r="H69" s="17">
        <f ca="1">--TRIM(RIGHT(SUBSTITUTE(LEFT(C68,_xlfn.AGGREGATE(16,6,FIND({0,1,2,3,4,5,6,7,8,9},C68,ROW(INDIRECT("1:"&amp;LEN(C68)))),1))," ",REPT(" ",LEN(C68))),LEN(C68)))</f>
        <v>32</v>
      </c>
      <c r="I69" s="50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47.25" customHeight="1" x14ac:dyDescent="0.25">
      <c r="A70" s="160" t="s">
        <v>93</v>
      </c>
      <c r="B70" s="161"/>
      <c r="C70" s="172" t="str">
        <f ca="1">I68</f>
        <v>Excavation, Plinth Completed, RCC upto 32 Slab, Brickwork upto 31 Floor, Internal Plaster upto 30 Floor, External Plaster upto 29 Floor, Flooring upto 23 Floor, Painting upto 18 Floor Completed</v>
      </c>
      <c r="D70" s="172"/>
      <c r="E70" s="172"/>
      <c r="F70" s="172"/>
      <c r="G70" s="172"/>
      <c r="H70" s="173"/>
      <c r="I70" s="50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25">
      <c r="A71" s="111" t="s">
        <v>50</v>
      </c>
      <c r="B71" s="112"/>
      <c r="C71" s="63" t="s">
        <v>142</v>
      </c>
      <c r="D71" s="63" t="s">
        <v>86</v>
      </c>
      <c r="E71" s="165" t="s">
        <v>88</v>
      </c>
      <c r="F71" s="165"/>
      <c r="G71" s="165" t="s">
        <v>87</v>
      </c>
      <c r="H71" s="166"/>
      <c r="I71" s="14" t="s">
        <v>144</v>
      </c>
      <c r="J71" s="28">
        <f ca="1">H69*25%</f>
        <v>8</v>
      </c>
    </row>
    <row r="72" spans="1:14" x14ac:dyDescent="0.25">
      <c r="A72" s="111" t="s">
        <v>131</v>
      </c>
      <c r="B72" s="112"/>
      <c r="C72" s="63">
        <f ca="1">J73</f>
        <v>32</v>
      </c>
      <c r="D72" s="64">
        <f ca="1">((100/H69)*C72)/100</f>
        <v>1</v>
      </c>
      <c r="E72" s="196">
        <f ca="1">(((C73/H69*10)+(40/(D69+F69+H69)*C74)+(7.5/(H69)*C75)+(7.5/(H69)*C76)+(10/H69*C77)+(10/H69*C78)+(5/H69*C79)+(5/H69*C80)+(5/H69*C81))/100)</f>
        <v>0.79930803571428566</v>
      </c>
      <c r="F72" s="197"/>
      <c r="G72" s="196">
        <f ca="1">((((C72/H69)*20)+((C73/H69)*25)+(30/(H69+F69+D69)*C74)+(5/H69*C75)+(5/H69*C76)+(5/H69*C77)+(5/H69*C78)+(0/H69*C79)+(0/H69*C80)+(5/H69*C81))/100)</f>
        <v>0.90084821428571427</v>
      </c>
      <c r="H72" s="216"/>
      <c r="I72" s="14" t="s">
        <v>102</v>
      </c>
      <c r="J72" s="29">
        <f ca="1">H69*50%</f>
        <v>16</v>
      </c>
    </row>
    <row r="73" spans="1:14" x14ac:dyDescent="0.25">
      <c r="A73" s="111" t="s">
        <v>51</v>
      </c>
      <c r="B73" s="112"/>
      <c r="C73" s="63">
        <f ca="1">J81</f>
        <v>32</v>
      </c>
      <c r="D73" s="64">
        <f ca="1">((100/H69)*C73)/100</f>
        <v>1</v>
      </c>
      <c r="E73" s="198"/>
      <c r="F73" s="199"/>
      <c r="G73" s="198"/>
      <c r="H73" s="217"/>
      <c r="I73" s="14" t="s">
        <v>103</v>
      </c>
      <c r="J73" s="29">
        <f ca="1">H69</f>
        <v>32</v>
      </c>
    </row>
    <row r="74" spans="1:14" ht="15.75" customHeight="1" x14ac:dyDescent="0.25">
      <c r="A74" s="111" t="s">
        <v>132</v>
      </c>
      <c r="B74" s="112"/>
      <c r="C74" s="63">
        <v>32</v>
      </c>
      <c r="D74" s="64">
        <f ca="1">((100/(D69+F69+H69))*C74)/100</f>
        <v>0.91428571428571426</v>
      </c>
      <c r="E74" s="198"/>
      <c r="F74" s="199"/>
      <c r="G74" s="198"/>
      <c r="H74" s="217"/>
      <c r="I74" s="14" t="s">
        <v>104</v>
      </c>
      <c r="J74" s="30">
        <f ca="1">(IF(B69&gt;1,(H69/(B69+2)),H69/4))</f>
        <v>8</v>
      </c>
      <c r="L74" s="21">
        <f>0.9*32</f>
        <v>28.8</v>
      </c>
    </row>
    <row r="75" spans="1:14" ht="15.75" customHeight="1" x14ac:dyDescent="0.25">
      <c r="A75" s="111" t="s">
        <v>139</v>
      </c>
      <c r="B75" s="112" t="s">
        <v>133</v>
      </c>
      <c r="C75" s="63">
        <v>31</v>
      </c>
      <c r="D75" s="64">
        <f ca="1">((100/H69)*C75)/100</f>
        <v>0.96875</v>
      </c>
      <c r="E75" s="198"/>
      <c r="F75" s="199"/>
      <c r="G75" s="198"/>
      <c r="H75" s="217"/>
      <c r="I75" s="14" t="s">
        <v>105</v>
      </c>
      <c r="J75" s="30">
        <f ca="1">(IF(B69&gt;1,(H69/(B69+2)+J74),H69/4+J74))</f>
        <v>16</v>
      </c>
    </row>
    <row r="76" spans="1:14" ht="15.75" customHeight="1" x14ac:dyDescent="0.25">
      <c r="A76" s="111" t="s">
        <v>140</v>
      </c>
      <c r="B76" s="112" t="s">
        <v>133</v>
      </c>
      <c r="C76" s="63">
        <v>30</v>
      </c>
      <c r="D76" s="64">
        <f ca="1">((100/H69)*C76)/100</f>
        <v>0.9375</v>
      </c>
      <c r="E76" s="198"/>
      <c r="F76" s="199"/>
      <c r="G76" s="198"/>
      <c r="H76" s="217"/>
      <c r="I76" s="14" t="s">
        <v>149</v>
      </c>
      <c r="J76" s="30">
        <f ca="1">(IF(B69&gt;1,(H69/(B69+2)+J75),0))</f>
        <v>24</v>
      </c>
      <c r="L76" s="21">
        <f>0.55*32</f>
        <v>17.600000000000001</v>
      </c>
    </row>
    <row r="77" spans="1:14" ht="15" customHeight="1" x14ac:dyDescent="0.25">
      <c r="A77" s="111" t="s">
        <v>138</v>
      </c>
      <c r="B77" s="112" t="s">
        <v>135</v>
      </c>
      <c r="C77" s="63">
        <v>29</v>
      </c>
      <c r="D77" s="64">
        <f ca="1">((100/(H69))*C77)/100</f>
        <v>0.90625</v>
      </c>
      <c r="E77" s="198"/>
      <c r="F77" s="199"/>
      <c r="G77" s="198"/>
      <c r="H77" s="217"/>
      <c r="I77" s="14" t="s">
        <v>146</v>
      </c>
      <c r="J77" s="30">
        <f>(IF(B69&gt;2,(H69/(B69+2)+J76),0))</f>
        <v>0</v>
      </c>
    </row>
    <row r="78" spans="1:14" ht="15.75" customHeight="1" x14ac:dyDescent="0.25">
      <c r="A78" s="111" t="s">
        <v>134</v>
      </c>
      <c r="B78" s="112" t="s">
        <v>134</v>
      </c>
      <c r="C78" s="63">
        <v>23</v>
      </c>
      <c r="D78" s="64">
        <f ca="1">((100/H69)*C78)/100</f>
        <v>0.71875</v>
      </c>
      <c r="E78" s="198"/>
      <c r="F78" s="199"/>
      <c r="G78" s="198"/>
      <c r="H78" s="217"/>
      <c r="I78" s="14" t="s">
        <v>147</v>
      </c>
      <c r="J78" s="31">
        <f>(IF(B69&gt;3,(H69/(B69+2)+J77),0))</f>
        <v>0</v>
      </c>
    </row>
    <row r="79" spans="1:14" ht="15.75" customHeight="1" x14ac:dyDescent="0.25">
      <c r="A79" s="111" t="s">
        <v>141</v>
      </c>
      <c r="B79" s="112"/>
      <c r="C79" s="63">
        <v>18</v>
      </c>
      <c r="D79" s="64">
        <f ca="1">((100/H69)*C79)/100</f>
        <v>0.5625</v>
      </c>
      <c r="E79" s="198"/>
      <c r="F79" s="199"/>
      <c r="G79" s="198"/>
      <c r="H79" s="217"/>
      <c r="I79" s="14" t="s">
        <v>148</v>
      </c>
      <c r="J79" s="30">
        <f>(IF(B69&gt;4,(H69/(B69+2)+J78),0))</f>
        <v>0</v>
      </c>
    </row>
    <row r="80" spans="1:14" ht="15.75" customHeight="1" x14ac:dyDescent="0.25">
      <c r="A80" s="111" t="s">
        <v>136</v>
      </c>
      <c r="B80" s="112" t="s">
        <v>136</v>
      </c>
      <c r="C80" s="63">
        <v>0</v>
      </c>
      <c r="D80" s="64">
        <f ca="1">((100/(H69))*C80)/100</f>
        <v>0</v>
      </c>
      <c r="E80" s="198"/>
      <c r="F80" s="199"/>
      <c r="G80" s="198"/>
      <c r="H80" s="217"/>
      <c r="I80" s="14" t="s">
        <v>150</v>
      </c>
      <c r="J80" s="30">
        <f>(IF(B69=1,(H69/(B69+3)+J75),IF(B69=0,(H69/4+J75),IF(B69&gt;1,0))))</f>
        <v>0</v>
      </c>
    </row>
    <row r="81" spans="1:10" ht="16.5" thickBot="1" x14ac:dyDescent="0.3">
      <c r="A81" s="194" t="s">
        <v>137</v>
      </c>
      <c r="B81" s="195"/>
      <c r="C81" s="65">
        <v>0</v>
      </c>
      <c r="D81" s="66">
        <f ca="1">((100/(H69))*C81)/100</f>
        <v>0</v>
      </c>
      <c r="E81" s="200"/>
      <c r="F81" s="201"/>
      <c r="G81" s="200"/>
      <c r="H81" s="218"/>
      <c r="I81" s="15" t="s">
        <v>106</v>
      </c>
      <c r="J81" s="32">
        <f ca="1">(IF(B69&gt;1.5,(H69/(B69+2)+J75+MAX(0,J76-J75)+MAX(0,J77-J76)+MAX(0,J78-J77)+MAX(0,J79-J78)+MAX(0,J80-J79)),IF(B69=1,(H69/(B69+3)+J80),IF(B69=0,H69/4+J80))))</f>
        <v>32</v>
      </c>
    </row>
    <row r="82" spans="1:10" ht="15.75" customHeight="1" x14ac:dyDescent="0.25">
      <c r="A82" s="113" t="s">
        <v>143</v>
      </c>
      <c r="B82" s="114"/>
      <c r="C82" s="115" t="str">
        <f>D60</f>
        <v>Building No.2 (Legacy) = 2B + G + 2P + 1st to 32nd Floor</v>
      </c>
      <c r="D82" s="116"/>
      <c r="E82" s="116"/>
      <c r="F82" s="116"/>
      <c r="G82" s="116"/>
      <c r="H82" s="117"/>
      <c r="I82" s="48" t="str">
        <f ca="1">IF(D95=100%,"All work Completed. Possession granted to the Building.",IF(D94=100%,"All work Completed, Waiting for OC",I83&amp;""&amp;I84&amp;""&amp;J83&amp;""&amp;J82&amp;" "&amp;J84))</f>
        <v>Excavation, Plinth Completed, RCC upto 31 Slab, Brickwork upto 30 Floor, Internal Plaster upto 29 Floor, External Plaster upto 27 Floor, Flooring upto 25 Floor, Painting upto 16 Floor Completed</v>
      </c>
      <c r="J82" s="49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31 Slab, Brickwork upto 30 Floor, Internal Plaster upto 29 Floor, External Plaster upto 27 Floor, Flooring upto 25 Floor, Painting upto 16 Floor</v>
      </c>
    </row>
    <row r="83" spans="1:10" x14ac:dyDescent="0.25">
      <c r="A83" s="16" t="s">
        <v>145</v>
      </c>
      <c r="B83" s="53">
        <f>IF(AND(ISNUMBER(SEARCH("1B",C82))),1,IF(AND(ISNUMBER(SEARCH("2B",C82))),2,IF(AND(ISNUMBER(SEARCH("3B",C82))),3,IF(AND(ISNUMBER(SEARCH("4B",C82))),4,IF(ISNUMBER(SEARCH("5B",C82)),5,0)))))</f>
        <v>2</v>
      </c>
      <c r="C83" s="60" t="s">
        <v>74</v>
      </c>
      <c r="D83" s="60">
        <v>1</v>
      </c>
      <c r="E83" s="60" t="s">
        <v>73</v>
      </c>
      <c r="F83" s="60">
        <v>2</v>
      </c>
      <c r="G83" s="60" t="s">
        <v>83</v>
      </c>
      <c r="H83" s="17">
        <f ca="1">--TRIM(RIGHT(SUBSTITUTE(LEFT(C82,_xlfn.AGGREGATE(16,6,FIND({0,1,2,3,4,5,6,7,8,9},C82,ROW(INDIRECT("1:"&amp;LEN(C82)))),1))," ",REPT(" ",LEN(C82))),LEN(C82)))</f>
        <v>32</v>
      </c>
      <c r="I83" s="50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51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48" customHeight="1" x14ac:dyDescent="0.25">
      <c r="A84" s="160" t="s">
        <v>93</v>
      </c>
      <c r="B84" s="161"/>
      <c r="C84" s="172" t="str">
        <f ca="1">I82</f>
        <v>Excavation, Plinth Completed, RCC upto 31 Slab, Brickwork upto 30 Floor, Internal Plaster upto 29 Floor, External Plaster upto 27 Floor, Flooring upto 25 Floor, Painting upto 16 Floor Completed</v>
      </c>
      <c r="D84" s="172"/>
      <c r="E84" s="172"/>
      <c r="F84" s="172"/>
      <c r="G84" s="172"/>
      <c r="H84" s="173"/>
      <c r="I84" s="50" t="str">
        <f ca="1">IF(I83&lt;&gt;""," Completed","")</f>
        <v xml:space="preserve"> Completed</v>
      </c>
      <c r="J84" s="51" t="str">
        <f ca="1">IF(J82&lt;&gt;"","Completed","")</f>
        <v>Completed</v>
      </c>
    </row>
    <row r="85" spans="1:10" ht="15.75" customHeight="1" x14ac:dyDescent="0.25">
      <c r="A85" s="111" t="s">
        <v>50</v>
      </c>
      <c r="B85" s="112"/>
      <c r="C85" s="44" t="s">
        <v>142</v>
      </c>
      <c r="D85" s="44" t="s">
        <v>86</v>
      </c>
      <c r="E85" s="112" t="s">
        <v>88</v>
      </c>
      <c r="F85" s="112"/>
      <c r="G85" s="112" t="s">
        <v>87</v>
      </c>
      <c r="H85" s="213"/>
      <c r="I85" s="14" t="s">
        <v>144</v>
      </c>
      <c r="J85" s="28">
        <f ca="1">H83*25%</f>
        <v>8</v>
      </c>
    </row>
    <row r="86" spans="1:10" x14ac:dyDescent="0.25">
      <c r="A86" s="111" t="s">
        <v>131</v>
      </c>
      <c r="B86" s="112"/>
      <c r="C86" s="44">
        <f ca="1">J87</f>
        <v>32</v>
      </c>
      <c r="D86" s="19">
        <f ca="1">((100/H83)*C86)/100</f>
        <v>1</v>
      </c>
      <c r="E86" s="187">
        <f ca="1">(((C87/H83*10)+(40/(D83+F83+H83)*C88)+(7.5/(H83)*C89)+(7.5/(H83)*C90)+(10/H83*C91)+(10/H83*C92)+(5/H83*C93)+(5/H83*C94)+(5/H83*C95))/100)</f>
        <v>0.7800669642857142</v>
      </c>
      <c r="F86" s="188"/>
      <c r="G86" s="187">
        <f ca="1">((((C86/H83)*20)+((C87/H83)*25)+(30/(H83+F83+D83)*C88)+(5/H83*C89)+(5/H83*C90)+(5/H83*C91)+(5/H83*C92)+(0/H83*C93)+(0/H83*C94)+(5/H83*C95))/100)</f>
        <v>0.88915178571428566</v>
      </c>
      <c r="H86" s="210"/>
      <c r="I86" s="14" t="s">
        <v>102</v>
      </c>
      <c r="J86" s="29">
        <f ca="1">H83*50%</f>
        <v>16</v>
      </c>
    </row>
    <row r="87" spans="1:10" x14ac:dyDescent="0.25">
      <c r="A87" s="111" t="s">
        <v>51</v>
      </c>
      <c r="B87" s="112"/>
      <c r="C87" s="54">
        <f ca="1">J95</f>
        <v>32</v>
      </c>
      <c r="D87" s="19">
        <f ca="1">((100/H83)*C87)/100</f>
        <v>1</v>
      </c>
      <c r="E87" s="189"/>
      <c r="F87" s="190"/>
      <c r="G87" s="189"/>
      <c r="H87" s="211"/>
      <c r="I87" s="14" t="s">
        <v>103</v>
      </c>
      <c r="J87" s="29">
        <f ca="1">H83</f>
        <v>32</v>
      </c>
    </row>
    <row r="88" spans="1:10" ht="15.75" customHeight="1" x14ac:dyDescent="0.25">
      <c r="A88" s="111" t="s">
        <v>132</v>
      </c>
      <c r="B88" s="112"/>
      <c r="C88" s="44">
        <v>31</v>
      </c>
      <c r="D88" s="19">
        <f ca="1">((100/(D83+F83+H83))*C88)/100</f>
        <v>0.88571428571428568</v>
      </c>
      <c r="E88" s="189"/>
      <c r="F88" s="190"/>
      <c r="G88" s="189"/>
      <c r="H88" s="211"/>
      <c r="I88" s="14" t="s">
        <v>104</v>
      </c>
      <c r="J88" s="30">
        <f ca="1">(IF(B83&gt;1,(H83/(B83+2)),H83/4))</f>
        <v>8</v>
      </c>
    </row>
    <row r="89" spans="1:10" ht="15.75" customHeight="1" x14ac:dyDescent="0.25">
      <c r="A89" s="111" t="s">
        <v>139</v>
      </c>
      <c r="B89" s="112" t="s">
        <v>133</v>
      </c>
      <c r="C89" s="44">
        <v>30</v>
      </c>
      <c r="D89" s="19">
        <f ca="1">((100/H83)*C89)/100</f>
        <v>0.9375</v>
      </c>
      <c r="E89" s="189"/>
      <c r="F89" s="190"/>
      <c r="G89" s="189"/>
      <c r="H89" s="211"/>
      <c r="I89" s="14" t="s">
        <v>105</v>
      </c>
      <c r="J89" s="30">
        <f ca="1">(IF(B83&gt;1,(H83/(B83+2)+J88),H83/4+J88))</f>
        <v>16</v>
      </c>
    </row>
    <row r="90" spans="1:10" ht="15.75" customHeight="1" x14ac:dyDescent="0.25">
      <c r="A90" s="111" t="s">
        <v>140</v>
      </c>
      <c r="B90" s="112" t="s">
        <v>133</v>
      </c>
      <c r="C90" s="44">
        <v>29</v>
      </c>
      <c r="D90" s="19">
        <f ca="1">((100/H83)*C90)/100</f>
        <v>0.90625</v>
      </c>
      <c r="E90" s="189"/>
      <c r="F90" s="190"/>
      <c r="G90" s="189"/>
      <c r="H90" s="211"/>
      <c r="I90" s="14" t="s">
        <v>149</v>
      </c>
      <c r="J90" s="30">
        <f ca="1">(IF(B83&gt;1,(H83/(B83+2)+J89),0))</f>
        <v>24</v>
      </c>
    </row>
    <row r="91" spans="1:10" ht="15" customHeight="1" x14ac:dyDescent="0.25">
      <c r="A91" s="111" t="s">
        <v>138</v>
      </c>
      <c r="B91" s="112" t="s">
        <v>135</v>
      </c>
      <c r="C91" s="44">
        <v>27</v>
      </c>
      <c r="D91" s="19">
        <f ca="1">((100/(H83))*C91)/100</f>
        <v>0.84375</v>
      </c>
      <c r="E91" s="189"/>
      <c r="F91" s="190"/>
      <c r="G91" s="189"/>
      <c r="H91" s="211"/>
      <c r="I91" s="14" t="s">
        <v>146</v>
      </c>
      <c r="J91" s="30">
        <f>(IF(B83&gt;2,(H83/(B83+2)+J90),0))</f>
        <v>0</v>
      </c>
    </row>
    <row r="92" spans="1:10" ht="15.75" customHeight="1" x14ac:dyDescent="0.25">
      <c r="A92" s="111" t="s">
        <v>134</v>
      </c>
      <c r="B92" s="112" t="s">
        <v>134</v>
      </c>
      <c r="C92" s="44">
        <v>25</v>
      </c>
      <c r="D92" s="19">
        <f ca="1">((100/H83)*C92)/100</f>
        <v>0.78125</v>
      </c>
      <c r="E92" s="189"/>
      <c r="F92" s="190"/>
      <c r="G92" s="189"/>
      <c r="H92" s="211"/>
      <c r="I92" s="14" t="s">
        <v>147</v>
      </c>
      <c r="J92" s="31">
        <f>(IF(B83&gt;3,(H83/(B83+2)+J91),0))</f>
        <v>0</v>
      </c>
    </row>
    <row r="93" spans="1:10" ht="15.75" customHeight="1" x14ac:dyDescent="0.25">
      <c r="A93" s="111" t="s">
        <v>141</v>
      </c>
      <c r="B93" s="112"/>
      <c r="C93" s="44">
        <v>16</v>
      </c>
      <c r="D93" s="19">
        <f ca="1">((100/H83)*C93)/100</f>
        <v>0.5</v>
      </c>
      <c r="E93" s="189"/>
      <c r="F93" s="190"/>
      <c r="G93" s="189"/>
      <c r="H93" s="211"/>
      <c r="I93" s="14" t="s">
        <v>148</v>
      </c>
      <c r="J93" s="30">
        <f>(IF(B83&gt;4,(H83/(B83+2)+J92),0))</f>
        <v>0</v>
      </c>
    </row>
    <row r="94" spans="1:10" ht="15.75" customHeight="1" x14ac:dyDescent="0.25">
      <c r="A94" s="111" t="s">
        <v>136</v>
      </c>
      <c r="B94" s="112" t="s">
        <v>136</v>
      </c>
      <c r="C94" s="44">
        <v>0</v>
      </c>
      <c r="D94" s="19">
        <f ca="1">((100/(H83))*C94)/100</f>
        <v>0</v>
      </c>
      <c r="E94" s="189"/>
      <c r="F94" s="190"/>
      <c r="G94" s="189"/>
      <c r="H94" s="211"/>
      <c r="I94" s="14" t="s">
        <v>150</v>
      </c>
      <c r="J94" s="30">
        <f>(IF(B83=1,(H83/(B83+3)+J89),IF(B83=0,(H83/4+J89),IF(B83&gt;1,0))))</f>
        <v>0</v>
      </c>
    </row>
    <row r="95" spans="1:10" ht="16.5" thickBot="1" x14ac:dyDescent="0.3">
      <c r="A95" s="194" t="s">
        <v>137</v>
      </c>
      <c r="B95" s="195"/>
      <c r="C95" s="45">
        <v>0</v>
      </c>
      <c r="D95" s="20">
        <f ca="1">((100/(H83))*C95)/100</f>
        <v>0</v>
      </c>
      <c r="E95" s="191"/>
      <c r="F95" s="192"/>
      <c r="G95" s="191"/>
      <c r="H95" s="212"/>
      <c r="I95" s="15" t="s">
        <v>106</v>
      </c>
      <c r="J95" s="32">
        <f ca="1">(IF(B83&gt;1.5,(H83/(B83+2)+J89+MAX(0,J90-J89)+MAX(0,J91-J90)+MAX(0,J92-J91)+MAX(0,J93-J92)+MAX(0,J94-J93)),IF(B83=1,(H83/(B83+3)+J94),IF(B83=0,H83/4+J94))))</f>
        <v>32</v>
      </c>
    </row>
    <row r="96" spans="1:10" x14ac:dyDescent="0.25">
      <c r="A96" s="215" t="s">
        <v>160</v>
      </c>
      <c r="B96" s="215"/>
      <c r="C96" s="215"/>
      <c r="D96" s="215"/>
      <c r="E96" s="215"/>
      <c r="F96" s="193" t="s">
        <v>164</v>
      </c>
      <c r="G96" s="193"/>
      <c r="H96" s="193"/>
    </row>
    <row r="97" spans="1:8" x14ac:dyDescent="0.25">
      <c r="A97" s="74" t="s">
        <v>162</v>
      </c>
      <c r="B97" s="74"/>
      <c r="C97" s="74"/>
      <c r="D97" s="74"/>
      <c r="E97" s="74"/>
      <c r="F97" s="75">
        <v>16000</v>
      </c>
      <c r="G97" s="75"/>
      <c r="H97" s="75"/>
    </row>
    <row r="98" spans="1:8" x14ac:dyDescent="0.25">
      <c r="A98" s="74" t="s">
        <v>253</v>
      </c>
      <c r="B98" s="74"/>
      <c r="C98" s="74"/>
      <c r="D98" s="74"/>
      <c r="E98" s="74"/>
      <c r="F98" s="75">
        <v>32000</v>
      </c>
      <c r="G98" s="75"/>
      <c r="H98" s="75"/>
    </row>
    <row r="99" spans="1:8" x14ac:dyDescent="0.25">
      <c r="A99" s="74" t="s">
        <v>254</v>
      </c>
      <c r="B99" s="74"/>
      <c r="C99" s="74"/>
      <c r="D99" s="74"/>
      <c r="E99" s="74"/>
      <c r="F99" s="75">
        <v>28000</v>
      </c>
      <c r="G99" s="75"/>
      <c r="H99" s="75"/>
    </row>
    <row r="100" spans="1:8" x14ac:dyDescent="0.25">
      <c r="A100" s="74" t="s">
        <v>163</v>
      </c>
      <c r="B100" s="74"/>
      <c r="C100" s="74"/>
      <c r="D100" s="74"/>
      <c r="E100" s="74"/>
      <c r="F100" s="75">
        <v>26000</v>
      </c>
      <c r="G100" s="75"/>
      <c r="H100" s="75"/>
    </row>
    <row r="101" spans="1:8" s="33" customFormat="1" hidden="1" x14ac:dyDescent="0.25">
      <c r="A101" s="74" t="s">
        <v>161</v>
      </c>
      <c r="B101" s="74"/>
      <c r="C101" s="74"/>
      <c r="D101" s="74"/>
      <c r="E101" s="74"/>
      <c r="F101" s="75"/>
      <c r="G101" s="75"/>
      <c r="H101" s="75"/>
    </row>
    <row r="102" spans="1:8" s="33" customFormat="1" x14ac:dyDescent="0.25">
      <c r="A102" s="74" t="s">
        <v>255</v>
      </c>
      <c r="B102" s="74"/>
      <c r="C102" s="74"/>
      <c r="D102" s="74"/>
      <c r="E102" s="74"/>
      <c r="F102" s="75">
        <v>350000</v>
      </c>
      <c r="G102" s="75"/>
      <c r="H102" s="75"/>
    </row>
    <row r="103" spans="1:8" s="33" customFormat="1" x14ac:dyDescent="0.25">
      <c r="A103" s="74" t="s">
        <v>98</v>
      </c>
      <c r="B103" s="74"/>
      <c r="C103" s="74"/>
      <c r="D103" s="74"/>
      <c r="E103" s="74"/>
      <c r="F103" s="75">
        <v>350000</v>
      </c>
      <c r="G103" s="75"/>
      <c r="H103" s="75"/>
    </row>
    <row r="104" spans="1:8" s="33" customFormat="1" hidden="1" x14ac:dyDescent="0.25">
      <c r="A104" s="74" t="s">
        <v>165</v>
      </c>
      <c r="B104" s="74"/>
      <c r="C104" s="74"/>
      <c r="D104" s="74"/>
      <c r="E104" s="74"/>
      <c r="F104" s="75">
        <v>20000</v>
      </c>
      <c r="G104" s="75"/>
      <c r="H104" s="75"/>
    </row>
    <row r="105" spans="1:8" s="33" customFormat="1" x14ac:dyDescent="0.25">
      <c r="A105" s="74" t="s">
        <v>256</v>
      </c>
      <c r="B105" s="74"/>
      <c r="C105" s="74"/>
      <c r="D105" s="74"/>
      <c r="E105" s="74"/>
      <c r="F105" s="75">
        <v>55000</v>
      </c>
      <c r="G105" s="75"/>
      <c r="H105" s="75"/>
    </row>
    <row r="106" spans="1:8" s="33" customFormat="1" hidden="1" x14ac:dyDescent="0.25">
      <c r="A106" s="74" t="s">
        <v>99</v>
      </c>
      <c r="B106" s="74"/>
      <c r="C106" s="74"/>
      <c r="D106" s="74"/>
      <c r="E106" s="74"/>
      <c r="F106" s="75"/>
      <c r="G106" s="75"/>
      <c r="H106" s="75"/>
    </row>
    <row r="107" spans="1:8" s="33" customFormat="1" hidden="1" x14ac:dyDescent="0.25">
      <c r="A107" s="74" t="s">
        <v>100</v>
      </c>
      <c r="B107" s="74"/>
      <c r="C107" s="74"/>
      <c r="D107" s="74"/>
      <c r="E107" s="74"/>
      <c r="F107" s="75"/>
      <c r="G107" s="75"/>
      <c r="H107" s="75"/>
    </row>
    <row r="108" spans="1:8" s="33" customFormat="1" hidden="1" x14ac:dyDescent="0.25">
      <c r="A108" s="74" t="s">
        <v>101</v>
      </c>
      <c r="B108" s="74"/>
      <c r="C108" s="74"/>
      <c r="D108" s="74"/>
      <c r="E108" s="74"/>
      <c r="F108" s="75"/>
      <c r="G108" s="75"/>
      <c r="H108" s="75"/>
    </row>
    <row r="109" spans="1:8" x14ac:dyDescent="0.25">
      <c r="A109" s="74" t="s">
        <v>52</v>
      </c>
      <c r="B109" s="74"/>
      <c r="C109" s="74"/>
      <c r="D109" s="74"/>
      <c r="E109" s="74"/>
      <c r="F109" s="75">
        <v>700000</v>
      </c>
      <c r="G109" s="75"/>
      <c r="H109" s="75"/>
    </row>
    <row r="110" spans="1:8" s="34" customFormat="1" x14ac:dyDescent="0.25">
      <c r="A110" s="133" t="s">
        <v>53</v>
      </c>
      <c r="B110" s="133"/>
      <c r="C110" s="133"/>
      <c r="D110" s="133"/>
      <c r="E110" s="133"/>
      <c r="F110" s="75">
        <f>F97*0.8</f>
        <v>12800</v>
      </c>
      <c r="G110" s="75"/>
      <c r="H110" s="75"/>
    </row>
    <row r="111" spans="1:8" s="35" customFormat="1" ht="15.75" customHeight="1" x14ac:dyDescent="0.25">
      <c r="A111" s="132" t="s">
        <v>78</v>
      </c>
      <c r="B111" s="132"/>
      <c r="C111" s="132"/>
      <c r="D111" s="132"/>
      <c r="E111" s="132"/>
      <c r="F111" s="132"/>
      <c r="G111" s="132"/>
      <c r="H111" s="132"/>
    </row>
    <row r="112" spans="1:8" s="35" customFormat="1" ht="15.75" customHeight="1" x14ac:dyDescent="0.25">
      <c r="A112" s="102" t="s">
        <v>54</v>
      </c>
      <c r="B112" s="102"/>
      <c r="C112" s="96" t="s">
        <v>81</v>
      </c>
      <c r="D112" s="96"/>
      <c r="E112" s="129" t="s">
        <v>55</v>
      </c>
      <c r="F112" s="129"/>
      <c r="G112" s="102" t="s">
        <v>56</v>
      </c>
      <c r="H112" s="102"/>
    </row>
    <row r="113" spans="1:10" s="35" customFormat="1" ht="50.25" customHeight="1" x14ac:dyDescent="0.25">
      <c r="A113" s="59" t="s">
        <v>234</v>
      </c>
      <c r="B113" s="59" t="s">
        <v>194</v>
      </c>
      <c r="C113" s="98">
        <f>COUNT(D130:D134)</f>
        <v>5</v>
      </c>
      <c r="D113" s="126"/>
      <c r="E113" s="118">
        <f t="shared" ref="E113" si="0">SUM(D130:D134)</f>
        <v>4100.9257692000001</v>
      </c>
      <c r="F113" s="119"/>
      <c r="G113" s="118">
        <f>SUM(F130:F134)</f>
        <v>7185.4315603200002</v>
      </c>
      <c r="H113" s="119"/>
    </row>
    <row r="114" spans="1:10" s="35" customFormat="1" ht="15.75" customHeight="1" x14ac:dyDescent="0.25">
      <c r="A114" s="221" t="s">
        <v>240</v>
      </c>
      <c r="B114" s="59" t="s">
        <v>194</v>
      </c>
      <c r="C114" s="98">
        <f>COUNT(D143:D153)</f>
        <v>11</v>
      </c>
      <c r="D114" s="126"/>
      <c r="E114" s="118">
        <f t="shared" ref="E114" si="1">SUM(D143:D153)</f>
        <v>5806.9541088000005</v>
      </c>
      <c r="F114" s="119"/>
      <c r="G114" s="118">
        <f>SUM(F143:F153)</f>
        <v>10726.89778368</v>
      </c>
      <c r="H114" s="119"/>
    </row>
    <row r="115" spans="1:10" s="35" customFormat="1" ht="33" customHeight="1" x14ac:dyDescent="0.25">
      <c r="A115" s="222"/>
      <c r="B115" s="59" t="s">
        <v>217</v>
      </c>
      <c r="C115" s="98">
        <f>COUNT(D155:D157,D159)</f>
        <v>4</v>
      </c>
      <c r="D115" s="126"/>
      <c r="E115" s="118">
        <f>SUM(D155:D157,D159)</f>
        <v>4990.0170995999997</v>
      </c>
      <c r="F115" s="119"/>
      <c r="G115" s="118">
        <f>SUM(F155:F157,F159)</f>
        <v>8233.04604096</v>
      </c>
      <c r="H115" s="119"/>
    </row>
    <row r="116" spans="1:10" s="35" customFormat="1" x14ac:dyDescent="0.25">
      <c r="A116" s="132" t="s">
        <v>153</v>
      </c>
      <c r="B116" s="132"/>
      <c r="C116" s="95">
        <f>SUM(C113:C115)</f>
        <v>20</v>
      </c>
      <c r="D116" s="96"/>
      <c r="E116" s="95">
        <f t="shared" ref="E116" si="2">SUM(E113:E115)</f>
        <v>14897.896977599999</v>
      </c>
      <c r="F116" s="96"/>
      <c r="G116" s="95">
        <f t="shared" ref="G116" si="3">SUM(G113:G115)</f>
        <v>26145.375384960003</v>
      </c>
      <c r="H116" s="96"/>
    </row>
    <row r="117" spans="1:10" s="35" customFormat="1" x14ac:dyDescent="0.25">
      <c r="A117" s="132" t="s">
        <v>72</v>
      </c>
      <c r="B117" s="132"/>
      <c r="C117" s="132"/>
      <c r="D117" s="132"/>
      <c r="E117" s="132"/>
      <c r="F117" s="132"/>
      <c r="G117" s="132"/>
      <c r="H117" s="132"/>
    </row>
    <row r="118" spans="1:10" s="35" customFormat="1" ht="15.75" customHeight="1" x14ac:dyDescent="0.25">
      <c r="A118" s="102" t="s">
        <v>54</v>
      </c>
      <c r="B118" s="102"/>
      <c r="C118" s="96" t="s">
        <v>81</v>
      </c>
      <c r="D118" s="96"/>
      <c r="E118" s="129" t="s">
        <v>55</v>
      </c>
      <c r="F118" s="129"/>
      <c r="G118" s="102" t="s">
        <v>56</v>
      </c>
      <c r="H118" s="102"/>
    </row>
    <row r="119" spans="1:10" s="35" customFormat="1" ht="15.75" customHeight="1" x14ac:dyDescent="0.25">
      <c r="A119" s="97" t="s">
        <v>234</v>
      </c>
      <c r="B119" s="97"/>
      <c r="C119" s="98">
        <f>COUNT(D166:D169)+COUNT(D171:D174)*6+COUNT(D176:D179)+COUNT(D181:D184)+COUNT(D186:D189)*12+COUNT(D191:D194)*2+COUNT(D196:D198)+COUNT(D200:D202)*3+COUNT(D204:D207)+COUNT(D209:D212)+COUNT(D214:D217)+COUNT(D219)</f>
        <v>117</v>
      </c>
      <c r="D119" s="98"/>
      <c r="E119" s="99">
        <f>SUM(D166:D169)+SUM(D171:D174)*6+SUM(D176:D179)+SUM(D181:D184)+SUM(D186:D189)*12+SUM(D191:D194)*2+SUM(D196:D198)+SUM(D200:D202)*3+SUM(D204:D207)+SUM(D209:D212)+SUM(D214:D217)+SUM(D219)</f>
        <v>132244.62029999998</v>
      </c>
      <c r="F119" s="99"/>
      <c r="G119" s="99">
        <f>SUM(F166:F169)+SUM(F171:F174)*6+SUM(F176:F179)+SUM(F181:F184)+SUM(F186:F189)*12+SUM(F191:F194)*2+SUM(F196:F198)+SUM(F200:F202)*3+SUM(F204:F207)+SUM(F209:F212)+SUM(F214:F217)+SUM(F219)</f>
        <v>198771.31599000003</v>
      </c>
      <c r="H119" s="99"/>
    </row>
    <row r="120" spans="1:10" s="35" customFormat="1" ht="15.75" customHeight="1" x14ac:dyDescent="0.25">
      <c r="A120" s="97" t="s">
        <v>239</v>
      </c>
      <c r="B120" s="97"/>
      <c r="C120" s="98">
        <f>COUNT(D224:D227)+COUNT(D229:D232)+COUNT(D234:D237)*2+COUNT(D239:D242)+COUNT(D244:D247)*3+COUNT(D249:D252)+COUNT(D254:D257)*10+COUNT(D259:D262)*2+COUNT(D264:D267)*2+COUNT(D269:D272)+COUNT(D274:D276)+COUNT(D278:D281)+COUNT(D283:D285)+COUNT(D287:D289)+COUNT(D291:D293)+COUNT(D295:D298)+COUNT(D302)</f>
        <v>117</v>
      </c>
      <c r="D120" s="98"/>
      <c r="E120" s="99">
        <f>SUM(D224:D227)+SUM(D229:D232)+SUM(D234:D237)*2+SUM(D239:D242)+SUM(D244:D247)*3+SUM(D249:D252)+SUM(D254:D257)*10+SUM(D259:D262)*2+SUM(D264:D267)*2+SUM(D269:D272)+SUM(D274:D276)+SUM(D278:D281)+SUM(D283:D285)+SUM(D287:D289)+SUM(D291:D293)+SUM(D295:D298)+SUM(D302)</f>
        <v>127755.80087399996</v>
      </c>
      <c r="F120" s="99"/>
      <c r="G120" s="99">
        <f>SUM(F224:F227)+SUM(F229:F232)+SUM(F234:F237)*2+SUM(F239:F242)+SUM(F244:F247)*3+SUM(F249:F252)+SUM(F254:F257)*10+SUM(F259:F262)*2+SUM(F264:F267)*2+SUM(F269:F272)+SUM(F274:F276)+SUM(F278:F281)+SUM(F283:F285)+SUM(F287:F289)+SUM(F291:F293)+SUM(F295:F298)+SUM(F302)</f>
        <v>191954.36087100007</v>
      </c>
      <c r="H120" s="99"/>
    </row>
    <row r="121" spans="1:10" s="35" customFormat="1" ht="16.5" thickBot="1" x14ac:dyDescent="0.3">
      <c r="A121" s="202" t="s">
        <v>153</v>
      </c>
      <c r="B121" s="202"/>
      <c r="C121" s="127">
        <f>SUM(C119:C120)</f>
        <v>234</v>
      </c>
      <c r="D121" s="128"/>
      <c r="E121" s="127">
        <f t="shared" ref="E121" si="4">SUM(E119:E120)</f>
        <v>260000.42117399996</v>
      </c>
      <c r="F121" s="128"/>
      <c r="G121" s="127">
        <f t="shared" ref="G121" si="5">SUM(G119:G120)</f>
        <v>390725.67686100013</v>
      </c>
      <c r="H121" s="128"/>
    </row>
    <row r="122" spans="1:10" s="35" customFormat="1" ht="16.5" thickBot="1" x14ac:dyDescent="0.3">
      <c r="A122" s="203" t="s">
        <v>171</v>
      </c>
      <c r="B122" s="204"/>
      <c r="C122" s="205">
        <f>C116+C121</f>
        <v>254</v>
      </c>
      <c r="D122" s="205"/>
      <c r="E122" s="206">
        <f>E116+E121</f>
        <v>274898.31815159996</v>
      </c>
      <c r="F122" s="206"/>
      <c r="G122" s="207">
        <f>G116+G121</f>
        <v>416871.05224596011</v>
      </c>
      <c r="H122" s="208"/>
    </row>
    <row r="123" spans="1:10" s="34" customFormat="1" x14ac:dyDescent="0.25">
      <c r="A123" s="193" t="s">
        <v>57</v>
      </c>
      <c r="B123" s="193"/>
      <c r="C123" s="193"/>
      <c r="D123" s="193"/>
      <c r="E123" s="193"/>
      <c r="F123" s="193"/>
      <c r="G123" s="193"/>
      <c r="H123" s="193"/>
    </row>
    <row r="124" spans="1:10" x14ac:dyDescent="0.25">
      <c r="A124" s="125" t="s">
        <v>58</v>
      </c>
      <c r="B124" s="125"/>
      <c r="C124" s="125"/>
      <c r="D124" s="125"/>
      <c r="E124" s="125"/>
      <c r="F124" s="125"/>
      <c r="G124" s="125"/>
      <c r="H124" s="125"/>
    </row>
    <row r="125" spans="1:10" ht="47.25" customHeight="1" x14ac:dyDescent="0.25">
      <c r="A125" s="103" t="s">
        <v>121</v>
      </c>
      <c r="B125" s="103" t="s">
        <v>120</v>
      </c>
      <c r="C125" s="103" t="s">
        <v>59</v>
      </c>
      <c r="D125" s="103" t="s">
        <v>60</v>
      </c>
      <c r="E125" s="105" t="s">
        <v>159</v>
      </c>
      <c r="F125" s="43" t="s">
        <v>152</v>
      </c>
      <c r="G125" s="107" t="s">
        <v>62</v>
      </c>
      <c r="H125" s="108"/>
    </row>
    <row r="126" spans="1:10" s="37" customFormat="1" x14ac:dyDescent="0.25">
      <c r="A126" s="104"/>
      <c r="B126" s="104"/>
      <c r="C126" s="104"/>
      <c r="D126" s="104"/>
      <c r="E126" s="106"/>
      <c r="F126" s="13">
        <v>0.6</v>
      </c>
      <c r="G126" s="109"/>
      <c r="H126" s="110"/>
    </row>
    <row r="127" spans="1:10" s="56" customFormat="1" x14ac:dyDescent="0.25">
      <c r="A127" s="81" t="s">
        <v>234</v>
      </c>
      <c r="B127" s="82"/>
      <c r="C127" s="82"/>
      <c r="D127" s="82"/>
      <c r="E127" s="82"/>
      <c r="F127" s="82"/>
      <c r="G127" s="82"/>
      <c r="H127" s="83"/>
      <c r="J127" s="36"/>
    </row>
    <row r="128" spans="1:10" s="56" customFormat="1" x14ac:dyDescent="0.25">
      <c r="A128" s="81" t="s">
        <v>190</v>
      </c>
      <c r="B128" s="82"/>
      <c r="C128" s="82"/>
      <c r="D128" s="82"/>
      <c r="E128" s="82"/>
      <c r="F128" s="82"/>
      <c r="G128" s="82"/>
      <c r="H128" s="83"/>
      <c r="J128" s="36"/>
    </row>
    <row r="129" spans="1:14" s="37" customFormat="1" ht="32.25" customHeight="1" x14ac:dyDescent="0.25">
      <c r="A129" s="81" t="s">
        <v>193</v>
      </c>
      <c r="B129" s="82"/>
      <c r="C129" s="82"/>
      <c r="D129" s="82"/>
      <c r="E129" s="82"/>
      <c r="F129" s="82"/>
      <c r="G129" s="82"/>
      <c r="H129" s="83"/>
      <c r="J129" s="36"/>
    </row>
    <row r="130" spans="1:14" s="37" customFormat="1" ht="15.75" customHeight="1" x14ac:dyDescent="0.25">
      <c r="A130" s="88">
        <v>1</v>
      </c>
      <c r="B130" s="89"/>
      <c r="C130" s="42" t="s">
        <v>194</v>
      </c>
      <c r="D130" s="62">
        <f>(6.85*8.53+5.11*2.15+0.85*0.75+1.6*1.25)*(10.764)</f>
        <v>775.59463800000003</v>
      </c>
      <c r="E130" s="62">
        <f>(6.85*3.3+5.11*2.15+0.85*0.75+1.6*1.25)*(10.764)</f>
        <v>389.96895599999999</v>
      </c>
      <c r="F130" s="42">
        <f>(D130+E130)*(($F$126)+1)</f>
        <v>1864.9017504000001</v>
      </c>
      <c r="G130" s="77" t="str">
        <f>A129</f>
        <v>Ground Floor For Entrance Lobby, Society Office, Drivers Room, Meter Room, Commercial &amp; Parking</v>
      </c>
      <c r="H130" s="78"/>
      <c r="I130" s="36"/>
      <c r="L130" s="76"/>
      <c r="M130" s="76"/>
      <c r="N130" s="36"/>
    </row>
    <row r="131" spans="1:14" s="37" customFormat="1" ht="15.75" customHeight="1" x14ac:dyDescent="0.25">
      <c r="A131" s="88">
        <f t="shared" ref="A131:A134" si="6">A130+1</f>
        <v>2</v>
      </c>
      <c r="B131" s="89"/>
      <c r="C131" s="55" t="s">
        <v>194</v>
      </c>
      <c r="D131" s="62">
        <f>(5.45*5.26)*(10.764)</f>
        <v>308.57158799999996</v>
      </c>
      <c r="E131" s="42">
        <v>0</v>
      </c>
      <c r="F131" s="42">
        <f t="shared" ref="F131:F133" si="7">(D131+E131)*(($F$126)+1)</f>
        <v>493.71454079999995</v>
      </c>
      <c r="G131" s="79"/>
      <c r="H131" s="80"/>
      <c r="I131" s="36">
        <f>10.764</f>
        <v>10.763999999999999</v>
      </c>
      <c r="J131" s="62">
        <f>10.764</f>
        <v>10.763999999999999</v>
      </c>
      <c r="L131" s="76"/>
      <c r="M131" s="76"/>
      <c r="N131" s="36"/>
    </row>
    <row r="132" spans="1:14" s="37" customFormat="1" ht="64.5" customHeight="1" x14ac:dyDescent="0.25">
      <c r="A132" s="88">
        <f t="shared" si="6"/>
        <v>3</v>
      </c>
      <c r="B132" s="89"/>
      <c r="C132" s="55" t="s">
        <v>195</v>
      </c>
      <c r="D132" s="62">
        <f>((6.85*8.53+5.1*2.15+0.85*0.75+1.6*1.25)+(6.85*10.53))*(10.764)</f>
        <v>1551.7759139999998</v>
      </c>
      <c r="E132" s="42">
        <v>0</v>
      </c>
      <c r="F132" s="42">
        <f t="shared" si="7"/>
        <v>2482.8414623999997</v>
      </c>
      <c r="G132" s="79"/>
      <c r="H132" s="80"/>
      <c r="I132" s="36"/>
      <c r="L132" s="76"/>
      <c r="M132" s="76"/>
      <c r="N132" s="36"/>
    </row>
    <row r="133" spans="1:14" s="37" customFormat="1" ht="67.5" customHeight="1" x14ac:dyDescent="0.25">
      <c r="A133" s="88">
        <f t="shared" si="6"/>
        <v>4</v>
      </c>
      <c r="B133" s="89"/>
      <c r="C133" s="55" t="s">
        <v>195</v>
      </c>
      <c r="D133" s="62">
        <f>((3.95*8.53+2.2*2.15+0.85*0.75+1.6*1.25)+(3.95*10.53))*(10.764)</f>
        <v>889.69303800000012</v>
      </c>
      <c r="E133" s="42">
        <v>0</v>
      </c>
      <c r="F133" s="42">
        <f t="shared" si="7"/>
        <v>1423.5088608000003</v>
      </c>
      <c r="G133" s="79"/>
      <c r="H133" s="80"/>
      <c r="I133" s="36"/>
      <c r="L133" s="76"/>
      <c r="M133" s="76"/>
      <c r="N133" s="36"/>
    </row>
    <row r="134" spans="1:14" s="56" customFormat="1" x14ac:dyDescent="0.25">
      <c r="A134" s="88">
        <f t="shared" si="6"/>
        <v>5</v>
      </c>
      <c r="B134" s="89"/>
      <c r="C134" s="55" t="s">
        <v>194</v>
      </c>
      <c r="D134" s="62">
        <f>(5.16*8.33+3.33*2.35+0.85*0.75+1.6*1.25)*(10.764)</f>
        <v>575.29059119999999</v>
      </c>
      <c r="E134" s="55">
        <v>0</v>
      </c>
      <c r="F134" s="55">
        <f t="shared" ref="F134" si="8">(D134+E134)*(($F$126)+1)</f>
        <v>920.46494591999999</v>
      </c>
      <c r="G134" s="85"/>
      <c r="H134" s="87"/>
      <c r="I134" s="36"/>
      <c r="L134" s="76">
        <v>1.1599999999999999</v>
      </c>
      <c r="M134" s="76"/>
      <c r="N134" s="36"/>
    </row>
    <row r="135" spans="1:14" s="56" customFormat="1" ht="15.75" customHeight="1" x14ac:dyDescent="0.25">
      <c r="A135" s="81" t="s">
        <v>196</v>
      </c>
      <c r="B135" s="82"/>
      <c r="C135" s="82"/>
      <c r="D135" s="82"/>
      <c r="E135" s="82"/>
      <c r="F135" s="82"/>
      <c r="G135" s="82"/>
      <c r="H135" s="83"/>
      <c r="J135" s="36"/>
    </row>
    <row r="136" spans="1:14" s="56" customFormat="1" ht="15.75" customHeight="1" x14ac:dyDescent="0.25">
      <c r="A136" s="88">
        <v>3</v>
      </c>
      <c r="B136" s="89" t="s">
        <v>233</v>
      </c>
      <c r="C136" s="88" t="s">
        <v>197</v>
      </c>
      <c r="D136" s="94"/>
      <c r="E136" s="94"/>
      <c r="F136" s="89"/>
      <c r="G136" s="77" t="str">
        <f>A135</f>
        <v>1st Podium Floor For Commercial &amp; Parking</v>
      </c>
      <c r="H136" s="78"/>
      <c r="I136" s="36"/>
      <c r="L136" s="76"/>
      <c r="M136" s="76"/>
      <c r="N136" s="36"/>
    </row>
    <row r="137" spans="1:14" s="56" customFormat="1" ht="15.75" customHeight="1" x14ac:dyDescent="0.25">
      <c r="A137" s="88">
        <f t="shared" ref="A137" si="9">A136+1</f>
        <v>4</v>
      </c>
      <c r="B137" s="89" t="s">
        <v>233</v>
      </c>
      <c r="C137" s="88" t="s">
        <v>197</v>
      </c>
      <c r="D137" s="94"/>
      <c r="E137" s="94"/>
      <c r="F137" s="89"/>
      <c r="G137" s="79"/>
      <c r="H137" s="80"/>
      <c r="I137" s="36"/>
      <c r="L137" s="76"/>
      <c r="M137" s="76"/>
      <c r="N137" s="36"/>
    </row>
    <row r="138" spans="1:14" s="56" customFormat="1" ht="15.75" customHeight="1" x14ac:dyDescent="0.25">
      <c r="A138" s="81" t="s">
        <v>198</v>
      </c>
      <c r="B138" s="82"/>
      <c r="C138" s="82"/>
      <c r="D138" s="82"/>
      <c r="E138" s="82"/>
      <c r="F138" s="82"/>
      <c r="G138" s="82"/>
      <c r="H138" s="83"/>
      <c r="J138" s="36"/>
    </row>
    <row r="139" spans="1:14" s="56" customFormat="1" x14ac:dyDescent="0.25">
      <c r="A139" s="91" t="s">
        <v>239</v>
      </c>
      <c r="B139" s="92"/>
      <c r="C139" s="92"/>
      <c r="D139" s="92"/>
      <c r="E139" s="92"/>
      <c r="F139" s="92"/>
      <c r="G139" s="92"/>
      <c r="H139" s="93"/>
      <c r="J139" s="36"/>
    </row>
    <row r="140" spans="1:14" s="56" customFormat="1" x14ac:dyDescent="0.25">
      <c r="A140" s="81" t="s">
        <v>191</v>
      </c>
      <c r="B140" s="82"/>
      <c r="C140" s="82"/>
      <c r="D140" s="82"/>
      <c r="E140" s="82"/>
      <c r="F140" s="82"/>
      <c r="G140" s="82"/>
      <c r="H140" s="83"/>
      <c r="J140" s="36"/>
    </row>
    <row r="141" spans="1:14" s="56" customFormat="1" x14ac:dyDescent="0.25">
      <c r="A141" s="81" t="s">
        <v>192</v>
      </c>
      <c r="B141" s="82"/>
      <c r="C141" s="82"/>
      <c r="D141" s="82"/>
      <c r="E141" s="82"/>
      <c r="F141" s="82"/>
      <c r="G141" s="82"/>
      <c r="H141" s="83"/>
      <c r="J141" s="36"/>
    </row>
    <row r="142" spans="1:14" s="56" customFormat="1" ht="32.25" customHeight="1" x14ac:dyDescent="0.25">
      <c r="A142" s="81" t="s">
        <v>214</v>
      </c>
      <c r="B142" s="82"/>
      <c r="C142" s="82"/>
      <c r="D142" s="82"/>
      <c r="E142" s="82"/>
      <c r="F142" s="82"/>
      <c r="G142" s="82"/>
      <c r="H142" s="83"/>
      <c r="J142" s="36"/>
    </row>
    <row r="143" spans="1:14" s="56" customFormat="1" ht="15.75" customHeight="1" x14ac:dyDescent="0.25">
      <c r="A143" s="88">
        <v>6</v>
      </c>
      <c r="B143" s="89"/>
      <c r="C143" s="55" t="s">
        <v>194</v>
      </c>
      <c r="D143" s="62">
        <f>(5.09*8.53+3.34*2.15+0.85*0.75+1.6*1.25)*(10.764)</f>
        <v>573.03445679999993</v>
      </c>
      <c r="E143" s="55">
        <v>0</v>
      </c>
      <c r="F143" s="55">
        <f>(D143+E143)*(($F$126)+1)</f>
        <v>916.85513087999993</v>
      </c>
      <c r="G143" s="77" t="str">
        <f>A142</f>
        <v>Ground Floor For Entrance Lobby, Society Office, L.V Room, Meter Room, Commercial &amp; Parking</v>
      </c>
      <c r="H143" s="78"/>
      <c r="I143" s="36"/>
      <c r="L143" s="76"/>
      <c r="M143" s="76"/>
      <c r="N143" s="36"/>
    </row>
    <row r="144" spans="1:14" s="56" customFormat="1" ht="15.75" customHeight="1" x14ac:dyDescent="0.25">
      <c r="A144" s="88">
        <v>7</v>
      </c>
      <c r="B144" s="89"/>
      <c r="C144" s="55" t="s">
        <v>194</v>
      </c>
      <c r="D144" s="62">
        <f>(5.17*8.32+3.34*2.86+0.85*0.75+1.6*1.25)*(10.764)</f>
        <v>594.21908519999999</v>
      </c>
      <c r="E144" s="55">
        <v>0</v>
      </c>
      <c r="F144" s="55">
        <f t="shared" ref="F144:F147" si="10">(D144+E144)*(($F$126)+1)</f>
        <v>950.75053632000004</v>
      </c>
      <c r="G144" s="79"/>
      <c r="H144" s="80"/>
      <c r="I144" s="36"/>
      <c r="L144" s="76"/>
      <c r="M144" s="76"/>
      <c r="N144" s="36"/>
    </row>
    <row r="145" spans="1:14" s="56" customFormat="1" ht="15.75" customHeight="1" x14ac:dyDescent="0.25">
      <c r="A145" s="88">
        <v>8</v>
      </c>
      <c r="B145" s="89"/>
      <c r="C145" s="55" t="s">
        <v>194</v>
      </c>
      <c r="D145" s="62">
        <f>(3.95*8.53+2.21*2.15+0.85*0.75+1.6*1.25)*(10.764)</f>
        <v>442.21203000000003</v>
      </c>
      <c r="E145" s="62">
        <f>(3.95+3.12+2.21*2.15+0.85*0.75+1.6*1.25)*(10.764)</f>
        <v>155.63667599999999</v>
      </c>
      <c r="F145" s="55">
        <f t="shared" si="10"/>
        <v>956.55792960000008</v>
      </c>
      <c r="G145" s="79"/>
      <c r="H145" s="80"/>
      <c r="I145" s="36"/>
      <c r="L145" s="76"/>
      <c r="M145" s="76"/>
      <c r="N145" s="36"/>
    </row>
    <row r="146" spans="1:14" s="56" customFormat="1" ht="15.75" customHeight="1" x14ac:dyDescent="0.25">
      <c r="A146" s="88" t="s">
        <v>215</v>
      </c>
      <c r="B146" s="89"/>
      <c r="C146" s="55" t="s">
        <v>194</v>
      </c>
      <c r="D146" s="62">
        <f>(3.35*8.53+1.6*2.1+0.85*0.75+1.6*1.25)*(10.764)</f>
        <v>372.14377199999996</v>
      </c>
      <c r="E146" s="55">
        <v>0</v>
      </c>
      <c r="F146" s="55">
        <f t="shared" si="10"/>
        <v>595.43003519999991</v>
      </c>
      <c r="G146" s="79"/>
      <c r="H146" s="80"/>
      <c r="I146" s="36"/>
      <c r="L146" s="76"/>
      <c r="M146" s="76"/>
      <c r="N146" s="36"/>
    </row>
    <row r="147" spans="1:14" s="56" customFormat="1" ht="66" customHeight="1" x14ac:dyDescent="0.25">
      <c r="A147" s="88" t="s">
        <v>216</v>
      </c>
      <c r="B147" s="89"/>
      <c r="C147" s="55" t="s">
        <v>195</v>
      </c>
      <c r="D147" s="62">
        <f>((3.35*8.53+1.52*2.15+0.85*0.75+1.6*1.25)+(6.85*10.61))*(10.764)</f>
        <v>1153.4648579999998</v>
      </c>
      <c r="E147" s="55">
        <v>0</v>
      </c>
      <c r="F147" s="55">
        <f t="shared" si="10"/>
        <v>1845.5437727999997</v>
      </c>
      <c r="G147" s="79"/>
      <c r="H147" s="80"/>
      <c r="I147" s="36"/>
      <c r="L147" s="76"/>
      <c r="M147" s="76"/>
      <c r="N147" s="36"/>
    </row>
    <row r="148" spans="1:14" s="56" customFormat="1" ht="15.75" customHeight="1" x14ac:dyDescent="0.25">
      <c r="A148" s="88">
        <v>10</v>
      </c>
      <c r="B148" s="89"/>
      <c r="C148" s="55" t="s">
        <v>194</v>
      </c>
      <c r="D148" s="62">
        <f>(5.45*3.48+3.48*1.8+1.08*0.75+1.82*0.9)*(10.764)</f>
        <v>297.92599200000001</v>
      </c>
      <c r="E148" s="55">
        <v>0</v>
      </c>
      <c r="F148" s="55">
        <f>(D148+E148)*(($F$126)+1)</f>
        <v>476.68158720000002</v>
      </c>
      <c r="G148" s="79"/>
      <c r="H148" s="80"/>
      <c r="I148" s="36"/>
      <c r="L148" s="76"/>
      <c r="M148" s="76"/>
      <c r="N148" s="36"/>
    </row>
    <row r="149" spans="1:14" s="56" customFormat="1" ht="15.75" customHeight="1" x14ac:dyDescent="0.25">
      <c r="A149" s="88">
        <v>11</v>
      </c>
      <c r="B149" s="89"/>
      <c r="C149" s="55" t="s">
        <v>194</v>
      </c>
      <c r="D149" s="62">
        <f>(3.35*8.53+1.52*2.15+0.85*0.75+1.6*1.25)*(10.764)</f>
        <v>371.15348399999999</v>
      </c>
      <c r="E149" s="62">
        <f>(3.35*3.12+1.52*2.15+0.85*0.75+1.6*1.25)*(10.764)</f>
        <v>176.07212999999996</v>
      </c>
      <c r="F149" s="55">
        <f t="shared" ref="F149:F152" si="11">(D149+E149)*(($F$126)+1)</f>
        <v>875.56098239999994</v>
      </c>
      <c r="G149" s="79"/>
      <c r="H149" s="80"/>
      <c r="I149" s="36"/>
      <c r="L149" s="76"/>
      <c r="M149" s="76"/>
      <c r="N149" s="36"/>
    </row>
    <row r="150" spans="1:14" s="56" customFormat="1" ht="15.75" customHeight="1" x14ac:dyDescent="0.25">
      <c r="A150" s="88">
        <v>12</v>
      </c>
      <c r="B150" s="89"/>
      <c r="C150" s="55" t="s">
        <v>194</v>
      </c>
      <c r="D150" s="62">
        <f>(3.35*8.53+1.61*2.15+0.85*0.75+1.6*1.25)*(10.764)</f>
        <v>373.23631799999998</v>
      </c>
      <c r="E150" s="55">
        <v>0</v>
      </c>
      <c r="F150" s="55">
        <f t="shared" si="11"/>
        <v>597.17810880000002</v>
      </c>
      <c r="G150" s="79"/>
      <c r="H150" s="80"/>
      <c r="I150" s="36"/>
      <c r="L150" s="76"/>
      <c r="M150" s="76"/>
      <c r="N150" s="36"/>
    </row>
    <row r="151" spans="1:14" s="56" customFormat="1" ht="15.75" customHeight="1" x14ac:dyDescent="0.25">
      <c r="A151" s="88">
        <v>13</v>
      </c>
      <c r="B151" s="89"/>
      <c r="C151" s="55" t="s">
        <v>194</v>
      </c>
      <c r="D151" s="62">
        <f>(3.95*8.53+2.2*2.15+0.85*0.75+1.6*1.25)*(10.764)</f>
        <v>441.98060400000003</v>
      </c>
      <c r="E151" s="55">
        <v>0</v>
      </c>
      <c r="F151" s="55">
        <f t="shared" si="11"/>
        <v>707.16896640000004</v>
      </c>
      <c r="G151" s="79"/>
      <c r="H151" s="80"/>
      <c r="I151" s="36"/>
      <c r="L151" s="76"/>
      <c r="M151" s="76"/>
      <c r="N151" s="36"/>
    </row>
    <row r="152" spans="1:14" s="56" customFormat="1" ht="15.75" customHeight="1" x14ac:dyDescent="0.25">
      <c r="A152" s="88">
        <v>14</v>
      </c>
      <c r="B152" s="89"/>
      <c r="C152" s="55" t="s">
        <v>194</v>
      </c>
      <c r="D152" s="62">
        <f>(5.33*8.3+3.5*2.15+0.85*0.75+1.6*1.25)*(10.764)</f>
        <v>585.57774600000005</v>
      </c>
      <c r="E152" s="62">
        <f>(5.33*3+3.5*2.15+0.85*0.75+1.6*1.25)*(10.764)</f>
        <v>281.50550999999996</v>
      </c>
      <c r="F152" s="55">
        <f t="shared" si="11"/>
        <v>1387.3332096000001</v>
      </c>
      <c r="G152" s="79"/>
      <c r="H152" s="80"/>
      <c r="I152" s="36"/>
      <c r="L152" s="76"/>
      <c r="M152" s="76"/>
      <c r="N152" s="36"/>
    </row>
    <row r="153" spans="1:14" s="56" customFormat="1" ht="15.75" customHeight="1" x14ac:dyDescent="0.25">
      <c r="A153" s="88">
        <v>15</v>
      </c>
      <c r="B153" s="89"/>
      <c r="C153" s="55" t="s">
        <v>194</v>
      </c>
      <c r="D153" s="62">
        <f>(5.34*8.53+3.6*2.15+0.85*0.75+1.6*1.25)*(10.764)</f>
        <v>602.00576279999996</v>
      </c>
      <c r="E153" s="62">
        <f>(5.34*3+3.6*2.15+0.85*0.75+1.6*1.25)*(10.764)</f>
        <v>284.14268999999996</v>
      </c>
      <c r="F153" s="55">
        <f t="shared" ref="F153" si="12">(D153+E153)*(($F$126)+1)</f>
        <v>1417.83752448</v>
      </c>
      <c r="G153" s="85"/>
      <c r="H153" s="87"/>
      <c r="I153" s="36"/>
      <c r="L153" s="76"/>
      <c r="M153" s="76"/>
      <c r="N153" s="36"/>
    </row>
    <row r="154" spans="1:14" s="58" customFormat="1" x14ac:dyDescent="0.25">
      <c r="A154" s="81" t="s">
        <v>196</v>
      </c>
      <c r="B154" s="82"/>
      <c r="C154" s="82"/>
      <c r="D154" s="82"/>
      <c r="E154" s="82"/>
      <c r="F154" s="82"/>
      <c r="G154" s="82"/>
      <c r="H154" s="83"/>
      <c r="J154" s="36"/>
    </row>
    <row r="155" spans="1:14" s="58" customFormat="1" ht="15.75" customHeight="1" x14ac:dyDescent="0.25">
      <c r="A155" s="88">
        <v>1</v>
      </c>
      <c r="B155" s="89"/>
      <c r="C155" s="57" t="s">
        <v>217</v>
      </c>
      <c r="D155" s="62">
        <f>(5*10+3.15*0.45+2.87*8.28+1.7*1.95)*(10.764)</f>
        <v>844.93202039999994</v>
      </c>
      <c r="E155" s="57">
        <v>0</v>
      </c>
      <c r="F155" s="57">
        <f>(D155+E155)*(($F$126)+1)</f>
        <v>1351.89123264</v>
      </c>
      <c r="G155" s="77" t="str">
        <f>A154</f>
        <v>1st Podium Floor For Commercial &amp; Parking</v>
      </c>
      <c r="H155" s="78"/>
      <c r="I155" s="36"/>
      <c r="L155" s="76"/>
      <c r="M155" s="76"/>
      <c r="N155" s="36"/>
    </row>
    <row r="156" spans="1:14" s="58" customFormat="1" ht="15.75" customHeight="1" x14ac:dyDescent="0.25">
      <c r="A156" s="88">
        <f>A155+1</f>
        <v>2</v>
      </c>
      <c r="B156" s="89"/>
      <c r="C156" s="57" t="s">
        <v>217</v>
      </c>
      <c r="D156" s="62">
        <f>(5.39*10.61+4.87*2.1+6*6.19+1*1.95)*(10.764)</f>
        <v>1146.4187435999997</v>
      </c>
      <c r="E156" s="57">
        <v>0</v>
      </c>
      <c r="F156" s="57">
        <f t="shared" ref="F156:F159" si="13">(D156+E156)*(($F$126)+1)</f>
        <v>1834.2699897599996</v>
      </c>
      <c r="G156" s="79"/>
      <c r="H156" s="80"/>
      <c r="I156" s="36"/>
      <c r="L156" s="76"/>
      <c r="M156" s="76"/>
      <c r="N156" s="36"/>
    </row>
    <row r="157" spans="1:14" s="58" customFormat="1" ht="15.75" customHeight="1" x14ac:dyDescent="0.25">
      <c r="A157" s="88">
        <f t="shared" ref="A157" si="14">A156+1</f>
        <v>3</v>
      </c>
      <c r="B157" s="89"/>
      <c r="C157" s="57" t="s">
        <v>217</v>
      </c>
      <c r="D157" s="62">
        <f>(9.12*18.96+3.97*2.25+5.69*6.19+1*1.95)*(10.764)</f>
        <v>2357.5183631999998</v>
      </c>
      <c r="E157" s="62">
        <f>(3.95+3.12+2.21*2.15+0.85*0.75+1.6*1.25)*(10.764)</f>
        <v>155.63667599999999</v>
      </c>
      <c r="F157" s="57">
        <f t="shared" si="13"/>
        <v>4021.04806272</v>
      </c>
      <c r="G157" s="79"/>
      <c r="H157" s="80"/>
      <c r="I157" s="36"/>
      <c r="L157" s="76"/>
      <c r="M157" s="76"/>
      <c r="N157" s="36"/>
    </row>
    <row r="158" spans="1:14" s="58" customFormat="1" ht="15.75" customHeight="1" x14ac:dyDescent="0.25">
      <c r="A158" s="88" t="s">
        <v>218</v>
      </c>
      <c r="B158" s="89"/>
      <c r="C158" s="88" t="s">
        <v>197</v>
      </c>
      <c r="D158" s="94"/>
      <c r="E158" s="94"/>
      <c r="F158" s="89"/>
      <c r="G158" s="79"/>
      <c r="H158" s="80"/>
      <c r="I158" s="36"/>
      <c r="L158" s="76"/>
      <c r="M158" s="76"/>
      <c r="N158" s="36"/>
    </row>
    <row r="159" spans="1:14" s="58" customFormat="1" ht="15.75" customHeight="1" x14ac:dyDescent="0.25">
      <c r="A159" s="88">
        <f>A157+1</f>
        <v>4</v>
      </c>
      <c r="B159" s="89"/>
      <c r="C159" s="57" t="s">
        <v>217</v>
      </c>
      <c r="D159" s="62">
        <f>(21.92+13.27+6.22*2.58+4.27*1.95)*(10.764)</f>
        <v>641.14797239999996</v>
      </c>
      <c r="E159" s="57">
        <v>0</v>
      </c>
      <c r="F159" s="57">
        <f t="shared" si="13"/>
        <v>1025.83675584</v>
      </c>
      <c r="G159" s="79"/>
      <c r="H159" s="80"/>
      <c r="I159" s="36"/>
      <c r="L159" s="76"/>
      <c r="M159" s="76"/>
      <c r="N159" s="36"/>
    </row>
    <row r="160" spans="1:14" s="58" customFormat="1" x14ac:dyDescent="0.25">
      <c r="A160" s="81" t="s">
        <v>198</v>
      </c>
      <c r="B160" s="82"/>
      <c r="C160" s="82"/>
      <c r="D160" s="82"/>
      <c r="E160" s="82"/>
      <c r="F160" s="82"/>
      <c r="G160" s="82"/>
      <c r="H160" s="83"/>
      <c r="J160" s="36"/>
    </row>
    <row r="161" spans="1:14" s="37" customFormat="1" x14ac:dyDescent="0.25">
      <c r="A161" s="88"/>
      <c r="B161" s="94"/>
      <c r="C161" s="94"/>
      <c r="D161" s="94"/>
      <c r="E161" s="94"/>
      <c r="F161" s="94"/>
      <c r="G161" s="94"/>
      <c r="H161" s="89"/>
      <c r="I161" s="36"/>
      <c r="N161" s="36"/>
    </row>
    <row r="162" spans="1:14" ht="47.25" customHeight="1" x14ac:dyDescent="0.25">
      <c r="A162" s="107" t="s">
        <v>122</v>
      </c>
      <c r="B162" s="107" t="s">
        <v>123</v>
      </c>
      <c r="C162" s="103" t="s">
        <v>59</v>
      </c>
      <c r="D162" s="103" t="s">
        <v>60</v>
      </c>
      <c r="E162" s="105" t="s">
        <v>61</v>
      </c>
      <c r="F162" s="43" t="s">
        <v>152</v>
      </c>
      <c r="G162" s="107" t="s">
        <v>62</v>
      </c>
      <c r="H162" s="108"/>
      <c r="I162" s="36"/>
    </row>
    <row r="163" spans="1:14" s="37" customFormat="1" x14ac:dyDescent="0.25">
      <c r="A163" s="109"/>
      <c r="B163" s="109"/>
      <c r="C163" s="104"/>
      <c r="D163" s="104"/>
      <c r="E163" s="106"/>
      <c r="F163" s="13">
        <v>0.5</v>
      </c>
      <c r="G163" s="109"/>
      <c r="H163" s="110"/>
      <c r="I163" s="36"/>
    </row>
    <row r="164" spans="1:14" s="56" customFormat="1" x14ac:dyDescent="0.25">
      <c r="A164" s="81" t="s">
        <v>234</v>
      </c>
      <c r="B164" s="82"/>
      <c r="C164" s="82"/>
      <c r="D164" s="82"/>
      <c r="E164" s="82"/>
      <c r="F164" s="82"/>
      <c r="G164" s="82"/>
      <c r="H164" s="83"/>
      <c r="J164" s="36"/>
    </row>
    <row r="165" spans="1:14" s="56" customFormat="1" x14ac:dyDescent="0.25">
      <c r="A165" s="81" t="s">
        <v>200</v>
      </c>
      <c r="B165" s="82"/>
      <c r="C165" s="82"/>
      <c r="D165" s="82"/>
      <c r="E165" s="82"/>
      <c r="F165" s="82"/>
      <c r="G165" s="82"/>
      <c r="H165" s="83"/>
      <c r="J165" s="36"/>
    </row>
    <row r="166" spans="1:14" s="37" customFormat="1" ht="15.75" customHeight="1" x14ac:dyDescent="0.25">
      <c r="A166" s="88">
        <v>1</v>
      </c>
      <c r="B166" s="89"/>
      <c r="C166" s="42" t="s">
        <v>201</v>
      </c>
      <c r="D166" s="62">
        <f>(81.03+1.49+0.75*(3.55+1.3+3.06+2))*(10.764)</f>
        <v>968.24870999999996</v>
      </c>
      <c r="E166" s="42">
        <v>0</v>
      </c>
      <c r="F166" s="42">
        <f>D166*(($F$163)+1)+(IF(E166&lt;101,E166,IF(E166&lt;201,E166/2,IF(E166&lt;=301,E166/3,E166/4))))</f>
        <v>1452.373065</v>
      </c>
      <c r="G166" s="77" t="str">
        <f>A165</f>
        <v>1st Floor For Residential</v>
      </c>
      <c r="H166" s="78"/>
      <c r="I166" s="36">
        <f>3.55*5.87+3.23*2.34+2.1*0.6+1.15*3.05+1.42*2.29+2.29*1.37+3.91*3.51+2.1*0.6+1.26*1.07+3.06*3.27+0.6*1.67+2.6*2.72+1.07*2.6+1.27*2.44</f>
        <v>79.846599999999995</v>
      </c>
      <c r="L166" s="76"/>
      <c r="M166" s="76"/>
      <c r="N166" s="36"/>
    </row>
    <row r="167" spans="1:14" s="37" customFormat="1" ht="15.75" customHeight="1" x14ac:dyDescent="0.25">
      <c r="A167" s="88">
        <f t="shared" ref="A167:A169" si="15">A166+1</f>
        <v>2</v>
      </c>
      <c r="B167" s="89"/>
      <c r="C167" s="55" t="s">
        <v>202</v>
      </c>
      <c r="D167" s="62">
        <f>(101.67+4.25+0.75*(3.55+1.6+1.8+1.2))*(10.764)</f>
        <v>1205.9178299999999</v>
      </c>
      <c r="E167" s="42">
        <v>0</v>
      </c>
      <c r="F167" s="42">
        <f>D167*(($F$163)+1)+(IF(E167&lt;101,E167,IF(E167&lt;201,E167/2,IF(E167&lt;=301,E167/3,E167/4))))</f>
        <v>1808.8767449999998</v>
      </c>
      <c r="G167" s="79"/>
      <c r="H167" s="80"/>
      <c r="I167" s="36"/>
      <c r="L167" s="76"/>
      <c r="M167" s="76"/>
      <c r="N167" s="36"/>
    </row>
    <row r="168" spans="1:14" s="37" customFormat="1" ht="15.75" customHeight="1" x14ac:dyDescent="0.25">
      <c r="A168" s="88">
        <f t="shared" si="15"/>
        <v>3</v>
      </c>
      <c r="B168" s="89"/>
      <c r="C168" s="55" t="s">
        <v>202</v>
      </c>
      <c r="D168" s="62">
        <f>(100.2+4.25+0.75*(3.55+1.6+1.8+1.2))*(10.764)</f>
        <v>1190.09475</v>
      </c>
      <c r="E168" s="42">
        <v>0</v>
      </c>
      <c r="F168" s="42">
        <f>D168*(($F$163)+1)+(IF(E168&lt;101,E168,IF(E168&lt;201,E168/2,IF(E168&lt;=301,E168/3,E168/4))))</f>
        <v>1785.1421249999999</v>
      </c>
      <c r="G168" s="79"/>
      <c r="H168" s="80"/>
      <c r="I168" s="36">
        <f>1.27*2.33+1.35*1.09+3.47*6.29+1.57*0.74+3.5*2.5+2.1*0.6+1.93*3.21+3.12*4.02+3.35*3.1+0.6*2.1+2.35*1.37+0.9*1.47+0.85*1.07+3.81*3.66+2.1*0.6+1.79*2.44+1.27*2.44+1.07*2</f>
        <v>98.074399999999997</v>
      </c>
      <c r="L168" s="76"/>
      <c r="M168" s="76"/>
      <c r="N168" s="36"/>
    </row>
    <row r="169" spans="1:14" s="37" customFormat="1" ht="15.75" customHeight="1" x14ac:dyDescent="0.25">
      <c r="A169" s="88">
        <f t="shared" si="15"/>
        <v>4</v>
      </c>
      <c r="B169" s="89"/>
      <c r="C169" s="55" t="s">
        <v>203</v>
      </c>
      <c r="D169" s="62">
        <f>(74.06+2.47+0.75*(3.5+1.4+2+2.2))*(10.764)</f>
        <v>897.23321999999996</v>
      </c>
      <c r="E169" s="42">
        <v>0</v>
      </c>
      <c r="F169" s="42">
        <f>D169*(($F$163)+1)+(IF(E169&lt;101,E169,IF(E169&lt;201,E169/2,IF(E169&lt;=301,E169/3,E169/4))))</f>
        <v>1345.8498299999999</v>
      </c>
      <c r="G169" s="79"/>
      <c r="H169" s="80"/>
      <c r="I169" s="36"/>
      <c r="L169" s="76"/>
      <c r="M169" s="76"/>
      <c r="N169" s="36"/>
    </row>
    <row r="170" spans="1:14" s="56" customFormat="1" x14ac:dyDescent="0.25">
      <c r="A170" s="81" t="s">
        <v>204</v>
      </c>
      <c r="B170" s="82"/>
      <c r="C170" s="82"/>
      <c r="D170" s="82"/>
      <c r="E170" s="82"/>
      <c r="F170" s="82"/>
      <c r="G170" s="82"/>
      <c r="H170" s="83"/>
      <c r="J170" s="36"/>
    </row>
    <row r="171" spans="1:14" s="56" customFormat="1" ht="15.75" customHeight="1" x14ac:dyDescent="0.25">
      <c r="A171" s="88">
        <v>1</v>
      </c>
      <c r="B171" s="89"/>
      <c r="C171" s="55" t="s">
        <v>201</v>
      </c>
      <c r="D171" s="62">
        <f>(85.48+1.49+0.75*(3.55+1.3+3.06+2))*(10.764)</f>
        <v>1016.14851</v>
      </c>
      <c r="E171" s="55">
        <v>0</v>
      </c>
      <c r="F171" s="55">
        <f>D171*(($F$163)+1)+(IF(E171&lt;101,E171,IF(E171&lt;201,E171/2,IF(E171&lt;=301,E171/3,E171/4))))</f>
        <v>1524.222765</v>
      </c>
      <c r="G171" s="77" t="str">
        <f>A170</f>
        <v>2nd to 4th, 6th to 8th Floor</v>
      </c>
      <c r="H171" s="78"/>
      <c r="I171" s="36"/>
      <c r="L171" s="76"/>
      <c r="M171" s="76"/>
      <c r="N171" s="36"/>
    </row>
    <row r="172" spans="1:14" s="56" customFormat="1" ht="15.75" customHeight="1" x14ac:dyDescent="0.25">
      <c r="A172" s="88">
        <f t="shared" ref="A172:A174" si="16">A171+1</f>
        <v>2</v>
      </c>
      <c r="B172" s="89"/>
      <c r="C172" s="55" t="s">
        <v>202</v>
      </c>
      <c r="D172" s="62">
        <f>(101.67+4.25+0.75*(3.55+1.6+1.8+1.2))*(10.764)</f>
        <v>1205.9178299999999</v>
      </c>
      <c r="E172" s="55">
        <v>0</v>
      </c>
      <c r="F172" s="55">
        <f>D172*(($F$163)+1)+(IF(E172&lt;101,E172,IF(E172&lt;201,E172/2,IF(E172&lt;=301,E172/3,E172/4))))</f>
        <v>1808.8767449999998</v>
      </c>
      <c r="G172" s="79"/>
      <c r="H172" s="80"/>
      <c r="I172" s="36"/>
      <c r="L172" s="76"/>
      <c r="M172" s="76"/>
      <c r="N172" s="36"/>
    </row>
    <row r="173" spans="1:14" s="56" customFormat="1" ht="15.75" customHeight="1" x14ac:dyDescent="0.25">
      <c r="A173" s="88">
        <f t="shared" si="16"/>
        <v>3</v>
      </c>
      <c r="B173" s="89"/>
      <c r="C173" s="55" t="s">
        <v>202</v>
      </c>
      <c r="D173" s="62">
        <f>(100.2+4.25+0.75*(3.55+1.6+1.8+1.2))*(10.764)</f>
        <v>1190.09475</v>
      </c>
      <c r="E173" s="55">
        <v>0</v>
      </c>
      <c r="F173" s="55">
        <f>D173*(($F$163)+1)+(IF(E173&lt;101,E173,IF(E173&lt;201,E173/2,IF(E173&lt;=301,E173/3,E173/4))))</f>
        <v>1785.1421249999999</v>
      </c>
      <c r="G173" s="79"/>
      <c r="H173" s="80"/>
      <c r="I173" s="36"/>
      <c r="L173" s="76">
        <v>1.3</v>
      </c>
      <c r="M173" s="76"/>
      <c r="N173" s="36"/>
    </row>
    <row r="174" spans="1:14" s="56" customFormat="1" ht="15.75" customHeight="1" x14ac:dyDescent="0.25">
      <c r="A174" s="88">
        <f t="shared" si="16"/>
        <v>4</v>
      </c>
      <c r="B174" s="89"/>
      <c r="C174" s="55" t="s">
        <v>203</v>
      </c>
      <c r="D174" s="62">
        <f>(74.06+2.47+0.75*(3.5+1.4+2+2.2))*(10.764)</f>
        <v>897.23321999999996</v>
      </c>
      <c r="E174" s="55">
        <v>0</v>
      </c>
      <c r="F174" s="55">
        <f>D174*(($F$163)+1)+(IF(E174&lt;101,E174,IF(E174&lt;201,E174/2,IF(E174&lt;=301,E174/3,E174/4))))</f>
        <v>1345.8498299999999</v>
      </c>
      <c r="G174" s="79"/>
      <c r="H174" s="80"/>
      <c r="I174" s="36"/>
      <c r="L174" s="76"/>
      <c r="M174" s="76"/>
      <c r="N174" s="36"/>
    </row>
    <row r="175" spans="1:14" s="37" customFormat="1" x14ac:dyDescent="0.25">
      <c r="A175" s="90" t="s">
        <v>246</v>
      </c>
      <c r="B175" s="90"/>
      <c r="C175" s="90"/>
      <c r="D175" s="90"/>
      <c r="E175" s="90"/>
      <c r="F175" s="90"/>
      <c r="G175" s="90"/>
      <c r="H175" s="90"/>
      <c r="I175" s="36"/>
      <c r="K175" s="37">
        <v>1.1499999999999999</v>
      </c>
      <c r="L175" s="76"/>
      <c r="M175" s="76"/>
    </row>
    <row r="176" spans="1:14" s="37" customFormat="1" ht="15.75" customHeight="1" x14ac:dyDescent="0.25">
      <c r="A176" s="88">
        <v>1</v>
      </c>
      <c r="B176" s="89"/>
      <c r="C176" s="55" t="s">
        <v>201</v>
      </c>
      <c r="D176" s="62">
        <f>(85.48+1.49+0.75*(3.55+1.3+3.06+2))*(10.764)</f>
        <v>1016.14851</v>
      </c>
      <c r="E176" s="42">
        <v>0</v>
      </c>
      <c r="F176" s="42">
        <f t="shared" ref="F176:F177" si="17">D176*(($F$163)+1)+(IF(E176&lt;101,E176,IF(E176&lt;201,E176/2,IF(E176&lt;=301,E176/3,E176/4))))</f>
        <v>1524.222765</v>
      </c>
      <c r="G176" s="77" t="str">
        <f>A175</f>
        <v>5th Floor (Refuge Area at Midlanding)</v>
      </c>
      <c r="H176" s="78"/>
      <c r="I176" s="36"/>
      <c r="N176" s="36"/>
    </row>
    <row r="177" spans="1:14" s="37" customFormat="1" ht="15.75" customHeight="1" x14ac:dyDescent="0.25">
      <c r="A177" s="88">
        <f>A176+1</f>
        <v>2</v>
      </c>
      <c r="B177" s="89"/>
      <c r="C177" s="55" t="s">
        <v>202</v>
      </c>
      <c r="D177" s="62">
        <f>(101.67+4.25+0.75*(3.55+1.6+1.8+1.2))*(10.764)</f>
        <v>1205.9178299999999</v>
      </c>
      <c r="E177" s="42">
        <v>0</v>
      </c>
      <c r="F177" s="42">
        <f t="shared" si="17"/>
        <v>1808.8767449999998</v>
      </c>
      <c r="G177" s="79"/>
      <c r="H177" s="80"/>
      <c r="I177" s="36"/>
      <c r="N177" s="36"/>
    </row>
    <row r="178" spans="1:14" s="37" customFormat="1" ht="15.75" customHeight="1" x14ac:dyDescent="0.25">
      <c r="A178" s="88">
        <f>A177+1</f>
        <v>3</v>
      </c>
      <c r="B178" s="89"/>
      <c r="C178" s="55" t="s">
        <v>202</v>
      </c>
      <c r="D178" s="62">
        <f>(100.2+4.25+0.75*(3.55+1.6+1.8+1.2))*(10.764)</f>
        <v>1190.09475</v>
      </c>
      <c r="E178" s="42">
        <v>0</v>
      </c>
      <c r="F178" s="42">
        <f>D178*(($F$163)+1)+(IF(E178&lt;101,E178,IF(E178&lt;201,E178/2,IF(E178&lt;=301,E178/3,E178/4))))</f>
        <v>1785.1421249999999</v>
      </c>
      <c r="G178" s="79"/>
      <c r="H178" s="80"/>
      <c r="I178" s="36"/>
      <c r="N178" s="36"/>
    </row>
    <row r="179" spans="1:14" s="37" customFormat="1" ht="15.75" customHeight="1" x14ac:dyDescent="0.25">
      <c r="A179" s="88">
        <f>A178+1</f>
        <v>4</v>
      </c>
      <c r="B179" s="89"/>
      <c r="C179" s="55" t="s">
        <v>203</v>
      </c>
      <c r="D179" s="62">
        <f>(74.06+2.47+0.75*(3.5+1.4+2+2.2))*(10.764)</f>
        <v>897.23321999999996</v>
      </c>
      <c r="E179" s="42">
        <v>0</v>
      </c>
      <c r="F179" s="42">
        <f>D179*(($F$163)+1)+(IF(E179&lt;101,E179,IF(E179&lt;201,E179/2,IF(E179&lt;=301,E179/3,E179/4))))</f>
        <v>1345.8498299999999</v>
      </c>
      <c r="G179" s="79"/>
      <c r="H179" s="80"/>
      <c r="I179" s="36"/>
      <c r="N179" s="36"/>
    </row>
    <row r="180" spans="1:14" s="56" customFormat="1" x14ac:dyDescent="0.25">
      <c r="A180" s="90" t="s">
        <v>247</v>
      </c>
      <c r="B180" s="90"/>
      <c r="C180" s="90"/>
      <c r="D180" s="90"/>
      <c r="E180" s="90"/>
      <c r="F180" s="90"/>
      <c r="G180" s="90"/>
      <c r="H180" s="90"/>
      <c r="I180" s="36"/>
      <c r="K180" s="56">
        <v>1.1499999999999999</v>
      </c>
      <c r="L180" s="76"/>
      <c r="M180" s="76"/>
    </row>
    <row r="181" spans="1:14" s="56" customFormat="1" ht="15.75" customHeight="1" x14ac:dyDescent="0.25">
      <c r="A181" s="88">
        <v>1</v>
      </c>
      <c r="B181" s="89"/>
      <c r="C181" s="55" t="s">
        <v>201</v>
      </c>
      <c r="D181" s="62">
        <f>(85.48+1.49+0.75*(3.55+1.3+3.06+2))*(10.764)</f>
        <v>1016.14851</v>
      </c>
      <c r="E181" s="55">
        <v>0</v>
      </c>
      <c r="F181" s="55">
        <f t="shared" ref="F181:F182" si="18">D181*(($F$163)+1)+(IF(E181&lt;101,E181,IF(E181&lt;201,E181/2,IF(E181&lt;=301,E181/3,E181/4))))</f>
        <v>1524.222765</v>
      </c>
      <c r="G181" s="77" t="str">
        <f>A180</f>
        <v>9th Floor (Refuge Area at Midlanding)</v>
      </c>
      <c r="H181" s="78"/>
      <c r="I181" s="36"/>
      <c r="N181" s="36"/>
    </row>
    <row r="182" spans="1:14" s="56" customFormat="1" ht="15.75" customHeight="1" x14ac:dyDescent="0.25">
      <c r="A182" s="88">
        <f>A181+1</f>
        <v>2</v>
      </c>
      <c r="B182" s="89"/>
      <c r="C182" s="55" t="s">
        <v>202</v>
      </c>
      <c r="D182" s="62">
        <f>(101.67+4.25+0.75*(3.55+1.6+1.8+1.2))*(10.764)</f>
        <v>1205.9178299999999</v>
      </c>
      <c r="E182" s="55">
        <v>0</v>
      </c>
      <c r="F182" s="55">
        <f t="shared" si="18"/>
        <v>1808.8767449999998</v>
      </c>
      <c r="G182" s="79"/>
      <c r="H182" s="80"/>
      <c r="I182" s="36"/>
      <c r="N182" s="36"/>
    </row>
    <row r="183" spans="1:14" s="56" customFormat="1" ht="15.75" customHeight="1" x14ac:dyDescent="0.25">
      <c r="A183" s="88">
        <f>A182+1</f>
        <v>3</v>
      </c>
      <c r="B183" s="89"/>
      <c r="C183" s="55" t="s">
        <v>202</v>
      </c>
      <c r="D183" s="62">
        <f>(101.67+4.25+0.75*(3.55+1.6+1.8+1.2))*(10.764)</f>
        <v>1205.9178299999999</v>
      </c>
      <c r="E183" s="55">
        <v>0</v>
      </c>
      <c r="F183" s="55">
        <f>D183*(($F$163)+1)+(IF(E183&lt;101,E183,IF(E183&lt;201,E183/2,IF(E183&lt;=301,E183/3,E183/4))))</f>
        <v>1808.8767449999998</v>
      </c>
      <c r="G183" s="79"/>
      <c r="H183" s="80"/>
      <c r="I183" s="36"/>
      <c r="N183" s="36"/>
    </row>
    <row r="184" spans="1:14" s="56" customFormat="1" ht="15.75" customHeight="1" x14ac:dyDescent="0.25">
      <c r="A184" s="88">
        <f>A183+1</f>
        <v>4</v>
      </c>
      <c r="B184" s="89"/>
      <c r="C184" s="55" t="s">
        <v>203</v>
      </c>
      <c r="D184" s="62">
        <f>(74.06+2.47+0.75*(3.5+1.4+2+2.2))*(10.764)</f>
        <v>897.23321999999996</v>
      </c>
      <c r="E184" s="55">
        <v>0</v>
      </c>
      <c r="F184" s="55">
        <f>D184*(($F$163)+1)+(IF(E184&lt;101,E184,IF(E184&lt;201,E184/2,IF(E184&lt;=301,E184/3,E184/4))))</f>
        <v>1345.8498299999999</v>
      </c>
      <c r="G184" s="79"/>
      <c r="H184" s="80"/>
      <c r="I184" s="36"/>
      <c r="N184" s="36"/>
    </row>
    <row r="185" spans="1:14" s="56" customFormat="1" x14ac:dyDescent="0.25">
      <c r="A185" s="90" t="s">
        <v>206</v>
      </c>
      <c r="B185" s="90"/>
      <c r="C185" s="90"/>
      <c r="D185" s="90"/>
      <c r="E185" s="90"/>
      <c r="F185" s="90"/>
      <c r="G185" s="90"/>
      <c r="H185" s="90"/>
      <c r="I185" s="36"/>
      <c r="K185" s="56">
        <v>1.1499999999999999</v>
      </c>
      <c r="L185" s="76"/>
      <c r="M185" s="76"/>
    </row>
    <row r="186" spans="1:14" s="56" customFormat="1" ht="15.75" customHeight="1" x14ac:dyDescent="0.25">
      <c r="A186" s="88">
        <v>1</v>
      </c>
      <c r="B186" s="89"/>
      <c r="C186" s="55" t="s">
        <v>201</v>
      </c>
      <c r="D186" s="62">
        <f>(85.48+1.49+0.75*(3.55+1.3+3.06+2))*(10.764)</f>
        <v>1016.14851</v>
      </c>
      <c r="E186" s="55">
        <v>0</v>
      </c>
      <c r="F186" s="55">
        <f t="shared" ref="F186:F187" si="19">D186*(($F$163)+1)+(IF(E186&lt;101,E186,IF(E186&lt;201,E186/2,IF(E186&lt;=301,E186/3,E186/4))))</f>
        <v>1524.222765</v>
      </c>
      <c r="G186" s="77" t="str">
        <f>A185</f>
        <v>10th to 13th, 15th to 18th, 20th, 21st, 28th &amp; 30th Floor</v>
      </c>
      <c r="H186" s="78"/>
      <c r="I186" s="36"/>
      <c r="N186" s="36"/>
    </row>
    <row r="187" spans="1:14" s="56" customFormat="1" ht="15.75" customHeight="1" x14ac:dyDescent="0.25">
      <c r="A187" s="88">
        <f>A186+1</f>
        <v>2</v>
      </c>
      <c r="B187" s="89"/>
      <c r="C187" s="55" t="s">
        <v>202</v>
      </c>
      <c r="D187" s="62">
        <f>(101.67+4.25+0.75*(3.55+1.6+1.8+1.2))*(10.764)</f>
        <v>1205.9178299999999</v>
      </c>
      <c r="E187" s="55">
        <v>0</v>
      </c>
      <c r="F187" s="55">
        <f t="shared" si="19"/>
        <v>1808.8767449999998</v>
      </c>
      <c r="G187" s="79"/>
      <c r="H187" s="80"/>
      <c r="I187" s="36"/>
      <c r="N187" s="36"/>
    </row>
    <row r="188" spans="1:14" s="56" customFormat="1" ht="15.75" customHeight="1" x14ac:dyDescent="0.25">
      <c r="A188" s="88">
        <f>A187+1</f>
        <v>3</v>
      </c>
      <c r="B188" s="89"/>
      <c r="C188" s="55" t="s">
        <v>202</v>
      </c>
      <c r="D188" s="62">
        <f>(101.67+4.25+0.75*(3.55+1.6+1.8+1.2))*(10.764)</f>
        <v>1205.9178299999999</v>
      </c>
      <c r="E188" s="55">
        <v>0</v>
      </c>
      <c r="F188" s="55">
        <f>D188*(($F$163)+1)+(IF(E188&lt;101,E188,IF(E188&lt;201,E188/2,IF(E188&lt;=301,E188/3,E188/4))))</f>
        <v>1808.8767449999998</v>
      </c>
      <c r="G188" s="79"/>
      <c r="H188" s="80"/>
      <c r="I188" s="36"/>
      <c r="N188" s="36"/>
    </row>
    <row r="189" spans="1:14" s="56" customFormat="1" ht="15.75" customHeight="1" x14ac:dyDescent="0.25">
      <c r="A189" s="88">
        <f>A188+1</f>
        <v>4</v>
      </c>
      <c r="B189" s="89"/>
      <c r="C189" s="55" t="s">
        <v>203</v>
      </c>
      <c r="D189" s="62">
        <f>(74.06+2.47+0.75*(3.5+1.4+2+2.2))*(10.764)</f>
        <v>897.23321999999996</v>
      </c>
      <c r="E189" s="55">
        <v>0</v>
      </c>
      <c r="F189" s="55">
        <f>D189*(($F$163)+1)+(IF(E189&lt;101,E189,IF(E189&lt;201,E189/2,IF(E189&lt;=301,E189/3,E189/4))))</f>
        <v>1345.8498299999999</v>
      </c>
      <c r="G189" s="79"/>
      <c r="H189" s="80"/>
      <c r="I189" s="36"/>
      <c r="N189" s="36"/>
    </row>
    <row r="190" spans="1:14" s="56" customFormat="1" x14ac:dyDescent="0.25">
      <c r="A190" s="90" t="s">
        <v>248</v>
      </c>
      <c r="B190" s="90"/>
      <c r="C190" s="90"/>
      <c r="D190" s="90"/>
      <c r="E190" s="90"/>
      <c r="F190" s="90"/>
      <c r="G190" s="90"/>
      <c r="H190" s="90"/>
      <c r="I190" s="36"/>
      <c r="K190" s="56">
        <v>1.1499999999999999</v>
      </c>
      <c r="L190" s="76"/>
      <c r="M190" s="76"/>
    </row>
    <row r="191" spans="1:14" s="56" customFormat="1" ht="15.75" customHeight="1" x14ac:dyDescent="0.25">
      <c r="A191" s="88">
        <v>1</v>
      </c>
      <c r="B191" s="89"/>
      <c r="C191" s="55" t="s">
        <v>201</v>
      </c>
      <c r="D191" s="62">
        <f>(85.48+1.49+0.75*(3.55+1.3+3.06+2))*(10.764)</f>
        <v>1016.14851</v>
      </c>
      <c r="E191" s="55">
        <v>0</v>
      </c>
      <c r="F191" s="55">
        <f t="shared" ref="F191:F192" si="20">D191*(($F$163)+1)+(IF(E191&lt;101,E191,IF(E191&lt;201,E191/2,IF(E191&lt;=301,E191/3,E191/4))))</f>
        <v>1524.222765</v>
      </c>
      <c r="G191" s="77" t="str">
        <f>A190</f>
        <v>14th &amp; 19th Floor (Refuge Area at Midlanding)</v>
      </c>
      <c r="H191" s="78"/>
      <c r="I191" s="36"/>
      <c r="N191" s="36"/>
    </row>
    <row r="192" spans="1:14" s="56" customFormat="1" ht="15.75" customHeight="1" x14ac:dyDescent="0.25">
      <c r="A192" s="88">
        <f>A191+1</f>
        <v>2</v>
      </c>
      <c r="B192" s="89"/>
      <c r="C192" s="55" t="s">
        <v>202</v>
      </c>
      <c r="D192" s="62">
        <f>(101.67+4.25+0.75*(3.55+1.6+1.8+1.2))*(10.764)</f>
        <v>1205.9178299999999</v>
      </c>
      <c r="E192" s="55">
        <v>0</v>
      </c>
      <c r="F192" s="55">
        <f t="shared" si="20"/>
        <v>1808.8767449999998</v>
      </c>
      <c r="G192" s="79"/>
      <c r="H192" s="80"/>
      <c r="I192" s="36"/>
      <c r="N192" s="36"/>
    </row>
    <row r="193" spans="1:14" s="56" customFormat="1" ht="15.75" customHeight="1" x14ac:dyDescent="0.25">
      <c r="A193" s="88">
        <f>A192+1</f>
        <v>3</v>
      </c>
      <c r="B193" s="89"/>
      <c r="C193" s="55" t="s">
        <v>202</v>
      </c>
      <c r="D193" s="62">
        <f>(101.67+4.25+0.75*(3.55+1.6+1.8+1.2))*(10.764)</f>
        <v>1205.9178299999999</v>
      </c>
      <c r="E193" s="55">
        <v>0</v>
      </c>
      <c r="F193" s="55">
        <f>D193*(($F$163)+1)+(IF(E193&lt;101,E193,IF(E193&lt;201,E193/2,IF(E193&lt;=301,E193/3,E193/4))))</f>
        <v>1808.8767449999998</v>
      </c>
      <c r="G193" s="79"/>
      <c r="H193" s="80"/>
      <c r="I193" s="36"/>
      <c r="N193" s="36"/>
    </row>
    <row r="194" spans="1:14" s="56" customFormat="1" ht="15.75" customHeight="1" x14ac:dyDescent="0.25">
      <c r="A194" s="88">
        <f>A193+1</f>
        <v>4</v>
      </c>
      <c r="B194" s="89"/>
      <c r="C194" s="55" t="s">
        <v>203</v>
      </c>
      <c r="D194" s="62">
        <f>(74.06+2.47+0.75*(3.5+1.4+2+2.2))*(10.764)</f>
        <v>897.23321999999996</v>
      </c>
      <c r="E194" s="55">
        <v>0</v>
      </c>
      <c r="F194" s="55">
        <f>D194*(($F$163)+1)+(IF(E194&lt;101,E194,IF(E194&lt;201,E194/2,IF(E194&lt;=301,E194/3,E194/4))))</f>
        <v>1345.8498299999999</v>
      </c>
      <c r="G194" s="79"/>
      <c r="H194" s="80"/>
      <c r="I194" s="36"/>
      <c r="N194" s="36"/>
    </row>
    <row r="195" spans="1:14" s="37" customFormat="1" ht="15.75" customHeight="1" x14ac:dyDescent="0.25">
      <c r="A195" s="81" t="s">
        <v>207</v>
      </c>
      <c r="B195" s="82"/>
      <c r="C195" s="82"/>
      <c r="D195" s="82"/>
      <c r="E195" s="82"/>
      <c r="F195" s="82"/>
      <c r="G195" s="82"/>
      <c r="H195" s="83"/>
      <c r="I195" s="36"/>
    </row>
    <row r="196" spans="1:14" s="37" customFormat="1" x14ac:dyDescent="0.25">
      <c r="A196" s="88">
        <v>1</v>
      </c>
      <c r="B196" s="89"/>
      <c r="C196" s="42" t="s">
        <v>208</v>
      </c>
      <c r="D196" s="62">
        <f>(207.09+1.38+0.75*(3.6+1.6+1.8+1.2))*(10.764)</f>
        <v>2310.16968</v>
      </c>
      <c r="E196" s="62">
        <f>(11.75)*(10.764)</f>
        <v>126.47699999999999</v>
      </c>
      <c r="F196" s="42">
        <f>D196*(($F$163)+1)+(IF(E196&lt;101,E196,IF(E196&lt;201,E196/2,IF(E196&lt;=301,E196/3,E196/4))))</f>
        <v>3528.4930199999999</v>
      </c>
      <c r="G196" s="77" t="str">
        <f>A195</f>
        <v>22nd Floor</v>
      </c>
      <c r="H196" s="78"/>
      <c r="I196" s="36"/>
    </row>
    <row r="197" spans="1:14" s="37" customFormat="1" x14ac:dyDescent="0.25">
      <c r="A197" s="88">
        <f>A196+1</f>
        <v>2</v>
      </c>
      <c r="B197" s="89"/>
      <c r="C197" s="55" t="s">
        <v>202</v>
      </c>
      <c r="D197" s="62">
        <f>(101.67+4.25+0.75*(3.55+1.6+1.8+1.2))*(10.764)</f>
        <v>1205.9178299999999</v>
      </c>
      <c r="E197" s="42">
        <v>0</v>
      </c>
      <c r="F197" s="42">
        <f>D197*(($F$163)+1)+(IF(E197&lt;101,E197,IF(E197&lt;201,E197/2,IF(E197&lt;=301,E197/3,E197/4))))</f>
        <v>1808.8767449999998</v>
      </c>
      <c r="G197" s="79"/>
      <c r="H197" s="80"/>
      <c r="I197" s="36"/>
    </row>
    <row r="198" spans="1:14" s="37" customFormat="1" ht="15.75" customHeight="1" x14ac:dyDescent="0.25">
      <c r="A198" s="88">
        <f t="shared" ref="A198" si="21">A197+1</f>
        <v>3</v>
      </c>
      <c r="B198" s="89"/>
      <c r="C198" s="55" t="s">
        <v>203</v>
      </c>
      <c r="D198" s="62">
        <f>(74.06+2.47+0.75*(3.5+1.4+2+2.2))*(10.764)</f>
        <v>897.23321999999996</v>
      </c>
      <c r="E198" s="42">
        <v>0</v>
      </c>
      <c r="F198" s="42">
        <f>D198*(($F$163)+1)+(IF(E198&lt;101,E198,IF(E198&lt;201,E198/2,IF(E198&lt;=301,E198/3,E198/4))))</f>
        <v>1345.8498299999999</v>
      </c>
      <c r="G198" s="79"/>
      <c r="H198" s="80"/>
      <c r="I198" s="36"/>
    </row>
    <row r="199" spans="1:14" s="56" customFormat="1" ht="15.75" customHeight="1" x14ac:dyDescent="0.25">
      <c r="A199" s="81" t="s">
        <v>209</v>
      </c>
      <c r="B199" s="82"/>
      <c r="C199" s="82"/>
      <c r="D199" s="82"/>
      <c r="E199" s="82"/>
      <c r="F199" s="82"/>
      <c r="G199" s="82"/>
      <c r="H199" s="83"/>
      <c r="I199" s="36"/>
    </row>
    <row r="200" spans="1:14" s="56" customFormat="1" x14ac:dyDescent="0.25">
      <c r="A200" s="88">
        <v>1</v>
      </c>
      <c r="B200" s="89"/>
      <c r="C200" s="55" t="s">
        <v>208</v>
      </c>
      <c r="D200" s="62">
        <f>(207.09+1.38+0.75*(3.6+1.6+1.8+1.2))*(10.764)</f>
        <v>2310.16968</v>
      </c>
      <c r="E200" s="62">
        <f>(23.77)*(10.764)</f>
        <v>255.86027999999999</v>
      </c>
      <c r="F200" s="55">
        <f>D200*(($F$163)+1)+(IF(E200&lt;101,E200,IF(E200&lt;201,E200/2,IF(E200&lt;=301,E200/3,E200/4))))</f>
        <v>3550.5412799999999</v>
      </c>
      <c r="G200" s="77" t="str">
        <f>A199</f>
        <v>23rd, 25th &amp; 27th Floor</v>
      </c>
      <c r="H200" s="78"/>
      <c r="I200" s="36"/>
    </row>
    <row r="201" spans="1:14" s="56" customFormat="1" x14ac:dyDescent="0.25">
      <c r="A201" s="88">
        <f>A200+1</f>
        <v>2</v>
      </c>
      <c r="B201" s="89"/>
      <c r="C201" s="55" t="s">
        <v>202</v>
      </c>
      <c r="D201" s="62">
        <f>(101.67+4.25+0.75*(3.55+1.6+1.8+1.2))*(10.764)</f>
        <v>1205.9178299999999</v>
      </c>
      <c r="E201" s="55">
        <v>0</v>
      </c>
      <c r="F201" s="55">
        <f>D201*(($F$163)+1)+(IF(E201&lt;101,E201,IF(E201&lt;201,E201/2,IF(E201&lt;=301,E201/3,E201/4))))</f>
        <v>1808.8767449999998</v>
      </c>
      <c r="G201" s="79"/>
      <c r="H201" s="80"/>
      <c r="I201" s="36"/>
    </row>
    <row r="202" spans="1:14" s="56" customFormat="1" ht="15.75" customHeight="1" x14ac:dyDescent="0.25">
      <c r="A202" s="88">
        <f t="shared" ref="A202" si="22">A201+1</f>
        <v>3</v>
      </c>
      <c r="B202" s="89"/>
      <c r="C202" s="55" t="s">
        <v>203</v>
      </c>
      <c r="D202" s="62">
        <f>(74.06+2.47+0.75*(3.5+1.4+2+2.2))*(10.764)</f>
        <v>897.23321999999996</v>
      </c>
      <c r="E202" s="55">
        <v>0</v>
      </c>
      <c r="F202" s="55">
        <f>D202*(($F$163)+1)+(IF(E202&lt;101,E202,IF(E202&lt;201,E202/2,IF(E202&lt;=301,E202/3,E202/4))))</f>
        <v>1345.8498299999999</v>
      </c>
      <c r="G202" s="79"/>
      <c r="H202" s="80"/>
      <c r="I202" s="36"/>
    </row>
    <row r="203" spans="1:14" s="56" customFormat="1" x14ac:dyDescent="0.25">
      <c r="A203" s="90" t="s">
        <v>249</v>
      </c>
      <c r="B203" s="90"/>
      <c r="C203" s="90"/>
      <c r="D203" s="90"/>
      <c r="E203" s="90"/>
      <c r="F203" s="90"/>
      <c r="G203" s="90"/>
      <c r="H203" s="90"/>
      <c r="I203" s="36"/>
      <c r="K203" s="56">
        <v>1.1499999999999999</v>
      </c>
      <c r="L203" s="76"/>
      <c r="M203" s="76"/>
    </row>
    <row r="204" spans="1:14" s="56" customFormat="1" ht="15.75" customHeight="1" x14ac:dyDescent="0.25">
      <c r="A204" s="88">
        <v>1</v>
      </c>
      <c r="B204" s="89"/>
      <c r="C204" s="55" t="s">
        <v>201</v>
      </c>
      <c r="D204" s="62">
        <f>(85.48+1.49+0.75*(3.55+1.3+3.06+2))*(10.764)</f>
        <v>1016.14851</v>
      </c>
      <c r="E204" s="55">
        <v>0</v>
      </c>
      <c r="F204" s="55">
        <f t="shared" ref="F204:F205" si="23">D204*(($F$163)+1)+(IF(E204&lt;101,E204,IF(E204&lt;201,E204/2,IF(E204&lt;=301,E204/3,E204/4))))</f>
        <v>1524.222765</v>
      </c>
      <c r="G204" s="77" t="str">
        <f>A203</f>
        <v>24th Floor (Refuge Area at Midlanding)</v>
      </c>
      <c r="H204" s="78"/>
      <c r="I204" s="36"/>
      <c r="N204" s="36"/>
    </row>
    <row r="205" spans="1:14" s="56" customFormat="1" ht="15.75" customHeight="1" x14ac:dyDescent="0.25">
      <c r="A205" s="88">
        <f>A204+1</f>
        <v>2</v>
      </c>
      <c r="B205" s="89"/>
      <c r="C205" s="55" t="s">
        <v>202</v>
      </c>
      <c r="D205" s="62">
        <f>(101.67+4.25+0.75*(3.55+1.6+1.8+1.2))*(10.764)</f>
        <v>1205.9178299999999</v>
      </c>
      <c r="E205" s="55">
        <v>0</v>
      </c>
      <c r="F205" s="55">
        <f t="shared" si="23"/>
        <v>1808.8767449999998</v>
      </c>
      <c r="G205" s="79"/>
      <c r="H205" s="80"/>
      <c r="I205" s="36"/>
      <c r="N205" s="36"/>
    </row>
    <row r="206" spans="1:14" s="56" customFormat="1" ht="15.75" customHeight="1" x14ac:dyDescent="0.25">
      <c r="A206" s="88">
        <f>A205+1</f>
        <v>3</v>
      </c>
      <c r="B206" s="89"/>
      <c r="C206" s="55" t="s">
        <v>202</v>
      </c>
      <c r="D206" s="62">
        <f>(101.67+4.25+0.75*(3.55+1.6+1.8+1.2))*(10.764)</f>
        <v>1205.9178299999999</v>
      </c>
      <c r="E206" s="55">
        <v>0</v>
      </c>
      <c r="F206" s="55">
        <f>D206*(($F$163)+1)+(IF(E206&lt;101,E206,IF(E206&lt;201,E206/2,IF(E206&lt;=301,E206/3,E206/4))))</f>
        <v>1808.8767449999998</v>
      </c>
      <c r="G206" s="79"/>
      <c r="H206" s="80"/>
      <c r="I206" s="36"/>
      <c r="N206" s="36"/>
    </row>
    <row r="207" spans="1:14" s="56" customFormat="1" ht="15.75" customHeight="1" x14ac:dyDescent="0.25">
      <c r="A207" s="88">
        <f>A206+1</f>
        <v>4</v>
      </c>
      <c r="B207" s="89"/>
      <c r="C207" s="55" t="s">
        <v>203</v>
      </c>
      <c r="D207" s="62">
        <f>(74.06+2.47+0.75*(3.5+1.4+2+2.2))*(10.764)</f>
        <v>897.23321999999996</v>
      </c>
      <c r="E207" s="55">
        <v>0</v>
      </c>
      <c r="F207" s="55">
        <f>D207*(($F$163)+1)+(IF(E207&lt;101,E207,IF(E207&lt;201,E207/2,IF(E207&lt;=301,E207/3,E207/4))))</f>
        <v>1345.8498299999999</v>
      </c>
      <c r="G207" s="79"/>
      <c r="H207" s="80"/>
      <c r="I207" s="36"/>
      <c r="N207" s="36"/>
    </row>
    <row r="208" spans="1:14" s="56" customFormat="1" x14ac:dyDescent="0.25">
      <c r="A208" s="90" t="s">
        <v>211</v>
      </c>
      <c r="B208" s="90"/>
      <c r="C208" s="90"/>
      <c r="D208" s="90"/>
      <c r="E208" s="90"/>
      <c r="F208" s="90"/>
      <c r="G208" s="90"/>
      <c r="H208" s="90"/>
      <c r="I208" s="36"/>
      <c r="K208" s="56">
        <v>1.1499999999999999</v>
      </c>
      <c r="L208" s="76"/>
      <c r="M208" s="76"/>
    </row>
    <row r="209" spans="1:14" s="56" customFormat="1" ht="15.75" customHeight="1" x14ac:dyDescent="0.25">
      <c r="A209" s="88">
        <v>1</v>
      </c>
      <c r="B209" s="89"/>
      <c r="C209" s="55" t="s">
        <v>201</v>
      </c>
      <c r="D209" s="62">
        <f>(85.48+1.49+0.75*(3.55+1.3+3.06+2))*(10.764)</f>
        <v>1016.14851</v>
      </c>
      <c r="E209" s="55">
        <v>0</v>
      </c>
      <c r="F209" s="55">
        <f t="shared" ref="F209:F210" si="24">D209*(($F$163)+1)+(IF(E209&lt;101,E209,IF(E209&lt;201,E209/2,IF(E209&lt;=301,E209/3,E209/4))))</f>
        <v>1524.222765</v>
      </c>
      <c r="G209" s="77" t="str">
        <f>A208</f>
        <v>26th Floor</v>
      </c>
      <c r="H209" s="78"/>
      <c r="I209" s="36"/>
      <c r="N209" s="36"/>
    </row>
    <row r="210" spans="1:14" s="56" customFormat="1" ht="15.75" customHeight="1" x14ac:dyDescent="0.25">
      <c r="A210" s="88">
        <f>A209+1</f>
        <v>2</v>
      </c>
      <c r="B210" s="89"/>
      <c r="C210" s="55" t="s">
        <v>202</v>
      </c>
      <c r="D210" s="62">
        <f>(101.67+4.25+0.75*(3.55+1.6+1.8+1.2))*(10.764)</f>
        <v>1205.9178299999999</v>
      </c>
      <c r="E210" s="55">
        <v>0</v>
      </c>
      <c r="F210" s="55">
        <f t="shared" si="24"/>
        <v>1808.8767449999998</v>
      </c>
      <c r="G210" s="79"/>
      <c r="H210" s="80"/>
      <c r="I210" s="36"/>
      <c r="N210" s="36"/>
    </row>
    <row r="211" spans="1:14" s="56" customFormat="1" ht="15.75" customHeight="1" x14ac:dyDescent="0.25">
      <c r="A211" s="88">
        <f>A210+1</f>
        <v>3</v>
      </c>
      <c r="B211" s="89"/>
      <c r="C211" s="55" t="s">
        <v>202</v>
      </c>
      <c r="D211" s="62">
        <f>(101.67+4.25+0.75*(3.55+1.6+1.8+1.2))*(10.764)</f>
        <v>1205.9178299999999</v>
      </c>
      <c r="E211" s="55">
        <v>0</v>
      </c>
      <c r="F211" s="55">
        <f>D211*(($F$163)+1)+(IF(E211&lt;101,E211,IF(E211&lt;201,E211/2,IF(E211&lt;=301,E211/3,E211/4))))</f>
        <v>1808.8767449999998</v>
      </c>
      <c r="G211" s="79"/>
      <c r="H211" s="80"/>
      <c r="I211" s="36"/>
      <c r="N211" s="36"/>
    </row>
    <row r="212" spans="1:14" s="56" customFormat="1" ht="15.75" customHeight="1" x14ac:dyDescent="0.25">
      <c r="A212" s="88">
        <f>A211+1</f>
        <v>4</v>
      </c>
      <c r="B212" s="89"/>
      <c r="C212" s="55" t="s">
        <v>203</v>
      </c>
      <c r="D212" s="62">
        <f>(74.06+2.47+0.75*(3.5+1.4+2+2.2))*(10.764)</f>
        <v>897.23321999999996</v>
      </c>
      <c r="E212" s="55">
        <v>0</v>
      </c>
      <c r="F212" s="55">
        <f>D212*(($F$163)+1)+(IF(E212&lt;101,E212,IF(E212&lt;201,E212/2,IF(E212&lt;=301,E212/3,E212/4))))</f>
        <v>1345.8498299999999</v>
      </c>
      <c r="G212" s="79"/>
      <c r="H212" s="80"/>
      <c r="I212" s="36"/>
      <c r="N212" s="36"/>
    </row>
    <row r="213" spans="1:14" s="56" customFormat="1" x14ac:dyDescent="0.25">
      <c r="A213" s="90" t="s">
        <v>250</v>
      </c>
      <c r="B213" s="90"/>
      <c r="C213" s="90"/>
      <c r="D213" s="90"/>
      <c r="E213" s="90"/>
      <c r="F213" s="90"/>
      <c r="G213" s="90"/>
      <c r="H213" s="90"/>
      <c r="I213" s="36"/>
      <c r="K213" s="56">
        <v>1.1499999999999999</v>
      </c>
      <c r="L213" s="76"/>
      <c r="M213" s="76"/>
    </row>
    <row r="214" spans="1:14" s="56" customFormat="1" ht="15.75" customHeight="1" x14ac:dyDescent="0.25">
      <c r="A214" s="88">
        <v>1</v>
      </c>
      <c r="B214" s="89"/>
      <c r="C214" s="55" t="s">
        <v>201</v>
      </c>
      <c r="D214" s="62">
        <f>(85.48+1.49+0.75*(3.55+1.3+3.06+2))*(10.764)</f>
        <v>1016.14851</v>
      </c>
      <c r="E214" s="55">
        <v>0</v>
      </c>
      <c r="F214" s="55">
        <f t="shared" ref="F214:F215" si="25">D214*(($F$163)+1)+(IF(E214&lt;101,E214,IF(E214&lt;201,E214/2,IF(E214&lt;=301,E214/3,E214/4))))</f>
        <v>1524.222765</v>
      </c>
      <c r="G214" s="77" t="str">
        <f>A213</f>
        <v>29th Floor (Refuge Area at Midlanding)</v>
      </c>
      <c r="H214" s="78"/>
      <c r="I214" s="36"/>
      <c r="N214" s="36"/>
    </row>
    <row r="215" spans="1:14" s="56" customFormat="1" ht="15.75" customHeight="1" x14ac:dyDescent="0.25">
      <c r="A215" s="88">
        <f>A214+1</f>
        <v>2</v>
      </c>
      <c r="B215" s="89"/>
      <c r="C215" s="55" t="s">
        <v>202</v>
      </c>
      <c r="D215" s="62">
        <f>(101.67+4.25+0.75*(3.55+1.6+1.8+1.2))*(10.764)</f>
        <v>1205.9178299999999</v>
      </c>
      <c r="E215" s="55">
        <v>0</v>
      </c>
      <c r="F215" s="55">
        <f t="shared" si="25"/>
        <v>1808.8767449999998</v>
      </c>
      <c r="G215" s="79"/>
      <c r="H215" s="80"/>
      <c r="I215" s="36"/>
      <c r="N215" s="36"/>
    </row>
    <row r="216" spans="1:14" s="56" customFormat="1" ht="15.75" customHeight="1" x14ac:dyDescent="0.25">
      <c r="A216" s="88">
        <f>A215+1</f>
        <v>3</v>
      </c>
      <c r="B216" s="89"/>
      <c r="C216" s="55" t="s">
        <v>202</v>
      </c>
      <c r="D216" s="62">
        <f>(101.67+4.25+0.75*(3.55+1.6+1.8+1.2))*(10.764)</f>
        <v>1205.9178299999999</v>
      </c>
      <c r="E216" s="55">
        <v>0</v>
      </c>
      <c r="F216" s="55">
        <f>D216*(($F$163)+1)+(IF(E216&lt;101,E216,IF(E216&lt;201,E216/2,IF(E216&lt;=301,E216/3,E216/4))))</f>
        <v>1808.8767449999998</v>
      </c>
      <c r="G216" s="79"/>
      <c r="H216" s="80"/>
      <c r="I216" s="36"/>
      <c r="N216" s="36"/>
    </row>
    <row r="217" spans="1:14" s="56" customFormat="1" ht="15.75" customHeight="1" x14ac:dyDescent="0.25">
      <c r="A217" s="88">
        <f>A216+1</f>
        <v>4</v>
      </c>
      <c r="B217" s="89"/>
      <c r="C217" s="55" t="s">
        <v>203</v>
      </c>
      <c r="D217" s="62">
        <f>(74.06+2.47+0.75*(3.5+1.4+2+2.2))*(10.764)</f>
        <v>897.23321999999996</v>
      </c>
      <c r="E217" s="55">
        <v>0</v>
      </c>
      <c r="F217" s="55">
        <f>D217*(($F$163)+1)+(IF(E217&lt;101,E217,IF(E217&lt;201,E217/2,IF(E217&lt;=301,E217/3,E217/4))))</f>
        <v>1345.8498299999999</v>
      </c>
      <c r="G217" s="79"/>
      <c r="H217" s="80"/>
      <c r="I217" s="36"/>
      <c r="N217" s="36"/>
    </row>
    <row r="218" spans="1:14" s="56" customFormat="1" ht="15.75" customHeight="1" x14ac:dyDescent="0.25">
      <c r="A218" s="81" t="s">
        <v>212</v>
      </c>
      <c r="B218" s="82"/>
      <c r="C218" s="82"/>
      <c r="D218" s="82"/>
      <c r="E218" s="82"/>
      <c r="F218" s="82"/>
      <c r="G218" s="82"/>
      <c r="H218" s="83"/>
      <c r="I218" s="36"/>
    </row>
    <row r="219" spans="1:14" s="56" customFormat="1" x14ac:dyDescent="0.25">
      <c r="A219" s="88">
        <v>1</v>
      </c>
      <c r="B219" s="89"/>
      <c r="C219" s="55" t="s">
        <v>208</v>
      </c>
      <c r="D219" s="62">
        <f>(207.09+1.38+0.75*(3.6+1.6+1.8+1.2))*(10.764)</f>
        <v>2310.16968</v>
      </c>
      <c r="E219" s="62">
        <f>(23.77)*(10.764)</f>
        <v>255.86027999999999</v>
      </c>
      <c r="F219" s="55">
        <f>D219*(($F$163)+1)+(IF(E219&lt;101,E219,IF(E219&lt;201,E219/2,IF(E219&lt;=301,E219/3,E219/4))))</f>
        <v>3550.5412799999999</v>
      </c>
      <c r="G219" s="77" t="str">
        <f>A218</f>
        <v>31st Floor (Part Terrace Area)</v>
      </c>
      <c r="H219" s="78"/>
      <c r="I219" s="36"/>
    </row>
    <row r="220" spans="1:14" s="56" customFormat="1" x14ac:dyDescent="0.25">
      <c r="A220" s="88">
        <f>A219+1</f>
        <v>2</v>
      </c>
      <c r="B220" s="89"/>
      <c r="C220" s="77" t="s">
        <v>213</v>
      </c>
      <c r="D220" s="84"/>
      <c r="E220" s="84"/>
      <c r="F220" s="78"/>
      <c r="G220" s="79"/>
      <c r="H220" s="80"/>
      <c r="I220" s="36"/>
    </row>
    <row r="221" spans="1:14" s="56" customFormat="1" ht="15.75" customHeight="1" x14ac:dyDescent="0.25">
      <c r="A221" s="88">
        <f t="shared" ref="A221" si="26">A220+1</f>
        <v>3</v>
      </c>
      <c r="B221" s="89"/>
      <c r="C221" s="85"/>
      <c r="D221" s="86"/>
      <c r="E221" s="86"/>
      <c r="F221" s="87"/>
      <c r="G221" s="79"/>
      <c r="H221" s="80"/>
      <c r="I221" s="36"/>
    </row>
    <row r="222" spans="1:14" s="56" customFormat="1" x14ac:dyDescent="0.25">
      <c r="A222" s="91" t="s">
        <v>239</v>
      </c>
      <c r="B222" s="92"/>
      <c r="C222" s="92"/>
      <c r="D222" s="92"/>
      <c r="E222" s="92"/>
      <c r="F222" s="92"/>
      <c r="G222" s="92"/>
      <c r="H222" s="93"/>
      <c r="I222" s="36"/>
    </row>
    <row r="223" spans="1:14" s="37" customFormat="1" x14ac:dyDescent="0.25">
      <c r="A223" s="81" t="s">
        <v>200</v>
      </c>
      <c r="B223" s="82"/>
      <c r="C223" s="82"/>
      <c r="D223" s="82"/>
      <c r="E223" s="82"/>
      <c r="F223" s="82"/>
      <c r="G223" s="82"/>
      <c r="H223" s="83"/>
      <c r="I223" s="36"/>
    </row>
    <row r="224" spans="1:14" s="37" customFormat="1" ht="15.75" customHeight="1" x14ac:dyDescent="0.25">
      <c r="A224" s="88">
        <v>1</v>
      </c>
      <c r="B224" s="89"/>
      <c r="C224" s="42" t="s">
        <v>220</v>
      </c>
      <c r="D224" s="62">
        <f>(41.7+0.9*1.27+0.75*(3.1+1.3+1.73))*(10.764)</f>
        <v>510.649542</v>
      </c>
      <c r="E224" s="42">
        <v>0</v>
      </c>
      <c r="F224" s="42">
        <f>D224*(($F$163)+1)+(IF(E224&lt;101,E224,IF(E224&lt;201,E224/2,IF(E224&lt;=301,E224/3,E224/4))))</f>
        <v>765.97431299999994</v>
      </c>
      <c r="G224" s="77" t="str">
        <f>A223</f>
        <v>1st Floor For Residential</v>
      </c>
      <c r="H224" s="78"/>
      <c r="I224" s="36"/>
      <c r="J224" s="37">
        <f>0.9*1.27</f>
        <v>1.143</v>
      </c>
    </row>
    <row r="225" spans="1:10" s="37" customFormat="1" ht="15.75" customHeight="1" x14ac:dyDescent="0.25">
      <c r="A225" s="88">
        <f>A224+1</f>
        <v>2</v>
      </c>
      <c r="B225" s="89"/>
      <c r="C225" s="42" t="s">
        <v>202</v>
      </c>
      <c r="D225" s="62">
        <f>(100.2+4.25+0.75*(3.55+1.68+2.2+1.5))*(10.764)</f>
        <v>1196.3916899999999</v>
      </c>
      <c r="E225" s="42">
        <v>0</v>
      </c>
      <c r="F225" s="42">
        <f>D225*(($F$163)+1)+(IF(E225&lt;101,E225,IF(E225&lt;201,E225/2,IF(E225&lt;=301,E225/3,E225/4))))</f>
        <v>1794.5875349999999</v>
      </c>
      <c r="G225" s="79"/>
      <c r="H225" s="80"/>
      <c r="I225" s="36"/>
      <c r="J225" s="37">
        <f>2.38*0.83+0.83*1.09+0.75*1.7</f>
        <v>4.1550999999999991</v>
      </c>
    </row>
    <row r="226" spans="1:10" s="37" customFormat="1" ht="15.75" customHeight="1" x14ac:dyDescent="0.25">
      <c r="A226" s="88">
        <f t="shared" ref="A226:A227" si="27">A225+1</f>
        <v>3</v>
      </c>
      <c r="B226" s="89"/>
      <c r="C226" s="57" t="s">
        <v>202</v>
      </c>
      <c r="D226" s="62">
        <f>(101.67+4.21+0.75*(3.55+1.68+2.2+1.5))*(10.764)</f>
        <v>1211.78421</v>
      </c>
      <c r="E226" s="42">
        <v>0</v>
      </c>
      <c r="F226" s="42">
        <f>D226*(($F$163)+1)+(IF(E226&lt;101,E226,IF(E226&lt;201,E226/2,IF(E226&lt;=301,E226/3,E226/4))))</f>
        <v>1817.6763150000002</v>
      </c>
      <c r="G226" s="79"/>
      <c r="H226" s="80"/>
      <c r="I226" s="36"/>
    </row>
    <row r="227" spans="1:10" s="37" customFormat="1" ht="15.75" customHeight="1" x14ac:dyDescent="0.25">
      <c r="A227" s="88">
        <f t="shared" si="27"/>
        <v>4</v>
      </c>
      <c r="B227" s="89"/>
      <c r="C227" s="42" t="s">
        <v>201</v>
      </c>
      <c r="D227" s="62">
        <f>(81.03+1.49+0.75*(3.55+1.5+2+2.2))*(10.764)</f>
        <v>962.92052999999987</v>
      </c>
      <c r="E227" s="42">
        <v>0</v>
      </c>
      <c r="F227" s="42">
        <f>D227*(($F$163)+1)+(IF(E227&lt;101,E227,IF(E227&lt;201,E227/2,IF(E227&lt;=301,E227/3,E227/4))))</f>
        <v>1444.3807949999998</v>
      </c>
      <c r="G227" s="79"/>
      <c r="H227" s="80"/>
      <c r="I227" s="36"/>
    </row>
    <row r="228" spans="1:10" s="58" customFormat="1" x14ac:dyDescent="0.25">
      <c r="A228" s="81" t="s">
        <v>219</v>
      </c>
      <c r="B228" s="82"/>
      <c r="C228" s="82"/>
      <c r="D228" s="82"/>
      <c r="E228" s="82"/>
      <c r="F228" s="82"/>
      <c r="G228" s="82"/>
      <c r="H228" s="83"/>
      <c r="I228" s="36"/>
    </row>
    <row r="229" spans="1:10" s="58" customFormat="1" ht="15.75" customHeight="1" x14ac:dyDescent="0.25">
      <c r="A229" s="88">
        <v>1</v>
      </c>
      <c r="B229" s="89"/>
      <c r="C229" s="57" t="s">
        <v>220</v>
      </c>
      <c r="D229" s="62">
        <f>(41.7+0.9*1.27+0.75*(3.1+1.3+1.73))*(10.764)</f>
        <v>510.649542</v>
      </c>
      <c r="E229" s="57">
        <v>0</v>
      </c>
      <c r="F229" s="57">
        <f>D229*(($F$163)+1)+(IF(E229&lt;101,E229,IF(E229&lt;201,E229/2,IF(E229&lt;=301,E229/3,E229/4))))</f>
        <v>765.97431299999994</v>
      </c>
      <c r="G229" s="77" t="str">
        <f>A228</f>
        <v>2nd Floor</v>
      </c>
      <c r="H229" s="78"/>
      <c r="I229" s="36"/>
    </row>
    <row r="230" spans="1:10" s="58" customFormat="1" ht="15.75" customHeight="1" x14ac:dyDescent="0.25">
      <c r="A230" s="88">
        <f>A229+1</f>
        <v>2</v>
      </c>
      <c r="B230" s="89"/>
      <c r="C230" s="57" t="s">
        <v>202</v>
      </c>
      <c r="D230" s="62">
        <f>(100.2+4.25+0.75*(3.55+1.68+2.2+1.5))*(10.764)</f>
        <v>1196.3916899999999</v>
      </c>
      <c r="E230" s="57">
        <v>0</v>
      </c>
      <c r="F230" s="57">
        <f>D230*(($F$163)+1)+(IF(E230&lt;101,E230,IF(E230&lt;201,E230/2,IF(E230&lt;=301,E230/3,E230/4))))</f>
        <v>1794.5875349999999</v>
      </c>
      <c r="G230" s="79"/>
      <c r="H230" s="80"/>
      <c r="I230" s="36"/>
    </row>
    <row r="231" spans="1:10" s="58" customFormat="1" ht="15.75" customHeight="1" x14ac:dyDescent="0.25">
      <c r="A231" s="88">
        <f t="shared" ref="A231:A232" si="28">A230+1</f>
        <v>3</v>
      </c>
      <c r="B231" s="89"/>
      <c r="C231" s="57" t="s">
        <v>202</v>
      </c>
      <c r="D231" s="62">
        <f>(101.67+4.21+0.75*(3.55+1.68+2.2+1.5))*(10.764)</f>
        <v>1211.78421</v>
      </c>
      <c r="E231" s="57">
        <v>0</v>
      </c>
      <c r="F231" s="57">
        <f>D231*(($F$163)+1)+(IF(E231&lt;101,E231,IF(E231&lt;201,E231/2,IF(E231&lt;=301,E231/3,E231/4))))</f>
        <v>1817.6763150000002</v>
      </c>
      <c r="G231" s="79"/>
      <c r="H231" s="80"/>
      <c r="I231" s="36"/>
    </row>
    <row r="232" spans="1:10" s="58" customFormat="1" ht="15.75" customHeight="1" x14ac:dyDescent="0.25">
      <c r="A232" s="88">
        <f t="shared" si="28"/>
        <v>4</v>
      </c>
      <c r="B232" s="89"/>
      <c r="C232" s="57" t="s">
        <v>201</v>
      </c>
      <c r="D232" s="62">
        <f>(85.48+1.49+0.75*(3.55+1.5+2+2.2))*(10.764)</f>
        <v>1010.8203299999999</v>
      </c>
      <c r="E232" s="57">
        <v>0</v>
      </c>
      <c r="F232" s="57">
        <f>D232*(($F$163)+1)+(IF(E232&lt;101,E232,IF(E232&lt;201,E232/2,IF(E232&lt;=301,E232/3,E232/4))))</f>
        <v>1516.2304949999998</v>
      </c>
      <c r="G232" s="79"/>
      <c r="H232" s="80"/>
      <c r="I232" s="36"/>
    </row>
    <row r="233" spans="1:10" s="58" customFormat="1" x14ac:dyDescent="0.25">
      <c r="A233" s="81" t="s">
        <v>221</v>
      </c>
      <c r="B233" s="82"/>
      <c r="C233" s="82"/>
      <c r="D233" s="82"/>
      <c r="E233" s="82"/>
      <c r="F233" s="82"/>
      <c r="G233" s="82"/>
      <c r="H233" s="83"/>
      <c r="I233" s="36"/>
    </row>
    <row r="234" spans="1:10" s="58" customFormat="1" ht="15.75" customHeight="1" x14ac:dyDescent="0.25">
      <c r="A234" s="88">
        <v>1</v>
      </c>
      <c r="B234" s="89"/>
      <c r="C234" s="57" t="s">
        <v>203</v>
      </c>
      <c r="D234" s="62">
        <f>(56.95+0.75*(3.05+1.3+1.73+1.65))*(10.764)</f>
        <v>675.41408999999999</v>
      </c>
      <c r="E234" s="57">
        <v>0</v>
      </c>
      <c r="F234" s="57">
        <f>D234*(($F$163)+1)+(IF(E234&lt;101,E234,IF(E234&lt;201,E234/2,IF(E234&lt;=301,E234/3,E234/4))))</f>
        <v>1013.121135</v>
      </c>
      <c r="G234" s="77" t="str">
        <f>A233</f>
        <v>3rd to 4th Floor</v>
      </c>
      <c r="H234" s="78"/>
      <c r="I234" s="36"/>
    </row>
    <row r="235" spans="1:10" s="58" customFormat="1" ht="15.75" customHeight="1" x14ac:dyDescent="0.25">
      <c r="A235" s="88">
        <f>A234+1</f>
        <v>2</v>
      </c>
      <c r="B235" s="89"/>
      <c r="C235" s="57" t="s">
        <v>202</v>
      </c>
      <c r="D235" s="62">
        <f>(100.2+4.25+0.75*(3.55+1.68+2.2+1.5))*(10.764)</f>
        <v>1196.3916899999999</v>
      </c>
      <c r="E235" s="57">
        <v>0</v>
      </c>
      <c r="F235" s="57">
        <f>D235*(($F$163)+1)+(IF(E235&lt;101,E235,IF(E235&lt;201,E235/2,IF(E235&lt;=301,E235/3,E235/4))))</f>
        <v>1794.5875349999999</v>
      </c>
      <c r="G235" s="79"/>
      <c r="H235" s="80"/>
      <c r="I235" s="36"/>
    </row>
    <row r="236" spans="1:10" s="58" customFormat="1" ht="15.75" customHeight="1" x14ac:dyDescent="0.25">
      <c r="A236" s="88">
        <f t="shared" ref="A236:A237" si="29">A235+1</f>
        <v>3</v>
      </c>
      <c r="B236" s="89"/>
      <c r="C236" s="57" t="s">
        <v>202</v>
      </c>
      <c r="D236" s="62">
        <f>(101.67+4.21+0.75*(3.55+1.68+2.2+1.5))*(10.764)</f>
        <v>1211.78421</v>
      </c>
      <c r="E236" s="57">
        <v>0</v>
      </c>
      <c r="F236" s="57">
        <f>D236*(($F$163)+1)+(IF(E236&lt;101,E236,IF(E236&lt;201,E236/2,IF(E236&lt;=301,E236/3,E236/4))))</f>
        <v>1817.6763150000002</v>
      </c>
      <c r="G236" s="79"/>
      <c r="H236" s="80"/>
      <c r="I236" s="36"/>
    </row>
    <row r="237" spans="1:10" s="58" customFormat="1" ht="15.75" customHeight="1" x14ac:dyDescent="0.25">
      <c r="A237" s="88">
        <f t="shared" si="29"/>
        <v>4</v>
      </c>
      <c r="B237" s="89"/>
      <c r="C237" s="57" t="s">
        <v>201</v>
      </c>
      <c r="D237" s="62">
        <f>(85.48+1.49+0.75*(3.55+1.5+2+2.2))*(10.764)</f>
        <v>1010.8203299999999</v>
      </c>
      <c r="E237" s="57">
        <v>0</v>
      </c>
      <c r="F237" s="57">
        <f>D237*(($F$163)+1)+(IF(E237&lt;101,E237,IF(E237&lt;201,E237/2,IF(E237&lt;=301,E237/3,E237/4))))</f>
        <v>1516.2304949999998</v>
      </c>
      <c r="G237" s="79"/>
      <c r="H237" s="80"/>
      <c r="I237" s="36"/>
    </row>
    <row r="238" spans="1:10" s="58" customFormat="1" x14ac:dyDescent="0.25">
      <c r="A238" s="81" t="s">
        <v>205</v>
      </c>
      <c r="B238" s="82"/>
      <c r="C238" s="82"/>
      <c r="D238" s="82"/>
      <c r="E238" s="82"/>
      <c r="F238" s="82"/>
      <c r="G238" s="82"/>
      <c r="H238" s="83"/>
      <c r="I238" s="36"/>
    </row>
    <row r="239" spans="1:10" s="58" customFormat="1" ht="15.75" customHeight="1" x14ac:dyDescent="0.25">
      <c r="A239" s="88">
        <v>1</v>
      </c>
      <c r="B239" s="89"/>
      <c r="C239" s="57" t="s">
        <v>203</v>
      </c>
      <c r="D239" s="62">
        <f>(56.95+0.75*(3.05+1.3+1.73+1.65))*(10.764)</f>
        <v>675.41408999999999</v>
      </c>
      <c r="E239" s="57">
        <v>0</v>
      </c>
      <c r="F239" s="57">
        <f>D239*(($F$163)+1)+(IF(E239&lt;101,E239,IF(E239&lt;201,E239/2,IF(E239&lt;=301,E239/3,E239/4))))</f>
        <v>1013.121135</v>
      </c>
      <c r="G239" s="77" t="str">
        <f>A238</f>
        <v>5th Floor (Refuge Area Provided)</v>
      </c>
      <c r="H239" s="78"/>
      <c r="I239" s="36">
        <f>3.05*5.17+2.27*2.52+3.05*2.75+3.42*3.3+1.35*2.1+1.4*2.1+0.57*3.22+1.05*3.5+1.27*2.44</f>
        <v>55.546599999999991</v>
      </c>
    </row>
    <row r="240" spans="1:10" s="58" customFormat="1" ht="15.75" customHeight="1" x14ac:dyDescent="0.25">
      <c r="A240" s="88">
        <f>A239+1</f>
        <v>2</v>
      </c>
      <c r="B240" s="89"/>
      <c r="C240" s="57" t="s">
        <v>202</v>
      </c>
      <c r="D240" s="62">
        <f>(100.2+4.25+0.75*(3.55+1.68+2.2+1.5))*(10.764)</f>
        <v>1196.3916899999999</v>
      </c>
      <c r="E240" s="57">
        <v>0</v>
      </c>
      <c r="F240" s="57">
        <f>D240*(($F$163)+1)+(IF(E240&lt;101,E240,IF(E240&lt;201,E240/2,IF(E240&lt;=301,E240/3,E240/4))))</f>
        <v>1794.5875349999999</v>
      </c>
      <c r="G240" s="79"/>
      <c r="H240" s="80"/>
      <c r="I240" s="36"/>
    </row>
    <row r="241" spans="1:10" s="58" customFormat="1" ht="15.75" customHeight="1" x14ac:dyDescent="0.25">
      <c r="A241" s="88">
        <f t="shared" ref="A241:A242" si="30">A240+1</f>
        <v>3</v>
      </c>
      <c r="B241" s="89"/>
      <c r="C241" s="57" t="s">
        <v>202</v>
      </c>
      <c r="D241" s="62">
        <f>(101.67+4.21+0.75*(3.55+1.68+2.2+1.5))*(10.764)</f>
        <v>1211.78421</v>
      </c>
      <c r="E241" s="57">
        <v>0</v>
      </c>
      <c r="F241" s="57">
        <f>D241*(($F$163)+1)+(IF(E241&lt;101,E241,IF(E241&lt;201,E241/2,IF(E241&lt;=301,E241/3,E241/4))))</f>
        <v>1817.6763150000002</v>
      </c>
      <c r="G241" s="79"/>
      <c r="H241" s="80"/>
      <c r="I241" s="36"/>
    </row>
    <row r="242" spans="1:10" s="58" customFormat="1" ht="15.75" customHeight="1" x14ac:dyDescent="0.25">
      <c r="A242" s="88">
        <f t="shared" si="30"/>
        <v>4</v>
      </c>
      <c r="B242" s="89"/>
      <c r="C242" s="57" t="s">
        <v>201</v>
      </c>
      <c r="D242" s="62">
        <f>(85.48+1.49+0.75*(3.55+1.5+2+2.2))*(10.764)</f>
        <v>1010.8203299999999</v>
      </c>
      <c r="E242" s="57">
        <v>0</v>
      </c>
      <c r="F242" s="57">
        <f>D242*(($F$163)+1)+(IF(E242&lt;101,E242,IF(E242&lt;201,E242/2,IF(E242&lt;=301,E242/3,E242/4))))</f>
        <v>1516.2304949999998</v>
      </c>
      <c r="G242" s="79"/>
      <c r="H242" s="80"/>
      <c r="I242" s="36"/>
    </row>
    <row r="243" spans="1:10" s="37" customFormat="1" x14ac:dyDescent="0.25">
      <c r="A243" s="81" t="s">
        <v>222</v>
      </c>
      <c r="B243" s="82"/>
      <c r="C243" s="82"/>
      <c r="D243" s="82"/>
      <c r="E243" s="82"/>
      <c r="F243" s="82"/>
      <c r="G243" s="82"/>
      <c r="H243" s="83"/>
      <c r="I243" s="36"/>
    </row>
    <row r="244" spans="1:10" s="37" customFormat="1" x14ac:dyDescent="0.25">
      <c r="A244" s="88">
        <v>1</v>
      </c>
      <c r="B244" s="89"/>
      <c r="C244" s="57" t="s">
        <v>203</v>
      </c>
      <c r="D244" s="62">
        <f>(59.7+2.07+0.75*(3.05+1.3+1.73+1.65))*(10.764)</f>
        <v>727.29657000000009</v>
      </c>
      <c r="E244" s="42">
        <v>0</v>
      </c>
      <c r="F244" s="42">
        <f>D244*(($F$163)+1)+(IF(E244&lt;101,E244,IF(E244&lt;201,E244/2,IF(E244&lt;=301,E244/3,E244/4))))</f>
        <v>1090.9448550000002</v>
      </c>
      <c r="G244" s="77" t="str">
        <f>A243</f>
        <v>6th to 8th Floor</v>
      </c>
      <c r="H244" s="78"/>
      <c r="I244" s="36">
        <f>3.05*5.4+0.57*2.17+1.4*2.1+1.35*2.1+3.42*3.3+2.1*0.6+3.05*3.25+2.27*2.73+1.05*3.4+1.27*2.44</f>
        <v>58.806299999999993</v>
      </c>
      <c r="J244" s="37">
        <f>2.69*0.75</f>
        <v>2.0175000000000001</v>
      </c>
    </row>
    <row r="245" spans="1:10" s="37" customFormat="1" x14ac:dyDescent="0.25">
      <c r="A245" s="88">
        <f>A244+1</f>
        <v>2</v>
      </c>
      <c r="B245" s="89"/>
      <c r="C245" s="57" t="s">
        <v>202</v>
      </c>
      <c r="D245" s="62">
        <f>(100.2+4.25+0.75*(3.55+1.68+2.2+1.5))*(10.764)</f>
        <v>1196.3916899999999</v>
      </c>
      <c r="E245" s="42">
        <v>0</v>
      </c>
      <c r="F245" s="42">
        <f>D245*(($F$163)+1)+(IF(E245&lt;101,E245,IF(E245&lt;201,E245/2,IF(E245&lt;=301,E245/3,E245/4))))</f>
        <v>1794.5875349999999</v>
      </c>
      <c r="G245" s="79"/>
      <c r="H245" s="80"/>
      <c r="I245" s="36"/>
    </row>
    <row r="246" spans="1:10" s="37" customFormat="1" x14ac:dyDescent="0.25">
      <c r="A246" s="88">
        <f t="shared" ref="A246:A247" si="31">A245+1</f>
        <v>3</v>
      </c>
      <c r="B246" s="89"/>
      <c r="C246" s="57" t="s">
        <v>202</v>
      </c>
      <c r="D246" s="62">
        <f>(101.67+4.21+0.75*(3.55+1.68+2.2+1.5))*(10.764)</f>
        <v>1211.78421</v>
      </c>
      <c r="E246" s="42">
        <v>0</v>
      </c>
      <c r="F246" s="42">
        <f>D246*(($F$163)+1)+(IF(E246&lt;101,E246,IF(E246&lt;201,E246/2,IF(E246&lt;=301,E246/3,E246/4))))</f>
        <v>1817.6763150000002</v>
      </c>
      <c r="G246" s="79"/>
      <c r="H246" s="80"/>
      <c r="I246" s="36"/>
    </row>
    <row r="247" spans="1:10" s="37" customFormat="1" x14ac:dyDescent="0.25">
      <c r="A247" s="88">
        <f t="shared" si="31"/>
        <v>4</v>
      </c>
      <c r="B247" s="89"/>
      <c r="C247" s="57" t="s">
        <v>201</v>
      </c>
      <c r="D247" s="62">
        <f>(85.48+1.49+0.75*(3.55+1.5+2+2.2))*(10.764)</f>
        <v>1010.8203299999999</v>
      </c>
      <c r="E247" s="42">
        <v>0</v>
      </c>
      <c r="F247" s="42">
        <f>D247*(($F$163)+1)+(IF(E247&lt;101,E247,IF(E247&lt;201,E247/2,IF(E247&lt;=301,E247/3,E247/4))))</f>
        <v>1516.2304949999998</v>
      </c>
      <c r="G247" s="85"/>
      <c r="H247" s="87"/>
      <c r="I247" s="36"/>
    </row>
    <row r="248" spans="1:10" s="58" customFormat="1" x14ac:dyDescent="0.25">
      <c r="A248" s="81" t="s">
        <v>223</v>
      </c>
      <c r="B248" s="82"/>
      <c r="C248" s="82"/>
      <c r="D248" s="82"/>
      <c r="E248" s="82"/>
      <c r="F248" s="82"/>
      <c r="G248" s="82"/>
      <c r="H248" s="83"/>
      <c r="I248" s="36"/>
    </row>
    <row r="249" spans="1:10" s="58" customFormat="1" x14ac:dyDescent="0.25">
      <c r="A249" s="88">
        <v>1</v>
      </c>
      <c r="B249" s="89"/>
      <c r="C249" s="57" t="s">
        <v>203</v>
      </c>
      <c r="D249" s="62">
        <f>(59.7+2.07+0.75*(3.05+1.3+1.73+1.65))*(10.764)</f>
        <v>727.29657000000009</v>
      </c>
      <c r="E249" s="57">
        <v>0</v>
      </c>
      <c r="F249" s="57">
        <f>D249*(($F$163)+1)+(IF(E249&lt;101,E249,IF(E249&lt;201,E249/2,IF(E249&lt;=301,E249/3,E249/4))))</f>
        <v>1090.9448550000002</v>
      </c>
      <c r="G249" s="77" t="str">
        <f>A248</f>
        <v>9th Floor (Refuge Area Provided)</v>
      </c>
      <c r="H249" s="78"/>
      <c r="I249" s="36"/>
    </row>
    <row r="250" spans="1:10" s="58" customFormat="1" x14ac:dyDescent="0.25">
      <c r="A250" s="88">
        <f>A249+1</f>
        <v>2</v>
      </c>
      <c r="B250" s="89"/>
      <c r="C250" s="57" t="s">
        <v>202</v>
      </c>
      <c r="D250" s="62">
        <f>(101.67+4.25+0.75*(3.55+1.68+2.2+1.5))*(10.764)</f>
        <v>1212.21477</v>
      </c>
      <c r="E250" s="57">
        <v>0</v>
      </c>
      <c r="F250" s="57">
        <f>D250*(($F$163)+1)+(IF(E250&lt;101,E250,IF(E250&lt;201,E250/2,IF(E250&lt;=301,E250/3,E250/4))))</f>
        <v>1818.3221550000001</v>
      </c>
      <c r="G250" s="79"/>
      <c r="H250" s="80"/>
      <c r="I250" s="36"/>
    </row>
    <row r="251" spans="1:10" s="58" customFormat="1" x14ac:dyDescent="0.25">
      <c r="A251" s="88">
        <f t="shared" ref="A251:A252" si="32">A250+1</f>
        <v>3</v>
      </c>
      <c r="B251" s="89"/>
      <c r="C251" s="57" t="s">
        <v>202</v>
      </c>
      <c r="D251" s="62">
        <f>(101.67+4.21+0.75*(3.55+1.68+2.2+1.5))*(10.764)</f>
        <v>1211.78421</v>
      </c>
      <c r="E251" s="57">
        <v>0</v>
      </c>
      <c r="F251" s="57">
        <f>D251*(($F$163)+1)+(IF(E251&lt;101,E251,IF(E251&lt;201,E251/2,IF(E251&lt;=301,E251/3,E251/4))))</f>
        <v>1817.6763150000002</v>
      </c>
      <c r="G251" s="79"/>
      <c r="H251" s="80"/>
      <c r="I251" s="36"/>
    </row>
    <row r="252" spans="1:10" s="58" customFormat="1" x14ac:dyDescent="0.25">
      <c r="A252" s="88">
        <f t="shared" si="32"/>
        <v>4</v>
      </c>
      <c r="B252" s="89"/>
      <c r="C252" s="57" t="s">
        <v>201</v>
      </c>
      <c r="D252" s="62">
        <f>(85.48+1.49+0.75*(3.55+1.5+2+2.2))*(10.764)</f>
        <v>1010.8203299999999</v>
      </c>
      <c r="E252" s="57">
        <v>0</v>
      </c>
      <c r="F252" s="57">
        <f>D252*(($F$163)+1)+(IF(E252&lt;101,E252,IF(E252&lt;201,E252/2,IF(E252&lt;=301,E252/3,E252/4))))</f>
        <v>1516.2304949999998</v>
      </c>
      <c r="G252" s="85"/>
      <c r="H252" s="87"/>
      <c r="I252" s="36"/>
    </row>
    <row r="253" spans="1:10" s="58" customFormat="1" x14ac:dyDescent="0.25">
      <c r="A253" s="81" t="s">
        <v>224</v>
      </c>
      <c r="B253" s="82"/>
      <c r="C253" s="82"/>
      <c r="D253" s="82"/>
      <c r="E253" s="82"/>
      <c r="F253" s="82"/>
      <c r="G253" s="82"/>
      <c r="H253" s="83"/>
      <c r="I253" s="36"/>
    </row>
    <row r="254" spans="1:10" s="58" customFormat="1" x14ac:dyDescent="0.25">
      <c r="A254" s="88">
        <v>1</v>
      </c>
      <c r="B254" s="89"/>
      <c r="C254" s="57" t="s">
        <v>203</v>
      </c>
      <c r="D254" s="62">
        <f>(62.41+2.13+0.75*(3.05+1.3+1.73+1.65))*(10.764)</f>
        <v>757.11284999999987</v>
      </c>
      <c r="E254" s="57">
        <v>0</v>
      </c>
      <c r="F254" s="57">
        <f>D254*(($F$163)+1)+(IF(E254&lt;101,E254,IF(E254&lt;201,E254/2,IF(E254&lt;=301,E254/3,E254/4))))</f>
        <v>1135.6692749999997</v>
      </c>
      <c r="G254" s="77" t="str">
        <f>A253</f>
        <v>10th to 13th, 15th to 18th, 20th, 21st Floor</v>
      </c>
      <c r="H254" s="78"/>
      <c r="I254" s="36"/>
    </row>
    <row r="255" spans="1:10" s="58" customFormat="1" x14ac:dyDescent="0.25">
      <c r="A255" s="88">
        <f>A254+1</f>
        <v>2</v>
      </c>
      <c r="B255" s="89"/>
      <c r="C255" s="57" t="s">
        <v>202</v>
      </c>
      <c r="D255" s="62">
        <f>(101.67+4.25+0.75*(3.55+1.68+2.2+1.5))*(10.764)</f>
        <v>1212.21477</v>
      </c>
      <c r="E255" s="57">
        <v>0</v>
      </c>
      <c r="F255" s="57">
        <f>D255*(($F$163)+1)+(IF(E255&lt;101,E255,IF(E255&lt;201,E255/2,IF(E255&lt;=301,E255/3,E255/4))))</f>
        <v>1818.3221550000001</v>
      </c>
      <c r="G255" s="79"/>
      <c r="H255" s="80"/>
      <c r="I255" s="36"/>
    </row>
    <row r="256" spans="1:10" s="58" customFormat="1" x14ac:dyDescent="0.25">
      <c r="A256" s="88">
        <f t="shared" ref="A256:A257" si="33">A255+1</f>
        <v>3</v>
      </c>
      <c r="B256" s="89"/>
      <c r="C256" s="57" t="s">
        <v>202</v>
      </c>
      <c r="D256" s="62">
        <f>(101.67+4.21+0.75*(3.55+1.68+2.2+1.5))*(10.764)</f>
        <v>1211.78421</v>
      </c>
      <c r="E256" s="57">
        <v>0</v>
      </c>
      <c r="F256" s="57">
        <f>D256*(($F$163)+1)+(IF(E256&lt;101,E256,IF(E256&lt;201,E256/2,IF(E256&lt;=301,E256/3,E256/4))))</f>
        <v>1817.6763150000002</v>
      </c>
      <c r="G256" s="79"/>
      <c r="H256" s="80"/>
      <c r="I256" s="36"/>
    </row>
    <row r="257" spans="1:9" s="58" customFormat="1" x14ac:dyDescent="0.25">
      <c r="A257" s="88">
        <f t="shared" si="33"/>
        <v>4</v>
      </c>
      <c r="B257" s="89"/>
      <c r="C257" s="57" t="s">
        <v>201</v>
      </c>
      <c r="D257" s="62">
        <f>(85.48+1.49+0.75*(3.55+1.5+2+2.2))*(10.764)</f>
        <v>1010.8203299999999</v>
      </c>
      <c r="E257" s="57">
        <v>0</v>
      </c>
      <c r="F257" s="57">
        <f>D257*(($F$163)+1)+(IF(E257&lt;101,E257,IF(E257&lt;201,E257/2,IF(E257&lt;=301,E257/3,E257/4))))</f>
        <v>1516.2304949999998</v>
      </c>
      <c r="G257" s="85"/>
      <c r="H257" s="87"/>
      <c r="I257" s="36"/>
    </row>
    <row r="258" spans="1:9" s="58" customFormat="1" x14ac:dyDescent="0.25">
      <c r="A258" s="81" t="s">
        <v>251</v>
      </c>
      <c r="B258" s="82"/>
      <c r="C258" s="82"/>
      <c r="D258" s="82"/>
      <c r="E258" s="82"/>
      <c r="F258" s="82"/>
      <c r="G258" s="82"/>
      <c r="H258" s="83"/>
      <c r="I258" s="36"/>
    </row>
    <row r="259" spans="1:9" s="58" customFormat="1" x14ac:dyDescent="0.25">
      <c r="A259" s="88">
        <v>1</v>
      </c>
      <c r="B259" s="89"/>
      <c r="C259" s="57" t="s">
        <v>203</v>
      </c>
      <c r="D259" s="62">
        <f>(62.41+2.13+0.75*(3.05+1.3+1.73+1.65))*(10.764)</f>
        <v>757.11284999999987</v>
      </c>
      <c r="E259" s="57">
        <v>0</v>
      </c>
      <c r="F259" s="57">
        <f>D259*(($F$163)+1)+(IF(E259&lt;101,E259,IF(E259&lt;201,E259/2,IF(E259&lt;=301,E259/3,E259/4))))</f>
        <v>1135.6692749999997</v>
      </c>
      <c r="G259" s="77" t="str">
        <f>A258</f>
        <v xml:space="preserve">14th &amp; 19th Floor (Refuge Area) </v>
      </c>
      <c r="H259" s="78"/>
      <c r="I259" s="36"/>
    </row>
    <row r="260" spans="1:9" s="58" customFormat="1" x14ac:dyDescent="0.25">
      <c r="A260" s="88">
        <f>A259+1</f>
        <v>2</v>
      </c>
      <c r="B260" s="89"/>
      <c r="C260" s="57" t="s">
        <v>202</v>
      </c>
      <c r="D260" s="62">
        <f>(101.67+4.25+0.75*(3.55+1.68+2.2+1.5))*(10.764)</f>
        <v>1212.21477</v>
      </c>
      <c r="E260" s="57">
        <v>0</v>
      </c>
      <c r="F260" s="57">
        <f>D260*(($F$163)+1)+(IF(E260&lt;101,E260,IF(E260&lt;201,E260/2,IF(E260&lt;=301,E260/3,E260/4))))</f>
        <v>1818.3221550000001</v>
      </c>
      <c r="G260" s="79"/>
      <c r="H260" s="80"/>
      <c r="I260" s="36"/>
    </row>
    <row r="261" spans="1:9" s="58" customFormat="1" x14ac:dyDescent="0.25">
      <c r="A261" s="88">
        <f t="shared" ref="A261:A262" si="34">A260+1</f>
        <v>3</v>
      </c>
      <c r="B261" s="89"/>
      <c r="C261" s="57" t="s">
        <v>202</v>
      </c>
      <c r="D261" s="62">
        <f>(101.67+4.21+0.75*(3.55+1.68+2.2+1.5))*(10.764)</f>
        <v>1211.78421</v>
      </c>
      <c r="E261" s="57">
        <v>0</v>
      </c>
      <c r="F261" s="57">
        <f>D261*(($F$163)+1)+(IF(E261&lt;101,E261,IF(E261&lt;201,E261/2,IF(E261&lt;=301,E261/3,E261/4))))</f>
        <v>1817.6763150000002</v>
      </c>
      <c r="G261" s="79"/>
      <c r="H261" s="80"/>
      <c r="I261" s="36"/>
    </row>
    <row r="262" spans="1:9" s="58" customFormat="1" x14ac:dyDescent="0.25">
      <c r="A262" s="88">
        <f t="shared" si="34"/>
        <v>4</v>
      </c>
      <c r="B262" s="89"/>
      <c r="C262" s="57" t="s">
        <v>201</v>
      </c>
      <c r="D262" s="62">
        <f>(85.48+1.49+0.75*(3.55+1.5+2+2.2))*(10.764)</f>
        <v>1010.8203299999999</v>
      </c>
      <c r="E262" s="57">
        <v>0</v>
      </c>
      <c r="F262" s="57">
        <f>D262*(($F$163)+1)+(IF(E262&lt;101,E262,IF(E262&lt;201,E262/2,IF(E262&lt;=301,E262/3,E262/4))))</f>
        <v>1516.2304949999998</v>
      </c>
      <c r="G262" s="85"/>
      <c r="H262" s="87"/>
      <c r="I262" s="36"/>
    </row>
    <row r="263" spans="1:9" s="58" customFormat="1" x14ac:dyDescent="0.25">
      <c r="A263" s="81" t="s">
        <v>225</v>
      </c>
      <c r="B263" s="82"/>
      <c r="C263" s="82"/>
      <c r="D263" s="82"/>
      <c r="E263" s="82"/>
      <c r="F263" s="82"/>
      <c r="G263" s="82"/>
      <c r="H263" s="83"/>
      <c r="I263" s="36"/>
    </row>
    <row r="264" spans="1:9" s="58" customFormat="1" x14ac:dyDescent="0.25">
      <c r="A264" s="88">
        <v>1</v>
      </c>
      <c r="B264" s="89"/>
      <c r="C264" s="57" t="s">
        <v>203</v>
      </c>
      <c r="D264" s="62">
        <f>(62.41+2.13+0.75*(3.05+1.3+1.73+1.65))*(10.764)</f>
        <v>757.11284999999987</v>
      </c>
      <c r="E264" s="57">
        <v>0</v>
      </c>
      <c r="F264" s="57">
        <f>D264*(($F$163)+1)+(IF(E264&lt;101,E264,IF(E264&lt;201,E264/2,IF(E264&lt;=301,E264/3,E264/4))))</f>
        <v>1135.6692749999997</v>
      </c>
      <c r="G264" s="77" t="str">
        <f>A263</f>
        <v>22nd &amp; 23rd Floor</v>
      </c>
      <c r="H264" s="78"/>
      <c r="I264" s="36"/>
    </row>
    <row r="265" spans="1:9" s="58" customFormat="1" x14ac:dyDescent="0.25">
      <c r="A265" s="88">
        <f>A264+1</f>
        <v>2</v>
      </c>
      <c r="B265" s="89"/>
      <c r="C265" s="57" t="s">
        <v>202</v>
      </c>
      <c r="D265" s="62">
        <f>(101.67+4.25+0.75*(3.55+1.68+2.2+1.5))*(10.764)</f>
        <v>1212.21477</v>
      </c>
      <c r="E265" s="57">
        <v>0</v>
      </c>
      <c r="F265" s="57">
        <f>D265*(($F$163)+1)+(IF(E265&lt;101,E265,IF(E265&lt;201,E265/2,IF(E265&lt;=301,E265/3,E265/4))))</f>
        <v>1818.3221550000001</v>
      </c>
      <c r="G265" s="79"/>
      <c r="H265" s="80"/>
      <c r="I265" s="36"/>
    </row>
    <row r="266" spans="1:9" s="58" customFormat="1" x14ac:dyDescent="0.25">
      <c r="A266" s="88">
        <f t="shared" ref="A266:A267" si="35">A265+1</f>
        <v>3</v>
      </c>
      <c r="B266" s="89"/>
      <c r="C266" s="57" t="s">
        <v>202</v>
      </c>
      <c r="D266" s="62">
        <f>(101.67+4.21+0.75*(3.55+1.68+2.2+1.5))*(10.764)</f>
        <v>1211.78421</v>
      </c>
      <c r="E266" s="57">
        <v>0</v>
      </c>
      <c r="F266" s="57">
        <f>D266*(($F$163)+1)+(IF(E266&lt;101,E266,IF(E266&lt;201,E266/2,IF(E266&lt;=301,E266/3,E266/4))))</f>
        <v>1817.6763150000002</v>
      </c>
      <c r="G266" s="79"/>
      <c r="H266" s="80"/>
      <c r="I266" s="36"/>
    </row>
    <row r="267" spans="1:9" s="58" customFormat="1" x14ac:dyDescent="0.25">
      <c r="A267" s="88">
        <f t="shared" si="35"/>
        <v>4</v>
      </c>
      <c r="B267" s="89"/>
      <c r="C267" s="57" t="s">
        <v>201</v>
      </c>
      <c r="D267" s="62">
        <f>(85.48+1.49+0.75*(3.55+1.5+2+2.2))*(10.764)</f>
        <v>1010.8203299999999</v>
      </c>
      <c r="E267" s="57">
        <v>0</v>
      </c>
      <c r="F267" s="57">
        <f>D267*(($F$163)+1)+(IF(E267&lt;101,E267,IF(E267&lt;201,E267/2,IF(E267&lt;=301,E267/3,E267/4))))</f>
        <v>1516.2304949999998</v>
      </c>
      <c r="G267" s="85"/>
      <c r="H267" s="87"/>
      <c r="I267" s="36"/>
    </row>
    <row r="268" spans="1:9" s="58" customFormat="1" x14ac:dyDescent="0.25">
      <c r="A268" s="81" t="s">
        <v>210</v>
      </c>
      <c r="B268" s="82"/>
      <c r="C268" s="82"/>
      <c r="D268" s="82"/>
      <c r="E268" s="82"/>
      <c r="F268" s="82"/>
      <c r="G268" s="82"/>
      <c r="H268" s="83"/>
      <c r="I268" s="36"/>
    </row>
    <row r="269" spans="1:9" s="58" customFormat="1" x14ac:dyDescent="0.25">
      <c r="A269" s="88">
        <v>1</v>
      </c>
      <c r="B269" s="89"/>
      <c r="C269" s="57" t="s">
        <v>203</v>
      </c>
      <c r="D269" s="62">
        <f>(62.41+2.13+0.75*(3.05+1.3+1.73+1.65))*(10.764)</f>
        <v>757.11284999999987</v>
      </c>
      <c r="E269" s="57">
        <v>0</v>
      </c>
      <c r="F269" s="57">
        <f>D269*(($F$163)+1)+(IF(E269&lt;101,E269,IF(E269&lt;201,E269/2,IF(E269&lt;=301,E269/3,E269/4))))</f>
        <v>1135.6692749999997</v>
      </c>
      <c r="G269" s="77" t="str">
        <f>A268</f>
        <v xml:space="preserve">24th Floor (Refuge Area Provided) </v>
      </c>
      <c r="H269" s="78"/>
      <c r="I269" s="36"/>
    </row>
    <row r="270" spans="1:9" s="58" customFormat="1" x14ac:dyDescent="0.25">
      <c r="A270" s="88">
        <f>A269+1</f>
        <v>2</v>
      </c>
      <c r="B270" s="89"/>
      <c r="C270" s="57" t="s">
        <v>202</v>
      </c>
      <c r="D270" s="62">
        <f>(101.67+4.25+0.75*(3.55+1.68+2.2+1.5))*(10.764)</f>
        <v>1212.21477</v>
      </c>
      <c r="E270" s="57">
        <v>0</v>
      </c>
      <c r="F270" s="57">
        <f>D270*(($F$163)+1)+(IF(E270&lt;101,E270,IF(E270&lt;201,E270/2,IF(E270&lt;=301,E270/3,E270/4))))</f>
        <v>1818.3221550000001</v>
      </c>
      <c r="G270" s="79"/>
      <c r="H270" s="80"/>
      <c r="I270" s="36"/>
    </row>
    <row r="271" spans="1:9" s="58" customFormat="1" x14ac:dyDescent="0.25">
      <c r="A271" s="88">
        <f t="shared" ref="A271:A272" si="36">A270+1</f>
        <v>3</v>
      </c>
      <c r="B271" s="89"/>
      <c r="C271" s="57" t="s">
        <v>202</v>
      </c>
      <c r="D271" s="62">
        <f>(101.67+4.21+0.75*(3.55+1.68+2.2+1.5))*(10.764)</f>
        <v>1211.78421</v>
      </c>
      <c r="E271" s="57">
        <v>0</v>
      </c>
      <c r="F271" s="57">
        <f>D271*(($F$163)+1)+(IF(E271&lt;101,E271,IF(E271&lt;201,E271/2,IF(E271&lt;=301,E271/3,E271/4))))</f>
        <v>1817.6763150000002</v>
      </c>
      <c r="G271" s="79"/>
      <c r="H271" s="80"/>
      <c r="I271" s="36"/>
    </row>
    <row r="272" spans="1:9" s="58" customFormat="1" x14ac:dyDescent="0.25">
      <c r="A272" s="88">
        <f t="shared" si="36"/>
        <v>4</v>
      </c>
      <c r="B272" s="89"/>
      <c r="C272" s="57" t="s">
        <v>201</v>
      </c>
      <c r="D272" s="62">
        <f>(85.48+1.49+0.75*(3.55+1.5+2+2.2))*(10.764)</f>
        <v>1010.8203299999999</v>
      </c>
      <c r="E272" s="57">
        <v>0</v>
      </c>
      <c r="F272" s="57">
        <f>D272*(($F$163)+1)+(IF(E272&lt;101,E272,IF(E272&lt;201,E272/2,IF(E272&lt;=301,E272/3,E272/4))))</f>
        <v>1516.2304949999998</v>
      </c>
      <c r="G272" s="85"/>
      <c r="H272" s="87"/>
      <c r="I272" s="36"/>
    </row>
    <row r="273" spans="1:10" s="58" customFormat="1" x14ac:dyDescent="0.25">
      <c r="A273" s="81" t="s">
        <v>226</v>
      </c>
      <c r="B273" s="82"/>
      <c r="C273" s="82"/>
      <c r="D273" s="82"/>
      <c r="E273" s="82"/>
      <c r="F273" s="82"/>
      <c r="G273" s="82"/>
      <c r="H273" s="83"/>
      <c r="I273" s="36"/>
    </row>
    <row r="274" spans="1:10" s="58" customFormat="1" x14ac:dyDescent="0.25">
      <c r="A274" s="88">
        <v>1</v>
      </c>
      <c r="B274" s="89"/>
      <c r="C274" s="57" t="s">
        <v>203</v>
      </c>
      <c r="D274" s="62">
        <f>(62.41+2.13+0.75*(3.05+1.3+1.73+1.65))*(10.764)</f>
        <v>757.11284999999987</v>
      </c>
      <c r="E274" s="57">
        <v>0</v>
      </c>
      <c r="F274" s="57">
        <f>D274*(($F$163)+1)+(IF(E274&lt;101,E274,IF(E274&lt;201,E274/2,IF(E274&lt;=301,E274/3,E274/4))))</f>
        <v>1135.6692749999997</v>
      </c>
      <c r="G274" s="77" t="str">
        <f>A273</f>
        <v>25th Floor</v>
      </c>
      <c r="H274" s="78"/>
      <c r="I274" s="36"/>
    </row>
    <row r="275" spans="1:10" s="58" customFormat="1" x14ac:dyDescent="0.25">
      <c r="A275" s="88">
        <f>A274+1</f>
        <v>2</v>
      </c>
      <c r="B275" s="89"/>
      <c r="C275" s="57" t="s">
        <v>202</v>
      </c>
      <c r="D275" s="62">
        <f>(101.67+4.25+0.75*(3.55+1.68+2.2+1.5))*(10.764)</f>
        <v>1212.21477</v>
      </c>
      <c r="E275" s="57">
        <v>0</v>
      </c>
      <c r="F275" s="57">
        <f>D275*(($F$163)+1)+(IF(E275&lt;101,E275,IF(E275&lt;201,E275/2,IF(E275&lt;=301,E275/3,E275/4))))</f>
        <v>1818.3221550000001</v>
      </c>
      <c r="G275" s="79"/>
      <c r="H275" s="80"/>
      <c r="I275" s="36"/>
    </row>
    <row r="276" spans="1:10" s="58" customFormat="1" x14ac:dyDescent="0.25">
      <c r="A276" s="88">
        <f t="shared" ref="A276" si="37">A275+1</f>
        <v>3</v>
      </c>
      <c r="B276" s="89"/>
      <c r="C276" s="57" t="s">
        <v>208</v>
      </c>
      <c r="D276" s="62">
        <f>(207.39+1.38+0.75*(3.65+1.65+2+1.5+3.5+1.5+2+2.2))*(10.764)</f>
        <v>2392.5142799999999</v>
      </c>
      <c r="E276" s="62">
        <f>(23.4)*(10.764)</f>
        <v>251.87759999999997</v>
      </c>
      <c r="F276" s="57">
        <f>D276*(($F$163)+1)+(IF(E276&lt;101,E276,IF(E276&lt;201,E276/2,IF(E276&lt;=301,E276/3,E276/4))))</f>
        <v>3672.7306199999998</v>
      </c>
      <c r="G276" s="79"/>
      <c r="H276" s="80"/>
      <c r="I276" s="36"/>
    </row>
    <row r="277" spans="1:10" s="58" customFormat="1" x14ac:dyDescent="0.25">
      <c r="A277" s="81" t="s">
        <v>211</v>
      </c>
      <c r="B277" s="82"/>
      <c r="C277" s="82"/>
      <c r="D277" s="82"/>
      <c r="E277" s="82"/>
      <c r="F277" s="82"/>
      <c r="G277" s="82"/>
      <c r="H277" s="83"/>
      <c r="I277" s="36"/>
      <c r="J277" s="62">
        <f>10.764</f>
        <v>10.763999999999999</v>
      </c>
    </row>
    <row r="278" spans="1:10" s="58" customFormat="1" x14ac:dyDescent="0.25">
      <c r="A278" s="88">
        <v>1</v>
      </c>
      <c r="B278" s="89"/>
      <c r="C278" s="57" t="s">
        <v>203</v>
      </c>
      <c r="D278" s="62">
        <f>(62.41+2.13+0.75*(3.05+1.3+1.73+1.65))*(10.764)</f>
        <v>757.11284999999987</v>
      </c>
      <c r="E278" s="57">
        <v>0</v>
      </c>
      <c r="F278" s="57">
        <f>D278*(($F$163)+1)+(IF(E278&lt;101,E278,IF(E278&lt;201,E278/2,IF(E278&lt;=301,E278/3,E278/4))))</f>
        <v>1135.6692749999997</v>
      </c>
      <c r="G278" s="77" t="str">
        <f>A277</f>
        <v>26th Floor</v>
      </c>
      <c r="H278" s="78"/>
      <c r="I278" s="36"/>
    </row>
    <row r="279" spans="1:10" s="58" customFormat="1" x14ac:dyDescent="0.25">
      <c r="A279" s="88">
        <f>A278+1</f>
        <v>2</v>
      </c>
      <c r="B279" s="89"/>
      <c r="C279" s="57" t="s">
        <v>202</v>
      </c>
      <c r="D279" s="62">
        <f>(101.67+4.25+0.75*(3.55+1.68+2.2+1.5))*(10.764)</f>
        <v>1212.21477</v>
      </c>
      <c r="E279" s="57">
        <v>0</v>
      </c>
      <c r="F279" s="57">
        <f>D279*(($F$163)+1)+(IF(E279&lt;101,E279,IF(E279&lt;201,E279/2,IF(E279&lt;=301,E279/3,E279/4))))</f>
        <v>1818.3221550000001</v>
      </c>
      <c r="G279" s="79"/>
      <c r="H279" s="80"/>
      <c r="I279" s="36"/>
    </row>
    <row r="280" spans="1:10" s="58" customFormat="1" x14ac:dyDescent="0.25">
      <c r="A280" s="88">
        <f t="shared" ref="A280:A281" si="38">A279+1</f>
        <v>3</v>
      </c>
      <c r="B280" s="89"/>
      <c r="C280" s="57" t="s">
        <v>202</v>
      </c>
      <c r="D280" s="62">
        <f>(101.67+4.21+0.75*(3.55+1.68+2.2+1.5))*(10.764)</f>
        <v>1211.78421</v>
      </c>
      <c r="E280" s="57">
        <v>0</v>
      </c>
      <c r="F280" s="57">
        <f>D280*(($F$163)+1)+(IF(E280&lt;101,E280,IF(E280&lt;201,E280/2,IF(E280&lt;=301,E280/3,E280/4))))</f>
        <v>1817.6763150000002</v>
      </c>
      <c r="G280" s="79"/>
      <c r="H280" s="80"/>
      <c r="I280" s="36"/>
    </row>
    <row r="281" spans="1:10" s="58" customFormat="1" x14ac:dyDescent="0.25">
      <c r="A281" s="88">
        <f t="shared" si="38"/>
        <v>4</v>
      </c>
      <c r="B281" s="89"/>
      <c r="C281" s="57" t="s">
        <v>201</v>
      </c>
      <c r="D281" s="62">
        <f>(85.48+1.49+0.75*(3.55+1.5+2+2.2))*(10.764)</f>
        <v>1010.8203299999999</v>
      </c>
      <c r="E281" s="57">
        <v>0</v>
      </c>
      <c r="F281" s="57">
        <f>D281*(($F$163)+1)+(IF(E281&lt;101,E281,IF(E281&lt;201,E281/2,IF(E281&lt;=301,E281/3,E281/4))))</f>
        <v>1516.2304949999998</v>
      </c>
      <c r="G281" s="85"/>
      <c r="H281" s="87"/>
      <c r="I281" s="36"/>
    </row>
    <row r="282" spans="1:10" s="58" customFormat="1" x14ac:dyDescent="0.25">
      <c r="A282" s="81" t="s">
        <v>227</v>
      </c>
      <c r="B282" s="82"/>
      <c r="C282" s="82"/>
      <c r="D282" s="82"/>
      <c r="E282" s="82"/>
      <c r="F282" s="82"/>
      <c r="G282" s="82"/>
      <c r="H282" s="83"/>
      <c r="I282" s="36"/>
    </row>
    <row r="283" spans="1:10" s="58" customFormat="1" x14ac:dyDescent="0.25">
      <c r="A283" s="88">
        <v>1</v>
      </c>
      <c r="B283" s="89"/>
      <c r="C283" s="57" t="s">
        <v>203</v>
      </c>
      <c r="D283" s="62">
        <f>(62.41+2.13+0.75*(3.05+1.3+1.73+1.65))*(10.764)</f>
        <v>757.11284999999987</v>
      </c>
      <c r="E283" s="57">
        <v>0</v>
      </c>
      <c r="F283" s="57">
        <f>D283*(($F$163)+1)+(IF(E283&lt;101,E283,IF(E283&lt;201,E283/2,IF(E283&lt;=301,E283/3,E283/4))))</f>
        <v>1135.6692749999997</v>
      </c>
      <c r="G283" s="77" t="str">
        <f>A282</f>
        <v>27th Floor</v>
      </c>
      <c r="H283" s="78"/>
      <c r="I283" s="36"/>
    </row>
    <row r="284" spans="1:10" s="58" customFormat="1" x14ac:dyDescent="0.25">
      <c r="A284" s="88">
        <f>A283+1</f>
        <v>2</v>
      </c>
      <c r="B284" s="89"/>
      <c r="C284" s="57" t="s">
        <v>202</v>
      </c>
      <c r="D284" s="62">
        <f>(101.67+4.25+0.75*(3.55+1.68+2.2+1.5))*(10.764)</f>
        <v>1212.21477</v>
      </c>
      <c r="E284" s="57">
        <v>0</v>
      </c>
      <c r="F284" s="57">
        <f>D284*(($F$163)+1)+(IF(E284&lt;101,E284,IF(E284&lt;201,E284/2,IF(E284&lt;=301,E284/3,E284/4))))</f>
        <v>1818.3221550000001</v>
      </c>
      <c r="G284" s="79"/>
      <c r="H284" s="80"/>
      <c r="I284" s="36"/>
    </row>
    <row r="285" spans="1:10" s="58" customFormat="1" x14ac:dyDescent="0.25">
      <c r="A285" s="88">
        <f t="shared" ref="A285" si="39">A284+1</f>
        <v>3</v>
      </c>
      <c r="B285" s="89"/>
      <c r="C285" s="57" t="s">
        <v>208</v>
      </c>
      <c r="D285" s="62">
        <f>(207.39+1.38+0.75*(3.65+1.65+2+1.5+3.5+1.5+2+2.2))*(10.764)</f>
        <v>2392.5142799999999</v>
      </c>
      <c r="E285" s="62">
        <f>(23.4)*(10.764)</f>
        <v>251.87759999999997</v>
      </c>
      <c r="F285" s="57">
        <f>D285*(($F$163)+1)+(IF(E285&lt;101,E285,IF(E285&lt;201,E285/2,IF(E285&lt;=301,E285/3,E285/4))))</f>
        <v>3672.7306199999998</v>
      </c>
      <c r="G285" s="79"/>
      <c r="H285" s="80"/>
      <c r="I285" s="36"/>
    </row>
    <row r="286" spans="1:10" s="58" customFormat="1" x14ac:dyDescent="0.25">
      <c r="A286" s="81" t="s">
        <v>228</v>
      </c>
      <c r="B286" s="82"/>
      <c r="C286" s="82"/>
      <c r="D286" s="82"/>
      <c r="E286" s="82"/>
      <c r="F286" s="82"/>
      <c r="G286" s="82"/>
      <c r="H286" s="83"/>
      <c r="I286" s="36"/>
    </row>
    <row r="287" spans="1:10" s="58" customFormat="1" x14ac:dyDescent="0.25">
      <c r="A287" s="88">
        <v>1</v>
      </c>
      <c r="B287" s="89"/>
      <c r="C287" s="57" t="s">
        <v>203</v>
      </c>
      <c r="D287" s="62">
        <f>(62.41+2.13+0.75*(3.05+1.3+1.73+1.65))*(10.764)</f>
        <v>757.11284999999987</v>
      </c>
      <c r="E287" s="57">
        <v>0</v>
      </c>
      <c r="F287" s="57">
        <f>D287*(($F$163)+1)+(IF(E287&lt;101,E287,IF(E287&lt;201,E287/2,IF(E287&lt;=301,E287/3,E287/4))))</f>
        <v>1135.6692749999997</v>
      </c>
      <c r="G287" s="77" t="str">
        <f>A286</f>
        <v>28th Floor</v>
      </c>
      <c r="H287" s="78"/>
      <c r="I287" s="36"/>
    </row>
    <row r="288" spans="1:10" s="58" customFormat="1" x14ac:dyDescent="0.25">
      <c r="A288" s="88">
        <f>A287+1</f>
        <v>2</v>
      </c>
      <c r="B288" s="89"/>
      <c r="C288" s="57" t="s">
        <v>202</v>
      </c>
      <c r="D288" s="62">
        <f>(101.67+4.25+0.75*(3.55+1.68+2.2+1.5))*(10.764)</f>
        <v>1212.21477</v>
      </c>
      <c r="E288" s="57">
        <v>0</v>
      </c>
      <c r="F288" s="57">
        <f>D288*(($F$163)+1)+(IF(E288&lt;101,E288,IF(E288&lt;201,E288/2,IF(E288&lt;=301,E288/3,E288/4))))</f>
        <v>1818.3221550000001</v>
      </c>
      <c r="G288" s="79"/>
      <c r="H288" s="80"/>
      <c r="I288" s="36"/>
    </row>
    <row r="289" spans="1:9" s="58" customFormat="1" x14ac:dyDescent="0.25">
      <c r="A289" s="88">
        <f t="shared" ref="A289" si="40">A288+1</f>
        <v>3</v>
      </c>
      <c r="B289" s="89"/>
      <c r="C289" s="57" t="s">
        <v>208</v>
      </c>
      <c r="D289" s="62">
        <f>(207.39+1.38+0.75*(3.65+1.65+2+1.5+3.5+1.5+2+2.2))*(10.764)</f>
        <v>2392.5142799999999</v>
      </c>
      <c r="E289" s="62">
        <v>0</v>
      </c>
      <c r="F289" s="57">
        <f>D289*(($F$163)+1)+(IF(E289&lt;101,E289,IF(E289&lt;201,E289/2,IF(E289&lt;=301,E289/3,E289/4))))</f>
        <v>3588.77142</v>
      </c>
      <c r="G289" s="79"/>
      <c r="H289" s="80"/>
      <c r="I289" s="36"/>
    </row>
    <row r="290" spans="1:9" s="58" customFormat="1" x14ac:dyDescent="0.25">
      <c r="A290" s="81" t="s">
        <v>229</v>
      </c>
      <c r="B290" s="82"/>
      <c r="C290" s="82"/>
      <c r="D290" s="82"/>
      <c r="E290" s="82"/>
      <c r="F290" s="82"/>
      <c r="G290" s="82"/>
      <c r="H290" s="83"/>
      <c r="I290" s="36"/>
    </row>
    <row r="291" spans="1:9" s="58" customFormat="1" x14ac:dyDescent="0.25">
      <c r="A291" s="88" t="s">
        <v>230</v>
      </c>
      <c r="B291" s="89"/>
      <c r="C291" s="57" t="s">
        <v>231</v>
      </c>
      <c r="D291" s="62">
        <f>(179.33+2.85+0.75*(3.55+1.5+2.2+1.68+1.65+1.73+1.3+3.2))*(10.764)</f>
        <v>2096.69265</v>
      </c>
      <c r="E291" s="62">
        <f>(6.39)*(10.764)</f>
        <v>68.781959999999998</v>
      </c>
      <c r="F291" s="57">
        <f>D291*(($F$163)+1)+(IF(E291&lt;101,E291,IF(E291&lt;201,E291/2,IF(E291&lt;=301,E291/3,E291/4))))</f>
        <v>3213.8209349999997</v>
      </c>
      <c r="G291" s="77" t="str">
        <f>A290</f>
        <v>29th Floor (Refuge Area Provided)</v>
      </c>
      <c r="H291" s="78"/>
      <c r="I291" s="36"/>
    </row>
    <row r="292" spans="1:9" s="58" customFormat="1" x14ac:dyDescent="0.25">
      <c r="A292" s="88">
        <v>3</v>
      </c>
      <c r="B292" s="89"/>
      <c r="C292" s="57" t="s">
        <v>202</v>
      </c>
      <c r="D292" s="62">
        <f>(101.67+4.21+0.75*(3.55+1.68+2.2+1.5))*(10.764)</f>
        <v>1211.78421</v>
      </c>
      <c r="E292" s="57">
        <v>0</v>
      </c>
      <c r="F292" s="57">
        <f>D292*(($F$163)+1)+(IF(E292&lt;101,E292,IF(E292&lt;201,E292/2,IF(E292&lt;=301,E292/3,E292/4))))</f>
        <v>1817.6763150000002</v>
      </c>
      <c r="G292" s="79"/>
      <c r="H292" s="80"/>
      <c r="I292" s="36"/>
    </row>
    <row r="293" spans="1:9" s="58" customFormat="1" x14ac:dyDescent="0.25">
      <c r="A293" s="88">
        <f t="shared" ref="A293" si="41">A292+1</f>
        <v>4</v>
      </c>
      <c r="B293" s="89"/>
      <c r="C293" s="57" t="s">
        <v>201</v>
      </c>
      <c r="D293" s="62">
        <f>(85.48+1.49+0.75*(3.55+1.5+2+2.2))*(10.764)</f>
        <v>1010.8203299999999</v>
      </c>
      <c r="E293" s="57">
        <v>0</v>
      </c>
      <c r="F293" s="57">
        <f>D293*(($F$163)+1)+(IF(E293&lt;101,E293,IF(E293&lt;201,E293/2,IF(E293&lt;=301,E293/3,E293/4))))</f>
        <v>1516.2304949999998</v>
      </c>
      <c r="G293" s="85"/>
      <c r="H293" s="87"/>
      <c r="I293" s="36"/>
    </row>
    <row r="294" spans="1:9" s="58" customFormat="1" x14ac:dyDescent="0.25">
      <c r="A294" s="81" t="s">
        <v>232</v>
      </c>
      <c r="B294" s="82"/>
      <c r="C294" s="82"/>
      <c r="D294" s="82"/>
      <c r="E294" s="82"/>
      <c r="F294" s="82"/>
      <c r="G294" s="82"/>
      <c r="H294" s="83"/>
      <c r="I294" s="36"/>
    </row>
    <row r="295" spans="1:9" s="58" customFormat="1" x14ac:dyDescent="0.25">
      <c r="A295" s="88">
        <v>1</v>
      </c>
      <c r="B295" s="89"/>
      <c r="C295" s="57" t="s">
        <v>203</v>
      </c>
      <c r="D295" s="62">
        <f>(62.41+2.13+0.75*(3.05+1.3+1.73+1.65))*(10.764)</f>
        <v>757.11284999999987</v>
      </c>
      <c r="E295" s="57">
        <v>0</v>
      </c>
      <c r="F295" s="57">
        <f>D295*(($F$163)+1)+(IF(E295&lt;101,E295,IF(E295&lt;201,E295/2,IF(E295&lt;=301,E295/3,E295/4))))</f>
        <v>1135.6692749999997</v>
      </c>
      <c r="G295" s="77" t="str">
        <f>A294</f>
        <v>30th Floor</v>
      </c>
      <c r="H295" s="78"/>
      <c r="I295" s="36"/>
    </row>
    <row r="296" spans="1:9" s="58" customFormat="1" x14ac:dyDescent="0.25">
      <c r="A296" s="88">
        <f>A295+1</f>
        <v>2</v>
      </c>
      <c r="B296" s="89"/>
      <c r="C296" s="57" t="s">
        <v>202</v>
      </c>
      <c r="D296" s="62">
        <f>(101.67+4.25+0.75*(3.55+1.68+2.2+1.5))*(10.764)</f>
        <v>1212.21477</v>
      </c>
      <c r="E296" s="57">
        <v>0</v>
      </c>
      <c r="F296" s="57">
        <f>D296*(($F$163)+1)+(IF(E296&lt;101,E296,IF(E296&lt;201,E296/2,IF(E296&lt;=301,E296/3,E296/4))))</f>
        <v>1818.3221550000001</v>
      </c>
      <c r="G296" s="79"/>
      <c r="H296" s="80"/>
      <c r="I296" s="36"/>
    </row>
    <row r="297" spans="1:9" s="58" customFormat="1" x14ac:dyDescent="0.25">
      <c r="A297" s="88">
        <f t="shared" ref="A297:A298" si="42">A296+1</f>
        <v>3</v>
      </c>
      <c r="B297" s="89"/>
      <c r="C297" s="57" t="s">
        <v>202</v>
      </c>
      <c r="D297" s="62">
        <f>(101.67+4.21+0.75*(3.55+1.68+2.2+1.5))*(10.764)</f>
        <v>1211.78421</v>
      </c>
      <c r="E297" s="57">
        <v>0</v>
      </c>
      <c r="F297" s="57">
        <f>D297*(($F$163)+1)+(IF(E297&lt;101,E297,IF(E297&lt;201,E297/2,IF(E297&lt;=301,E297/3,E297/4))))</f>
        <v>1817.6763150000002</v>
      </c>
      <c r="G297" s="79"/>
      <c r="H297" s="80"/>
      <c r="I297" s="36"/>
    </row>
    <row r="298" spans="1:9" s="58" customFormat="1" x14ac:dyDescent="0.25">
      <c r="A298" s="88">
        <f t="shared" si="42"/>
        <v>4</v>
      </c>
      <c r="B298" s="89"/>
      <c r="C298" s="57" t="s">
        <v>201</v>
      </c>
      <c r="D298" s="62">
        <f>(85.48+1.49+0.75*(3.55+1.5+2+2.2))*(10.764)</f>
        <v>1010.8203299999999</v>
      </c>
      <c r="E298" s="57">
        <v>0</v>
      </c>
      <c r="F298" s="57">
        <f>D298*(($F$163)+1)+(IF(E298&lt;101,E298,IF(E298&lt;201,E298/2,IF(E298&lt;=301,E298/3,E298/4))))</f>
        <v>1516.2304949999998</v>
      </c>
      <c r="G298" s="85"/>
      <c r="H298" s="87"/>
      <c r="I298" s="36"/>
    </row>
    <row r="299" spans="1:9" s="58" customFormat="1" x14ac:dyDescent="0.25">
      <c r="A299" s="81" t="s">
        <v>212</v>
      </c>
      <c r="B299" s="82"/>
      <c r="C299" s="82"/>
      <c r="D299" s="82"/>
      <c r="E299" s="82"/>
      <c r="F299" s="82"/>
      <c r="G299" s="82"/>
      <c r="H299" s="83"/>
      <c r="I299" s="36"/>
    </row>
    <row r="300" spans="1:9" s="58" customFormat="1" x14ac:dyDescent="0.25">
      <c r="A300" s="88">
        <v>1</v>
      </c>
      <c r="B300" s="89"/>
      <c r="C300" s="77" t="s">
        <v>213</v>
      </c>
      <c r="D300" s="84"/>
      <c r="E300" s="84"/>
      <c r="F300" s="78"/>
      <c r="G300" s="77" t="str">
        <f>A299</f>
        <v>31st Floor (Part Terrace Area)</v>
      </c>
      <c r="H300" s="78"/>
      <c r="I300" s="36"/>
    </row>
    <row r="301" spans="1:9" s="58" customFormat="1" x14ac:dyDescent="0.25">
      <c r="A301" s="88">
        <f>A300+1</f>
        <v>2</v>
      </c>
      <c r="B301" s="89"/>
      <c r="C301" s="85"/>
      <c r="D301" s="86"/>
      <c r="E301" s="86"/>
      <c r="F301" s="87"/>
      <c r="G301" s="79"/>
      <c r="H301" s="80"/>
      <c r="I301" s="36"/>
    </row>
    <row r="302" spans="1:9" s="58" customFormat="1" x14ac:dyDescent="0.25">
      <c r="A302" s="88">
        <f t="shared" ref="A302" si="43">A301+1</f>
        <v>3</v>
      </c>
      <c r="B302" s="89"/>
      <c r="C302" s="57" t="s">
        <v>202</v>
      </c>
      <c r="D302" s="62">
        <f>(207.39+1.38+0.75*(3.65+1.65+2+1.5+3.5+1.5+2+2.2))*(10.764)</f>
        <v>2392.5142799999999</v>
      </c>
      <c r="E302" s="62">
        <f>(23.4)*(10.764)</f>
        <v>251.87759999999997</v>
      </c>
      <c r="F302" s="57">
        <f>D302*(($F$163)+1)+(IF(E302&lt;101,E302,IF(E302&lt;201,E302/2,IF(E302&lt;=301,E302/3,E302/4))))</f>
        <v>3672.7306199999998</v>
      </c>
      <c r="G302" s="79"/>
      <c r="H302" s="80"/>
      <c r="I302" s="36"/>
    </row>
    <row r="303" spans="1:9" s="35" customFormat="1" x14ac:dyDescent="0.25">
      <c r="A303" s="209" t="s">
        <v>70</v>
      </c>
      <c r="B303" s="209"/>
      <c r="C303" s="209"/>
      <c r="D303" s="209"/>
      <c r="E303" s="209"/>
      <c r="F303" s="209"/>
      <c r="G303" s="209"/>
      <c r="H303" s="209"/>
    </row>
    <row r="304" spans="1:9" s="35" customFormat="1" ht="32.1" customHeight="1" x14ac:dyDescent="0.25">
      <c r="A304" s="47" t="s">
        <v>156</v>
      </c>
      <c r="B304" s="71" t="s">
        <v>270</v>
      </c>
      <c r="C304" s="72"/>
      <c r="D304" s="72"/>
      <c r="E304" s="72"/>
      <c r="F304" s="72"/>
      <c r="G304" s="72"/>
      <c r="H304" s="73"/>
    </row>
    <row r="305" spans="1:9" s="35" customFormat="1" x14ac:dyDescent="0.25">
      <c r="A305" s="47" t="s">
        <v>156</v>
      </c>
      <c r="B305" s="71" t="str">
        <f>(IF(F162="Saleable area Loading :","We have considered Saleable area of Flats as per our Calculation.","We considered Saleable area of Flat as per Builder area Sheet."))</f>
        <v>We have considered Saleable area of Flats as per our Calculation.</v>
      </c>
      <c r="C305" s="72"/>
      <c r="D305" s="72"/>
      <c r="E305" s="72"/>
      <c r="F305" s="72"/>
      <c r="G305" s="72"/>
      <c r="H305" s="73"/>
    </row>
    <row r="306" spans="1:9" s="35" customFormat="1" x14ac:dyDescent="0.25">
      <c r="A306" s="47" t="s">
        <v>156</v>
      </c>
      <c r="B306" s="71" t="str">
        <f>(IF(F125="Saleable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06" s="72"/>
      <c r="D306" s="72"/>
      <c r="E306" s="72"/>
      <c r="F306" s="72"/>
      <c r="G306" s="72"/>
      <c r="H306" s="73"/>
    </row>
    <row r="307" spans="1:9" s="35" customFormat="1" x14ac:dyDescent="0.25">
      <c r="A307" s="47" t="s">
        <v>156</v>
      </c>
      <c r="B307" s="135" t="s">
        <v>125</v>
      </c>
      <c r="C307" s="136"/>
      <c r="D307" s="136"/>
      <c r="E307" s="136"/>
      <c r="F307" s="136"/>
      <c r="G307" s="136"/>
      <c r="H307" s="137"/>
    </row>
    <row r="308" spans="1:9" s="35" customFormat="1" x14ac:dyDescent="0.25">
      <c r="A308" s="47" t="s">
        <v>156</v>
      </c>
      <c r="B308" s="135" t="s">
        <v>126</v>
      </c>
      <c r="C308" s="136"/>
      <c r="D308" s="136"/>
      <c r="E308" s="136"/>
      <c r="F308" s="136"/>
      <c r="G308" s="136"/>
      <c r="H308" s="137"/>
    </row>
    <row r="309" spans="1:9" s="35" customFormat="1" x14ac:dyDescent="0.25">
      <c r="A309" s="47" t="s">
        <v>156</v>
      </c>
      <c r="B309" s="135" t="s">
        <v>155</v>
      </c>
      <c r="C309" s="136"/>
      <c r="D309" s="136"/>
      <c r="E309" s="136"/>
      <c r="F309" s="136"/>
      <c r="G309" s="136"/>
      <c r="H309" s="137"/>
    </row>
    <row r="310" spans="1:9" s="35" customFormat="1" x14ac:dyDescent="0.25">
      <c r="A310" s="47" t="s">
        <v>156</v>
      </c>
      <c r="B310" s="135" t="s">
        <v>127</v>
      </c>
      <c r="C310" s="136"/>
      <c r="D310" s="136"/>
      <c r="E310" s="136"/>
      <c r="F310" s="136"/>
      <c r="G310" s="136"/>
      <c r="H310" s="137"/>
    </row>
    <row r="311" spans="1:9" s="35" customFormat="1" ht="34.5" customHeight="1" x14ac:dyDescent="0.25">
      <c r="A311" s="47" t="s">
        <v>156</v>
      </c>
      <c r="B311" s="135" t="s">
        <v>157</v>
      </c>
      <c r="C311" s="136"/>
      <c r="D311" s="136"/>
      <c r="E311" s="136"/>
      <c r="F311" s="136"/>
      <c r="G311" s="136"/>
      <c r="H311" s="137"/>
    </row>
    <row r="312" spans="1:9" s="35" customFormat="1" x14ac:dyDescent="0.25">
      <c r="A312" s="47" t="s">
        <v>156</v>
      </c>
      <c r="B312" s="71" t="s">
        <v>128</v>
      </c>
      <c r="C312" s="72"/>
      <c r="D312" s="72"/>
      <c r="E312" s="72"/>
      <c r="F312" s="72"/>
      <c r="G312" s="72"/>
      <c r="H312" s="73"/>
    </row>
    <row r="313" spans="1:9" s="35" customFormat="1" ht="69" hidden="1" customHeight="1" x14ac:dyDescent="0.25">
      <c r="A313" s="68" t="s">
        <v>156</v>
      </c>
      <c r="B313" s="71" t="s">
        <v>252</v>
      </c>
      <c r="C313" s="72"/>
      <c r="D313" s="72"/>
      <c r="E313" s="72"/>
      <c r="F313" s="72"/>
      <c r="G313" s="72"/>
      <c r="H313" s="73"/>
    </row>
    <row r="314" spans="1:9" s="35" customFormat="1" ht="34.5" customHeight="1" x14ac:dyDescent="0.25">
      <c r="A314" s="61" t="s">
        <v>156</v>
      </c>
      <c r="B314" s="71" t="s">
        <v>259</v>
      </c>
      <c r="C314" s="72"/>
      <c r="D314" s="72"/>
      <c r="E314" s="72"/>
      <c r="F314" s="72"/>
      <c r="G314" s="72"/>
      <c r="H314" s="73"/>
    </row>
    <row r="315" spans="1:9" s="35" customFormat="1" x14ac:dyDescent="0.25">
      <c r="A315" s="69" t="s">
        <v>156</v>
      </c>
      <c r="B315" s="71" t="s">
        <v>268</v>
      </c>
      <c r="C315" s="72"/>
      <c r="D315" s="72"/>
      <c r="E315" s="72"/>
      <c r="F315" s="72"/>
      <c r="G315" s="72"/>
      <c r="H315" s="73"/>
    </row>
    <row r="316" spans="1:9" s="35" customFormat="1" x14ac:dyDescent="0.25">
      <c r="A316" s="70" t="s">
        <v>156</v>
      </c>
      <c r="B316" s="71" t="s">
        <v>271</v>
      </c>
      <c r="C316" s="72"/>
      <c r="D316" s="72"/>
      <c r="E316" s="72"/>
      <c r="F316" s="72"/>
      <c r="G316" s="72"/>
      <c r="H316" s="73"/>
    </row>
    <row r="317" spans="1:9" x14ac:dyDescent="0.25">
      <c r="A317" s="134" t="s">
        <v>63</v>
      </c>
      <c r="B317" s="134"/>
      <c r="C317" s="134"/>
      <c r="D317" s="134"/>
      <c r="E317" s="134"/>
      <c r="F317" s="134"/>
      <c r="G317" s="134"/>
      <c r="H317" s="134"/>
    </row>
    <row r="318" spans="1:9" ht="22.5" x14ac:dyDescent="0.25">
      <c r="A318" s="74" t="s">
        <v>64</v>
      </c>
      <c r="B318" s="74"/>
      <c r="C318" s="74"/>
      <c r="D318" s="74"/>
      <c r="E318" s="74"/>
      <c r="F318" s="74"/>
      <c r="G318" s="74"/>
      <c r="H318" s="74"/>
      <c r="I318" s="67"/>
    </row>
    <row r="319" spans="1:9" ht="15.75" customHeight="1" x14ac:dyDescent="0.25">
      <c r="A319" s="101" t="s">
        <v>65</v>
      </c>
      <c r="B319" s="101"/>
      <c r="C319" s="101"/>
      <c r="D319" s="101"/>
      <c r="E319" s="101"/>
      <c r="F319" s="101"/>
      <c r="G319" s="101"/>
      <c r="H319" s="101"/>
    </row>
    <row r="320" spans="1:9" x14ac:dyDescent="0.25">
      <c r="A320" s="74" t="s">
        <v>66</v>
      </c>
      <c r="B320" s="74"/>
      <c r="C320" s="74"/>
      <c r="D320" s="74"/>
      <c r="E320" s="74"/>
      <c r="F320" s="74"/>
      <c r="G320" s="74"/>
      <c r="H320" s="74"/>
    </row>
    <row r="321" spans="1:8" x14ac:dyDescent="0.25">
      <c r="A321" s="74" t="s">
        <v>67</v>
      </c>
      <c r="B321" s="74"/>
      <c r="C321" s="74"/>
      <c r="D321" s="74"/>
      <c r="E321" s="74"/>
      <c r="F321" s="74"/>
      <c r="G321" s="74"/>
      <c r="H321" s="74"/>
    </row>
    <row r="322" spans="1:8" x14ac:dyDescent="0.25">
      <c r="A322" s="74" t="s">
        <v>129</v>
      </c>
      <c r="B322" s="74"/>
      <c r="C322" s="74"/>
      <c r="D322" s="74"/>
      <c r="E322" s="74"/>
      <c r="F322" s="74"/>
      <c r="G322" s="74"/>
      <c r="H322" s="74"/>
    </row>
    <row r="323" spans="1:8" x14ac:dyDescent="0.25">
      <c r="A323" s="121" t="s">
        <v>130</v>
      </c>
      <c r="B323" s="121"/>
      <c r="C323" s="121"/>
      <c r="D323" s="121"/>
      <c r="E323" s="121"/>
      <c r="F323" s="121"/>
      <c r="G323" s="121"/>
      <c r="H323" s="121"/>
    </row>
    <row r="324" spans="1:8" x14ac:dyDescent="0.25">
      <c r="A324" s="131" t="s">
        <v>80</v>
      </c>
      <c r="B324" s="131"/>
      <c r="C324" s="131" t="s">
        <v>269</v>
      </c>
      <c r="D324" s="131"/>
      <c r="E324" s="131" t="s">
        <v>107</v>
      </c>
      <c r="F324" s="131"/>
      <c r="G324" s="131" t="s">
        <v>272</v>
      </c>
      <c r="H324" s="131"/>
    </row>
    <row r="325" spans="1:8" x14ac:dyDescent="0.25">
      <c r="A325" s="130" t="s">
        <v>82</v>
      </c>
      <c r="B325" s="130"/>
      <c r="C325" s="130"/>
      <c r="D325" s="130"/>
      <c r="E325" s="130"/>
      <c r="F325" s="130"/>
      <c r="G325" s="130"/>
      <c r="H325" s="130"/>
    </row>
    <row r="326" spans="1:8" x14ac:dyDescent="0.25">
      <c r="A326" s="130"/>
      <c r="B326" s="130"/>
      <c r="C326" s="130"/>
      <c r="D326" s="130"/>
      <c r="E326" s="130"/>
      <c r="F326" s="130"/>
      <c r="G326" s="130"/>
      <c r="H326" s="130"/>
    </row>
    <row r="327" spans="1:8" x14ac:dyDescent="0.25">
      <c r="A327" s="130"/>
      <c r="B327" s="130"/>
      <c r="C327" s="130"/>
      <c r="D327" s="130"/>
      <c r="E327" s="130"/>
      <c r="F327" s="130"/>
      <c r="G327" s="130"/>
      <c r="H327" s="130"/>
    </row>
    <row r="328" spans="1:8" x14ac:dyDescent="0.25">
      <c r="A328" s="130"/>
      <c r="B328" s="130"/>
      <c r="C328" s="130"/>
      <c r="D328" s="130"/>
      <c r="E328" s="130"/>
      <c r="F328" s="130"/>
      <c r="G328" s="130"/>
      <c r="H328" s="130"/>
    </row>
    <row r="329" spans="1:8" x14ac:dyDescent="0.25">
      <c r="A329" s="38" t="s">
        <v>68</v>
      </c>
      <c r="B329" s="39"/>
      <c r="C329" s="39"/>
      <c r="D329" s="38" t="str">
        <f>E8</f>
        <v>Empire Towers</v>
      </c>
      <c r="F329" s="39"/>
      <c r="G329" s="39"/>
      <c r="H329" s="39"/>
    </row>
    <row r="330" spans="1:8" x14ac:dyDescent="0.25">
      <c r="A330" s="39"/>
      <c r="B330" s="39"/>
      <c r="C330" s="39"/>
      <c r="D330" s="39"/>
      <c r="E330" s="39"/>
      <c r="F330" s="39"/>
      <c r="G330" s="39"/>
      <c r="H330" s="39"/>
    </row>
    <row r="331" spans="1:8" x14ac:dyDescent="0.25">
      <c r="A331" s="39"/>
      <c r="B331" s="39"/>
      <c r="C331" s="39"/>
      <c r="D331" s="39"/>
      <c r="E331" s="39"/>
      <c r="F331" s="39"/>
      <c r="G331" s="39"/>
      <c r="H331" s="39"/>
    </row>
    <row r="332" spans="1:8" ht="15" customHeight="1" x14ac:dyDescent="0.25"/>
    <row r="372" spans="1:1" x14ac:dyDescent="0.25">
      <c r="A372" s="41" t="s">
        <v>168</v>
      </c>
    </row>
    <row r="414" spans="1:1" ht="15" customHeight="1" x14ac:dyDescent="0.25"/>
    <row r="415" spans="1:1" x14ac:dyDescent="0.25">
      <c r="A415" s="41" t="s">
        <v>69</v>
      </c>
    </row>
  </sheetData>
  <mergeCells count="539">
    <mergeCell ref="A50:B51"/>
    <mergeCell ref="C50:E50"/>
    <mergeCell ref="G50:H50"/>
    <mergeCell ref="C51:H51"/>
    <mergeCell ref="B315:H315"/>
    <mergeCell ref="B313:H313"/>
    <mergeCell ref="C115:D115"/>
    <mergeCell ref="E115:F115"/>
    <mergeCell ref="G115:H115"/>
    <mergeCell ref="A114:A115"/>
    <mergeCell ref="A198:B198"/>
    <mergeCell ref="A193:B193"/>
    <mergeCell ref="A186:B186"/>
    <mergeCell ref="A188:B188"/>
    <mergeCell ref="A183:B183"/>
    <mergeCell ref="A176:B176"/>
    <mergeCell ref="A178:B178"/>
    <mergeCell ref="A171:B171"/>
    <mergeCell ref="A169:B169"/>
    <mergeCell ref="A172:B172"/>
    <mergeCell ref="A173:B173"/>
    <mergeCell ref="A174:B174"/>
    <mergeCell ref="A166:B166"/>
    <mergeCell ref="A167:B167"/>
    <mergeCell ref="C114:D114"/>
    <mergeCell ref="E114:F114"/>
    <mergeCell ref="G114:H114"/>
    <mergeCell ref="A299:H299"/>
    <mergeCell ref="G300:H302"/>
    <mergeCell ref="C300:F301"/>
    <mergeCell ref="A300:B300"/>
    <mergeCell ref="A301:B301"/>
    <mergeCell ref="A302:B302"/>
    <mergeCell ref="A290:H290"/>
    <mergeCell ref="G291:H293"/>
    <mergeCell ref="A292:B292"/>
    <mergeCell ref="A294:H294"/>
    <mergeCell ref="G295:H298"/>
    <mergeCell ref="A295:B295"/>
    <mergeCell ref="A296:B296"/>
    <mergeCell ref="A297:B297"/>
    <mergeCell ref="A298:B298"/>
    <mergeCell ref="A291:B291"/>
    <mergeCell ref="A293:B293"/>
    <mergeCell ref="A289:B289"/>
    <mergeCell ref="A283:B283"/>
    <mergeCell ref="A280:B280"/>
    <mergeCell ref="A281:B281"/>
    <mergeCell ref="A286:H286"/>
    <mergeCell ref="G287:H289"/>
    <mergeCell ref="A287:B287"/>
    <mergeCell ref="A288:B288"/>
    <mergeCell ref="A263:H263"/>
    <mergeCell ref="A272:B272"/>
    <mergeCell ref="G264:H267"/>
    <mergeCell ref="A268:H268"/>
    <mergeCell ref="G269:H272"/>
    <mergeCell ref="A269:B269"/>
    <mergeCell ref="A270:B270"/>
    <mergeCell ref="A271:B271"/>
    <mergeCell ref="A264:B264"/>
    <mergeCell ref="A265:B265"/>
    <mergeCell ref="A266:B266"/>
    <mergeCell ref="A267:B267"/>
    <mergeCell ref="A284:B284"/>
    <mergeCell ref="A285:B285"/>
    <mergeCell ref="A273:H273"/>
    <mergeCell ref="G274:H276"/>
    <mergeCell ref="A277:H277"/>
    <mergeCell ref="G278:H281"/>
    <mergeCell ref="A278:B278"/>
    <mergeCell ref="A279:B279"/>
    <mergeCell ref="A258:H258"/>
    <mergeCell ref="G259:H262"/>
    <mergeCell ref="A274:B274"/>
    <mergeCell ref="A275:B275"/>
    <mergeCell ref="A276:B276"/>
    <mergeCell ref="A282:H282"/>
    <mergeCell ref="G283:H285"/>
    <mergeCell ref="A253:H253"/>
    <mergeCell ref="A262:B262"/>
    <mergeCell ref="G254:H257"/>
    <mergeCell ref="A259:B259"/>
    <mergeCell ref="A260:B260"/>
    <mergeCell ref="A261:B261"/>
    <mergeCell ref="A256:B256"/>
    <mergeCell ref="A257:B257"/>
    <mergeCell ref="A238:H238"/>
    <mergeCell ref="A247:B247"/>
    <mergeCell ref="G239:H242"/>
    <mergeCell ref="A249:B249"/>
    <mergeCell ref="A250:B250"/>
    <mergeCell ref="G244:H247"/>
    <mergeCell ref="A248:H248"/>
    <mergeCell ref="G249:H252"/>
    <mergeCell ref="A251:B251"/>
    <mergeCell ref="A244:B244"/>
    <mergeCell ref="A245:B245"/>
    <mergeCell ref="A246:B246"/>
    <mergeCell ref="A239:B239"/>
    <mergeCell ref="A240:B240"/>
    <mergeCell ref="A241:B241"/>
    <mergeCell ref="A242:B242"/>
    <mergeCell ref="F102:H102"/>
    <mergeCell ref="A108:E108"/>
    <mergeCell ref="A228:H228"/>
    <mergeCell ref="A237:B237"/>
    <mergeCell ref="G229:H232"/>
    <mergeCell ref="A233:H233"/>
    <mergeCell ref="G234:H237"/>
    <mergeCell ref="A236:B236"/>
    <mergeCell ref="A229:B229"/>
    <mergeCell ref="A230:B230"/>
    <mergeCell ref="A231:B231"/>
    <mergeCell ref="A224:B224"/>
    <mergeCell ref="A225:B225"/>
    <mergeCell ref="A226:B226"/>
    <mergeCell ref="A227:B227"/>
    <mergeCell ref="A219:B219"/>
    <mergeCell ref="A220:B220"/>
    <mergeCell ref="A221:B221"/>
    <mergeCell ref="A214:B214"/>
    <mergeCell ref="A215:B215"/>
    <mergeCell ref="A216:B216"/>
    <mergeCell ref="A217:B217"/>
    <mergeCell ref="A116:B116"/>
    <mergeCell ref="G120:H120"/>
    <mergeCell ref="A38:B38"/>
    <mergeCell ref="C38:H38"/>
    <mergeCell ref="A103:E103"/>
    <mergeCell ref="F103:H103"/>
    <mergeCell ref="A104:E104"/>
    <mergeCell ref="A106:E106"/>
    <mergeCell ref="F100:H100"/>
    <mergeCell ref="A105:E105"/>
    <mergeCell ref="A100:E100"/>
    <mergeCell ref="A96:E96"/>
    <mergeCell ref="F101:H101"/>
    <mergeCell ref="A102:E102"/>
    <mergeCell ref="G72:H81"/>
    <mergeCell ref="A80:B80"/>
    <mergeCell ref="A81:B81"/>
    <mergeCell ref="D62:H62"/>
    <mergeCell ref="A42:D42"/>
    <mergeCell ref="E42:H42"/>
    <mergeCell ref="E43:H43"/>
    <mergeCell ref="E44:H44"/>
    <mergeCell ref="E45:H45"/>
    <mergeCell ref="A43:D43"/>
    <mergeCell ref="A45:D45"/>
    <mergeCell ref="A46:H46"/>
    <mergeCell ref="B311:H311"/>
    <mergeCell ref="A47:B47"/>
    <mergeCell ref="C47:H47"/>
    <mergeCell ref="B309:H309"/>
    <mergeCell ref="G86:H95"/>
    <mergeCell ref="A87:B87"/>
    <mergeCell ref="A88:B88"/>
    <mergeCell ref="A89:B89"/>
    <mergeCell ref="F98:H98"/>
    <mergeCell ref="A98:E98"/>
    <mergeCell ref="D125:D126"/>
    <mergeCell ref="A101:E101"/>
    <mergeCell ref="A130:B130"/>
    <mergeCell ref="A131:B131"/>
    <mergeCell ref="A160:H160"/>
    <mergeCell ref="A154:H154"/>
    <mergeCell ref="A155:B155"/>
    <mergeCell ref="G155:H159"/>
    <mergeCell ref="A156:B156"/>
    <mergeCell ref="A84:B84"/>
    <mergeCell ref="C84:H84"/>
    <mergeCell ref="A85:B85"/>
    <mergeCell ref="E85:F85"/>
    <mergeCell ref="G85:H85"/>
    <mergeCell ref="B307:H307"/>
    <mergeCell ref="B308:H308"/>
    <mergeCell ref="A303:H303"/>
    <mergeCell ref="A235:B235"/>
    <mergeCell ref="C125:C126"/>
    <mergeCell ref="B162:B163"/>
    <mergeCell ref="A223:H223"/>
    <mergeCell ref="A195:H195"/>
    <mergeCell ref="A177:B177"/>
    <mergeCell ref="A133:B133"/>
    <mergeCell ref="A234:B234"/>
    <mergeCell ref="A187:B187"/>
    <mergeCell ref="A132:B132"/>
    <mergeCell ref="A161:H161"/>
    <mergeCell ref="A162:A163"/>
    <mergeCell ref="A243:H243"/>
    <mergeCell ref="A252:B252"/>
    <mergeCell ref="A255:B255"/>
    <mergeCell ref="B304:H304"/>
    <mergeCell ref="B305:H305"/>
    <mergeCell ref="A232:B232"/>
    <mergeCell ref="A157:B157"/>
    <mergeCell ref="A159:B159"/>
    <mergeCell ref="A158:B158"/>
    <mergeCell ref="A123:H123"/>
    <mergeCell ref="C118:D118"/>
    <mergeCell ref="G118:H118"/>
    <mergeCell ref="A127:H127"/>
    <mergeCell ref="A128:H128"/>
    <mergeCell ref="A134:B134"/>
    <mergeCell ref="L134:M134"/>
    <mergeCell ref="G130:H134"/>
    <mergeCell ref="A142:H142"/>
    <mergeCell ref="A121:B121"/>
    <mergeCell ref="E121:F121"/>
    <mergeCell ref="A122:B122"/>
    <mergeCell ref="C122:D122"/>
    <mergeCell ref="E122:F122"/>
    <mergeCell ref="G122:H122"/>
    <mergeCell ref="A135:H135"/>
    <mergeCell ref="A136:B136"/>
    <mergeCell ref="G136:H137"/>
    <mergeCell ref="L136:M136"/>
    <mergeCell ref="A137:B137"/>
    <mergeCell ref="L137:M137"/>
    <mergeCell ref="C136:F136"/>
    <mergeCell ref="C137:F137"/>
    <mergeCell ref="G121:H121"/>
    <mergeCell ref="A37:B37"/>
    <mergeCell ref="C37:H37"/>
    <mergeCell ref="A44:D44"/>
    <mergeCell ref="L133:M133"/>
    <mergeCell ref="L132:M132"/>
    <mergeCell ref="L131:M131"/>
    <mergeCell ref="L130:M130"/>
    <mergeCell ref="A79:B79"/>
    <mergeCell ref="C119:D119"/>
    <mergeCell ref="E119:F119"/>
    <mergeCell ref="G119:H119"/>
    <mergeCell ref="F104:H104"/>
    <mergeCell ref="A97:E97"/>
    <mergeCell ref="A129:H129"/>
    <mergeCell ref="E125:E126"/>
    <mergeCell ref="G125:H126"/>
    <mergeCell ref="A86:B86"/>
    <mergeCell ref="E86:F95"/>
    <mergeCell ref="A93:B93"/>
    <mergeCell ref="A94:B94"/>
    <mergeCell ref="F96:H96"/>
    <mergeCell ref="A95:B95"/>
    <mergeCell ref="A62:C62"/>
    <mergeCell ref="E72:F81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D61:H61"/>
    <mergeCell ref="F35:H35"/>
    <mergeCell ref="A48:B48"/>
    <mergeCell ref="C48:E48"/>
    <mergeCell ref="G48:H48"/>
    <mergeCell ref="G52:H52"/>
    <mergeCell ref="D56:H56"/>
    <mergeCell ref="C52:E52"/>
    <mergeCell ref="A59:C60"/>
    <mergeCell ref="D59:H59"/>
    <mergeCell ref="D60:H60"/>
    <mergeCell ref="C49:E49"/>
    <mergeCell ref="A54:B54"/>
    <mergeCell ref="C54:E54"/>
    <mergeCell ref="A49:B49"/>
    <mergeCell ref="D58:H58"/>
    <mergeCell ref="A58:C58"/>
    <mergeCell ref="G49:H49"/>
    <mergeCell ref="A52:B53"/>
    <mergeCell ref="A78:B78"/>
    <mergeCell ref="A71:B71"/>
    <mergeCell ref="A74:B74"/>
    <mergeCell ref="A70:B70"/>
    <mergeCell ref="A68:B68"/>
    <mergeCell ref="C68:H68"/>
    <mergeCell ref="A76:B76"/>
    <mergeCell ref="A63:C63"/>
    <mergeCell ref="G71:H71"/>
    <mergeCell ref="A55:H55"/>
    <mergeCell ref="A56:C56"/>
    <mergeCell ref="A57:C57"/>
    <mergeCell ref="D57:H57"/>
    <mergeCell ref="G54:H54"/>
    <mergeCell ref="C53:H53"/>
    <mergeCell ref="D63:H63"/>
    <mergeCell ref="C70:H70"/>
    <mergeCell ref="A73:B73"/>
    <mergeCell ref="A75:B75"/>
    <mergeCell ref="E71:F71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12:D12"/>
    <mergeCell ref="E12:H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325:H328"/>
    <mergeCell ref="A324:B324"/>
    <mergeCell ref="E324:F324"/>
    <mergeCell ref="C324:D324"/>
    <mergeCell ref="G324:H324"/>
    <mergeCell ref="A111:H111"/>
    <mergeCell ref="A109:E109"/>
    <mergeCell ref="F109:H109"/>
    <mergeCell ref="A110:E110"/>
    <mergeCell ref="F110:H110"/>
    <mergeCell ref="A175:H175"/>
    <mergeCell ref="A119:B119"/>
    <mergeCell ref="A206:B206"/>
    <mergeCell ref="A320:H320"/>
    <mergeCell ref="A117:H117"/>
    <mergeCell ref="A323:H323"/>
    <mergeCell ref="A321:H321"/>
    <mergeCell ref="A317:H317"/>
    <mergeCell ref="A318:H318"/>
    <mergeCell ref="E118:F118"/>
    <mergeCell ref="B312:H312"/>
    <mergeCell ref="B310:H310"/>
    <mergeCell ref="B306:H306"/>
    <mergeCell ref="A254:B254"/>
    <mergeCell ref="G224:H227"/>
    <mergeCell ref="F105:H105"/>
    <mergeCell ref="C112:D112"/>
    <mergeCell ref="F108:H108"/>
    <mergeCell ref="F106:H106"/>
    <mergeCell ref="A124:H124"/>
    <mergeCell ref="G112:H112"/>
    <mergeCell ref="A107:E107"/>
    <mergeCell ref="C113:D113"/>
    <mergeCell ref="E113:F113"/>
    <mergeCell ref="B125:B126"/>
    <mergeCell ref="A125:A126"/>
    <mergeCell ref="C162:C163"/>
    <mergeCell ref="C121:D121"/>
    <mergeCell ref="A138:H138"/>
    <mergeCell ref="F107:H107"/>
    <mergeCell ref="E112:F112"/>
    <mergeCell ref="A112:B112"/>
    <mergeCell ref="G196:H198"/>
    <mergeCell ref="A199:H199"/>
    <mergeCell ref="G200:H202"/>
    <mergeCell ref="A209:B209"/>
    <mergeCell ref="A210:B210"/>
    <mergeCell ref="A203:H203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C116:D116"/>
    <mergeCell ref="E116:F116"/>
    <mergeCell ref="G116:H116"/>
    <mergeCell ref="A120:B120"/>
    <mergeCell ref="C120:D120"/>
    <mergeCell ref="E120:F120"/>
    <mergeCell ref="E41:H41"/>
    <mergeCell ref="A41:D41"/>
    <mergeCell ref="A322:H322"/>
    <mergeCell ref="A319:H319"/>
    <mergeCell ref="A184:B184"/>
    <mergeCell ref="A118:B118"/>
    <mergeCell ref="D162:D163"/>
    <mergeCell ref="E162:E163"/>
    <mergeCell ref="G162:H163"/>
    <mergeCell ref="A90:B90"/>
    <mergeCell ref="A91:B91"/>
    <mergeCell ref="A92:B92"/>
    <mergeCell ref="A82:B82"/>
    <mergeCell ref="C82:H82"/>
    <mergeCell ref="A77:B77"/>
    <mergeCell ref="F97:H97"/>
    <mergeCell ref="G113:H113"/>
    <mergeCell ref="A164:H164"/>
    <mergeCell ref="A222:H222"/>
    <mergeCell ref="A189:B189"/>
    <mergeCell ref="G181:H184"/>
    <mergeCell ref="A191:B191"/>
    <mergeCell ref="A192:B192"/>
    <mergeCell ref="A185:H185"/>
    <mergeCell ref="A213:H213"/>
    <mergeCell ref="A211:B211"/>
    <mergeCell ref="A204:B204"/>
    <mergeCell ref="A205:B205"/>
    <mergeCell ref="A207:B207"/>
    <mergeCell ref="A200:B200"/>
    <mergeCell ref="A201:B201"/>
    <mergeCell ref="A202:B202"/>
    <mergeCell ref="A196:B196"/>
    <mergeCell ref="A197:B197"/>
    <mergeCell ref="A181:B181"/>
    <mergeCell ref="A190:H190"/>
    <mergeCell ref="L146:M146"/>
    <mergeCell ref="A143:B143"/>
    <mergeCell ref="L143:M143"/>
    <mergeCell ref="A144:B144"/>
    <mergeCell ref="L144:M144"/>
    <mergeCell ref="A145:B145"/>
    <mergeCell ref="L145:M145"/>
    <mergeCell ref="G191:H194"/>
    <mergeCell ref="L173:M173"/>
    <mergeCell ref="A182:B182"/>
    <mergeCell ref="L174:M174"/>
    <mergeCell ref="G176:H179"/>
    <mergeCell ref="A180:H180"/>
    <mergeCell ref="L180:M180"/>
    <mergeCell ref="A165:H165"/>
    <mergeCell ref="G166:H169"/>
    <mergeCell ref="L168:M168"/>
    <mergeCell ref="L175:M175"/>
    <mergeCell ref="L169:M169"/>
    <mergeCell ref="L166:M166"/>
    <mergeCell ref="L167:M167"/>
    <mergeCell ref="A168:B168"/>
    <mergeCell ref="L190:M190"/>
    <mergeCell ref="L203:M203"/>
    <mergeCell ref="A212:B212"/>
    <mergeCell ref="G204:H207"/>
    <mergeCell ref="A208:H208"/>
    <mergeCell ref="L208:M208"/>
    <mergeCell ref="G209:H212"/>
    <mergeCell ref="B314:H314"/>
    <mergeCell ref="A139:H139"/>
    <mergeCell ref="A140:H140"/>
    <mergeCell ref="A141:H141"/>
    <mergeCell ref="A147:B147"/>
    <mergeCell ref="L147:M147"/>
    <mergeCell ref="A170:H170"/>
    <mergeCell ref="A179:B179"/>
    <mergeCell ref="G171:H174"/>
    <mergeCell ref="L171:M171"/>
    <mergeCell ref="L172:M172"/>
    <mergeCell ref="L155:M155"/>
    <mergeCell ref="L156:M156"/>
    <mergeCell ref="L157:M157"/>
    <mergeCell ref="L159:M159"/>
    <mergeCell ref="L158:M158"/>
    <mergeCell ref="C158:F158"/>
    <mergeCell ref="A146:B146"/>
    <mergeCell ref="B316:H316"/>
    <mergeCell ref="A99:E99"/>
    <mergeCell ref="F99:H99"/>
    <mergeCell ref="L213:M213"/>
    <mergeCell ref="G214:H217"/>
    <mergeCell ref="A218:H218"/>
    <mergeCell ref="G219:H221"/>
    <mergeCell ref="C220:F221"/>
    <mergeCell ref="A153:B153"/>
    <mergeCell ref="L153:M153"/>
    <mergeCell ref="G143:H153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L185:M185"/>
    <mergeCell ref="A194:B194"/>
    <mergeCell ref="G186:H189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328" max="16383" man="1"/>
    <brk id="371" max="16383" man="1"/>
    <brk id="41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3" t="s">
        <v>108</v>
      </c>
      <c r="C3" s="223"/>
      <c r="D3" s="223"/>
      <c r="E3" s="223"/>
      <c r="F3" s="223"/>
      <c r="G3" s="223"/>
      <c r="H3" s="223"/>
    </row>
    <row r="4" spans="1:9" x14ac:dyDescent="0.25">
      <c r="A4" s="2"/>
      <c r="B4" s="3" t="s">
        <v>109</v>
      </c>
      <c r="C4" s="3" t="s">
        <v>110</v>
      </c>
      <c r="D4" s="3" t="s">
        <v>71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2025-07-10T10:19:06Z</cp:lastPrinted>
  <dcterms:created xsi:type="dcterms:W3CDTF">2019-07-16T09:29:46Z</dcterms:created>
  <dcterms:modified xsi:type="dcterms:W3CDTF">2025-07-10T10:25:23Z</dcterms:modified>
</cp:coreProperties>
</file>