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July 25\Dump\"/>
    </mc:Choice>
  </mc:AlternateContent>
  <xr:revisionPtr revIDLastSave="0" documentId="13_ncr:1_{B120B22B-2C16-48DD-BA4D-6172892FA3F7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" l="1"/>
  <c r="D199" i="1"/>
  <c r="F199" i="1" s="1"/>
  <c r="D198" i="1"/>
  <c r="F198" i="1" s="1"/>
  <c r="D197" i="1"/>
  <c r="F197" i="1" s="1"/>
  <c r="D196" i="1"/>
  <c r="F196" i="1" s="1"/>
  <c r="D195" i="1"/>
  <c r="F195" i="1" s="1"/>
  <c r="D194" i="1"/>
  <c r="F194" i="1" s="1"/>
  <c r="D193" i="1"/>
  <c r="F193" i="1" s="1"/>
  <c r="A198" i="1"/>
  <c r="A199" i="1" s="1"/>
  <c r="A196" i="1"/>
  <c r="A194" i="1"/>
  <c r="G193" i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A190" i="1"/>
  <c r="A191" i="1" s="1"/>
  <c r="A188" i="1"/>
  <c r="A186" i="1"/>
  <c r="G185" i="1"/>
  <c r="D183" i="1"/>
  <c r="F183" i="1" s="1"/>
  <c r="D182" i="1"/>
  <c r="F182" i="1" s="1"/>
  <c r="D181" i="1"/>
  <c r="F181" i="1" s="1"/>
  <c r="D180" i="1"/>
  <c r="D179" i="1"/>
  <c r="D178" i="1"/>
  <c r="D177" i="1"/>
  <c r="A180" i="1"/>
  <c r="A182" i="1"/>
  <c r="A183" i="1" s="1"/>
  <c r="D173" i="1"/>
  <c r="D172" i="1"/>
  <c r="D171" i="1"/>
  <c r="D170" i="1"/>
  <c r="D169" i="1"/>
  <c r="D175" i="1"/>
  <c r="F175" i="1" s="1"/>
  <c r="D174" i="1"/>
  <c r="F174" i="1" s="1"/>
  <c r="D164" i="1"/>
  <c r="D167" i="1"/>
  <c r="F167" i="1" s="1"/>
  <c r="D166" i="1"/>
  <c r="F166" i="1" s="1"/>
  <c r="D165" i="1"/>
  <c r="D163" i="1"/>
  <c r="D162" i="1"/>
  <c r="D161" i="1"/>
  <c r="D159" i="1"/>
  <c r="F159" i="1" s="1"/>
  <c r="D157" i="1"/>
  <c r="D156" i="1"/>
  <c r="D155" i="1"/>
  <c r="D158" i="1"/>
  <c r="D154" i="1"/>
  <c r="D153" i="1"/>
  <c r="D151" i="1"/>
  <c r="F151" i="1" s="1"/>
  <c r="D149" i="1"/>
  <c r="D147" i="1"/>
  <c r="D146" i="1"/>
  <c r="D145" i="1"/>
  <c r="D150" i="1"/>
  <c r="D148" i="1"/>
  <c r="D143" i="1"/>
  <c r="F143" i="1" s="1"/>
  <c r="D142" i="1"/>
  <c r="D141" i="1"/>
  <c r="D140" i="1"/>
  <c r="D139" i="1"/>
  <c r="D138" i="1"/>
  <c r="D137" i="1"/>
  <c r="D135" i="1"/>
  <c r="D134" i="1"/>
  <c r="D133" i="1"/>
  <c r="D132" i="1"/>
  <c r="D131" i="1"/>
  <c r="D130" i="1"/>
  <c r="D129" i="1"/>
  <c r="D127" i="1"/>
  <c r="D126" i="1"/>
  <c r="D125" i="1"/>
  <c r="D124" i="1"/>
  <c r="D123" i="1"/>
  <c r="D122" i="1"/>
  <c r="D121" i="1"/>
  <c r="D113" i="1"/>
  <c r="D119" i="1"/>
  <c r="D118" i="1"/>
  <c r="D117" i="1"/>
  <c r="D116" i="1"/>
  <c r="D115" i="1"/>
  <c r="D114" i="1"/>
  <c r="E110" i="1" l="1"/>
  <c r="E109" i="1"/>
  <c r="E108" i="1"/>
  <c r="E107" i="1"/>
  <c r="E106" i="1"/>
  <c r="E105" i="1"/>
  <c r="D111" i="1"/>
  <c r="D110" i="1"/>
  <c r="D109" i="1"/>
  <c r="D108" i="1"/>
  <c r="D107" i="1"/>
  <c r="D106" i="1"/>
  <c r="D105" i="1"/>
  <c r="I108" i="1"/>
  <c r="C96" i="1" l="1"/>
  <c r="E96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3" i="1"/>
  <c r="B203" i="1"/>
  <c r="F180" i="1"/>
  <c r="F179" i="1"/>
  <c r="F178" i="1"/>
  <c r="A178" i="1"/>
  <c r="G177" i="1"/>
  <c r="F177" i="1"/>
  <c r="F173" i="1"/>
  <c r="F172" i="1"/>
  <c r="F171" i="1"/>
  <c r="F170" i="1"/>
  <c r="A170" i="1"/>
  <c r="A171" i="1" s="1"/>
  <c r="A172" i="1" s="1"/>
  <c r="A173" i="1" s="1"/>
  <c r="A174" i="1" s="1"/>
  <c r="A175" i="1" s="1"/>
  <c r="G169" i="1"/>
  <c r="F169" i="1"/>
  <c r="F165" i="1"/>
  <c r="F164" i="1"/>
  <c r="F163" i="1"/>
  <c r="F162" i="1"/>
  <c r="A162" i="1"/>
  <c r="A163" i="1" s="1"/>
  <c r="A164" i="1" s="1"/>
  <c r="A165" i="1" s="1"/>
  <c r="A166" i="1" s="1"/>
  <c r="A167" i="1" s="1"/>
  <c r="G161" i="1"/>
  <c r="F161" i="1"/>
  <c r="F158" i="1"/>
  <c r="F157" i="1"/>
  <c r="F156" i="1"/>
  <c r="F155" i="1"/>
  <c r="F154" i="1"/>
  <c r="A154" i="1"/>
  <c r="A155" i="1" s="1"/>
  <c r="A156" i="1" s="1"/>
  <c r="A157" i="1" s="1"/>
  <c r="A158" i="1" s="1"/>
  <c r="A159" i="1" s="1"/>
  <c r="G153" i="1"/>
  <c r="F153" i="1"/>
  <c r="F150" i="1"/>
  <c r="F149" i="1"/>
  <c r="F148" i="1"/>
  <c r="I147" i="1"/>
  <c r="F147" i="1"/>
  <c r="F146" i="1"/>
  <c r="A146" i="1"/>
  <c r="A147" i="1" s="1"/>
  <c r="A148" i="1" s="1"/>
  <c r="A149" i="1" s="1"/>
  <c r="A150" i="1" s="1"/>
  <c r="A151" i="1" s="1"/>
  <c r="G145" i="1"/>
  <c r="F145" i="1"/>
  <c r="F142" i="1"/>
  <c r="F141" i="1"/>
  <c r="F140" i="1"/>
  <c r="F139" i="1"/>
  <c r="F138" i="1"/>
  <c r="A138" i="1"/>
  <c r="A139" i="1" s="1"/>
  <c r="A140" i="1" s="1"/>
  <c r="A141" i="1" s="1"/>
  <c r="A142" i="1" s="1"/>
  <c r="A143" i="1" s="1"/>
  <c r="G137" i="1"/>
  <c r="F137" i="1"/>
  <c r="F135" i="1"/>
  <c r="F134" i="1"/>
  <c r="F133" i="1"/>
  <c r="F132" i="1"/>
  <c r="F131" i="1"/>
  <c r="F130" i="1"/>
  <c r="A130" i="1"/>
  <c r="A131" i="1" s="1"/>
  <c r="A132" i="1" s="1"/>
  <c r="A133" i="1" s="1"/>
  <c r="A134" i="1" s="1"/>
  <c r="A135" i="1" s="1"/>
  <c r="G129" i="1"/>
  <c r="F129" i="1"/>
  <c r="F127" i="1"/>
  <c r="F126" i="1"/>
  <c r="F125" i="1"/>
  <c r="F124" i="1"/>
  <c r="F123" i="1"/>
  <c r="F122" i="1"/>
  <c r="A122" i="1"/>
  <c r="A123" i="1" s="1"/>
  <c r="A124" i="1" s="1"/>
  <c r="A125" i="1" s="1"/>
  <c r="A126" i="1" s="1"/>
  <c r="A127" i="1" s="1"/>
  <c r="G121" i="1"/>
  <c r="F121" i="1"/>
  <c r="F119" i="1"/>
  <c r="F118" i="1"/>
  <c r="F117" i="1"/>
  <c r="F116" i="1"/>
  <c r="F115" i="1"/>
  <c r="F114" i="1"/>
  <c r="J114" i="1" s="1"/>
  <c r="A114" i="1"/>
  <c r="A115" i="1" s="1"/>
  <c r="A116" i="1" s="1"/>
  <c r="A117" i="1" s="1"/>
  <c r="A118" i="1" s="1"/>
  <c r="A119" i="1" s="1"/>
  <c r="G113" i="1"/>
  <c r="F113" i="1"/>
  <c r="F111" i="1"/>
  <c r="F109" i="1"/>
  <c r="F107" i="1"/>
  <c r="I106" i="1"/>
  <c r="F106" i="1"/>
  <c r="A106" i="1"/>
  <c r="A107" i="1" s="1"/>
  <c r="A108" i="1" s="1"/>
  <c r="A109" i="1" s="1"/>
  <c r="A110" i="1" s="1"/>
  <c r="A111" i="1" s="1"/>
  <c r="I105" i="1"/>
  <c r="G105" i="1"/>
  <c r="F105" i="1"/>
  <c r="F93" i="1"/>
  <c r="C66" i="1"/>
  <c r="B67" i="1" s="1"/>
  <c r="D60" i="1"/>
  <c r="D55" i="1"/>
  <c r="G50" i="1"/>
  <c r="C50" i="1"/>
  <c r="E43" i="1"/>
  <c r="E44" i="1" s="1"/>
  <c r="E30" i="1"/>
  <c r="E27" i="1"/>
  <c r="E25" i="1"/>
  <c r="C15" i="1"/>
  <c r="E7" i="1"/>
  <c r="E3" i="1"/>
  <c r="J74" i="1" l="1"/>
  <c r="J76" i="1"/>
  <c r="J75" i="1"/>
  <c r="J77" i="1"/>
  <c r="F108" i="1"/>
  <c r="F110" i="1"/>
  <c r="H67" i="1"/>
  <c r="G96" i="1" l="1"/>
  <c r="D79" i="1"/>
  <c r="D78" i="1"/>
  <c r="D77" i="1"/>
  <c r="D76" i="1"/>
  <c r="D75" i="1"/>
  <c r="D74" i="1"/>
  <c r="D73" i="1"/>
  <c r="D72" i="1"/>
  <c r="J70" i="1"/>
  <c r="J71" i="1"/>
  <c r="C70" i="1" s="1"/>
  <c r="J69" i="1"/>
  <c r="J66" i="1"/>
  <c r="J68" i="1" s="1"/>
  <c r="J72" i="1"/>
  <c r="J73" i="1" l="1"/>
  <c r="D70" i="1"/>
  <c r="J78" i="1" l="1"/>
  <c r="J79" i="1" s="1"/>
  <c r="C71" i="1" s="1"/>
  <c r="G70" i="1" l="1"/>
  <c r="D64" i="1" s="1"/>
  <c r="D71" i="1"/>
  <c r="I67" i="1" s="1"/>
  <c r="I68" i="1" s="1"/>
  <c r="E70" i="1"/>
  <c r="J67" i="1"/>
  <c r="I66" i="1" l="1"/>
  <c r="C68" i="1" s="1"/>
  <c r="F65" i="1"/>
  <c r="D65" i="1"/>
</calcChain>
</file>

<file path=xl/sharedStrings.xml><?xml version="1.0" encoding="utf-8"?>
<sst xmlns="http://schemas.openxmlformats.org/spreadsheetml/2006/main" count="342" uniqueCount="223">
  <si>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</si>
  <si>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</si>
  <si>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</si>
  <si>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</si>
  <si>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</si>
  <si>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</si>
  <si>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</si>
  <si>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</si>
  <si>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</si>
  <si>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</si>
  <si>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</si>
  <si>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</si>
  <si>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</si>
  <si>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</si>
  <si>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</si>
  <si>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</si>
  <si>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</si>
  <si>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</si>
  <si>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</si>
  <si>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</si>
  <si>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</si>
  <si>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</si>
  <si>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</si>
  <si>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</si>
  <si>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</si>
  <si>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</si>
  <si>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</si>
  <si>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</si>
  <si>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</si>
  <si>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</si>
  <si>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</si>
  <si>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</si>
  <si>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</si>
  <si>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</si>
  <si>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</si>
  <si>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</si>
  <si>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</si>
  <si>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</si>
  <si>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</si>
  <si>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</si>
  <si>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</si>
  <si>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</si>
  <si>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</si>
  <si>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</si>
  <si>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</si>
  <si>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</si>
  <si>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</si>
  <si>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</si>
  <si>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</si>
  <si>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</si>
  <si>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</si>
  <si>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</si>
  <si>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</si>
  <si>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</si>
  <si>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</si>
  <si>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</si>
  <si>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</si>
  <si>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</si>
  <si>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</si>
  <si>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</si>
  <si>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</si>
  <si>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</si>
  <si>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</si>
  <si>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</si>
  <si>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</si>
  <si>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</si>
  <si>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</si>
  <si>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</si>
  <si>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</si>
  <si>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</si>
  <si>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</si>
  <si>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</si>
  <si>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</si>
  <si>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</si>
  <si>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</si>
  <si>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</si>
  <si>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</si>
  <si>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</si>
  <si>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</si>
  <si>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</si>
  <si>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</si>
  <si>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</si>
  <si>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</si>
  <si>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</si>
  <si>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</si>
  <si>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</si>
  <si>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</si>
  <si>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</si>
  <si>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</si>
  <si>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</si>
  <si>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</si>
  <si>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</si>
  <si>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</si>
  <si>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</si>
  <si>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</si>
  <si>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</si>
  <si>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</si>
  <si>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</si>
  <si>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</si>
  <si>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</si>
  <si>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</si>
  <si>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</si>
  <si>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</si>
  <si>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</si>
  <si>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</si>
  <si>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</si>
  <si>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</si>
  <si>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</si>
  <si>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</si>
  <si>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</si>
  <si>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</si>
  <si>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</si>
  <si>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</si>
  <si>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</si>
  <si>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</si>
  <si>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</si>
  <si>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</si>
  <si>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</si>
  <si>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</si>
  <si>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</si>
  <si>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</si>
  <si>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</si>
  <si>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</si>
  <si>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</si>
  <si>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</si>
  <si>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</si>
  <si>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</si>
  <si>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</si>
  <si>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</si>
  <si>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</si>
  <si>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</si>
  <si>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</si>
  <si>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</si>
  <si>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</si>
  <si>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</si>
  <si>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</si>
  <si>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</si>
  <si>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</si>
  <si>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</si>
  <si>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</si>
  <si>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</si>
  <si>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</si>
  <si>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</si>
  <si>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</si>
  <si>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</si>
  <si>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</si>
  <si>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</si>
  <si>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</si>
  <si>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</si>
  <si>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</si>
  <si>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</si>
  <si>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</si>
  <si>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</si>
  <si>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</si>
  <si>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</si>
  <si>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</si>
  <si>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</si>
  <si>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</si>
  <si>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</si>
  <si>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</si>
  <si>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</si>
  <si>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</si>
  <si>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</si>
  <si>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</si>
  <si>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</si>
  <si>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</si>
  <si>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</si>
  <si>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</si>
  <si>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</si>
  <si>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</si>
  <si>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</si>
  <si>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</si>
  <si>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Axis Thane</t>
  </si>
  <si>
    <t>Pradeep Co-operative Housing Society Ltd.</t>
  </si>
  <si>
    <t>Squarefeet Real Estate</t>
  </si>
  <si>
    <t>P51700050794</t>
  </si>
  <si>
    <t>Thane</t>
  </si>
  <si>
    <t>Panchpakhadi</t>
  </si>
  <si>
    <t>F.P. No</t>
  </si>
  <si>
    <t>269 &amp; 270, Redevlopement of "Pradeep Society"</t>
  </si>
  <si>
    <t>https://goo.gl/maps/4L1PYd4zVfPmvuqG9</t>
  </si>
  <si>
    <t>2.1 KM from Thane Railway Station</t>
  </si>
  <si>
    <t>Thane (West)</t>
  </si>
  <si>
    <t>Prince Palace</t>
  </si>
  <si>
    <t>19.193556, 72.967485</t>
  </si>
  <si>
    <t>Madanlal Dhingra Road</t>
  </si>
  <si>
    <t>Internal Road</t>
  </si>
  <si>
    <t>Silver Palace</t>
  </si>
  <si>
    <t>Shobhana Society</t>
  </si>
  <si>
    <t>Thane Municipal Corporation (TMC)</t>
  </si>
  <si>
    <t>As per RERA - 30/09/2027</t>
  </si>
  <si>
    <t>Name of the Project as per builder</t>
  </si>
  <si>
    <t>Name of the Project as per Rera</t>
  </si>
  <si>
    <t>Pradeep Square</t>
  </si>
  <si>
    <t xml:space="preserve">Intercom Facility, Video Door Phone, Branded Designer Floor &amp; Wall Tiles, Heavy Duty Aluminium Window, Fire Fighting System, 24Hr Surveillance, Branded Electrical Fittings, Genrator Back Up For Common Areas, Rain Water Harvesting, High Speed Elevator etc. </t>
  </si>
  <si>
    <t>Ground/Stilt Floor For Entrance Lobby, Meter Room, Drivers Room, Fitness Center, Society Office, Creche &amp; Parking</t>
  </si>
  <si>
    <t>1st to 3rd Podium Floor For Parking</t>
  </si>
  <si>
    <t>1st Floor For Residential</t>
  </si>
  <si>
    <t>Building A</t>
  </si>
  <si>
    <t>2BHK</t>
  </si>
  <si>
    <t>3BHK</t>
  </si>
  <si>
    <t>3rd Floor</t>
  </si>
  <si>
    <t>4th Floor (Part Refuge Area)</t>
  </si>
  <si>
    <t>5th Floor</t>
  </si>
  <si>
    <t>6th Floor</t>
  </si>
  <si>
    <t>7th Floor</t>
  </si>
  <si>
    <t>8th Floor</t>
  </si>
  <si>
    <t>9th Floor (Part Refuge Area)</t>
  </si>
  <si>
    <t>14th Floor (Part Refuge Area)</t>
  </si>
  <si>
    <t>We considered Gross carpet area = Net carpet + Chajja Area.</t>
  </si>
  <si>
    <t>Ajay Songare</t>
  </si>
  <si>
    <t>Approved Plans, CC, Sale Plans, Cost Sheet</t>
  </si>
  <si>
    <t>TMCB/RB/2023/APL/00080</t>
  </si>
  <si>
    <t>Building A = Gr/St + 3P + 1st to 17th Floor</t>
  </si>
  <si>
    <t>10th to 13th &amp; 15th Floor</t>
  </si>
  <si>
    <t>16th Floor</t>
  </si>
  <si>
    <t>Flats - 112</t>
  </si>
  <si>
    <t>17th Floor for Terrace</t>
  </si>
  <si>
    <t>We updated CC &amp; approved floor plan for Building A (on 27/09/2023).</t>
  </si>
  <si>
    <t>Security</t>
  </si>
  <si>
    <t>Construction work is in process at the time of Visit. Internal photographs was not allowed.</t>
  </si>
  <si>
    <t>Mr. Hardik 9819151777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</si>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</sst>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>
      <alignment horizontal="center" vertical="center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>
      <alignment horizontal="center" vertical="center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7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6" xfId="1" applyNumberFormat="1" applyFont="1" applyBorder="1" applyAlignment="1" applyProtection="1">
      <alignment horizontal="center" vertical="center" wrapText="1"/>
      <protection locked="0"/>
    </xf>
    <xf numFmtId="1" fontId="12" fillId="0" borderId="17" xfId="1" applyNumberFormat="1" applyFont="1" applyBorder="1" applyAlignment="1" applyProtection="1">
      <alignment horizontal="center" vertical="center" wrapText="1"/>
      <protection locked="0"/>
    </xf>
    <xf numFmtId="1" fontId="12" fillId="0" borderId="24" xfId="1" applyNumberFormat="1" applyFont="1" applyBorder="1" applyAlignment="1" applyProtection="1">
      <alignment horizontal="center" vertical="center" wrapText="1"/>
      <protection locked="0"/>
    </xf>
    <xf numFmtId="1" fontId="12" fillId="0" borderId="25" xfId="1" applyNumberFormat="1" applyFont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138546</xdr:colOff>
      <xdr:row>323</xdr:row>
      <xdr:rowOff>4444</xdr:rowOff>
    </xdr:from>
    <xdr:to>
      <xdr:col>6</xdr:col>
      <xdr:colOff>634403</xdr:colOff>
      <xdr:row>339</xdr:row>
      <xdr:rowOff>57897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0546" y="65536444"/>
          <a:ext cx="4643562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144205</xdr:colOff>
      <xdr:row>305</xdr:row>
      <xdr:rowOff>190501</xdr:rowOff>
    </xdr:from>
    <xdr:to>
      <xdr:col>6</xdr:col>
      <xdr:colOff>634403</xdr:colOff>
      <xdr:row>322</xdr:row>
      <xdr:rowOff>44797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6205" y="62137637"/>
          <a:ext cx="4637903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199178</xdr:colOff>
      <xdr:row>267</xdr:row>
      <xdr:rowOff>24847</xdr:rowOff>
    </xdr:from>
    <xdr:to>
      <xdr:col>5</xdr:col>
      <xdr:colOff>612622</xdr:colOff>
      <xdr:row>281</xdr:row>
      <xdr:rowOff>121890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4591" y="54938543"/>
          <a:ext cx="2981053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99391</xdr:colOff>
      <xdr:row>282</xdr:row>
      <xdr:rowOff>43878</xdr:rowOff>
    </xdr:from>
    <xdr:to>
      <xdr:col>5</xdr:col>
      <xdr:colOff>712408</xdr:colOff>
      <xdr:row>296</xdr:row>
      <xdr:rowOff>140921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804" y="57939313"/>
          <a:ext cx="3180626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651351</xdr:colOff>
      <xdr:row>329</xdr:row>
      <xdr:rowOff>145325</xdr:rowOff>
    </xdr:from>
    <xdr:to>
      <xdr:col>4</xdr:col>
      <xdr:colOff>471891</xdr:colOff>
      <xdr:row>333</xdr:row>
      <xdr:rowOff>177662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875468">
          <a:off x="3061590" y="68377455"/>
          <a:ext cx="764758" cy="827468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400050</xdr:colOff>
      <xdr:row>222</xdr:row>
      <xdr:rowOff>171449</xdr:rowOff>
    </xdr:from>
    <xdr:to>
      <xdr:col>16</xdr:col>
      <xdr:colOff>13567</xdr:colOff>
      <xdr:row>255</xdr:row>
      <xdr:rowOff>147636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6924675" y="45996224"/>
          <a:ext cx="6014317" cy="6567487"/>
          <a:chOff x="266700" y="46100999"/>
          <a:chExt cx="6014317" cy="6567487"/>
        </a:xfrm>
      </xdr:grpSpPr>
      <xdr:pic>
        <xdr:nvPicPr>
          <xdr:cNvPr id="16" name="Picture 15" descr="https://vsjcllp.vsjadon.com/upload/insp-226089-1525.jpg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95725" y="50158649"/>
            <a:ext cx="1876850" cy="25050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26089-843.jpg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05175" y="46100999"/>
            <a:ext cx="2975842" cy="39719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26089-849.jpg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76250" y="50163411"/>
            <a:ext cx="3337007" cy="25050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26089-851.jpg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6700" y="46100999"/>
            <a:ext cx="2975842" cy="39719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314324</xdr:colOff>
      <xdr:row>223</xdr:row>
      <xdr:rowOff>85724</xdr:rowOff>
    </xdr:from>
    <xdr:to>
      <xdr:col>7</xdr:col>
      <xdr:colOff>590549</xdr:colOff>
      <xdr:row>256</xdr:row>
      <xdr:rowOff>114299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20F5AB5A-55E9-44A6-BFE3-9B19995D7BCB}"/>
            </a:ext>
          </a:extLst>
        </xdr:cNvPr>
        <xdr:cNvGrpSpPr/>
      </xdr:nvGrpSpPr>
      <xdr:grpSpPr>
        <a:xfrm>
          <a:off x="314324" y="46110524"/>
          <a:ext cx="5972175" cy="6619875"/>
          <a:chOff x="810397" y="322729"/>
          <a:chExt cx="5046072" cy="5610149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430249FD-80A2-4478-A1DB-9B212FC685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0397" y="322729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B8F68DF7-E345-4E8F-87BF-8DE806A4E3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322729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D55A798F-DC8F-406C-B6D7-EEB95C4F97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1758" y="3772878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F49B8DE5-6EFA-456E-B9B7-DEDEE5B5A1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40225" y="3772878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4L1PYd4zVfPmvuqG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05"/>
  <sheetViews>
    <sheetView tabSelected="1" view="pageBreakPreview" topLeftCell="A251" zoomScaleNormal="100" zoomScaleSheetLayoutView="100" workbookViewId="0">
      <selection activeCell="I9" sqref="I9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2.42578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62" t="s">
        <v>168</v>
      </c>
      <c r="B1" s="162"/>
      <c r="C1" s="162"/>
      <c r="D1" s="162"/>
      <c r="E1" s="162"/>
      <c r="F1" s="162"/>
      <c r="G1" s="162"/>
      <c r="H1" s="162"/>
    </row>
    <row r="2" spans="1:8" ht="16.5" customHeight="1" x14ac:dyDescent="0.25">
      <c r="A2" s="121" t="s">
        <v>0</v>
      </c>
      <c r="B2" s="121"/>
      <c r="C2" s="121"/>
      <c r="D2" s="121"/>
      <c r="E2" s="121"/>
      <c r="F2" s="121"/>
      <c r="G2" s="121"/>
      <c r="H2" s="121"/>
    </row>
    <row r="3" spans="1:8" x14ac:dyDescent="0.25">
      <c r="A3" s="163" t="s">
        <v>1</v>
      </c>
      <c r="B3" s="163"/>
      <c r="C3" s="163"/>
      <c r="D3" s="163"/>
      <c r="E3" s="163" t="str">
        <f ca="1">TEXT(TODAY(),"DD/MM/YYYY")</f>
        <v>13/07/2025</v>
      </c>
      <c r="F3" s="163"/>
      <c r="G3" s="163"/>
      <c r="H3" s="163"/>
    </row>
    <row r="4" spans="1:8" x14ac:dyDescent="0.25">
      <c r="A4" s="163" t="s">
        <v>2</v>
      </c>
      <c r="B4" s="163"/>
      <c r="C4" s="163"/>
      <c r="D4" s="163"/>
      <c r="E4" s="163" t="s">
        <v>172</v>
      </c>
      <c r="F4" s="163"/>
      <c r="G4" s="163"/>
      <c r="H4" s="163"/>
    </row>
    <row r="5" spans="1:8" x14ac:dyDescent="0.25">
      <c r="A5" s="163" t="s">
        <v>3</v>
      </c>
      <c r="B5" s="163"/>
      <c r="C5" s="163"/>
      <c r="D5" s="163"/>
      <c r="E5" s="167">
        <v>45847</v>
      </c>
      <c r="F5" s="163"/>
      <c r="G5" s="163"/>
      <c r="H5" s="163"/>
    </row>
    <row r="6" spans="1:8" ht="16.5" customHeight="1" x14ac:dyDescent="0.25">
      <c r="A6" s="163" t="s">
        <v>4</v>
      </c>
      <c r="B6" s="163"/>
      <c r="C6" s="163"/>
      <c r="D6" s="163"/>
      <c r="E6" s="163" t="s">
        <v>174</v>
      </c>
      <c r="F6" s="163"/>
      <c r="G6" s="163"/>
      <c r="H6" s="163"/>
    </row>
    <row r="7" spans="1:8" x14ac:dyDescent="0.25">
      <c r="A7" s="163" t="s">
        <v>5</v>
      </c>
      <c r="B7" s="163"/>
      <c r="C7" s="163"/>
      <c r="D7" s="163"/>
      <c r="E7" s="163" t="str">
        <f>E6</f>
        <v>Squarefeet Real Estate</v>
      </c>
      <c r="F7" s="163"/>
      <c r="G7" s="163"/>
      <c r="H7" s="163"/>
    </row>
    <row r="8" spans="1:8" x14ac:dyDescent="0.25">
      <c r="A8" s="163" t="s">
        <v>191</v>
      </c>
      <c r="B8" s="163"/>
      <c r="C8" s="163"/>
      <c r="D8" s="163"/>
      <c r="E8" s="164" t="s">
        <v>193</v>
      </c>
      <c r="F8" s="165"/>
      <c r="G8" s="165"/>
      <c r="H8" s="166"/>
    </row>
    <row r="9" spans="1:8" x14ac:dyDescent="0.25">
      <c r="A9" s="163" t="s">
        <v>192</v>
      </c>
      <c r="B9" s="163"/>
      <c r="C9" s="163"/>
      <c r="D9" s="163"/>
      <c r="E9" s="164" t="s">
        <v>173</v>
      </c>
      <c r="F9" s="165"/>
      <c r="G9" s="165"/>
      <c r="H9" s="166"/>
    </row>
    <row r="10" spans="1:8" x14ac:dyDescent="0.25">
      <c r="A10" s="163" t="s">
        <v>170</v>
      </c>
      <c r="B10" s="163"/>
      <c r="C10" s="163"/>
      <c r="D10" s="163"/>
      <c r="E10" s="163" t="s">
        <v>221</v>
      </c>
      <c r="F10" s="163"/>
      <c r="G10" s="163"/>
      <c r="H10" s="163"/>
    </row>
    <row r="11" spans="1:8" x14ac:dyDescent="0.25">
      <c r="A11" s="163" t="s">
        <v>171</v>
      </c>
      <c r="B11" s="163"/>
      <c r="C11" s="163"/>
      <c r="D11" s="163"/>
      <c r="E11" s="163" t="s">
        <v>219</v>
      </c>
      <c r="F11" s="163"/>
      <c r="G11" s="163"/>
      <c r="H11" s="163"/>
    </row>
    <row r="12" spans="1:8" x14ac:dyDescent="0.25">
      <c r="A12" s="163" t="s">
        <v>6</v>
      </c>
      <c r="B12" s="163"/>
      <c r="C12" s="163"/>
      <c r="D12" s="163"/>
      <c r="E12" s="163" t="s">
        <v>198</v>
      </c>
      <c r="F12" s="163"/>
      <c r="G12" s="163"/>
      <c r="H12" s="163"/>
    </row>
    <row r="13" spans="1:8" x14ac:dyDescent="0.25">
      <c r="A13" s="93" t="s">
        <v>7</v>
      </c>
      <c r="B13" s="93"/>
      <c r="C13" s="93"/>
      <c r="D13" s="93"/>
      <c r="E13" s="160" t="s">
        <v>211</v>
      </c>
      <c r="F13" s="160"/>
      <c r="G13" s="160"/>
      <c r="H13" s="160"/>
    </row>
    <row r="14" spans="1:8" x14ac:dyDescent="0.25">
      <c r="A14" s="93" t="s">
        <v>8</v>
      </c>
      <c r="B14" s="93"/>
      <c r="C14" s="93"/>
      <c r="D14" s="93"/>
      <c r="E14" s="160" t="s">
        <v>175</v>
      </c>
      <c r="F14" s="163"/>
      <c r="G14" s="163"/>
      <c r="H14" s="163"/>
    </row>
    <row r="15" spans="1:8" ht="48.75" customHeight="1" x14ac:dyDescent="0.25">
      <c r="A15" s="160" t="s">
        <v>9</v>
      </c>
      <c r="B15" s="160"/>
      <c r="C15" s="160" t="str">
        <f>CONCATENATE((IF(OR(E9="",E9="NA"),"",E9)),",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Pradeep Co-operative Housing Society Ltd., F.P. No.269 &amp; 270, Redevlopement of "Pradeep Society", near Prince Palace, Madanlal Dhingra Road, Panchpakhadi, Panchpakhadi, Thane (West), Thane, Thane - 400602.</v>
      </c>
      <c r="D15" s="160"/>
      <c r="E15" s="160"/>
      <c r="F15" s="160"/>
      <c r="G15" s="160"/>
      <c r="H15" s="160"/>
    </row>
    <row r="16" spans="1:8" x14ac:dyDescent="0.25">
      <c r="A16" s="160" t="s">
        <v>178</v>
      </c>
      <c r="B16" s="160"/>
      <c r="C16" s="160" t="s">
        <v>179</v>
      </c>
      <c r="D16" s="160"/>
      <c r="E16" s="160"/>
      <c r="F16" s="160"/>
      <c r="G16" s="160"/>
      <c r="H16" s="160"/>
    </row>
    <row r="17" spans="1:8" ht="15.75" customHeight="1" x14ac:dyDescent="0.25">
      <c r="A17" s="160" t="s">
        <v>166</v>
      </c>
      <c r="B17" s="160"/>
      <c r="C17" s="160" t="s">
        <v>177</v>
      </c>
      <c r="D17" s="160"/>
      <c r="E17" s="160"/>
      <c r="F17" s="160"/>
      <c r="G17" s="160"/>
      <c r="H17" s="160"/>
    </row>
    <row r="18" spans="1:8" ht="15.75" customHeight="1" x14ac:dyDescent="0.25">
      <c r="A18" s="160" t="s">
        <v>10</v>
      </c>
      <c r="B18" s="160"/>
      <c r="C18" s="163" t="s">
        <v>185</v>
      </c>
      <c r="D18" s="163"/>
      <c r="E18" s="160" t="s">
        <v>74</v>
      </c>
      <c r="F18" s="160"/>
      <c r="G18" s="160" t="s">
        <v>177</v>
      </c>
      <c r="H18" s="160"/>
    </row>
    <row r="19" spans="1:8" x14ac:dyDescent="0.25">
      <c r="A19" s="163" t="s">
        <v>12</v>
      </c>
      <c r="B19" s="163"/>
      <c r="C19" s="168" t="s">
        <v>182</v>
      </c>
      <c r="D19" s="168"/>
      <c r="E19" s="160" t="s">
        <v>11</v>
      </c>
      <c r="F19" s="160"/>
      <c r="G19" s="168" t="s">
        <v>176</v>
      </c>
      <c r="H19" s="168"/>
    </row>
    <row r="20" spans="1:8" x14ac:dyDescent="0.25">
      <c r="A20" s="163" t="s">
        <v>75</v>
      </c>
      <c r="B20" s="163"/>
      <c r="C20" s="160" t="s">
        <v>176</v>
      </c>
      <c r="D20" s="160"/>
      <c r="E20" s="160" t="s">
        <v>13</v>
      </c>
      <c r="F20" s="160"/>
      <c r="G20" s="160">
        <v>400602</v>
      </c>
      <c r="H20" s="160"/>
    </row>
    <row r="21" spans="1:8" ht="32.25" customHeight="1" x14ac:dyDescent="0.25">
      <c r="A21" s="163" t="s">
        <v>125</v>
      </c>
      <c r="B21" s="163"/>
      <c r="C21" s="160" t="s">
        <v>183</v>
      </c>
      <c r="D21" s="160"/>
      <c r="E21" s="160" t="s">
        <v>14</v>
      </c>
      <c r="F21" s="160"/>
      <c r="G21" s="160" t="s">
        <v>181</v>
      </c>
      <c r="H21" s="160"/>
    </row>
    <row r="22" spans="1:8" ht="15" customHeight="1" x14ac:dyDescent="0.25">
      <c r="A22" s="160" t="s">
        <v>77</v>
      </c>
      <c r="B22" s="160"/>
      <c r="C22" s="160"/>
      <c r="D22" s="160"/>
      <c r="E22" s="163" t="s">
        <v>15</v>
      </c>
      <c r="F22" s="163"/>
      <c r="G22" s="163"/>
      <c r="H22" s="163"/>
    </row>
    <row r="23" spans="1:8" ht="18.75" customHeight="1" x14ac:dyDescent="0.25">
      <c r="A23" s="160"/>
      <c r="B23" s="160"/>
      <c r="C23" s="160"/>
      <c r="D23" s="160"/>
      <c r="E23" s="163"/>
      <c r="F23" s="163"/>
      <c r="G23" s="163"/>
      <c r="H23" s="163"/>
    </row>
    <row r="24" spans="1:8" ht="15" customHeight="1" x14ac:dyDescent="0.25">
      <c r="A24" s="125" t="s">
        <v>16</v>
      </c>
      <c r="B24" s="125"/>
      <c r="C24" s="125"/>
      <c r="D24" s="125"/>
      <c r="E24" s="160" t="s">
        <v>17</v>
      </c>
      <c r="F24" s="160"/>
      <c r="G24" s="160"/>
      <c r="H24" s="160"/>
    </row>
    <row r="25" spans="1:8" ht="15" customHeight="1" x14ac:dyDescent="0.25">
      <c r="A25" s="93" t="s">
        <v>18</v>
      </c>
      <c r="B25" s="93"/>
      <c r="C25" s="93"/>
      <c r="D25" s="93"/>
      <c r="E25" s="160" t="str">
        <f>IF(AND(G19="Mumbai"),"Upper Class","Middle Class")</f>
        <v>Middle Class</v>
      </c>
      <c r="F25" s="160"/>
      <c r="G25" s="160"/>
      <c r="H25" s="160"/>
    </row>
    <row r="26" spans="1:8" x14ac:dyDescent="0.25">
      <c r="A26" s="93" t="s">
        <v>19</v>
      </c>
      <c r="B26" s="93"/>
      <c r="C26" s="93"/>
      <c r="D26" s="93"/>
      <c r="E26" s="160" t="s">
        <v>20</v>
      </c>
      <c r="F26" s="160"/>
      <c r="G26" s="160"/>
      <c r="H26" s="160"/>
    </row>
    <row r="27" spans="1:8" ht="15.75" customHeight="1" x14ac:dyDescent="0.25">
      <c r="A27" s="93" t="s">
        <v>21</v>
      </c>
      <c r="B27" s="93"/>
      <c r="C27" s="93"/>
      <c r="D27" s="93"/>
      <c r="E27" s="160" t="str">
        <f>IF(AND(G19="Mumbai"),"Developed","Developing")</f>
        <v>Developing</v>
      </c>
      <c r="F27" s="160"/>
      <c r="G27" s="160"/>
      <c r="H27" s="160"/>
    </row>
    <row r="28" spans="1:8" x14ac:dyDescent="0.25">
      <c r="A28" s="93" t="s">
        <v>22</v>
      </c>
      <c r="B28" s="93"/>
      <c r="C28" s="93"/>
      <c r="D28" s="93"/>
      <c r="E28" s="160" t="s">
        <v>23</v>
      </c>
      <c r="F28" s="160"/>
      <c r="G28" s="160"/>
      <c r="H28" s="160"/>
    </row>
    <row r="29" spans="1:8" ht="15.75" customHeight="1" x14ac:dyDescent="0.25">
      <c r="A29" s="93" t="s">
        <v>82</v>
      </c>
      <c r="B29" s="93"/>
      <c r="C29" s="93"/>
      <c r="D29" s="93"/>
      <c r="E29" s="160" t="s">
        <v>83</v>
      </c>
      <c r="F29" s="160"/>
      <c r="G29" s="160"/>
      <c r="H29" s="160"/>
    </row>
    <row r="30" spans="1:8" ht="15" customHeight="1" x14ac:dyDescent="0.25">
      <c r="A30" s="93" t="s">
        <v>32</v>
      </c>
      <c r="B30" s="93"/>
      <c r="C30" s="93"/>
      <c r="D30" s="93"/>
      <c r="E30" s="160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160"/>
      <c r="G30" s="160"/>
      <c r="H30" s="160"/>
    </row>
    <row r="31" spans="1:8" ht="15.75" customHeight="1" x14ac:dyDescent="0.25">
      <c r="A31" s="93" t="s">
        <v>94</v>
      </c>
      <c r="B31" s="93"/>
      <c r="C31" s="93"/>
      <c r="D31" s="93"/>
      <c r="E31" s="160" t="s">
        <v>33</v>
      </c>
      <c r="F31" s="160"/>
      <c r="G31" s="160"/>
      <c r="H31" s="160"/>
    </row>
    <row r="32" spans="1:8" s="22" customFormat="1" x14ac:dyDescent="0.25">
      <c r="A32" s="172" t="s">
        <v>95</v>
      </c>
      <c r="B32" s="172"/>
      <c r="C32" s="171" t="s">
        <v>28</v>
      </c>
      <c r="D32" s="171"/>
      <c r="E32" s="171"/>
      <c r="F32" s="171" t="s">
        <v>30</v>
      </c>
      <c r="G32" s="171"/>
      <c r="H32" s="171"/>
    </row>
    <row r="33" spans="1:8" s="22" customFormat="1" x14ac:dyDescent="0.25">
      <c r="A33" s="169" t="s">
        <v>24</v>
      </c>
      <c r="B33" s="169" t="s">
        <v>29</v>
      </c>
      <c r="C33" s="170" t="s">
        <v>29</v>
      </c>
      <c r="D33" s="170"/>
      <c r="E33" s="170"/>
      <c r="F33" s="170" t="s">
        <v>186</v>
      </c>
      <c r="G33" s="170"/>
      <c r="H33" s="170"/>
    </row>
    <row r="34" spans="1:8" x14ac:dyDescent="0.25">
      <c r="A34" s="169" t="s">
        <v>25</v>
      </c>
      <c r="B34" s="169" t="s">
        <v>29</v>
      </c>
      <c r="C34" s="170" t="s">
        <v>29</v>
      </c>
      <c r="D34" s="170"/>
      <c r="E34" s="170"/>
      <c r="F34" s="170" t="s">
        <v>187</v>
      </c>
      <c r="G34" s="170"/>
      <c r="H34" s="170"/>
    </row>
    <row r="35" spans="1:8" s="22" customFormat="1" x14ac:dyDescent="0.25">
      <c r="A35" s="169" t="s">
        <v>27</v>
      </c>
      <c r="B35" s="169" t="s">
        <v>29</v>
      </c>
      <c r="C35" s="170" t="s">
        <v>29</v>
      </c>
      <c r="D35" s="170"/>
      <c r="E35" s="170"/>
      <c r="F35" s="170" t="s">
        <v>188</v>
      </c>
      <c r="G35" s="170"/>
      <c r="H35" s="170"/>
    </row>
    <row r="36" spans="1:8" x14ac:dyDescent="0.25">
      <c r="A36" s="169" t="s">
        <v>26</v>
      </c>
      <c r="B36" s="169" t="s">
        <v>29</v>
      </c>
      <c r="C36" s="170" t="s">
        <v>29</v>
      </c>
      <c r="D36" s="170"/>
      <c r="E36" s="170"/>
      <c r="F36" s="170" t="s">
        <v>185</v>
      </c>
      <c r="G36" s="170"/>
      <c r="H36" s="170"/>
    </row>
    <row r="37" spans="1:8" x14ac:dyDescent="0.25">
      <c r="A37" s="93" t="s">
        <v>31</v>
      </c>
      <c r="B37" s="93"/>
      <c r="C37" s="93"/>
      <c r="D37" s="93"/>
      <c r="E37" s="93"/>
      <c r="F37" s="93"/>
      <c r="G37" s="93"/>
      <c r="H37" s="93"/>
    </row>
    <row r="38" spans="1:8" ht="15.75" customHeight="1" x14ac:dyDescent="0.25">
      <c r="A38" s="93" t="s">
        <v>169</v>
      </c>
      <c r="B38" s="93"/>
      <c r="C38" s="145" t="s">
        <v>184</v>
      </c>
      <c r="D38" s="145"/>
      <c r="E38" s="145"/>
      <c r="F38" s="145"/>
      <c r="G38" s="145"/>
      <c r="H38" s="145"/>
    </row>
    <row r="39" spans="1:8" x14ac:dyDescent="0.25">
      <c r="A39" s="93" t="s">
        <v>165</v>
      </c>
      <c r="B39" s="93"/>
      <c r="C39" s="185" t="s">
        <v>180</v>
      </c>
      <c r="D39" s="160"/>
      <c r="E39" s="160"/>
      <c r="F39" s="160"/>
      <c r="G39" s="160"/>
      <c r="H39" s="160"/>
    </row>
    <row r="40" spans="1:8" x14ac:dyDescent="0.25">
      <c r="A40" s="145" t="s">
        <v>34</v>
      </c>
      <c r="B40" s="145"/>
      <c r="C40" s="145"/>
      <c r="D40" s="145"/>
      <c r="E40" s="145"/>
      <c r="F40" s="145"/>
      <c r="G40" s="145"/>
      <c r="H40" s="145"/>
    </row>
    <row r="41" spans="1:8" x14ac:dyDescent="0.25">
      <c r="A41" s="93" t="s">
        <v>35</v>
      </c>
      <c r="B41" s="93"/>
      <c r="C41" s="93"/>
      <c r="D41" s="93"/>
      <c r="E41" s="173">
        <v>2320.7600000000002</v>
      </c>
      <c r="F41" s="173"/>
      <c r="G41" s="173"/>
      <c r="H41" s="173"/>
    </row>
    <row r="42" spans="1:8" x14ac:dyDescent="0.25">
      <c r="A42" s="93" t="s">
        <v>36</v>
      </c>
      <c r="B42" s="93"/>
      <c r="C42" s="93"/>
      <c r="D42" s="93"/>
      <c r="E42" s="92">
        <v>1.1000000000000001</v>
      </c>
      <c r="F42" s="92"/>
      <c r="G42" s="92"/>
      <c r="H42" s="92"/>
    </row>
    <row r="43" spans="1:8" x14ac:dyDescent="0.25">
      <c r="A43" s="93" t="s">
        <v>37</v>
      </c>
      <c r="B43" s="93"/>
      <c r="C43" s="93"/>
      <c r="D43" s="93"/>
      <c r="E43" s="92">
        <f>E45/E41-E42</f>
        <v>3.7242041400230952</v>
      </c>
      <c r="F43" s="92"/>
      <c r="G43" s="92"/>
      <c r="H43" s="92"/>
    </row>
    <row r="44" spans="1:8" x14ac:dyDescent="0.25">
      <c r="A44" s="93" t="s">
        <v>38</v>
      </c>
      <c r="B44" s="93"/>
      <c r="C44" s="93"/>
      <c r="D44" s="93"/>
      <c r="E44" s="92">
        <f>E42+E43</f>
        <v>4.8242041400230953</v>
      </c>
      <c r="F44" s="92"/>
      <c r="G44" s="92"/>
      <c r="H44" s="92"/>
    </row>
    <row r="45" spans="1:8" x14ac:dyDescent="0.25">
      <c r="A45" s="93" t="s">
        <v>93</v>
      </c>
      <c r="B45" s="93"/>
      <c r="C45" s="93"/>
      <c r="D45" s="93"/>
      <c r="E45" s="189">
        <v>11195.82</v>
      </c>
      <c r="F45" s="189"/>
      <c r="G45" s="189"/>
      <c r="H45" s="189"/>
    </row>
    <row r="46" spans="1:8" x14ac:dyDescent="0.25">
      <c r="A46" s="163" t="s">
        <v>39</v>
      </c>
      <c r="B46" s="163"/>
      <c r="C46" s="163"/>
      <c r="D46" s="163"/>
      <c r="E46" s="163" t="s">
        <v>124</v>
      </c>
      <c r="F46" s="163"/>
      <c r="G46" s="163"/>
      <c r="H46" s="163"/>
    </row>
    <row r="47" spans="1:8" x14ac:dyDescent="0.25">
      <c r="A47" s="145" t="s">
        <v>40</v>
      </c>
      <c r="B47" s="145"/>
      <c r="C47" s="145"/>
      <c r="D47" s="145"/>
      <c r="E47" s="145"/>
      <c r="F47" s="145"/>
      <c r="G47" s="145"/>
      <c r="H47" s="145"/>
    </row>
    <row r="48" spans="1:8" ht="33.75" customHeight="1" x14ac:dyDescent="0.25">
      <c r="A48" s="107" t="s">
        <v>153</v>
      </c>
      <c r="B48" s="108"/>
      <c r="C48" s="164" t="s">
        <v>189</v>
      </c>
      <c r="D48" s="165"/>
      <c r="E48" s="165"/>
      <c r="F48" s="165"/>
      <c r="G48" s="165"/>
      <c r="H48" s="166"/>
    </row>
    <row r="49" spans="1:14" x14ac:dyDescent="0.25">
      <c r="A49" s="107" t="s">
        <v>41</v>
      </c>
      <c r="B49" s="108"/>
      <c r="C49" s="107" t="s">
        <v>212</v>
      </c>
      <c r="D49" s="109"/>
      <c r="E49" s="108"/>
      <c r="F49" s="18" t="s">
        <v>42</v>
      </c>
      <c r="G49" s="110">
        <v>45187</v>
      </c>
      <c r="H49" s="111"/>
    </row>
    <row r="50" spans="1:14" x14ac:dyDescent="0.25">
      <c r="A50" s="107" t="s">
        <v>43</v>
      </c>
      <c r="B50" s="108"/>
      <c r="C50" s="107" t="str">
        <f>C49</f>
        <v>TMCB/RB/2023/APL/00080</v>
      </c>
      <c r="D50" s="109"/>
      <c r="E50" s="108"/>
      <c r="F50" s="18" t="s">
        <v>42</v>
      </c>
      <c r="G50" s="110">
        <f>G49</f>
        <v>45187</v>
      </c>
      <c r="H50" s="111"/>
    </row>
    <row r="51" spans="1:14" s="23" customFormat="1" x14ac:dyDescent="0.25">
      <c r="A51" s="177" t="s">
        <v>157</v>
      </c>
      <c r="B51" s="178"/>
      <c r="C51" s="107" t="s">
        <v>212</v>
      </c>
      <c r="D51" s="109"/>
      <c r="E51" s="108"/>
      <c r="F51" s="18" t="s">
        <v>42</v>
      </c>
      <c r="G51" s="110">
        <v>45187</v>
      </c>
      <c r="H51" s="111"/>
    </row>
    <row r="52" spans="1:14" s="23" customFormat="1" x14ac:dyDescent="0.25">
      <c r="A52" s="179"/>
      <c r="B52" s="180"/>
      <c r="C52" s="107" t="s">
        <v>213</v>
      </c>
      <c r="D52" s="109"/>
      <c r="E52" s="109"/>
      <c r="F52" s="109"/>
      <c r="G52" s="109"/>
      <c r="H52" s="108"/>
    </row>
    <row r="53" spans="1:14" ht="33" customHeight="1" x14ac:dyDescent="0.25">
      <c r="A53" s="117" t="s">
        <v>44</v>
      </c>
      <c r="B53" s="118"/>
      <c r="C53" s="117" t="s">
        <v>107</v>
      </c>
      <c r="D53" s="119"/>
      <c r="E53" s="118"/>
      <c r="F53" s="46" t="s">
        <v>42</v>
      </c>
      <c r="G53" s="181" t="s">
        <v>29</v>
      </c>
      <c r="H53" s="182"/>
    </row>
    <row r="54" spans="1:14" x14ac:dyDescent="0.25">
      <c r="A54" s="120" t="s">
        <v>46</v>
      </c>
      <c r="B54" s="120"/>
      <c r="C54" s="120"/>
      <c r="D54" s="120"/>
      <c r="E54" s="120"/>
      <c r="F54" s="120"/>
      <c r="G54" s="120"/>
      <c r="H54" s="120"/>
    </row>
    <row r="55" spans="1:14" x14ac:dyDescent="0.25">
      <c r="A55" s="125" t="s">
        <v>92</v>
      </c>
      <c r="B55" s="125"/>
      <c r="C55" s="125"/>
      <c r="D55" s="93">
        <f>E45</f>
        <v>11195.82</v>
      </c>
      <c r="E55" s="93"/>
      <c r="F55" s="93"/>
      <c r="G55" s="93"/>
      <c r="H55" s="93"/>
    </row>
    <row r="56" spans="1:14" x14ac:dyDescent="0.25">
      <c r="A56" s="160" t="s">
        <v>47</v>
      </c>
      <c r="B56" s="163"/>
      <c r="C56" s="163"/>
      <c r="D56" s="163" t="s">
        <v>216</v>
      </c>
      <c r="E56" s="163"/>
      <c r="F56" s="163"/>
      <c r="G56" s="163"/>
      <c r="H56" s="163"/>
      <c r="I56" s="24"/>
    </row>
    <row r="57" spans="1:14" x14ac:dyDescent="0.25">
      <c r="A57" s="112" t="s">
        <v>48</v>
      </c>
      <c r="B57" s="113"/>
      <c r="C57" s="176"/>
      <c r="D57" s="127" t="s">
        <v>213</v>
      </c>
      <c r="E57" s="175"/>
      <c r="F57" s="175"/>
      <c r="G57" s="175"/>
      <c r="H57" s="175"/>
    </row>
    <row r="58" spans="1:14" ht="15.75" customHeight="1" x14ac:dyDescent="0.25">
      <c r="A58" s="112" t="s">
        <v>90</v>
      </c>
      <c r="B58" s="113"/>
      <c r="C58" s="113"/>
      <c r="D58" s="114" t="s">
        <v>213</v>
      </c>
      <c r="E58" s="115"/>
      <c r="F58" s="115"/>
      <c r="G58" s="115"/>
      <c r="H58" s="116"/>
    </row>
    <row r="59" spans="1:14" ht="15.75" customHeight="1" x14ac:dyDescent="0.25">
      <c r="A59" s="93" t="s">
        <v>45</v>
      </c>
      <c r="B59" s="93"/>
      <c r="C59" s="93"/>
      <c r="D59" s="174" t="s">
        <v>190</v>
      </c>
      <c r="E59" s="174"/>
      <c r="F59" s="174"/>
      <c r="G59" s="174"/>
      <c r="H59" s="174"/>
      <c r="J59" s="25"/>
      <c r="K59" s="24"/>
      <c r="N59" s="24"/>
    </row>
    <row r="60" spans="1:14" ht="15.75" customHeight="1" x14ac:dyDescent="0.25">
      <c r="A60" s="93" t="s">
        <v>88</v>
      </c>
      <c r="B60" s="93"/>
      <c r="C60" s="93"/>
      <c r="D60" s="188" t="str">
        <f>(IF(G53="NA","60 Years After Completion",IF(G53&lt;&gt;"NA",""&amp;60-ROUNDDOWN((E3-G53)/360,0)&amp;" Years"," ")))</f>
        <v>60 Years After Completion</v>
      </c>
      <c r="E60" s="188"/>
      <c r="F60" s="188"/>
      <c r="G60" s="188"/>
      <c r="H60" s="188"/>
      <c r="N60" s="24"/>
    </row>
    <row r="61" spans="1:14" ht="15.75" customHeight="1" x14ac:dyDescent="0.25">
      <c r="A61" s="93" t="s">
        <v>89</v>
      </c>
      <c r="B61" s="93"/>
      <c r="C61" s="93"/>
      <c r="D61" s="125" t="s">
        <v>23</v>
      </c>
      <c r="E61" s="125"/>
      <c r="F61" s="125"/>
      <c r="G61" s="125"/>
      <c r="H61" s="125"/>
      <c r="J61" s="26"/>
      <c r="K61" s="26"/>
    </row>
    <row r="62" spans="1:14" ht="66" customHeight="1" x14ac:dyDescent="0.25">
      <c r="A62" s="93" t="s">
        <v>76</v>
      </c>
      <c r="B62" s="93"/>
      <c r="C62" s="93"/>
      <c r="D62" s="160" t="s">
        <v>194</v>
      </c>
      <c r="E62" s="125"/>
      <c r="F62" s="125"/>
      <c r="G62" s="125"/>
      <c r="H62" s="125"/>
    </row>
    <row r="63" spans="1:14" x14ac:dyDescent="0.25">
      <c r="A63" s="125" t="s">
        <v>151</v>
      </c>
      <c r="B63" s="125"/>
      <c r="C63" s="125"/>
      <c r="D63" s="125" t="s">
        <v>29</v>
      </c>
      <c r="E63" s="125"/>
      <c r="F63" s="125"/>
      <c r="G63" s="125"/>
      <c r="H63" s="125"/>
      <c r="I63" s="27"/>
      <c r="J63" s="27"/>
      <c r="K63" s="27"/>
      <c r="L63" s="27"/>
      <c r="M63" s="27"/>
      <c r="N63" s="27"/>
    </row>
    <row r="64" spans="1:14" ht="15.75" customHeight="1" x14ac:dyDescent="0.25">
      <c r="A64" s="126" t="s">
        <v>87</v>
      </c>
      <c r="B64" s="126"/>
      <c r="C64" s="126"/>
      <c r="D64" s="127" t="str">
        <f ca="1">(IF(G70&gt;95%,"Nothing",IF(G70&gt;0%,"Cement, Aggregate, Steel, etc",IF(G70=0%,"Work not yet Started"))))</f>
        <v>Cement, Aggregate, Steel, etc</v>
      </c>
      <c r="E64" s="127"/>
      <c r="F64" s="127"/>
      <c r="G64" s="127"/>
      <c r="H64" s="127"/>
      <c r="J64" s="26"/>
    </row>
    <row r="65" spans="1:10" ht="33.75" customHeight="1" thickBot="1" x14ac:dyDescent="0.3">
      <c r="A65" s="161" t="s">
        <v>120</v>
      </c>
      <c r="B65" s="161"/>
      <c r="C65" s="161"/>
      <c r="D65" s="127" t="str">
        <f ca="1">(IF(D64="Nothing","Yes",IF(D64="Cement, Aggregate, Steel, etc","Under Construction",IF(D64="Work not yet Started","Work not yet Started"))))</f>
        <v>Under Construction</v>
      </c>
      <c r="E65" s="127"/>
      <c r="F65" s="127" t="str">
        <f ca="1">(IF(D64="Nothing","Yes",IF(D64="Cement, Aggregate, Steel, etc","Under Construction",IF(D64="Work not yet Started","Work not yet Started"))))</f>
        <v>Under Construction</v>
      </c>
      <c r="G65" s="127"/>
      <c r="H65" s="127"/>
    </row>
    <row r="66" spans="1:10" ht="15.75" customHeight="1" x14ac:dyDescent="0.25">
      <c r="A66" s="153" t="s">
        <v>143</v>
      </c>
      <c r="B66" s="154"/>
      <c r="C66" s="155" t="str">
        <f>D58</f>
        <v>Building A = Gr/St + 3P + 1st to 17th Floor</v>
      </c>
      <c r="D66" s="156"/>
      <c r="E66" s="156"/>
      <c r="F66" s="156"/>
      <c r="G66" s="156"/>
      <c r="H66" s="157"/>
      <c r="I66" s="50" t="str">
        <f ca="1">IF(D79=100%,"All work Completed. Possession granted to the Building.",IF(D78=100%,"All work Completed, Waiting for OC",I67&amp;""&amp;I68&amp;""&amp;J67&amp;""&amp;J66&amp;" "&amp;J68))</f>
        <v>Excavation, Plinth, RCC Slab, Brickwork Completed, Internal Plaster upto 10 Floor, External Plaster upto 9 Floor Completed</v>
      </c>
      <c r="J66" s="51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Internal Plaster upto 10 Floor, External Plaster upto 9 Floor</v>
      </c>
    </row>
    <row r="67" spans="1:10" x14ac:dyDescent="0.25">
      <c r="A67" s="16" t="s">
        <v>145</v>
      </c>
      <c r="B67" s="48">
        <f>IF(AND(ISNUMBER(SEARCH("1B",C66))),1,IF(AND(ISNUMBER(SEARCH("2B",C66))),2,IF(AND(ISNUMBER(SEARCH("3B",C66))),3,IF(AND(ISNUMBER(SEARCH("4B",C66))),4,IF(ISNUMBER(SEARCH("5B",C66)),5,0)))))</f>
        <v>0</v>
      </c>
      <c r="C67" s="48" t="s">
        <v>73</v>
      </c>
      <c r="D67" s="48">
        <v>1</v>
      </c>
      <c r="E67" s="48" t="s">
        <v>72</v>
      </c>
      <c r="F67" s="48">
        <v>3</v>
      </c>
      <c r="G67" s="49" t="s">
        <v>81</v>
      </c>
      <c r="H67" s="17">
        <f ca="1">--TRIM(RIGHT(SUBSTITUTE(LEFT(C66,_xlfn.AGGREGATE(16,6,FIND({0,1,2,3,4,5,6,7,8,9},C66,ROW(INDIRECT("1:"&amp;LEN(C66)))),1))," ",REPT(" ",LEN(C66))),LEN(C66)))</f>
        <v>17</v>
      </c>
      <c r="I67" s="52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</v>
      </c>
      <c r="J67" s="53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2.1" customHeight="1" x14ac:dyDescent="0.25">
      <c r="A68" s="151" t="s">
        <v>91</v>
      </c>
      <c r="B68" s="152"/>
      <c r="C68" s="158" t="str">
        <f ca="1">I66</f>
        <v>Excavation, Plinth, RCC Slab, Brickwork Completed, Internal Plaster upto 10 Floor, External Plaster upto 9 Floor Completed</v>
      </c>
      <c r="D68" s="158"/>
      <c r="E68" s="158"/>
      <c r="F68" s="158"/>
      <c r="G68" s="158"/>
      <c r="H68" s="159"/>
      <c r="I68" s="52" t="str">
        <f ca="1">IF(I67&lt;&gt;""," Completed","")</f>
        <v xml:space="preserve"> Completed</v>
      </c>
      <c r="J68" s="53" t="str">
        <f ca="1">IF(J66&lt;&gt;"","Completed","")</f>
        <v>Completed</v>
      </c>
    </row>
    <row r="69" spans="1:10" ht="15.75" customHeight="1" x14ac:dyDescent="0.25">
      <c r="A69" s="104" t="s">
        <v>49</v>
      </c>
      <c r="B69" s="105"/>
      <c r="C69" s="44" t="s">
        <v>142</v>
      </c>
      <c r="D69" s="44" t="s">
        <v>84</v>
      </c>
      <c r="E69" s="105" t="s">
        <v>86</v>
      </c>
      <c r="F69" s="105"/>
      <c r="G69" s="105" t="s">
        <v>85</v>
      </c>
      <c r="H69" s="128"/>
      <c r="I69" s="14" t="s">
        <v>144</v>
      </c>
      <c r="J69" s="28">
        <f ca="1">H67*25%</f>
        <v>4.25</v>
      </c>
    </row>
    <row r="70" spans="1:10" x14ac:dyDescent="0.25">
      <c r="A70" s="104" t="s">
        <v>131</v>
      </c>
      <c r="B70" s="105"/>
      <c r="C70" s="44">
        <f ca="1">J71</f>
        <v>17</v>
      </c>
      <c r="D70" s="19">
        <f ca="1">((100/H67)*C70)/100</f>
        <v>1</v>
      </c>
      <c r="E70" s="129">
        <f ca="1">(((C71/H67*10)+(40/(D67+F67+H67)*C72)+(7.5/(H67)*C73)+(7.5/(H67)*C74)+(10/H67*C75)+(10/H67*C76)+(5/H67*C77)+(5/H67*C78)+(5/H67*C79))/100)</f>
        <v>0.67205882352941171</v>
      </c>
      <c r="F70" s="130"/>
      <c r="G70" s="129">
        <f ca="1">((((C70/H67)*20)+((C71/H67)*25)+(30/(H67+F67+D67)*C72)+(5/H67*C73)+(5/H67*C74)+(5/H67*C75)+(5/H67*C76)+(0/H67*C77)+(0/H67*C78)+(5/H67*C79))/100)</f>
        <v>0.85588235294117643</v>
      </c>
      <c r="H70" s="135"/>
      <c r="I70" s="14" t="s">
        <v>102</v>
      </c>
      <c r="J70" s="29">
        <f ca="1">H67*50%</f>
        <v>8.5</v>
      </c>
    </row>
    <row r="71" spans="1:10" x14ac:dyDescent="0.25">
      <c r="A71" s="104" t="s">
        <v>50</v>
      </c>
      <c r="B71" s="105"/>
      <c r="C71" s="57">
        <f ca="1">J79</f>
        <v>17</v>
      </c>
      <c r="D71" s="19">
        <f ca="1">((100/H67)*C71)/100</f>
        <v>1</v>
      </c>
      <c r="E71" s="131"/>
      <c r="F71" s="132"/>
      <c r="G71" s="131"/>
      <c r="H71" s="136"/>
      <c r="I71" s="14" t="s">
        <v>103</v>
      </c>
      <c r="J71" s="29">
        <f ca="1">H67</f>
        <v>17</v>
      </c>
    </row>
    <row r="72" spans="1:10" ht="15.75" customHeight="1" x14ac:dyDescent="0.25">
      <c r="A72" s="104" t="s">
        <v>132</v>
      </c>
      <c r="B72" s="105"/>
      <c r="C72" s="44">
        <v>21</v>
      </c>
      <c r="D72" s="19">
        <f ca="1">((100/(D67+F67+H67))*C72)/100</f>
        <v>1</v>
      </c>
      <c r="E72" s="131"/>
      <c r="F72" s="132"/>
      <c r="G72" s="131"/>
      <c r="H72" s="136"/>
      <c r="I72" s="14" t="s">
        <v>104</v>
      </c>
      <c r="J72" s="30">
        <f ca="1">(IF(B67&gt;1,(H67/(B67+2)),H67/4))</f>
        <v>4.25</v>
      </c>
    </row>
    <row r="73" spans="1:10" ht="15.75" customHeight="1" x14ac:dyDescent="0.25">
      <c r="A73" s="104" t="s">
        <v>139</v>
      </c>
      <c r="B73" s="105" t="s">
        <v>133</v>
      </c>
      <c r="C73" s="44">
        <f>C72-F67-D67</f>
        <v>17</v>
      </c>
      <c r="D73" s="19">
        <f ca="1">((100/H67)*C73)/100</f>
        <v>1</v>
      </c>
      <c r="E73" s="131"/>
      <c r="F73" s="132"/>
      <c r="G73" s="131"/>
      <c r="H73" s="136"/>
      <c r="I73" s="14" t="s">
        <v>105</v>
      </c>
      <c r="J73" s="30">
        <f ca="1">(IF(B67&gt;1,(H67/(B67+2)+J72),H67/4+J72))</f>
        <v>8.5</v>
      </c>
    </row>
    <row r="74" spans="1:10" ht="15.75" customHeight="1" x14ac:dyDescent="0.25">
      <c r="A74" s="104" t="s">
        <v>140</v>
      </c>
      <c r="B74" s="105" t="s">
        <v>133</v>
      </c>
      <c r="C74" s="44">
        <v>10</v>
      </c>
      <c r="D74" s="19">
        <f ca="1">((100/H67)*C74)/100</f>
        <v>0.58823529411764708</v>
      </c>
      <c r="E74" s="131"/>
      <c r="F74" s="132"/>
      <c r="G74" s="131"/>
      <c r="H74" s="136"/>
      <c r="I74" s="14" t="s">
        <v>149</v>
      </c>
      <c r="J74" s="30">
        <f>(IF(B67&gt;1,(H67/(B67+2)+J73),0))</f>
        <v>0</v>
      </c>
    </row>
    <row r="75" spans="1:10" ht="15" customHeight="1" x14ac:dyDescent="0.25">
      <c r="A75" s="104" t="s">
        <v>138</v>
      </c>
      <c r="B75" s="105" t="s">
        <v>135</v>
      </c>
      <c r="C75" s="44">
        <v>9</v>
      </c>
      <c r="D75" s="19">
        <f ca="1">((100/(H67))*C75)/100</f>
        <v>0.52941176470588236</v>
      </c>
      <c r="E75" s="131"/>
      <c r="F75" s="132"/>
      <c r="G75" s="131"/>
      <c r="H75" s="136"/>
      <c r="I75" s="14" t="s">
        <v>146</v>
      </c>
      <c r="J75" s="30">
        <f>(IF(B67&gt;2,(H67/(B67+2)+J74),0))</f>
        <v>0</v>
      </c>
    </row>
    <row r="76" spans="1:10" ht="15.75" customHeight="1" x14ac:dyDescent="0.25">
      <c r="A76" s="104" t="s">
        <v>134</v>
      </c>
      <c r="B76" s="105" t="s">
        <v>134</v>
      </c>
      <c r="C76" s="44">
        <v>0</v>
      </c>
      <c r="D76" s="19">
        <f ca="1">((100/H67)*C76)/100</f>
        <v>0</v>
      </c>
      <c r="E76" s="131"/>
      <c r="F76" s="132"/>
      <c r="G76" s="131"/>
      <c r="H76" s="136"/>
      <c r="I76" s="14" t="s">
        <v>147</v>
      </c>
      <c r="J76" s="31">
        <f>(IF(B67&gt;3,(H67/(B67+2)+J75),0))</f>
        <v>0</v>
      </c>
    </row>
    <row r="77" spans="1:10" ht="15.75" customHeight="1" x14ac:dyDescent="0.25">
      <c r="A77" s="104" t="s">
        <v>141</v>
      </c>
      <c r="B77" s="105"/>
      <c r="C77" s="44">
        <v>0</v>
      </c>
      <c r="D77" s="19">
        <f ca="1">((100/H67)*C77)/100</f>
        <v>0</v>
      </c>
      <c r="E77" s="131"/>
      <c r="F77" s="132"/>
      <c r="G77" s="131"/>
      <c r="H77" s="136"/>
      <c r="I77" s="14" t="s">
        <v>148</v>
      </c>
      <c r="J77" s="30">
        <f>(IF(B67&gt;4,(H67/(B67+2)+J76),0))</f>
        <v>0</v>
      </c>
    </row>
    <row r="78" spans="1:10" ht="15.75" customHeight="1" x14ac:dyDescent="0.25">
      <c r="A78" s="104" t="s">
        <v>136</v>
      </c>
      <c r="B78" s="105" t="s">
        <v>136</v>
      </c>
      <c r="C78" s="44">
        <v>0</v>
      </c>
      <c r="D78" s="19">
        <f ca="1">((100/(H67))*C78)/100</f>
        <v>0</v>
      </c>
      <c r="E78" s="131"/>
      <c r="F78" s="132"/>
      <c r="G78" s="131"/>
      <c r="H78" s="136"/>
      <c r="I78" s="14" t="s">
        <v>150</v>
      </c>
      <c r="J78" s="30">
        <f ca="1">(IF(B67=1,(H67/(B67+3)+J73),IF(B67=0,(H67/4+J73),IF(B67&gt;1,0))))</f>
        <v>12.75</v>
      </c>
    </row>
    <row r="79" spans="1:10" ht="16.5" thickBot="1" x14ac:dyDescent="0.3">
      <c r="A79" s="186" t="s">
        <v>137</v>
      </c>
      <c r="B79" s="187"/>
      <c r="C79" s="45">
        <v>0</v>
      </c>
      <c r="D79" s="20">
        <f ca="1">((100/(H67))*C79)/100</f>
        <v>0</v>
      </c>
      <c r="E79" s="133"/>
      <c r="F79" s="134"/>
      <c r="G79" s="133"/>
      <c r="H79" s="137"/>
      <c r="I79" s="15" t="s">
        <v>106</v>
      </c>
      <c r="J79" s="32">
        <f ca="1">(IF(B67&gt;1.5,(H67/(B67+2)+J73+MAX(0,J74-J73)+MAX(0,J75-J74)+MAX(0,J76-J75)+MAX(0,J77-J76)+MAX(0,J78-J77)),IF(B67=1,(H67/(B67+3)+J78),IF(B67=0,H67/4+J78))))</f>
        <v>17</v>
      </c>
    </row>
    <row r="80" spans="1:10" x14ac:dyDescent="0.25">
      <c r="A80" s="184" t="s">
        <v>158</v>
      </c>
      <c r="B80" s="184"/>
      <c r="C80" s="184"/>
      <c r="D80" s="184"/>
      <c r="E80" s="184"/>
      <c r="F80" s="139" t="s">
        <v>163</v>
      </c>
      <c r="G80" s="139"/>
      <c r="H80" s="139"/>
    </row>
    <row r="81" spans="1:8" x14ac:dyDescent="0.25">
      <c r="A81" s="93" t="s">
        <v>161</v>
      </c>
      <c r="B81" s="93"/>
      <c r="C81" s="93"/>
      <c r="D81" s="93"/>
      <c r="E81" s="93"/>
      <c r="F81" s="106">
        <v>13500</v>
      </c>
      <c r="G81" s="106"/>
      <c r="H81" s="106"/>
    </row>
    <row r="82" spans="1:8" hidden="1" x14ac:dyDescent="0.25">
      <c r="A82" s="93" t="s">
        <v>160</v>
      </c>
      <c r="B82" s="93"/>
      <c r="C82" s="93"/>
      <c r="D82" s="93"/>
      <c r="E82" s="93"/>
      <c r="F82" s="106"/>
      <c r="G82" s="106"/>
      <c r="H82" s="106"/>
    </row>
    <row r="83" spans="1:8" hidden="1" x14ac:dyDescent="0.25">
      <c r="A83" s="93" t="s">
        <v>162</v>
      </c>
      <c r="B83" s="93"/>
      <c r="C83" s="93"/>
      <c r="D83" s="93"/>
      <c r="E83" s="93"/>
      <c r="F83" s="106"/>
      <c r="G83" s="106"/>
      <c r="H83" s="106"/>
    </row>
    <row r="84" spans="1:8" s="33" customFormat="1" hidden="1" x14ac:dyDescent="0.25">
      <c r="A84" s="93" t="s">
        <v>159</v>
      </c>
      <c r="B84" s="93"/>
      <c r="C84" s="93"/>
      <c r="D84" s="93"/>
      <c r="E84" s="93"/>
      <c r="F84" s="106"/>
      <c r="G84" s="106"/>
      <c r="H84" s="106"/>
    </row>
    <row r="85" spans="1:8" s="33" customFormat="1" hidden="1" x14ac:dyDescent="0.25">
      <c r="A85" s="93" t="s">
        <v>96</v>
      </c>
      <c r="B85" s="93"/>
      <c r="C85" s="93"/>
      <c r="D85" s="93"/>
      <c r="E85" s="93"/>
      <c r="F85" s="106"/>
      <c r="G85" s="106"/>
      <c r="H85" s="106"/>
    </row>
    <row r="86" spans="1:8" s="33" customFormat="1" hidden="1" x14ac:dyDescent="0.25">
      <c r="A86" s="93" t="s">
        <v>97</v>
      </c>
      <c r="B86" s="93"/>
      <c r="C86" s="93"/>
      <c r="D86" s="93"/>
      <c r="E86" s="93"/>
      <c r="F86" s="106"/>
      <c r="G86" s="106"/>
      <c r="H86" s="106"/>
    </row>
    <row r="87" spans="1:8" s="33" customFormat="1" hidden="1" x14ac:dyDescent="0.25">
      <c r="A87" s="93" t="s">
        <v>164</v>
      </c>
      <c r="B87" s="93"/>
      <c r="C87" s="93"/>
      <c r="D87" s="93"/>
      <c r="E87" s="93"/>
      <c r="F87" s="106"/>
      <c r="G87" s="106"/>
      <c r="H87" s="106"/>
    </row>
    <row r="88" spans="1:8" s="33" customFormat="1" hidden="1" x14ac:dyDescent="0.25">
      <c r="A88" s="93" t="s">
        <v>98</v>
      </c>
      <c r="B88" s="93"/>
      <c r="C88" s="93"/>
      <c r="D88" s="93"/>
      <c r="E88" s="93"/>
      <c r="F88" s="106"/>
      <c r="G88" s="106"/>
      <c r="H88" s="106"/>
    </row>
    <row r="89" spans="1:8" s="33" customFormat="1" hidden="1" x14ac:dyDescent="0.25">
      <c r="A89" s="93" t="s">
        <v>99</v>
      </c>
      <c r="B89" s="93"/>
      <c r="C89" s="93"/>
      <c r="D89" s="93"/>
      <c r="E89" s="93"/>
      <c r="F89" s="106"/>
      <c r="G89" s="106"/>
      <c r="H89" s="106"/>
    </row>
    <row r="90" spans="1:8" s="33" customFormat="1" hidden="1" x14ac:dyDescent="0.25">
      <c r="A90" s="93" t="s">
        <v>100</v>
      </c>
      <c r="B90" s="93"/>
      <c r="C90" s="93"/>
      <c r="D90" s="93"/>
      <c r="E90" s="93"/>
      <c r="F90" s="106"/>
      <c r="G90" s="106"/>
      <c r="H90" s="106"/>
    </row>
    <row r="91" spans="1:8" s="33" customFormat="1" hidden="1" x14ac:dyDescent="0.25">
      <c r="A91" s="93" t="s">
        <v>101</v>
      </c>
      <c r="B91" s="93"/>
      <c r="C91" s="93"/>
      <c r="D91" s="93"/>
      <c r="E91" s="93"/>
      <c r="F91" s="106"/>
      <c r="G91" s="106"/>
      <c r="H91" s="106"/>
    </row>
    <row r="92" spans="1:8" x14ac:dyDescent="0.25">
      <c r="A92" s="93" t="s">
        <v>51</v>
      </c>
      <c r="B92" s="93"/>
      <c r="C92" s="93"/>
      <c r="D92" s="93"/>
      <c r="E92" s="93"/>
      <c r="F92" s="106">
        <v>700000</v>
      </c>
      <c r="G92" s="106"/>
      <c r="H92" s="106"/>
    </row>
    <row r="93" spans="1:8" s="34" customFormat="1" x14ac:dyDescent="0.25">
      <c r="A93" s="145" t="s">
        <v>52</v>
      </c>
      <c r="B93" s="145"/>
      <c r="C93" s="145"/>
      <c r="D93" s="145"/>
      <c r="E93" s="145"/>
      <c r="F93" s="106">
        <f>F81*0.8</f>
        <v>10800</v>
      </c>
      <c r="G93" s="106"/>
      <c r="H93" s="106"/>
    </row>
    <row r="94" spans="1:8" s="35" customFormat="1" x14ac:dyDescent="0.25">
      <c r="A94" s="147" t="s">
        <v>71</v>
      </c>
      <c r="B94" s="147"/>
      <c r="C94" s="147"/>
      <c r="D94" s="147"/>
      <c r="E94" s="147"/>
      <c r="F94" s="147"/>
      <c r="G94" s="147"/>
      <c r="H94" s="147"/>
    </row>
    <row r="95" spans="1:8" s="35" customFormat="1" ht="15.75" customHeight="1" x14ac:dyDescent="0.25">
      <c r="A95" s="95" t="s">
        <v>53</v>
      </c>
      <c r="B95" s="95"/>
      <c r="C95" s="183" t="s">
        <v>79</v>
      </c>
      <c r="D95" s="183"/>
      <c r="E95" s="138" t="s">
        <v>54</v>
      </c>
      <c r="F95" s="138"/>
      <c r="G95" s="95" t="s">
        <v>55</v>
      </c>
      <c r="H95" s="95"/>
    </row>
    <row r="96" spans="1:8" s="35" customFormat="1" x14ac:dyDescent="0.25">
      <c r="A96" s="146" t="s">
        <v>198</v>
      </c>
      <c r="B96" s="146"/>
      <c r="C96" s="148">
        <f>COUNT(D105:D111)+COUNT(D113:D119)+COUNT(D121:D127)+COUNT(D129:D135)+COUNT(D137:D143)+COUNT(D145:D151)+COUNT(D153:D159)+COUNT(D161:D167)+COUNT(D169:D175)+COUNT(D177:D183)*5+COUNT(D185:D191)+COUNT(D193:D199)</f>
        <v>112</v>
      </c>
      <c r="D96" s="148"/>
      <c r="E96" s="149">
        <f>SUM(D105:D111)+SUM(D113:D119)+SUM(D121:D127)+SUM(D129:D135)+SUM(D137:D143)+SUM(D145:D151)+SUM(D153:D159)+SUM(D161:D167)+SUM(D169:D175)+SUM(D177:D183)*5+SUM(D185:D191)+SUM(D193:D199)</f>
        <v>107977.76221050002</v>
      </c>
      <c r="F96" s="149"/>
      <c r="G96" s="149">
        <f>SUM(F105:F111)+SUM(F113:F119)+SUM(F121:F127)+SUM(F129:F135)+SUM(F137:F143)+SUM(F145:F151)+SUM(F153:F159)+SUM(F161:F167)+SUM(F169:F175)+SUM(F177:F183)*5+SUM(F185:F191)+SUM(F193:F199)</f>
        <v>162653.64888825</v>
      </c>
      <c r="H96" s="149"/>
    </row>
    <row r="97" spans="1:14" s="34" customFormat="1" x14ac:dyDescent="0.25">
      <c r="A97" s="139" t="s">
        <v>56</v>
      </c>
      <c r="B97" s="139"/>
      <c r="C97" s="139"/>
      <c r="D97" s="139"/>
      <c r="E97" s="139"/>
      <c r="F97" s="139"/>
      <c r="G97" s="139"/>
      <c r="H97" s="139"/>
    </row>
    <row r="98" spans="1:14" x14ac:dyDescent="0.25">
      <c r="A98" s="121" t="s">
        <v>57</v>
      </c>
      <c r="B98" s="121"/>
      <c r="C98" s="121"/>
      <c r="D98" s="121"/>
      <c r="E98" s="121"/>
      <c r="F98" s="121"/>
      <c r="G98" s="121"/>
      <c r="H98" s="121"/>
    </row>
    <row r="99" spans="1:14" ht="47.25" customHeight="1" x14ac:dyDescent="0.25">
      <c r="A99" s="100" t="s">
        <v>122</v>
      </c>
      <c r="B99" s="100" t="s">
        <v>123</v>
      </c>
      <c r="C99" s="96" t="s">
        <v>58</v>
      </c>
      <c r="D99" s="96" t="s">
        <v>59</v>
      </c>
      <c r="E99" s="98" t="s">
        <v>60</v>
      </c>
      <c r="F99" s="43" t="s">
        <v>152</v>
      </c>
      <c r="G99" s="100" t="s">
        <v>61</v>
      </c>
      <c r="H99" s="101"/>
      <c r="I99" s="36"/>
    </row>
    <row r="100" spans="1:14" s="37" customFormat="1" x14ac:dyDescent="0.25">
      <c r="A100" s="102"/>
      <c r="B100" s="102"/>
      <c r="C100" s="97"/>
      <c r="D100" s="97"/>
      <c r="E100" s="99"/>
      <c r="F100" s="13">
        <v>0.5</v>
      </c>
      <c r="G100" s="102"/>
      <c r="H100" s="103"/>
      <c r="I100" s="36"/>
    </row>
    <row r="101" spans="1:14" s="56" customFormat="1" ht="17.25" customHeight="1" x14ac:dyDescent="0.25">
      <c r="A101" s="122" t="s">
        <v>198</v>
      </c>
      <c r="B101" s="123"/>
      <c r="C101" s="123"/>
      <c r="D101" s="123"/>
      <c r="E101" s="123"/>
      <c r="F101" s="123"/>
      <c r="G101" s="123"/>
      <c r="H101" s="124"/>
      <c r="J101" s="36"/>
    </row>
    <row r="102" spans="1:14" s="37" customFormat="1" ht="32.25" customHeight="1" x14ac:dyDescent="0.25">
      <c r="A102" s="122" t="s">
        <v>195</v>
      </c>
      <c r="B102" s="123"/>
      <c r="C102" s="123"/>
      <c r="D102" s="123"/>
      <c r="E102" s="123"/>
      <c r="F102" s="123"/>
      <c r="G102" s="123"/>
      <c r="H102" s="124"/>
      <c r="J102" s="36"/>
    </row>
    <row r="103" spans="1:14" s="37" customFormat="1" x14ac:dyDescent="0.25">
      <c r="A103" s="122" t="s">
        <v>196</v>
      </c>
      <c r="B103" s="123"/>
      <c r="C103" s="123"/>
      <c r="D103" s="123"/>
      <c r="E103" s="123"/>
      <c r="F103" s="123"/>
      <c r="G103" s="123"/>
      <c r="H103" s="124"/>
      <c r="J103" s="36"/>
    </row>
    <row r="104" spans="1:14" s="37" customFormat="1" x14ac:dyDescent="0.25">
      <c r="A104" s="122" t="s">
        <v>197</v>
      </c>
      <c r="B104" s="123"/>
      <c r="C104" s="123"/>
      <c r="D104" s="123"/>
      <c r="E104" s="123"/>
      <c r="F104" s="123"/>
      <c r="G104" s="123"/>
      <c r="H104" s="124"/>
      <c r="J104" s="36"/>
    </row>
    <row r="105" spans="1:14" s="37" customFormat="1" ht="15.75" customHeight="1" x14ac:dyDescent="0.25">
      <c r="A105" s="71">
        <v>1</v>
      </c>
      <c r="B105" s="72"/>
      <c r="C105" s="42" t="s">
        <v>199</v>
      </c>
      <c r="D105" s="54">
        <f>(63.94+0.75*3.87+0.6*2.55)*(10.764)</f>
        <v>735.96159</v>
      </c>
      <c r="E105" s="54">
        <f>(3.05*3.15+1.6*3.1)*(10.764)</f>
        <v>156.80457000000001</v>
      </c>
      <c r="F105" s="42">
        <f t="shared" ref="F105:F111" si="0">D105*(($F$100)+1)+(IF(E105&lt;101,E105,IF(E105&lt;201,E105/2,IF(E105&lt;=301,E105/3,E105/4))))</f>
        <v>1182.34467</v>
      </c>
      <c r="G105" s="82" t="str">
        <f>A104</f>
        <v>1st Floor For Residential</v>
      </c>
      <c r="H105" s="83"/>
      <c r="I105" s="36">
        <f>5.3*2.9+4.5*1.55+3.05*3.15+3.05*2.55+3.05*3.87+2.45*1.2+1.3*2.3+1.3*2.5</f>
        <v>60.713499999999996</v>
      </c>
      <c r="L105" s="88"/>
      <c r="M105" s="88"/>
      <c r="N105" s="36"/>
    </row>
    <row r="106" spans="1:14" s="37" customFormat="1" ht="15.75" customHeight="1" x14ac:dyDescent="0.25">
      <c r="A106" s="71">
        <f t="shared" ref="A106:A111" si="1">A105+1</f>
        <v>2</v>
      </c>
      <c r="B106" s="72"/>
      <c r="C106" s="42" t="s">
        <v>200</v>
      </c>
      <c r="D106" s="54">
        <f>(73.34+0.75*3.95+0.6*2.4)*(10.764)</f>
        <v>836.82027000000005</v>
      </c>
      <c r="E106" s="54">
        <f>(3.05*3.15+4.2*3+3.7*4.7)*(10.764)</f>
        <v>426.22748999999999</v>
      </c>
      <c r="F106" s="42">
        <f t="shared" si="0"/>
        <v>1361.7872775000001</v>
      </c>
      <c r="G106" s="84"/>
      <c r="H106" s="85"/>
      <c r="I106" s="36">
        <f>4.1*4.45+3.05*3.15+2.85*2.4+0.9*1.15+1.45*1.05+1.3*2.3+3.05*3.95+2.2*1.2+3.35*3.95+2.2*1.3+1*1</f>
        <v>72.02</v>
      </c>
      <c r="L106" s="88"/>
      <c r="M106" s="88"/>
      <c r="N106" s="36"/>
    </row>
    <row r="107" spans="1:14" s="37" customFormat="1" ht="15.75" customHeight="1" x14ac:dyDescent="0.25">
      <c r="A107" s="71">
        <f t="shared" si="1"/>
        <v>3</v>
      </c>
      <c r="B107" s="72"/>
      <c r="C107" s="42" t="s">
        <v>200</v>
      </c>
      <c r="D107" s="54">
        <f>(79.34)*(10.764)</f>
        <v>854.01576</v>
      </c>
      <c r="E107" s="54">
        <f>(8.95*3.8+0.5*(3.35*2.2)+8.5*4.4+2.25*3.05+2.8*3.05+0.5*(1.8*4.2))*(10.764)</f>
        <v>1014.80301</v>
      </c>
      <c r="F107" s="42">
        <f t="shared" si="0"/>
        <v>1534.7243924999998</v>
      </c>
      <c r="G107" s="84"/>
      <c r="H107" s="85"/>
      <c r="I107" s="36"/>
      <c r="L107" s="88"/>
      <c r="M107" s="88"/>
      <c r="N107" s="36"/>
    </row>
    <row r="108" spans="1:14" s="37" customFormat="1" ht="15.75" customHeight="1" x14ac:dyDescent="0.25">
      <c r="A108" s="71">
        <f t="shared" si="1"/>
        <v>4</v>
      </c>
      <c r="B108" s="72"/>
      <c r="C108" s="42" t="s">
        <v>200</v>
      </c>
      <c r="D108" s="54">
        <f>(89.68)*(10.764)</f>
        <v>965.31551999999999</v>
      </c>
      <c r="E108" s="54">
        <f>(15.3*1.6+0.5*(1*15.3))*(10.764)</f>
        <v>345.84732000000002</v>
      </c>
      <c r="F108" s="42">
        <f t="shared" si="0"/>
        <v>1534.4351099999999</v>
      </c>
      <c r="G108" s="84"/>
      <c r="H108" s="85"/>
      <c r="I108" s="54">
        <f>10.764</f>
        <v>10.763999999999999</v>
      </c>
      <c r="L108" s="88"/>
      <c r="M108" s="88"/>
      <c r="N108" s="36"/>
    </row>
    <row r="109" spans="1:14" s="37" customFormat="1" ht="15.75" customHeight="1" x14ac:dyDescent="0.25">
      <c r="A109" s="71">
        <f t="shared" si="1"/>
        <v>5</v>
      </c>
      <c r="B109" s="72"/>
      <c r="C109" s="42" t="s">
        <v>200</v>
      </c>
      <c r="D109" s="54">
        <f>(94.48+0.75*3.05)*(10.764)</f>
        <v>1041.60537</v>
      </c>
      <c r="E109" s="54">
        <f>(9.15*1.5+0.5*(0.7*9.15)+2.5*3+1.7*5.3)*(10.764)</f>
        <v>359.92124999999999</v>
      </c>
      <c r="F109" s="42">
        <f t="shared" si="0"/>
        <v>1652.3883675</v>
      </c>
      <c r="G109" s="84"/>
      <c r="H109" s="85"/>
      <c r="I109" s="36"/>
      <c r="L109" s="88"/>
      <c r="M109" s="88"/>
      <c r="N109" s="36"/>
    </row>
    <row r="110" spans="1:14" s="37" customFormat="1" ht="15.75" customHeight="1" x14ac:dyDescent="0.25">
      <c r="A110" s="71">
        <f t="shared" si="1"/>
        <v>6</v>
      </c>
      <c r="B110" s="72"/>
      <c r="C110" s="42" t="s">
        <v>199</v>
      </c>
      <c r="D110" s="54">
        <f>(67.16+0.75*3.87+0.6*2.55)*(10.764)</f>
        <v>770.62166999999999</v>
      </c>
      <c r="E110" s="54">
        <f>(2.9*2.9+3.3*1.5)*(10.764)</f>
        <v>143.80703999999997</v>
      </c>
      <c r="F110" s="42">
        <f t="shared" si="0"/>
        <v>1227.8360250000001</v>
      </c>
      <c r="G110" s="84"/>
      <c r="H110" s="85"/>
      <c r="I110" s="36"/>
      <c r="L110" s="88"/>
      <c r="M110" s="88"/>
      <c r="N110" s="36"/>
    </row>
    <row r="111" spans="1:14" s="37" customFormat="1" ht="15.75" customHeight="1" x14ac:dyDescent="0.25">
      <c r="A111" s="71">
        <f t="shared" si="1"/>
        <v>7</v>
      </c>
      <c r="B111" s="72"/>
      <c r="C111" s="42" t="s">
        <v>199</v>
      </c>
      <c r="D111" s="54">
        <f>(62.5+0.75*(2.97*3.05+3)+0.6*2.3)*(10.764)</f>
        <v>784.95259049999993</v>
      </c>
      <c r="E111" s="42">
        <v>0</v>
      </c>
      <c r="F111" s="42">
        <f t="shared" si="0"/>
        <v>1177.4288857499998</v>
      </c>
      <c r="G111" s="86"/>
      <c r="H111" s="87"/>
      <c r="I111" s="36"/>
      <c r="L111" s="88"/>
      <c r="M111" s="88"/>
      <c r="N111" s="36"/>
    </row>
    <row r="112" spans="1:14" s="37" customFormat="1" x14ac:dyDescent="0.25">
      <c r="A112" s="91" t="s">
        <v>121</v>
      </c>
      <c r="B112" s="91"/>
      <c r="C112" s="91"/>
      <c r="D112" s="91"/>
      <c r="E112" s="91"/>
      <c r="F112" s="91"/>
      <c r="G112" s="91"/>
      <c r="H112" s="91"/>
      <c r="I112" s="36"/>
      <c r="L112" s="88"/>
      <c r="M112" s="88"/>
    </row>
    <row r="113" spans="1:14" s="37" customFormat="1" x14ac:dyDescent="0.25">
      <c r="A113" s="89">
        <v>1</v>
      </c>
      <c r="B113" s="89"/>
      <c r="C113" s="42" t="s">
        <v>199</v>
      </c>
      <c r="D113" s="54">
        <f>(63.94+0.75*(2.9+2.55+3.87+3.05))*(10.764)</f>
        <v>788.11316999999997</v>
      </c>
      <c r="E113" s="42">
        <v>0</v>
      </c>
      <c r="F113" s="42">
        <f t="shared" ref="F113:F119" si="2">D113*(($F$100)+1)+(IF(E113&lt;101,E113,IF(E113&lt;201,E113/2,IF(E113&lt;=301,E113/3,E113/4))))</f>
        <v>1182.1697549999999</v>
      </c>
      <c r="G113" s="82" t="str">
        <f>A112</f>
        <v>2nd Floor</v>
      </c>
      <c r="H113" s="83"/>
      <c r="I113" s="36"/>
      <c r="N113" s="36"/>
    </row>
    <row r="114" spans="1:14" s="37" customFormat="1" x14ac:dyDescent="0.25">
      <c r="A114" s="89">
        <f t="shared" ref="A114:A119" si="3">A113+1</f>
        <v>2</v>
      </c>
      <c r="B114" s="89"/>
      <c r="C114" s="42" t="s">
        <v>200</v>
      </c>
      <c r="D114" s="54">
        <f>(73.34+0.75*(2.63+2.97+3.95+3.05+3.05)+0.6*2.4)*(10.764)</f>
        <v>931.27436999999998</v>
      </c>
      <c r="E114" s="42">
        <v>0</v>
      </c>
      <c r="F114" s="42">
        <f t="shared" si="2"/>
        <v>1396.9115549999999</v>
      </c>
      <c r="G114" s="84"/>
      <c r="H114" s="85"/>
      <c r="I114" s="36"/>
      <c r="J114" s="37">
        <f>18500000/F114</f>
        <v>13243.501303845969</v>
      </c>
      <c r="N114" s="36"/>
    </row>
    <row r="115" spans="1:14" s="37" customFormat="1" x14ac:dyDescent="0.25">
      <c r="A115" s="89">
        <f t="shared" si="3"/>
        <v>3</v>
      </c>
      <c r="B115" s="89"/>
      <c r="C115" s="42" t="s">
        <v>200</v>
      </c>
      <c r="D115" s="54">
        <f>(81.47+0.75*(2.9+3.05+2.25+3.35+3.05))*(10.764)</f>
        <v>994.80887999999993</v>
      </c>
      <c r="E115" s="42">
        <v>0</v>
      </c>
      <c r="F115" s="42">
        <f t="shared" si="2"/>
        <v>1492.2133199999998</v>
      </c>
      <c r="G115" s="84"/>
      <c r="H115" s="85"/>
      <c r="I115" s="36"/>
      <c r="N115" s="36"/>
    </row>
    <row r="116" spans="1:14" s="37" customFormat="1" x14ac:dyDescent="0.25">
      <c r="A116" s="89">
        <f t="shared" si="3"/>
        <v>4</v>
      </c>
      <c r="B116" s="89"/>
      <c r="C116" s="42" t="s">
        <v>200</v>
      </c>
      <c r="D116" s="54">
        <f>(89.68+0.75*(3.13+3.05+3.35+2.37+3.05))*(10.764)</f>
        <v>1086.0068700000002</v>
      </c>
      <c r="E116" s="42">
        <v>0</v>
      </c>
      <c r="F116" s="42">
        <f t="shared" si="2"/>
        <v>1629.0103050000002</v>
      </c>
      <c r="G116" s="84"/>
      <c r="H116" s="85"/>
      <c r="I116" s="36"/>
      <c r="N116" s="36"/>
    </row>
    <row r="117" spans="1:14" s="37" customFormat="1" x14ac:dyDescent="0.25">
      <c r="A117" s="89">
        <f t="shared" si="3"/>
        <v>5</v>
      </c>
      <c r="B117" s="89"/>
      <c r="C117" s="42" t="s">
        <v>200</v>
      </c>
      <c r="D117" s="54">
        <f>(94.48+0.75*(3.05+3.35+2.45+3.05+2.9))*(10.764)</f>
        <v>1136.4631200000001</v>
      </c>
      <c r="E117" s="42">
        <v>0</v>
      </c>
      <c r="F117" s="42">
        <f t="shared" si="2"/>
        <v>1704.6946800000001</v>
      </c>
      <c r="G117" s="84"/>
      <c r="H117" s="85"/>
      <c r="I117" s="36"/>
      <c r="N117" s="36"/>
    </row>
    <row r="118" spans="1:14" s="37" customFormat="1" x14ac:dyDescent="0.25">
      <c r="A118" s="89">
        <f t="shared" si="3"/>
        <v>6</v>
      </c>
      <c r="B118" s="89"/>
      <c r="C118" s="42" t="s">
        <v>199</v>
      </c>
      <c r="D118" s="54">
        <f>(67.16+0.75*(2.9+2.9+3.87+2.5+3.22))*(10.764)</f>
        <v>847.15370999999993</v>
      </c>
      <c r="E118" s="42">
        <v>0</v>
      </c>
      <c r="F118" s="42">
        <f t="shared" si="2"/>
        <v>1270.7305649999998</v>
      </c>
      <c r="G118" s="84"/>
      <c r="H118" s="85"/>
      <c r="I118" s="36"/>
      <c r="N118" s="36"/>
    </row>
    <row r="119" spans="1:14" s="37" customFormat="1" x14ac:dyDescent="0.25">
      <c r="A119" s="89">
        <f t="shared" si="3"/>
        <v>7</v>
      </c>
      <c r="B119" s="89"/>
      <c r="C119" s="42" t="s">
        <v>199</v>
      </c>
      <c r="D119" s="54">
        <f>(67.1+0.75*(3.05+2.95+2.3+3))*(10.764)</f>
        <v>813.48929999999984</v>
      </c>
      <c r="E119" s="42">
        <v>0</v>
      </c>
      <c r="F119" s="42">
        <f t="shared" si="2"/>
        <v>1220.2339499999998</v>
      </c>
      <c r="G119" s="86"/>
      <c r="H119" s="87"/>
      <c r="I119" s="36"/>
      <c r="N119" s="36"/>
    </row>
    <row r="120" spans="1:14" s="37" customFormat="1" x14ac:dyDescent="0.25">
      <c r="A120" s="91" t="s">
        <v>201</v>
      </c>
      <c r="B120" s="91"/>
      <c r="C120" s="91"/>
      <c r="D120" s="91"/>
      <c r="E120" s="91"/>
      <c r="F120" s="91"/>
      <c r="G120" s="91"/>
      <c r="H120" s="91"/>
      <c r="I120" s="36"/>
      <c r="L120" s="88"/>
      <c r="M120" s="88"/>
    </row>
    <row r="121" spans="1:14" s="37" customFormat="1" x14ac:dyDescent="0.25">
      <c r="A121" s="89">
        <v>1</v>
      </c>
      <c r="B121" s="89"/>
      <c r="C121" s="42" t="s">
        <v>199</v>
      </c>
      <c r="D121" s="54">
        <f>(63.94+0.75*(2.9+2.55+3.87+3.05))*(10.764)</f>
        <v>788.11316999999997</v>
      </c>
      <c r="E121" s="42">
        <v>0</v>
      </c>
      <c r="F121" s="42">
        <f t="shared" ref="F121:F127" si="4">D121*(($F$100)+1)+(IF(E121&lt;101,E121,IF(E121&lt;201,E121/2,IF(E121&lt;=301,E121/3,E121/4))))</f>
        <v>1182.1697549999999</v>
      </c>
      <c r="G121" s="82" t="str">
        <f>A120</f>
        <v>3rd Floor</v>
      </c>
      <c r="H121" s="83"/>
      <c r="I121" s="36"/>
      <c r="N121" s="36"/>
    </row>
    <row r="122" spans="1:14" s="37" customFormat="1" x14ac:dyDescent="0.25">
      <c r="A122" s="89">
        <f t="shared" ref="A122:A127" si="5">A121+1</f>
        <v>2</v>
      </c>
      <c r="B122" s="89"/>
      <c r="C122" s="42" t="s">
        <v>200</v>
      </c>
      <c r="D122" s="54">
        <f>(73.34+0.75*(2.63+2.97+3.95+3.05+3.05)+0.6*2.4)*(10.764)</f>
        <v>931.27436999999998</v>
      </c>
      <c r="E122" s="42">
        <v>0</v>
      </c>
      <c r="F122" s="42">
        <f t="shared" si="4"/>
        <v>1396.9115549999999</v>
      </c>
      <c r="G122" s="84"/>
      <c r="H122" s="85"/>
      <c r="I122" s="36"/>
      <c r="N122" s="36"/>
    </row>
    <row r="123" spans="1:14" s="37" customFormat="1" x14ac:dyDescent="0.25">
      <c r="A123" s="89">
        <f t="shared" si="5"/>
        <v>3</v>
      </c>
      <c r="B123" s="89"/>
      <c r="C123" s="42" t="s">
        <v>200</v>
      </c>
      <c r="D123" s="54">
        <f>(81.47+0.75*(2.9+3.05+2.25+3.35+3.05))*(10.764)</f>
        <v>994.80887999999993</v>
      </c>
      <c r="E123" s="42">
        <v>0</v>
      </c>
      <c r="F123" s="42">
        <f t="shared" si="4"/>
        <v>1492.2133199999998</v>
      </c>
      <c r="G123" s="84"/>
      <c r="H123" s="85"/>
      <c r="I123" s="36"/>
      <c r="N123" s="36"/>
    </row>
    <row r="124" spans="1:14" s="37" customFormat="1" x14ac:dyDescent="0.25">
      <c r="A124" s="89">
        <f t="shared" si="5"/>
        <v>4</v>
      </c>
      <c r="B124" s="89"/>
      <c r="C124" s="42" t="s">
        <v>200</v>
      </c>
      <c r="D124" s="54">
        <f>(89.68+0.75*(3.13+3.05+3.35+2.37+3.05))*(10.764)</f>
        <v>1086.0068700000002</v>
      </c>
      <c r="E124" s="42">
        <v>0</v>
      </c>
      <c r="F124" s="42">
        <f t="shared" si="4"/>
        <v>1629.0103050000002</v>
      </c>
      <c r="G124" s="84"/>
      <c r="H124" s="85"/>
      <c r="I124" s="36"/>
      <c r="N124" s="36"/>
    </row>
    <row r="125" spans="1:14" s="37" customFormat="1" x14ac:dyDescent="0.25">
      <c r="A125" s="89">
        <f t="shared" si="5"/>
        <v>5</v>
      </c>
      <c r="B125" s="89"/>
      <c r="C125" s="42" t="s">
        <v>200</v>
      </c>
      <c r="D125" s="54">
        <f>(94.48+0.75*(3.05+3.35+2.45+3.05+2.9))*(10.764)</f>
        <v>1136.4631200000001</v>
      </c>
      <c r="E125" s="42">
        <v>0</v>
      </c>
      <c r="F125" s="42">
        <f t="shared" si="4"/>
        <v>1704.6946800000001</v>
      </c>
      <c r="G125" s="84"/>
      <c r="H125" s="85"/>
      <c r="I125" s="36"/>
      <c r="N125" s="36"/>
    </row>
    <row r="126" spans="1:14" s="37" customFormat="1" x14ac:dyDescent="0.25">
      <c r="A126" s="89">
        <f t="shared" si="5"/>
        <v>6</v>
      </c>
      <c r="B126" s="89"/>
      <c r="C126" s="42" t="s">
        <v>199</v>
      </c>
      <c r="D126" s="54">
        <f>(67.16+0.75*(2.9+2.9+3.87+2.5+3.22))*(10.764)</f>
        <v>847.15370999999993</v>
      </c>
      <c r="E126" s="42">
        <v>0</v>
      </c>
      <c r="F126" s="42">
        <f t="shared" si="4"/>
        <v>1270.7305649999998</v>
      </c>
      <c r="G126" s="84"/>
      <c r="H126" s="85"/>
      <c r="I126" s="36"/>
      <c r="N126" s="36"/>
    </row>
    <row r="127" spans="1:14" s="37" customFormat="1" x14ac:dyDescent="0.25">
      <c r="A127" s="89">
        <f t="shared" si="5"/>
        <v>7</v>
      </c>
      <c r="B127" s="89"/>
      <c r="C127" s="42" t="s">
        <v>199</v>
      </c>
      <c r="D127" s="54">
        <f>(67.1+0.75*(3.05+2.95+2.3+3))*(10.764)</f>
        <v>813.48929999999984</v>
      </c>
      <c r="E127" s="42">
        <v>0</v>
      </c>
      <c r="F127" s="42">
        <f t="shared" si="4"/>
        <v>1220.2339499999998</v>
      </c>
      <c r="G127" s="86"/>
      <c r="H127" s="87"/>
      <c r="I127" s="36"/>
      <c r="N127" s="36"/>
    </row>
    <row r="128" spans="1:14" s="37" customFormat="1" x14ac:dyDescent="0.25">
      <c r="A128" s="91" t="s">
        <v>202</v>
      </c>
      <c r="B128" s="91"/>
      <c r="C128" s="91"/>
      <c r="D128" s="91"/>
      <c r="E128" s="91"/>
      <c r="F128" s="91"/>
      <c r="G128" s="91"/>
      <c r="H128" s="91"/>
      <c r="I128" s="36"/>
      <c r="L128" s="88"/>
      <c r="M128" s="88"/>
    </row>
    <row r="129" spans="1:14" s="37" customFormat="1" x14ac:dyDescent="0.25">
      <c r="A129" s="89">
        <v>1</v>
      </c>
      <c r="B129" s="89"/>
      <c r="C129" s="59" t="s">
        <v>199</v>
      </c>
      <c r="D129" s="60">
        <f>(63.94+0.75*(2.9+2.55+3.87+3.05))*(10.764)</f>
        <v>788.11316999999997</v>
      </c>
      <c r="E129" s="59">
        <v>0</v>
      </c>
      <c r="F129" s="59">
        <f t="shared" ref="F129:F135" si="6">D129*(($F$100)+1)+(IF(E129&lt;101,E129,IF(E129&lt;201,E129/2,IF(E129&lt;=301,E129/3,E129/4))))</f>
        <v>1182.1697549999999</v>
      </c>
      <c r="G129" s="82" t="str">
        <f>A128</f>
        <v>4th Floor (Part Refuge Area)</v>
      </c>
      <c r="H129" s="83"/>
      <c r="I129" s="36"/>
      <c r="N129" s="36"/>
    </row>
    <row r="130" spans="1:14" s="37" customFormat="1" x14ac:dyDescent="0.25">
      <c r="A130" s="89">
        <f t="shared" ref="A130:A135" si="7">A129+1</f>
        <v>2</v>
      </c>
      <c r="B130" s="89"/>
      <c r="C130" s="59" t="s">
        <v>199</v>
      </c>
      <c r="D130" s="60">
        <f>(59.36+0.75*(3.05+3.95+2.4+2.97))*(10.764)</f>
        <v>738.81404999999995</v>
      </c>
      <c r="E130" s="59">
        <v>0</v>
      </c>
      <c r="F130" s="59">
        <f t="shared" si="6"/>
        <v>1108.2210749999999</v>
      </c>
      <c r="G130" s="84"/>
      <c r="H130" s="85"/>
      <c r="I130" s="36"/>
      <c r="N130" s="36"/>
    </row>
    <row r="131" spans="1:14" s="37" customFormat="1" x14ac:dyDescent="0.25">
      <c r="A131" s="89">
        <f t="shared" si="7"/>
        <v>3</v>
      </c>
      <c r="B131" s="89"/>
      <c r="C131" s="61" t="s">
        <v>200</v>
      </c>
      <c r="D131" s="62">
        <f>(83.15+0.75*(3.05+3.35+2.25+3.05+2.9))*(10.764)</f>
        <v>1012.8924000000001</v>
      </c>
      <c r="E131" s="42">
        <v>0</v>
      </c>
      <c r="F131" s="42">
        <f t="shared" si="6"/>
        <v>1519.3386</v>
      </c>
      <c r="G131" s="84"/>
      <c r="H131" s="85"/>
      <c r="I131" s="36"/>
      <c r="N131" s="36"/>
    </row>
    <row r="132" spans="1:14" s="37" customFormat="1" x14ac:dyDescent="0.25">
      <c r="A132" s="89">
        <f t="shared" si="7"/>
        <v>4</v>
      </c>
      <c r="B132" s="89"/>
      <c r="C132" s="42" t="s">
        <v>200</v>
      </c>
      <c r="D132" s="54">
        <f>(89.68+0.75*(3.05+2.37+3.35+3.05+3.13))*(10.764)</f>
        <v>1086.0068700000002</v>
      </c>
      <c r="E132" s="42">
        <v>0</v>
      </c>
      <c r="F132" s="42">
        <f t="shared" si="6"/>
        <v>1629.0103050000002</v>
      </c>
      <c r="G132" s="84"/>
      <c r="H132" s="85"/>
      <c r="I132" s="36"/>
      <c r="N132" s="36"/>
    </row>
    <row r="133" spans="1:14" s="37" customFormat="1" x14ac:dyDescent="0.25">
      <c r="A133" s="89">
        <f t="shared" si="7"/>
        <v>5</v>
      </c>
      <c r="B133" s="89"/>
      <c r="C133" s="42" t="s">
        <v>200</v>
      </c>
      <c r="D133" s="54">
        <f>(94.48+0.75*(3.05+3.35+2.45+3.05+2.9))*(10.764)</f>
        <v>1136.4631200000001</v>
      </c>
      <c r="E133" s="42">
        <v>0</v>
      </c>
      <c r="F133" s="42">
        <f t="shared" si="6"/>
        <v>1704.6946800000001</v>
      </c>
      <c r="G133" s="84"/>
      <c r="H133" s="85"/>
      <c r="I133" s="36"/>
      <c r="N133" s="36"/>
    </row>
    <row r="134" spans="1:14" s="37" customFormat="1" x14ac:dyDescent="0.25">
      <c r="A134" s="89">
        <f t="shared" si="7"/>
        <v>6</v>
      </c>
      <c r="B134" s="89"/>
      <c r="C134" s="42" t="s">
        <v>199</v>
      </c>
      <c r="D134" s="54">
        <f>(67.16+0.75*(3.22+2.5+3.87+2.9))*(10.764)</f>
        <v>823.74200999999994</v>
      </c>
      <c r="E134" s="42">
        <v>0</v>
      </c>
      <c r="F134" s="42">
        <f t="shared" si="6"/>
        <v>1235.6130149999999</v>
      </c>
      <c r="G134" s="84"/>
      <c r="H134" s="85"/>
      <c r="I134" s="36"/>
      <c r="N134" s="36"/>
    </row>
    <row r="135" spans="1:14" s="37" customFormat="1" x14ac:dyDescent="0.25">
      <c r="A135" s="89">
        <f t="shared" si="7"/>
        <v>7</v>
      </c>
      <c r="B135" s="89"/>
      <c r="C135" s="42" t="s">
        <v>199</v>
      </c>
      <c r="D135" s="54">
        <f>(67.1+0.75*(3.05+2.95+2.3+3))*(10.764)</f>
        <v>813.48929999999984</v>
      </c>
      <c r="E135" s="42">
        <v>0</v>
      </c>
      <c r="F135" s="42">
        <f t="shared" si="6"/>
        <v>1220.2339499999998</v>
      </c>
      <c r="G135" s="86"/>
      <c r="H135" s="87"/>
      <c r="I135" s="36"/>
      <c r="N135" s="36"/>
    </row>
    <row r="136" spans="1:14" s="37" customFormat="1" x14ac:dyDescent="0.25">
      <c r="A136" s="90" t="s">
        <v>203</v>
      </c>
      <c r="B136" s="90"/>
      <c r="C136" s="90"/>
      <c r="D136" s="90"/>
      <c r="E136" s="90"/>
      <c r="F136" s="90"/>
      <c r="G136" s="90"/>
      <c r="H136" s="90"/>
      <c r="I136" s="36"/>
      <c r="L136" s="88"/>
      <c r="M136" s="88"/>
    </row>
    <row r="137" spans="1:14" s="37" customFormat="1" x14ac:dyDescent="0.25">
      <c r="A137" s="89">
        <v>1</v>
      </c>
      <c r="B137" s="89"/>
      <c r="C137" s="55" t="s">
        <v>199</v>
      </c>
      <c r="D137" s="54">
        <f>(63.94+0.75*(2.9+2.55+3.87+3.05))*(10.764)</f>
        <v>788.11316999999997</v>
      </c>
      <c r="E137" s="42">
        <v>0</v>
      </c>
      <c r="F137" s="42">
        <f t="shared" ref="F137:F142" si="8">D137*(($F$100)+1)+(IF(E137&lt;101,E137,IF(E137&lt;201,E137/2,IF(E137&lt;=301,E137/3,E137/4))))</f>
        <v>1182.1697549999999</v>
      </c>
      <c r="G137" s="82" t="str">
        <f>A136</f>
        <v>5th Floor</v>
      </c>
      <c r="H137" s="83"/>
      <c r="I137" s="36"/>
      <c r="N137" s="36"/>
    </row>
    <row r="138" spans="1:14" s="37" customFormat="1" x14ac:dyDescent="0.25">
      <c r="A138" s="89">
        <f t="shared" ref="A138:A143" si="9">A137+1</f>
        <v>2</v>
      </c>
      <c r="B138" s="89"/>
      <c r="C138" s="55" t="s">
        <v>200</v>
      </c>
      <c r="D138" s="54">
        <f>(73.34+0.75*(2.63+2.97+3.95+3.05+3.05)+0.6*2.4)*(10.764)</f>
        <v>931.27436999999998</v>
      </c>
      <c r="E138" s="42">
        <v>0</v>
      </c>
      <c r="F138" s="42">
        <f t="shared" si="8"/>
        <v>1396.9115549999999</v>
      </c>
      <c r="G138" s="84"/>
      <c r="H138" s="85"/>
      <c r="I138" s="36"/>
      <c r="N138" s="36"/>
    </row>
    <row r="139" spans="1:14" s="37" customFormat="1" x14ac:dyDescent="0.25">
      <c r="A139" s="89">
        <f t="shared" si="9"/>
        <v>3</v>
      </c>
      <c r="B139" s="89"/>
      <c r="C139" s="55" t="s">
        <v>200</v>
      </c>
      <c r="D139" s="54">
        <f>(81.47+0.75*(2.9+3.05+2.25+3.35+3.05))*(10.764)</f>
        <v>994.80887999999993</v>
      </c>
      <c r="E139" s="42">
        <v>0</v>
      </c>
      <c r="F139" s="42">
        <f t="shared" si="8"/>
        <v>1492.2133199999998</v>
      </c>
      <c r="G139" s="84"/>
      <c r="H139" s="85"/>
      <c r="I139" s="36"/>
      <c r="N139" s="36"/>
    </row>
    <row r="140" spans="1:14" s="37" customFormat="1" x14ac:dyDescent="0.25">
      <c r="A140" s="89">
        <f t="shared" si="9"/>
        <v>4</v>
      </c>
      <c r="B140" s="89"/>
      <c r="C140" s="55" t="s">
        <v>200</v>
      </c>
      <c r="D140" s="54">
        <f>(89.68+0.75*(3.13+3.05+3.35+2.37+3.05))*(10.764)</f>
        <v>1086.0068700000002</v>
      </c>
      <c r="E140" s="42">
        <v>0</v>
      </c>
      <c r="F140" s="42">
        <f t="shared" si="8"/>
        <v>1629.0103050000002</v>
      </c>
      <c r="G140" s="84"/>
      <c r="H140" s="85"/>
      <c r="I140" s="36"/>
      <c r="N140" s="36"/>
    </row>
    <row r="141" spans="1:14" s="37" customFormat="1" x14ac:dyDescent="0.25">
      <c r="A141" s="89">
        <f t="shared" si="9"/>
        <v>5</v>
      </c>
      <c r="B141" s="89"/>
      <c r="C141" s="55" t="s">
        <v>200</v>
      </c>
      <c r="D141" s="54">
        <f>(94.48+0.75*(3.05+3.35+2.45+3.05+2.9))*(10.764)</f>
        <v>1136.4631200000001</v>
      </c>
      <c r="E141" s="42">
        <v>0</v>
      </c>
      <c r="F141" s="42">
        <f t="shared" si="8"/>
        <v>1704.6946800000001</v>
      </c>
      <c r="G141" s="84"/>
      <c r="H141" s="85"/>
      <c r="I141" s="36"/>
      <c r="N141" s="36"/>
    </row>
    <row r="142" spans="1:14" s="37" customFormat="1" x14ac:dyDescent="0.25">
      <c r="A142" s="89">
        <f t="shared" si="9"/>
        <v>6</v>
      </c>
      <c r="B142" s="89"/>
      <c r="C142" s="55" t="s">
        <v>199</v>
      </c>
      <c r="D142" s="54">
        <f>(67.16+0.75*(2.9+2.9+3.87+2.5+3.22))*(10.764)</f>
        <v>847.15370999999993</v>
      </c>
      <c r="E142" s="42">
        <v>0</v>
      </c>
      <c r="F142" s="42">
        <f t="shared" si="8"/>
        <v>1270.7305649999998</v>
      </c>
      <c r="G142" s="84"/>
      <c r="H142" s="85"/>
      <c r="I142" s="36"/>
      <c r="N142" s="36"/>
    </row>
    <row r="143" spans="1:14" s="56" customFormat="1" x14ac:dyDescent="0.25">
      <c r="A143" s="89">
        <f t="shared" si="9"/>
        <v>7</v>
      </c>
      <c r="B143" s="89"/>
      <c r="C143" s="55" t="s">
        <v>199</v>
      </c>
      <c r="D143" s="54">
        <f>(67.1+0.75*(3.05+2.95+2.3+3))*(10.764)</f>
        <v>813.48929999999984</v>
      </c>
      <c r="E143" s="55">
        <v>0</v>
      </c>
      <c r="F143" s="55">
        <f t="shared" ref="F143" si="10">D143*(($F$100)+1)+(IF(E143&lt;101,E143,IF(E143&lt;201,E143/2,IF(E143&lt;=301,E143/3,E143/4))))</f>
        <v>1220.2339499999998</v>
      </c>
      <c r="G143" s="86"/>
      <c r="H143" s="87"/>
      <c r="I143" s="36"/>
      <c r="N143" s="36"/>
    </row>
    <row r="144" spans="1:14" s="37" customFormat="1" x14ac:dyDescent="0.25">
      <c r="A144" s="90" t="s">
        <v>204</v>
      </c>
      <c r="B144" s="90"/>
      <c r="C144" s="90"/>
      <c r="D144" s="90"/>
      <c r="E144" s="90"/>
      <c r="F144" s="90"/>
      <c r="G144" s="90"/>
      <c r="H144" s="90"/>
      <c r="I144" s="36"/>
      <c r="L144" s="88"/>
      <c r="M144" s="88"/>
    </row>
    <row r="145" spans="1:14" s="37" customFormat="1" x14ac:dyDescent="0.25">
      <c r="A145" s="89">
        <v>1</v>
      </c>
      <c r="B145" s="89"/>
      <c r="C145" s="55" t="s">
        <v>199</v>
      </c>
      <c r="D145" s="54">
        <f>(64.9+0.75*(2.9+2.55+3.87+3.05))*(10.764)</f>
        <v>798.44661000000008</v>
      </c>
      <c r="E145" s="42">
        <v>0</v>
      </c>
      <c r="F145" s="42">
        <f t="shared" ref="F145:F150" si="11">D145*(($F$100)+1)+(IF(E145&lt;101,E145,IF(E145&lt;201,E145/2,IF(E145&lt;=301,E145/3,E145/4))))</f>
        <v>1197.6699150000002</v>
      </c>
      <c r="G145" s="82" t="str">
        <f>A144</f>
        <v>6th Floor</v>
      </c>
      <c r="H145" s="83"/>
      <c r="I145" s="36"/>
      <c r="N145" s="36"/>
    </row>
    <row r="146" spans="1:14" s="37" customFormat="1" x14ac:dyDescent="0.25">
      <c r="A146" s="89">
        <f t="shared" ref="A146:A151" si="12">A145+1</f>
        <v>2</v>
      </c>
      <c r="B146" s="89"/>
      <c r="C146" s="55" t="s">
        <v>200</v>
      </c>
      <c r="D146" s="54">
        <f>(75.98+0.75*(2.63+2.97+3.95+3.05+3.05)+0.6*2.4)*(10.764)</f>
        <v>959.69132999999988</v>
      </c>
      <c r="E146" s="42">
        <v>0</v>
      </c>
      <c r="F146" s="42">
        <f t="shared" si="11"/>
        <v>1439.5369949999999</v>
      </c>
      <c r="G146" s="84"/>
      <c r="H146" s="85"/>
      <c r="I146" s="36"/>
      <c r="N146" s="36"/>
    </row>
    <row r="147" spans="1:14" s="37" customFormat="1" x14ac:dyDescent="0.25">
      <c r="A147" s="89">
        <f t="shared" si="12"/>
        <v>3</v>
      </c>
      <c r="B147" s="89"/>
      <c r="C147" s="55" t="s">
        <v>200</v>
      </c>
      <c r="D147" s="54">
        <f>(83.15+0.75*(2.9+3.05+2.25+3.35+3.05))*(10.764)</f>
        <v>1012.8924000000001</v>
      </c>
      <c r="E147" s="42">
        <v>0</v>
      </c>
      <c r="F147" s="42">
        <f t="shared" si="11"/>
        <v>1519.3386</v>
      </c>
      <c r="G147" s="84"/>
      <c r="H147" s="85"/>
      <c r="I147" s="36">
        <f>3.35*6.95+0.55*3.05+3.05*3.75+2.35*1.3+0.9*1.2+2.25*2.8+3.05*3.95+1.3*2.3+2.4*1.3+3.6*2.9+0.95*3.5</f>
        <v>78.754999999999995</v>
      </c>
      <c r="N147" s="36"/>
    </row>
    <row r="148" spans="1:14" s="37" customFormat="1" x14ac:dyDescent="0.25">
      <c r="A148" s="89">
        <f t="shared" si="12"/>
        <v>4</v>
      </c>
      <c r="B148" s="89"/>
      <c r="C148" s="55" t="s">
        <v>200</v>
      </c>
      <c r="D148" s="54">
        <f>(89.68+0.75*(3.13+3.05+3.35+2.37+3.05))*(10.764)</f>
        <v>1086.0068700000002</v>
      </c>
      <c r="E148" s="42">
        <v>0</v>
      </c>
      <c r="F148" s="42">
        <f t="shared" si="11"/>
        <v>1629.0103050000002</v>
      </c>
      <c r="G148" s="84"/>
      <c r="H148" s="85"/>
      <c r="I148" s="36"/>
      <c r="N148" s="36"/>
    </row>
    <row r="149" spans="1:14" s="37" customFormat="1" x14ac:dyDescent="0.25">
      <c r="A149" s="89">
        <f t="shared" si="12"/>
        <v>5</v>
      </c>
      <c r="B149" s="89"/>
      <c r="C149" s="55" t="s">
        <v>200</v>
      </c>
      <c r="D149" s="54">
        <f>(95.87+0.75*(3.05+3.35+2.45+3.05+2.9))*(10.764)</f>
        <v>1151.42508</v>
      </c>
      <c r="E149" s="42">
        <v>0</v>
      </c>
      <c r="F149" s="42">
        <f t="shared" si="11"/>
        <v>1727.13762</v>
      </c>
      <c r="G149" s="84"/>
      <c r="H149" s="85"/>
      <c r="I149" s="36"/>
      <c r="N149" s="36"/>
    </row>
    <row r="150" spans="1:14" s="37" customFormat="1" x14ac:dyDescent="0.25">
      <c r="A150" s="89">
        <f t="shared" si="12"/>
        <v>6</v>
      </c>
      <c r="B150" s="89"/>
      <c r="C150" s="55" t="s">
        <v>199</v>
      </c>
      <c r="D150" s="54">
        <f>(67.16+0.75*(2.9+2.9+3.87+2.5+3.22))*(10.764)</f>
        <v>847.15370999999993</v>
      </c>
      <c r="E150" s="42">
        <v>0</v>
      </c>
      <c r="F150" s="42">
        <f t="shared" si="11"/>
        <v>1270.7305649999998</v>
      </c>
      <c r="G150" s="84"/>
      <c r="H150" s="85"/>
      <c r="I150" s="36"/>
      <c r="N150" s="36"/>
    </row>
    <row r="151" spans="1:14" s="56" customFormat="1" x14ac:dyDescent="0.25">
      <c r="A151" s="89">
        <f t="shared" si="12"/>
        <v>7</v>
      </c>
      <c r="B151" s="89"/>
      <c r="C151" s="55" t="s">
        <v>199</v>
      </c>
      <c r="D151" s="54">
        <f>(67.1+0.75*(3.05+2.95+2.3+3))*(10.764)</f>
        <v>813.48929999999984</v>
      </c>
      <c r="E151" s="55">
        <v>0</v>
      </c>
      <c r="F151" s="55">
        <f t="shared" ref="F151" si="13">D151*(($F$100)+1)+(IF(E151&lt;101,E151,IF(E151&lt;201,E151/2,IF(E151&lt;=301,E151/3,E151/4))))</f>
        <v>1220.2339499999998</v>
      </c>
      <c r="G151" s="86"/>
      <c r="H151" s="87"/>
      <c r="I151" s="36"/>
      <c r="N151" s="36"/>
    </row>
    <row r="152" spans="1:14" s="37" customFormat="1" x14ac:dyDescent="0.25">
      <c r="A152" s="90" t="s">
        <v>205</v>
      </c>
      <c r="B152" s="90"/>
      <c r="C152" s="90"/>
      <c r="D152" s="90"/>
      <c r="E152" s="90"/>
      <c r="F152" s="90"/>
      <c r="G152" s="90"/>
      <c r="H152" s="90"/>
      <c r="I152" s="36"/>
      <c r="L152" s="88"/>
      <c r="M152" s="88"/>
    </row>
    <row r="153" spans="1:14" s="37" customFormat="1" x14ac:dyDescent="0.25">
      <c r="A153" s="75">
        <v>1</v>
      </c>
      <c r="B153" s="75"/>
      <c r="C153" s="59" t="s">
        <v>199</v>
      </c>
      <c r="D153" s="60">
        <f>(64.9+0.75*(2.9+2.55+3.87+3.05))*(10.764)</f>
        <v>798.44661000000008</v>
      </c>
      <c r="E153" s="59">
        <v>0</v>
      </c>
      <c r="F153" s="59">
        <f t="shared" ref="F153:F158" si="14">D153*(($F$100)+1)+(IF(E153&lt;101,E153,IF(E153&lt;201,E153/2,IF(E153&lt;=301,E153/3,E153/4))))</f>
        <v>1197.6699150000002</v>
      </c>
      <c r="G153" s="76" t="str">
        <f>A152</f>
        <v>7th Floor</v>
      </c>
      <c r="H153" s="77"/>
      <c r="I153" s="36"/>
      <c r="N153" s="36"/>
    </row>
    <row r="154" spans="1:14" s="37" customFormat="1" x14ac:dyDescent="0.25">
      <c r="A154" s="75">
        <f t="shared" ref="A154:A159" si="15">A153+1</f>
        <v>2</v>
      </c>
      <c r="B154" s="75"/>
      <c r="C154" s="59" t="s">
        <v>200</v>
      </c>
      <c r="D154" s="60">
        <f>(75.98+0.75*(2.63+2.97+3.95+3.05+3.05)+0.6*2.4)*(10.764)</f>
        <v>959.69132999999988</v>
      </c>
      <c r="E154" s="59">
        <v>0</v>
      </c>
      <c r="F154" s="59">
        <f t="shared" si="14"/>
        <v>1439.5369949999999</v>
      </c>
      <c r="G154" s="78"/>
      <c r="H154" s="79"/>
      <c r="I154" s="36"/>
      <c r="N154" s="36"/>
    </row>
    <row r="155" spans="1:14" s="37" customFormat="1" x14ac:dyDescent="0.25">
      <c r="A155" s="75">
        <f t="shared" si="15"/>
        <v>3</v>
      </c>
      <c r="B155" s="75"/>
      <c r="C155" s="59" t="s">
        <v>200</v>
      </c>
      <c r="D155" s="60">
        <f>(96.78+0.75*(2.9+3.05+2.25+3.35+3.05))*(10.764)</f>
        <v>1159.60572</v>
      </c>
      <c r="E155" s="59">
        <v>0</v>
      </c>
      <c r="F155" s="59">
        <f t="shared" si="14"/>
        <v>1739.40858</v>
      </c>
      <c r="G155" s="78"/>
      <c r="H155" s="79"/>
      <c r="I155" s="36"/>
      <c r="N155" s="36"/>
    </row>
    <row r="156" spans="1:14" s="37" customFormat="1" x14ac:dyDescent="0.25">
      <c r="A156" s="75">
        <f t="shared" si="15"/>
        <v>4</v>
      </c>
      <c r="B156" s="75"/>
      <c r="C156" s="59" t="s">
        <v>200</v>
      </c>
      <c r="D156" s="60">
        <f>(92.79+0.75*(3.13+3.05+3.35+2.37+3.05))*(10.764)</f>
        <v>1119.4829099999999</v>
      </c>
      <c r="E156" s="59">
        <v>0</v>
      </c>
      <c r="F156" s="59">
        <f t="shared" si="14"/>
        <v>1679.224365</v>
      </c>
      <c r="G156" s="78"/>
      <c r="H156" s="79"/>
      <c r="I156" s="36"/>
      <c r="N156" s="36"/>
    </row>
    <row r="157" spans="1:14" s="37" customFormat="1" x14ac:dyDescent="0.25">
      <c r="A157" s="75">
        <f t="shared" si="15"/>
        <v>5</v>
      </c>
      <c r="B157" s="75"/>
      <c r="C157" s="59" t="s">
        <v>200</v>
      </c>
      <c r="D157" s="60">
        <f>(100.99+0.75*(3.05+3.35+2.45+3.05+2.9))*(10.764)</f>
        <v>1206.53676</v>
      </c>
      <c r="E157" s="59">
        <v>0</v>
      </c>
      <c r="F157" s="59">
        <f t="shared" si="14"/>
        <v>1809.8051399999999</v>
      </c>
      <c r="G157" s="78"/>
      <c r="H157" s="79"/>
      <c r="I157" s="36"/>
      <c r="N157" s="36"/>
    </row>
    <row r="158" spans="1:14" s="37" customFormat="1" x14ac:dyDescent="0.25">
      <c r="A158" s="75">
        <f t="shared" si="15"/>
        <v>6</v>
      </c>
      <c r="B158" s="75"/>
      <c r="C158" s="59" t="s">
        <v>199</v>
      </c>
      <c r="D158" s="60">
        <f>(67.16+0.75*(2.9+2.9+3.87+2.5+3.22))*(10.764)</f>
        <v>847.15370999999993</v>
      </c>
      <c r="E158" s="59">
        <v>0</v>
      </c>
      <c r="F158" s="59">
        <f t="shared" si="14"/>
        <v>1270.7305649999998</v>
      </c>
      <c r="G158" s="78"/>
      <c r="H158" s="79"/>
      <c r="I158" s="36"/>
      <c r="N158" s="36"/>
    </row>
    <row r="159" spans="1:14" s="56" customFormat="1" x14ac:dyDescent="0.25">
      <c r="A159" s="75">
        <f t="shared" si="15"/>
        <v>7</v>
      </c>
      <c r="B159" s="75"/>
      <c r="C159" s="59" t="s">
        <v>199</v>
      </c>
      <c r="D159" s="60">
        <f>(67.1+0.75*(3.05+2.95+2.3+3))*(10.764)</f>
        <v>813.48929999999984</v>
      </c>
      <c r="E159" s="59">
        <v>0</v>
      </c>
      <c r="F159" s="59">
        <f t="shared" ref="F159" si="16">D159*(($F$100)+1)+(IF(E159&lt;101,E159,IF(E159&lt;201,E159/2,IF(E159&lt;=301,E159/3,E159/4))))</f>
        <v>1220.2339499999998</v>
      </c>
      <c r="G159" s="80"/>
      <c r="H159" s="81"/>
      <c r="I159" s="36"/>
      <c r="N159" s="36"/>
    </row>
    <row r="160" spans="1:14" s="37" customFormat="1" x14ac:dyDescent="0.25">
      <c r="A160" s="90" t="s">
        <v>206</v>
      </c>
      <c r="B160" s="90"/>
      <c r="C160" s="90"/>
      <c r="D160" s="90"/>
      <c r="E160" s="90"/>
      <c r="F160" s="90"/>
      <c r="G160" s="90"/>
      <c r="H160" s="90"/>
      <c r="I160" s="36"/>
      <c r="L160" s="88"/>
      <c r="M160" s="88"/>
    </row>
    <row r="161" spans="1:14" s="37" customFormat="1" x14ac:dyDescent="0.25">
      <c r="A161" s="75">
        <v>1</v>
      </c>
      <c r="B161" s="75"/>
      <c r="C161" s="59" t="s">
        <v>199</v>
      </c>
      <c r="D161" s="60">
        <f>(64.9+0.75*(2.9+2.55+3.87+3.05))*(10.764)</f>
        <v>798.44661000000008</v>
      </c>
      <c r="E161" s="59">
        <v>0</v>
      </c>
      <c r="F161" s="59">
        <f t="shared" ref="F161:F167" si="17">D161*(($F$100)+1)+(IF(E161&lt;101,E161,IF(E161&lt;201,E161/2,IF(E161&lt;=301,E161/3,E161/4))))</f>
        <v>1197.6699150000002</v>
      </c>
      <c r="G161" s="76" t="str">
        <f>A160</f>
        <v>8th Floor</v>
      </c>
      <c r="H161" s="77"/>
      <c r="I161" s="36"/>
      <c r="N161" s="36"/>
    </row>
    <row r="162" spans="1:14" s="37" customFormat="1" x14ac:dyDescent="0.25">
      <c r="A162" s="75">
        <f t="shared" ref="A162:A167" si="18">A161+1</f>
        <v>2</v>
      </c>
      <c r="B162" s="75"/>
      <c r="C162" s="59" t="s">
        <v>200</v>
      </c>
      <c r="D162" s="60">
        <f>(75.98+0.75*(2.63+2.97+3.95+3.05+3.05)+0.6*2.4)*(10.764)</f>
        <v>959.69132999999988</v>
      </c>
      <c r="E162" s="59">
        <v>0</v>
      </c>
      <c r="F162" s="59">
        <f t="shared" si="17"/>
        <v>1439.5369949999999</v>
      </c>
      <c r="G162" s="78"/>
      <c r="H162" s="79"/>
      <c r="I162" s="36"/>
      <c r="N162" s="36"/>
    </row>
    <row r="163" spans="1:14" s="37" customFormat="1" x14ac:dyDescent="0.25">
      <c r="A163" s="75">
        <f t="shared" si="18"/>
        <v>3</v>
      </c>
      <c r="B163" s="75"/>
      <c r="C163" s="59" t="s">
        <v>200</v>
      </c>
      <c r="D163" s="60">
        <f>(96.78+0.75*(2.9+3.05+2.25+3.35+3.05))*(10.764)</f>
        <v>1159.60572</v>
      </c>
      <c r="E163" s="59">
        <v>0</v>
      </c>
      <c r="F163" s="59">
        <f t="shared" si="17"/>
        <v>1739.40858</v>
      </c>
      <c r="G163" s="78"/>
      <c r="H163" s="79"/>
      <c r="I163" s="36"/>
      <c r="N163" s="36"/>
    </row>
    <row r="164" spans="1:14" s="37" customFormat="1" x14ac:dyDescent="0.25">
      <c r="A164" s="75">
        <f t="shared" si="18"/>
        <v>4</v>
      </c>
      <c r="B164" s="75"/>
      <c r="C164" s="59" t="s">
        <v>200</v>
      </c>
      <c r="D164" s="60">
        <f>(98.13+0.75*(3.13+3.05+3.35+2.37+3.05))*(10.764)</f>
        <v>1176.9626699999999</v>
      </c>
      <c r="E164" s="59">
        <v>0</v>
      </c>
      <c r="F164" s="59">
        <f t="shared" si="17"/>
        <v>1765.4440049999998</v>
      </c>
      <c r="G164" s="78"/>
      <c r="H164" s="79"/>
      <c r="I164" s="36"/>
      <c r="N164" s="36"/>
    </row>
    <row r="165" spans="1:14" s="37" customFormat="1" x14ac:dyDescent="0.25">
      <c r="A165" s="75">
        <f t="shared" si="18"/>
        <v>5</v>
      </c>
      <c r="B165" s="75"/>
      <c r="C165" s="59" t="s">
        <v>200</v>
      </c>
      <c r="D165" s="60">
        <f>(100.99+0.75*(3.05+3.35+2.45+3.05+2.9))*(10.764)</f>
        <v>1206.53676</v>
      </c>
      <c r="E165" s="59">
        <v>0</v>
      </c>
      <c r="F165" s="59">
        <f t="shared" si="17"/>
        <v>1809.8051399999999</v>
      </c>
      <c r="G165" s="78"/>
      <c r="H165" s="79"/>
      <c r="I165" s="36"/>
      <c r="N165" s="36"/>
    </row>
    <row r="166" spans="1:14" s="56" customFormat="1" x14ac:dyDescent="0.25">
      <c r="A166" s="75">
        <f t="shared" si="18"/>
        <v>6</v>
      </c>
      <c r="B166" s="75"/>
      <c r="C166" s="59" t="s">
        <v>199</v>
      </c>
      <c r="D166" s="60">
        <f>(67.16+0.75*(2.9+2.9+3.87+2.5+3.22))*(10.764)</f>
        <v>847.15370999999993</v>
      </c>
      <c r="E166" s="59">
        <v>0</v>
      </c>
      <c r="F166" s="59">
        <f t="shared" si="17"/>
        <v>1270.7305649999998</v>
      </c>
      <c r="G166" s="78"/>
      <c r="H166" s="79"/>
      <c r="I166" s="36"/>
      <c r="N166" s="36"/>
    </row>
    <row r="167" spans="1:14" s="56" customFormat="1" x14ac:dyDescent="0.25">
      <c r="A167" s="75">
        <f t="shared" si="18"/>
        <v>7</v>
      </c>
      <c r="B167" s="75"/>
      <c r="C167" s="59" t="s">
        <v>199</v>
      </c>
      <c r="D167" s="60">
        <f>(67.1+0.75*(3.05+2.95+2.3+3))*(10.764)</f>
        <v>813.48929999999984</v>
      </c>
      <c r="E167" s="59">
        <v>0</v>
      </c>
      <c r="F167" s="59">
        <f t="shared" si="17"/>
        <v>1220.2339499999998</v>
      </c>
      <c r="G167" s="80"/>
      <c r="H167" s="81"/>
      <c r="I167" s="36"/>
      <c r="N167" s="36"/>
    </row>
    <row r="168" spans="1:14" s="37" customFormat="1" ht="15.75" customHeight="1" x14ac:dyDescent="0.25">
      <c r="A168" s="65" t="s">
        <v>207</v>
      </c>
      <c r="B168" s="66"/>
      <c r="C168" s="66"/>
      <c r="D168" s="66"/>
      <c r="E168" s="66"/>
      <c r="F168" s="66"/>
      <c r="G168" s="66"/>
      <c r="H168" s="67"/>
      <c r="I168" s="36"/>
    </row>
    <row r="169" spans="1:14" s="37" customFormat="1" ht="15.75" customHeight="1" x14ac:dyDescent="0.25">
      <c r="A169" s="73">
        <v>1</v>
      </c>
      <c r="B169" s="74"/>
      <c r="C169" s="59" t="s">
        <v>199</v>
      </c>
      <c r="D169" s="60">
        <f>(64.9+0.75*(2.9+2.55+3.87+3.05))*(10.764)</f>
        <v>798.44661000000008</v>
      </c>
      <c r="E169" s="59">
        <v>0</v>
      </c>
      <c r="F169" s="59">
        <f t="shared" ref="F169:F175" si="19">D169*(($F$100)+1)+(IF(E169&lt;101,E169,IF(E169&lt;201,E169/2,IF(E169&lt;=301,E169/3,E169/4))))</f>
        <v>1197.6699150000002</v>
      </c>
      <c r="G169" s="76" t="str">
        <f>A168</f>
        <v>9th Floor (Part Refuge Area)</v>
      </c>
      <c r="H169" s="77"/>
      <c r="I169" s="36"/>
    </row>
    <row r="170" spans="1:14" s="37" customFormat="1" x14ac:dyDescent="0.25">
      <c r="A170" s="73">
        <f t="shared" ref="A170:A175" si="20">A169+1</f>
        <v>2</v>
      </c>
      <c r="B170" s="74"/>
      <c r="C170" s="59" t="s">
        <v>199</v>
      </c>
      <c r="D170" s="60">
        <f>(61.92+0.75*(3.05+3.95+2.4+2.97))*(10.764)</f>
        <v>766.36989000000005</v>
      </c>
      <c r="E170" s="59">
        <v>0</v>
      </c>
      <c r="F170" s="59">
        <f t="shared" si="19"/>
        <v>1149.5548350000001</v>
      </c>
      <c r="G170" s="78"/>
      <c r="H170" s="79"/>
      <c r="I170" s="36"/>
    </row>
    <row r="171" spans="1:14" s="37" customFormat="1" ht="15.75" customHeight="1" x14ac:dyDescent="0.25">
      <c r="A171" s="73">
        <f t="shared" si="20"/>
        <v>3</v>
      </c>
      <c r="B171" s="74"/>
      <c r="C171" s="63" t="s">
        <v>200</v>
      </c>
      <c r="D171" s="64">
        <f>(96.78+0.75*(3.05+3.35+2.25+3.05+2.9))*(10.764)</f>
        <v>1159.60572</v>
      </c>
      <c r="E171" s="59">
        <v>0</v>
      </c>
      <c r="F171" s="59">
        <f t="shared" si="19"/>
        <v>1739.40858</v>
      </c>
      <c r="G171" s="78"/>
      <c r="H171" s="79"/>
      <c r="I171" s="36"/>
    </row>
    <row r="172" spans="1:14" s="37" customFormat="1" ht="15.75" customHeight="1" x14ac:dyDescent="0.25">
      <c r="A172" s="73">
        <f t="shared" si="20"/>
        <v>4</v>
      </c>
      <c r="B172" s="74"/>
      <c r="C172" s="59" t="s">
        <v>200</v>
      </c>
      <c r="D172" s="60">
        <f>(98.13+0.75*(3.05+2.37+3.35+3.05+3.13))*(10.764)</f>
        <v>1176.9626699999999</v>
      </c>
      <c r="E172" s="59">
        <v>0</v>
      </c>
      <c r="F172" s="59">
        <f t="shared" si="19"/>
        <v>1765.4440049999998</v>
      </c>
      <c r="G172" s="78"/>
      <c r="H172" s="79"/>
      <c r="I172" s="36"/>
    </row>
    <row r="173" spans="1:14" s="37" customFormat="1" ht="15.75" customHeight="1" x14ac:dyDescent="0.25">
      <c r="A173" s="73">
        <f t="shared" si="20"/>
        <v>5</v>
      </c>
      <c r="B173" s="74"/>
      <c r="C173" s="59" t="s">
        <v>200</v>
      </c>
      <c r="D173" s="60">
        <f>(100.99+0.75*(3.05+3.35+2.45+3.05+2.9))*(10.764)</f>
        <v>1206.53676</v>
      </c>
      <c r="E173" s="59">
        <v>0</v>
      </c>
      <c r="F173" s="59">
        <f t="shared" si="19"/>
        <v>1809.8051399999999</v>
      </c>
      <c r="G173" s="78"/>
      <c r="H173" s="79"/>
      <c r="I173" s="36"/>
    </row>
    <row r="174" spans="1:14" s="56" customFormat="1" ht="15.75" customHeight="1" x14ac:dyDescent="0.25">
      <c r="A174" s="73">
        <f t="shared" si="20"/>
        <v>6</v>
      </c>
      <c r="B174" s="74"/>
      <c r="C174" s="59" t="s">
        <v>199</v>
      </c>
      <c r="D174" s="60">
        <f>(67.16+0.75*(3.22+2.5+3.87+2.9))*(10.764)</f>
        <v>823.74200999999994</v>
      </c>
      <c r="E174" s="59">
        <v>0</v>
      </c>
      <c r="F174" s="59">
        <f t="shared" si="19"/>
        <v>1235.6130149999999</v>
      </c>
      <c r="G174" s="78"/>
      <c r="H174" s="79"/>
      <c r="I174" s="36"/>
    </row>
    <row r="175" spans="1:14" s="56" customFormat="1" ht="15.75" customHeight="1" x14ac:dyDescent="0.25">
      <c r="A175" s="73">
        <f t="shared" si="20"/>
        <v>7</v>
      </c>
      <c r="B175" s="74"/>
      <c r="C175" s="59" t="s">
        <v>199</v>
      </c>
      <c r="D175" s="60">
        <f>(67.1+0.75*(3.05+2.95+2.3+3))*(10.764)</f>
        <v>813.48929999999984</v>
      </c>
      <c r="E175" s="59">
        <v>0</v>
      </c>
      <c r="F175" s="59">
        <f t="shared" si="19"/>
        <v>1220.2339499999998</v>
      </c>
      <c r="G175" s="80"/>
      <c r="H175" s="81"/>
      <c r="I175" s="36"/>
    </row>
    <row r="176" spans="1:14" s="37" customFormat="1" ht="15.75" customHeight="1" x14ac:dyDescent="0.25">
      <c r="A176" s="65" t="s">
        <v>214</v>
      </c>
      <c r="B176" s="66"/>
      <c r="C176" s="66"/>
      <c r="D176" s="66"/>
      <c r="E176" s="66"/>
      <c r="F176" s="66"/>
      <c r="G176" s="66"/>
      <c r="H176" s="67"/>
      <c r="I176" s="36"/>
    </row>
    <row r="177" spans="1:9" s="37" customFormat="1" ht="15.75" customHeight="1" x14ac:dyDescent="0.25">
      <c r="A177" s="71">
        <v>1</v>
      </c>
      <c r="B177" s="72"/>
      <c r="C177" s="59" t="s">
        <v>199</v>
      </c>
      <c r="D177" s="60">
        <f>(64.9+0.75*(2.9+2.55+3.87+3.05))*(10.764)</f>
        <v>798.44661000000008</v>
      </c>
      <c r="E177" s="42">
        <v>0</v>
      </c>
      <c r="F177" s="42">
        <f t="shared" ref="F177:F183" si="21">D177*(($F$100)+1)+(IF(E177&lt;101,E177,IF(E177&lt;201,E177/2,IF(E177&lt;=301,E177/3,E177/4))))</f>
        <v>1197.6699150000002</v>
      </c>
      <c r="G177" s="82" t="str">
        <f>A176</f>
        <v>10th to 13th &amp; 15th Floor</v>
      </c>
      <c r="H177" s="83"/>
      <c r="I177" s="36"/>
    </row>
    <row r="178" spans="1:9" s="37" customFormat="1" x14ac:dyDescent="0.25">
      <c r="A178" s="71">
        <f>A177+1</f>
        <v>2</v>
      </c>
      <c r="B178" s="72"/>
      <c r="C178" s="59" t="s">
        <v>200</v>
      </c>
      <c r="D178" s="60">
        <f>(75.98+0.75*(2.63+2.97+3.95+3.05+3.05)+0.6*2.4)*(10.764)</f>
        <v>959.69132999999988</v>
      </c>
      <c r="E178" s="42">
        <v>0</v>
      </c>
      <c r="F178" s="42">
        <f t="shared" si="21"/>
        <v>1439.5369949999999</v>
      </c>
      <c r="G178" s="84"/>
      <c r="H178" s="85"/>
      <c r="I178" s="36"/>
    </row>
    <row r="179" spans="1:9" s="37" customFormat="1" ht="15.75" customHeight="1" x14ac:dyDescent="0.25">
      <c r="A179" s="71">
        <v>3</v>
      </c>
      <c r="B179" s="72"/>
      <c r="C179" s="59" t="s">
        <v>200</v>
      </c>
      <c r="D179" s="60">
        <f>(96.78+0.75*(2.9+3.05+2.25+3.35+3.05))*(10.764)</f>
        <v>1159.60572</v>
      </c>
      <c r="E179" s="42">
        <v>0</v>
      </c>
      <c r="F179" s="42">
        <f t="shared" si="21"/>
        <v>1739.40858</v>
      </c>
      <c r="G179" s="84"/>
      <c r="H179" s="85"/>
      <c r="I179" s="36"/>
    </row>
    <row r="180" spans="1:9" s="37" customFormat="1" ht="15.75" customHeight="1" x14ac:dyDescent="0.25">
      <c r="A180" s="71">
        <f t="shared" ref="A180" si="22">A179+1</f>
        <v>4</v>
      </c>
      <c r="B180" s="72"/>
      <c r="C180" s="59" t="s">
        <v>200</v>
      </c>
      <c r="D180" s="60">
        <f>(98.13+0.75*(3.13+3.05+3.35+2.37+3.05))*(10.764)</f>
        <v>1176.9626699999999</v>
      </c>
      <c r="E180" s="42">
        <v>0</v>
      </c>
      <c r="F180" s="42">
        <f t="shared" si="21"/>
        <v>1765.4440049999998</v>
      </c>
      <c r="G180" s="84"/>
      <c r="H180" s="85"/>
      <c r="I180" s="36"/>
    </row>
    <row r="181" spans="1:9" s="56" customFormat="1" ht="15.75" customHeight="1" x14ac:dyDescent="0.25">
      <c r="A181" s="71">
        <v>5</v>
      </c>
      <c r="B181" s="72"/>
      <c r="C181" s="59" t="s">
        <v>200</v>
      </c>
      <c r="D181" s="60">
        <f>(100.99+0.75*(3.05+3.35+2.45+3.05+2.9))*(10.764)</f>
        <v>1206.53676</v>
      </c>
      <c r="E181" s="55">
        <v>0</v>
      </c>
      <c r="F181" s="55">
        <f t="shared" si="21"/>
        <v>1809.8051399999999</v>
      </c>
      <c r="G181" s="84"/>
      <c r="H181" s="85"/>
      <c r="I181" s="36"/>
    </row>
    <row r="182" spans="1:9" s="56" customFormat="1" ht="15.75" customHeight="1" x14ac:dyDescent="0.25">
      <c r="A182" s="71">
        <f t="shared" ref="A182" si="23">A181+1</f>
        <v>6</v>
      </c>
      <c r="B182" s="72"/>
      <c r="C182" s="59" t="s">
        <v>199</v>
      </c>
      <c r="D182" s="60">
        <f>(67.16+0.75*(2.9+2.9+3.87+2.5+3.22))*(10.764)</f>
        <v>847.15370999999993</v>
      </c>
      <c r="E182" s="55">
        <v>0</v>
      </c>
      <c r="F182" s="55">
        <f t="shared" si="21"/>
        <v>1270.7305649999998</v>
      </c>
      <c r="G182" s="84"/>
      <c r="H182" s="85"/>
      <c r="I182" s="36"/>
    </row>
    <row r="183" spans="1:9" s="56" customFormat="1" ht="15.75" customHeight="1" x14ac:dyDescent="0.25">
      <c r="A183" s="71">
        <f t="shared" ref="A183" si="24">A182+1</f>
        <v>7</v>
      </c>
      <c r="B183" s="72"/>
      <c r="C183" s="59" t="s">
        <v>199</v>
      </c>
      <c r="D183" s="60">
        <f>(67.1+0.75*(3.05+2.95+2.3+3))*(10.764)</f>
        <v>813.48929999999984</v>
      </c>
      <c r="E183" s="55">
        <v>0</v>
      </c>
      <c r="F183" s="55">
        <f t="shared" si="21"/>
        <v>1220.2339499999998</v>
      </c>
      <c r="G183" s="86"/>
      <c r="H183" s="87"/>
      <c r="I183" s="36"/>
    </row>
    <row r="184" spans="1:9" s="56" customFormat="1" ht="15.75" customHeight="1" x14ac:dyDescent="0.25">
      <c r="A184" s="65" t="s">
        <v>208</v>
      </c>
      <c r="B184" s="66"/>
      <c r="C184" s="66"/>
      <c r="D184" s="66"/>
      <c r="E184" s="66"/>
      <c r="F184" s="66"/>
      <c r="G184" s="66"/>
      <c r="H184" s="67"/>
      <c r="I184" s="36"/>
    </row>
    <row r="185" spans="1:9" s="56" customFormat="1" ht="15.75" customHeight="1" x14ac:dyDescent="0.25">
      <c r="A185" s="71">
        <v>1</v>
      </c>
      <c r="B185" s="72"/>
      <c r="C185" s="59" t="s">
        <v>199</v>
      </c>
      <c r="D185" s="60">
        <f>(64.9+0.75*(2.9+2.55+3.87+3.05))*(10.764)</f>
        <v>798.44661000000008</v>
      </c>
      <c r="E185" s="55">
        <v>0</v>
      </c>
      <c r="F185" s="55">
        <f t="shared" ref="F185:F191" si="25">D185*(($F$100)+1)+(IF(E185&lt;101,E185,IF(E185&lt;201,E185/2,IF(E185&lt;=301,E185/3,E185/4))))</f>
        <v>1197.6699150000002</v>
      </c>
      <c r="G185" s="82" t="str">
        <f>A184</f>
        <v>14th Floor (Part Refuge Area)</v>
      </c>
      <c r="H185" s="83"/>
      <c r="I185" s="36"/>
    </row>
    <row r="186" spans="1:9" s="56" customFormat="1" x14ac:dyDescent="0.25">
      <c r="A186" s="71">
        <f>A185+1</f>
        <v>2</v>
      </c>
      <c r="B186" s="72"/>
      <c r="C186" s="59" t="s">
        <v>199</v>
      </c>
      <c r="D186" s="60">
        <f>(61.92+0.75*(3.05+3.95+2.4+2.97))*(10.764)</f>
        <v>766.36989000000005</v>
      </c>
      <c r="E186" s="55">
        <v>0</v>
      </c>
      <c r="F186" s="55">
        <f t="shared" si="25"/>
        <v>1149.5548350000001</v>
      </c>
      <c r="G186" s="84"/>
      <c r="H186" s="85"/>
      <c r="I186" s="36"/>
    </row>
    <row r="187" spans="1:9" s="56" customFormat="1" ht="15.75" customHeight="1" x14ac:dyDescent="0.25">
      <c r="A187" s="71">
        <v>3</v>
      </c>
      <c r="B187" s="72"/>
      <c r="C187" s="63" t="s">
        <v>200</v>
      </c>
      <c r="D187" s="64">
        <f>(96.78+0.75*(3.05+3.35+2.25+3.05+2.9))*(10.764)</f>
        <v>1159.60572</v>
      </c>
      <c r="E187" s="55">
        <v>0</v>
      </c>
      <c r="F187" s="55">
        <f t="shared" si="25"/>
        <v>1739.40858</v>
      </c>
      <c r="G187" s="84"/>
      <c r="H187" s="85"/>
      <c r="I187" s="36"/>
    </row>
    <row r="188" spans="1:9" s="56" customFormat="1" ht="15.75" customHeight="1" x14ac:dyDescent="0.25">
      <c r="A188" s="71">
        <f t="shared" ref="A188" si="26">A187+1</f>
        <v>4</v>
      </c>
      <c r="B188" s="72"/>
      <c r="C188" s="59" t="s">
        <v>200</v>
      </c>
      <c r="D188" s="60">
        <f>(98.13+0.75*(3.05+2.37+3.35+3.05+3.13))*(10.764)</f>
        <v>1176.9626699999999</v>
      </c>
      <c r="E188" s="55">
        <v>0</v>
      </c>
      <c r="F188" s="55">
        <f t="shared" si="25"/>
        <v>1765.4440049999998</v>
      </c>
      <c r="G188" s="84"/>
      <c r="H188" s="85"/>
      <c r="I188" s="36"/>
    </row>
    <row r="189" spans="1:9" s="56" customFormat="1" ht="15.75" customHeight="1" x14ac:dyDescent="0.25">
      <c r="A189" s="71">
        <v>5</v>
      </c>
      <c r="B189" s="72"/>
      <c r="C189" s="59" t="s">
        <v>200</v>
      </c>
      <c r="D189" s="60">
        <f>(100.99+0.75*(3.05+3.35+2.45+3.05+2.9))*(10.764)</f>
        <v>1206.53676</v>
      </c>
      <c r="E189" s="55">
        <v>0</v>
      </c>
      <c r="F189" s="55">
        <f t="shared" si="25"/>
        <v>1809.8051399999999</v>
      </c>
      <c r="G189" s="84"/>
      <c r="H189" s="85"/>
      <c r="I189" s="36"/>
    </row>
    <row r="190" spans="1:9" s="56" customFormat="1" ht="15.75" customHeight="1" x14ac:dyDescent="0.25">
      <c r="A190" s="71">
        <f t="shared" ref="A190:A191" si="27">A189+1</f>
        <v>6</v>
      </c>
      <c r="B190" s="72"/>
      <c r="C190" s="59" t="s">
        <v>199</v>
      </c>
      <c r="D190" s="60">
        <f>(67.16+0.75*(3.22+2.5+3.87+2.9))*(10.764)</f>
        <v>823.74200999999994</v>
      </c>
      <c r="E190" s="55">
        <v>0</v>
      </c>
      <c r="F190" s="55">
        <f t="shared" si="25"/>
        <v>1235.6130149999999</v>
      </c>
      <c r="G190" s="84"/>
      <c r="H190" s="85"/>
      <c r="I190" s="36"/>
    </row>
    <row r="191" spans="1:9" s="56" customFormat="1" ht="15.75" customHeight="1" x14ac:dyDescent="0.25">
      <c r="A191" s="71">
        <f t="shared" si="27"/>
        <v>7</v>
      </c>
      <c r="B191" s="72"/>
      <c r="C191" s="59" t="s">
        <v>199</v>
      </c>
      <c r="D191" s="60">
        <f>(67.1+0.75*(3.05+2.95+2.3+3))*(10.764)</f>
        <v>813.48929999999984</v>
      </c>
      <c r="E191" s="55">
        <v>0</v>
      </c>
      <c r="F191" s="55">
        <f t="shared" si="25"/>
        <v>1220.2339499999998</v>
      </c>
      <c r="G191" s="86"/>
      <c r="H191" s="87"/>
      <c r="I191" s="36"/>
    </row>
    <row r="192" spans="1:9" s="56" customFormat="1" ht="15.75" customHeight="1" x14ac:dyDescent="0.25">
      <c r="A192" s="65" t="s">
        <v>215</v>
      </c>
      <c r="B192" s="66"/>
      <c r="C192" s="66"/>
      <c r="D192" s="66"/>
      <c r="E192" s="66"/>
      <c r="F192" s="66"/>
      <c r="G192" s="66"/>
      <c r="H192" s="67"/>
      <c r="I192" s="36"/>
    </row>
    <row r="193" spans="1:9" s="56" customFormat="1" ht="15.75" customHeight="1" x14ac:dyDescent="0.25">
      <c r="A193" s="71">
        <v>1</v>
      </c>
      <c r="B193" s="72"/>
      <c r="C193" s="59" t="s">
        <v>199</v>
      </c>
      <c r="D193" s="60">
        <f>(64.9+0.75*(2.9+2.55+3.87+3.05))*(10.764)</f>
        <v>798.44661000000008</v>
      </c>
      <c r="E193" s="55">
        <v>0</v>
      </c>
      <c r="F193" s="55">
        <f t="shared" ref="F193:F199" si="28">D193*(($F$100)+1)+(IF(E193&lt;101,E193,IF(E193&lt;201,E193/2,IF(E193&lt;=301,E193/3,E193/4))))</f>
        <v>1197.6699150000002</v>
      </c>
      <c r="G193" s="82" t="str">
        <f>A192</f>
        <v>16th Floor</v>
      </c>
      <c r="H193" s="83"/>
      <c r="I193" s="36"/>
    </row>
    <row r="194" spans="1:9" s="56" customFormat="1" x14ac:dyDescent="0.25">
      <c r="A194" s="71">
        <f>A193+1</f>
        <v>2</v>
      </c>
      <c r="B194" s="72"/>
      <c r="C194" s="59" t="s">
        <v>200</v>
      </c>
      <c r="D194" s="60">
        <f>(75.98+0.75*(2.63+2.97+3.95+3.05+3.05)+0.6*2.4)*(10.764)</f>
        <v>959.69132999999988</v>
      </c>
      <c r="E194" s="55">
        <v>0</v>
      </c>
      <c r="F194" s="55">
        <f t="shared" si="28"/>
        <v>1439.5369949999999</v>
      </c>
      <c r="G194" s="84"/>
      <c r="H194" s="85"/>
      <c r="I194" s="36"/>
    </row>
    <row r="195" spans="1:9" s="56" customFormat="1" ht="15.75" customHeight="1" x14ac:dyDescent="0.25">
      <c r="A195" s="71">
        <v>3</v>
      </c>
      <c r="B195" s="72"/>
      <c r="C195" s="59" t="s">
        <v>200</v>
      </c>
      <c r="D195" s="60">
        <f>(96.78+0.75*(2.9+3.05+2.25+3.35+3.05))*(10.764)</f>
        <v>1159.60572</v>
      </c>
      <c r="E195" s="55">
        <v>0</v>
      </c>
      <c r="F195" s="55">
        <f t="shared" si="28"/>
        <v>1739.40858</v>
      </c>
      <c r="G195" s="84"/>
      <c r="H195" s="85"/>
      <c r="I195" s="36"/>
    </row>
    <row r="196" spans="1:9" s="56" customFormat="1" ht="15.75" customHeight="1" x14ac:dyDescent="0.25">
      <c r="A196" s="71">
        <f t="shared" ref="A196" si="29">A195+1</f>
        <v>4</v>
      </c>
      <c r="B196" s="72"/>
      <c r="C196" s="59" t="s">
        <v>200</v>
      </c>
      <c r="D196" s="60">
        <f>(98.13+0.75*(3.13+3.05+3.35+2.37+3.05))*(10.764)</f>
        <v>1176.9626699999999</v>
      </c>
      <c r="E196" s="55">
        <v>0</v>
      </c>
      <c r="F196" s="55">
        <f t="shared" si="28"/>
        <v>1765.4440049999998</v>
      </c>
      <c r="G196" s="84"/>
      <c r="H196" s="85"/>
      <c r="I196" s="36"/>
    </row>
    <row r="197" spans="1:9" s="56" customFormat="1" ht="15.75" customHeight="1" x14ac:dyDescent="0.25">
      <c r="A197" s="71">
        <v>5</v>
      </c>
      <c r="B197" s="72"/>
      <c r="C197" s="59" t="s">
        <v>200</v>
      </c>
      <c r="D197" s="60">
        <f>(100.99+0.75*(3.05+3.35+2.45+3.05+2.9))*(10.764)</f>
        <v>1206.53676</v>
      </c>
      <c r="E197" s="55">
        <v>0</v>
      </c>
      <c r="F197" s="55">
        <f t="shared" si="28"/>
        <v>1809.8051399999999</v>
      </c>
      <c r="G197" s="84"/>
      <c r="H197" s="85"/>
      <c r="I197" s="36"/>
    </row>
    <row r="198" spans="1:9" s="56" customFormat="1" ht="15.75" customHeight="1" x14ac:dyDescent="0.25">
      <c r="A198" s="71">
        <f t="shared" ref="A198:A199" si="30">A197+1</f>
        <v>6</v>
      </c>
      <c r="B198" s="72"/>
      <c r="C198" s="59" t="s">
        <v>199</v>
      </c>
      <c r="D198" s="60">
        <f>(67.16+0.75*(2.9+2.9+3.87+2.5+3.22))*(10.764)</f>
        <v>847.15370999999993</v>
      </c>
      <c r="E198" s="55">
        <v>0</v>
      </c>
      <c r="F198" s="55">
        <f t="shared" si="28"/>
        <v>1270.7305649999998</v>
      </c>
      <c r="G198" s="84"/>
      <c r="H198" s="85"/>
      <c r="I198" s="36"/>
    </row>
    <row r="199" spans="1:9" s="56" customFormat="1" ht="15.75" customHeight="1" x14ac:dyDescent="0.25">
      <c r="A199" s="71">
        <f t="shared" si="30"/>
        <v>7</v>
      </c>
      <c r="B199" s="72"/>
      <c r="C199" s="59" t="s">
        <v>199</v>
      </c>
      <c r="D199" s="60">
        <f>(67.1+0.75*(3.05+2.95+2.3+3))*(10.764)</f>
        <v>813.48929999999984</v>
      </c>
      <c r="E199" s="55">
        <v>0</v>
      </c>
      <c r="F199" s="55">
        <f t="shared" si="28"/>
        <v>1220.2339499999998</v>
      </c>
      <c r="G199" s="86"/>
      <c r="H199" s="87"/>
      <c r="I199" s="36"/>
    </row>
    <row r="200" spans="1:9" s="56" customFormat="1" ht="15.75" customHeight="1" x14ac:dyDescent="0.25">
      <c r="A200" s="65" t="s">
        <v>217</v>
      </c>
      <c r="B200" s="66"/>
      <c r="C200" s="66"/>
      <c r="D200" s="66"/>
      <c r="E200" s="66"/>
      <c r="F200" s="66"/>
      <c r="G200" s="66"/>
      <c r="H200" s="67"/>
      <c r="I200" s="36"/>
    </row>
    <row r="201" spans="1:9" s="35" customFormat="1" x14ac:dyDescent="0.25">
      <c r="A201" s="150" t="s">
        <v>69</v>
      </c>
      <c r="B201" s="150"/>
      <c r="C201" s="150"/>
      <c r="D201" s="150"/>
      <c r="E201" s="150"/>
      <c r="F201" s="150"/>
      <c r="G201" s="150"/>
      <c r="H201" s="150"/>
      <c r="I201" s="36"/>
    </row>
    <row r="202" spans="1:9" s="35" customFormat="1" x14ac:dyDescent="0.25">
      <c r="A202" s="47" t="s">
        <v>155</v>
      </c>
      <c r="B202" s="140" t="s">
        <v>220</v>
      </c>
      <c r="C202" s="141"/>
      <c r="D202" s="141"/>
      <c r="E202" s="141"/>
      <c r="F202" s="141"/>
      <c r="G202" s="141"/>
      <c r="H202" s="142"/>
    </row>
    <row r="203" spans="1:9" s="35" customFormat="1" x14ac:dyDescent="0.25">
      <c r="A203" s="47" t="s">
        <v>155</v>
      </c>
      <c r="B203" s="140" t="str">
        <f>(IF(F99="Saleable area Loading :","We have considered Saleable area of Flats as per our Calculation.","We considered Saleable area of Flat as per Builder area Sheet."))</f>
        <v>We have considered Saleable area of Flats as per our Calculation.</v>
      </c>
      <c r="C203" s="141"/>
      <c r="D203" s="141"/>
      <c r="E203" s="141"/>
      <c r="F203" s="141"/>
      <c r="G203" s="141"/>
      <c r="H203" s="142"/>
    </row>
    <row r="204" spans="1:9" s="35" customFormat="1" x14ac:dyDescent="0.25">
      <c r="A204" s="47" t="s">
        <v>155</v>
      </c>
      <c r="B204" s="68" t="s">
        <v>126</v>
      </c>
      <c r="C204" s="69"/>
      <c r="D204" s="69"/>
      <c r="E204" s="69"/>
      <c r="F204" s="69"/>
      <c r="G204" s="69"/>
      <c r="H204" s="70"/>
    </row>
    <row r="205" spans="1:9" s="35" customFormat="1" x14ac:dyDescent="0.25">
      <c r="A205" s="47" t="s">
        <v>155</v>
      </c>
      <c r="B205" s="68" t="s">
        <v>209</v>
      </c>
      <c r="C205" s="69"/>
      <c r="D205" s="69"/>
      <c r="E205" s="69"/>
      <c r="F205" s="69"/>
      <c r="G205" s="69"/>
      <c r="H205" s="70"/>
    </row>
    <row r="206" spans="1:9" s="35" customFormat="1" x14ac:dyDescent="0.25">
      <c r="A206" s="47" t="s">
        <v>155</v>
      </c>
      <c r="B206" s="68" t="s">
        <v>154</v>
      </c>
      <c r="C206" s="69"/>
      <c r="D206" s="69"/>
      <c r="E206" s="69"/>
      <c r="F206" s="69"/>
      <c r="G206" s="69"/>
      <c r="H206" s="70"/>
    </row>
    <row r="207" spans="1:9" s="35" customFormat="1" x14ac:dyDescent="0.25">
      <c r="A207" s="47" t="s">
        <v>155</v>
      </c>
      <c r="B207" s="68" t="s">
        <v>127</v>
      </c>
      <c r="C207" s="69"/>
      <c r="D207" s="69"/>
      <c r="E207" s="69"/>
      <c r="F207" s="69"/>
      <c r="G207" s="69"/>
      <c r="H207" s="70"/>
    </row>
    <row r="208" spans="1:9" s="35" customFormat="1" ht="34.5" customHeight="1" x14ac:dyDescent="0.25">
      <c r="A208" s="47" t="s">
        <v>155</v>
      </c>
      <c r="B208" s="68" t="s">
        <v>156</v>
      </c>
      <c r="C208" s="69"/>
      <c r="D208" s="69"/>
      <c r="E208" s="69"/>
      <c r="F208" s="69"/>
      <c r="G208" s="69"/>
      <c r="H208" s="70"/>
    </row>
    <row r="209" spans="1:8" s="35" customFormat="1" x14ac:dyDescent="0.25">
      <c r="A209" s="47" t="s">
        <v>155</v>
      </c>
      <c r="B209" s="68" t="s">
        <v>128</v>
      </c>
      <c r="C209" s="69"/>
      <c r="D209" s="69"/>
      <c r="E209" s="69"/>
      <c r="F209" s="69"/>
      <c r="G209" s="69"/>
      <c r="H209" s="70"/>
    </row>
    <row r="210" spans="1:8" s="35" customFormat="1" x14ac:dyDescent="0.25">
      <c r="A210" s="58" t="s">
        <v>155</v>
      </c>
      <c r="B210" s="68" t="s">
        <v>218</v>
      </c>
      <c r="C210" s="69"/>
      <c r="D210" s="69"/>
      <c r="E210" s="69"/>
      <c r="F210" s="69"/>
      <c r="G210" s="69"/>
      <c r="H210" s="70"/>
    </row>
    <row r="211" spans="1:8" x14ac:dyDescent="0.25">
      <c r="A211" s="120" t="s">
        <v>62</v>
      </c>
      <c r="B211" s="120"/>
      <c r="C211" s="120"/>
      <c r="D211" s="120"/>
      <c r="E211" s="120"/>
      <c r="F211" s="120"/>
      <c r="G211" s="120"/>
      <c r="H211" s="120"/>
    </row>
    <row r="212" spans="1:8" x14ac:dyDescent="0.25">
      <c r="A212" s="93" t="s">
        <v>63</v>
      </c>
      <c r="B212" s="93"/>
      <c r="C212" s="93"/>
      <c r="D212" s="93"/>
      <c r="E212" s="93"/>
      <c r="F212" s="93"/>
      <c r="G212" s="93"/>
      <c r="H212" s="93"/>
    </row>
    <row r="213" spans="1:8" ht="15.75" customHeight="1" x14ac:dyDescent="0.25">
      <c r="A213" s="94" t="s">
        <v>64</v>
      </c>
      <c r="B213" s="94"/>
      <c r="C213" s="94"/>
      <c r="D213" s="94"/>
      <c r="E213" s="94"/>
      <c r="F213" s="94"/>
      <c r="G213" s="94"/>
      <c r="H213" s="94"/>
    </row>
    <row r="214" spans="1:8" x14ac:dyDescent="0.25">
      <c r="A214" s="93" t="s">
        <v>65</v>
      </c>
      <c r="B214" s="93"/>
      <c r="C214" s="93"/>
      <c r="D214" s="93"/>
      <c r="E214" s="93"/>
      <c r="F214" s="93"/>
      <c r="G214" s="93"/>
      <c r="H214" s="93"/>
    </row>
    <row r="215" spans="1:8" x14ac:dyDescent="0.25">
      <c r="A215" s="93" t="s">
        <v>66</v>
      </c>
      <c r="B215" s="93"/>
      <c r="C215" s="93"/>
      <c r="D215" s="93"/>
      <c r="E215" s="93"/>
      <c r="F215" s="93"/>
      <c r="G215" s="93"/>
      <c r="H215" s="93"/>
    </row>
    <row r="216" spans="1:8" x14ac:dyDescent="0.25">
      <c r="A216" s="93" t="s">
        <v>129</v>
      </c>
      <c r="B216" s="93"/>
      <c r="C216" s="93"/>
      <c r="D216" s="93"/>
      <c r="E216" s="93"/>
      <c r="F216" s="93"/>
      <c r="G216" s="93"/>
      <c r="H216" s="93"/>
    </row>
    <row r="217" spans="1:8" x14ac:dyDescent="0.25">
      <c r="A217" s="125" t="s">
        <v>130</v>
      </c>
      <c r="B217" s="125"/>
      <c r="C217" s="125"/>
      <c r="D217" s="125"/>
      <c r="E217" s="125"/>
      <c r="F217" s="125"/>
      <c r="G217" s="125"/>
      <c r="H217" s="125"/>
    </row>
    <row r="218" spans="1:8" x14ac:dyDescent="0.25">
      <c r="A218" s="144" t="s">
        <v>78</v>
      </c>
      <c r="B218" s="144"/>
      <c r="C218" s="144" t="s">
        <v>210</v>
      </c>
      <c r="D218" s="144"/>
      <c r="E218" s="144" t="s">
        <v>108</v>
      </c>
      <c r="F218" s="144"/>
      <c r="G218" s="144" t="s">
        <v>222</v>
      </c>
      <c r="H218" s="144"/>
    </row>
    <row r="219" spans="1:8" x14ac:dyDescent="0.25">
      <c r="A219" s="143" t="s">
        <v>80</v>
      </c>
      <c r="B219" s="143"/>
      <c r="C219" s="143"/>
      <c r="D219" s="143"/>
      <c r="E219" s="143"/>
      <c r="F219" s="143"/>
      <c r="G219" s="143"/>
      <c r="H219" s="143"/>
    </row>
    <row r="220" spans="1:8" x14ac:dyDescent="0.25">
      <c r="A220" s="143"/>
      <c r="B220" s="143"/>
      <c r="C220" s="143"/>
      <c r="D220" s="143"/>
      <c r="E220" s="143"/>
      <c r="F220" s="143"/>
      <c r="G220" s="143"/>
      <c r="H220" s="143"/>
    </row>
    <row r="221" spans="1:8" x14ac:dyDescent="0.25">
      <c r="A221" s="143"/>
      <c r="B221" s="143"/>
      <c r="C221" s="143"/>
      <c r="D221" s="143"/>
      <c r="E221" s="143"/>
      <c r="F221" s="143"/>
      <c r="G221" s="143"/>
      <c r="H221" s="143"/>
    </row>
    <row r="222" spans="1:8" x14ac:dyDescent="0.25">
      <c r="A222" s="143"/>
      <c r="B222" s="143"/>
      <c r="C222" s="143"/>
      <c r="D222" s="143"/>
      <c r="E222" s="143"/>
      <c r="F222" s="143"/>
      <c r="G222" s="143"/>
      <c r="H222" s="143"/>
    </row>
    <row r="223" spans="1:8" x14ac:dyDescent="0.25">
      <c r="A223" s="38" t="s">
        <v>67</v>
      </c>
      <c r="B223" s="39"/>
      <c r="C223" s="39"/>
      <c r="D223" s="38" t="str">
        <f>E9</f>
        <v>Pradeep Co-operative Housing Society Ltd.</v>
      </c>
      <c r="F223" s="39"/>
      <c r="G223" s="39"/>
      <c r="H223" s="39"/>
    </row>
    <row r="224" spans="1:8" x14ac:dyDescent="0.25">
      <c r="A224" s="39"/>
      <c r="B224" s="39"/>
      <c r="C224" s="39"/>
      <c r="D224" s="39"/>
      <c r="E224" s="39"/>
      <c r="F224" s="39"/>
      <c r="G224" s="39"/>
      <c r="H224" s="39"/>
    </row>
    <row r="225" spans="1:8" x14ac:dyDescent="0.25">
      <c r="A225" s="39"/>
      <c r="B225" s="39"/>
      <c r="C225" s="39"/>
      <c r="D225" s="39"/>
      <c r="E225" s="39"/>
      <c r="F225" s="39"/>
      <c r="G225" s="39"/>
      <c r="H225" s="39"/>
    </row>
    <row r="226" spans="1:8" ht="15" customHeight="1" x14ac:dyDescent="0.25"/>
    <row r="266" spans="1:1" x14ac:dyDescent="0.25">
      <c r="A266" s="41" t="s">
        <v>167</v>
      </c>
    </row>
    <row r="305" spans="1:1" x14ac:dyDescent="0.25">
      <c r="A305" s="41" t="s">
        <v>68</v>
      </c>
    </row>
  </sheetData>
  <mergeCells count="350">
    <mergeCell ref="A101:H101"/>
    <mergeCell ref="A181:B181"/>
    <mergeCell ref="A182:B182"/>
    <mergeCell ref="A183:B183"/>
    <mergeCell ref="G177:H183"/>
    <mergeCell ref="A184:H184"/>
    <mergeCell ref="A185:B185"/>
    <mergeCell ref="G185:H191"/>
    <mergeCell ref="A186:B186"/>
    <mergeCell ref="A187:B187"/>
    <mergeCell ref="A188:B188"/>
    <mergeCell ref="A189:B189"/>
    <mergeCell ref="A190:B190"/>
    <mergeCell ref="A191:B191"/>
    <mergeCell ref="A145:B145"/>
    <mergeCell ref="A146:B146"/>
    <mergeCell ref="A147:B147"/>
    <mergeCell ref="A148:B148"/>
    <mergeCell ref="A149:B149"/>
    <mergeCell ref="A150:B150"/>
    <mergeCell ref="A160:H160"/>
    <mergeCell ref="A165:B165"/>
    <mergeCell ref="A176:H176"/>
    <mergeCell ref="A177:B177"/>
    <mergeCell ref="B99:B100"/>
    <mergeCell ref="A39:B39"/>
    <mergeCell ref="C39:H39"/>
    <mergeCell ref="B208:H208"/>
    <mergeCell ref="A48:B48"/>
    <mergeCell ref="C48:H48"/>
    <mergeCell ref="B206:H206"/>
    <mergeCell ref="F82:H82"/>
    <mergeCell ref="A82:E82"/>
    <mergeCell ref="A84:E84"/>
    <mergeCell ref="A78:B78"/>
    <mergeCell ref="A79:B79"/>
    <mergeCell ref="D60:H60"/>
    <mergeCell ref="A43:D43"/>
    <mergeCell ref="E43:H43"/>
    <mergeCell ref="E44:H44"/>
    <mergeCell ref="E45:H45"/>
    <mergeCell ref="E46:H46"/>
    <mergeCell ref="A45:D45"/>
    <mergeCell ref="A77:B77"/>
    <mergeCell ref="F87:H87"/>
    <mergeCell ref="A99:A100"/>
    <mergeCell ref="A117:B117"/>
    <mergeCell ref="A114:B114"/>
    <mergeCell ref="C95:D95"/>
    <mergeCell ref="G95:H95"/>
    <mergeCell ref="A81:E81"/>
    <mergeCell ref="F80:H80"/>
    <mergeCell ref="F85:H85"/>
    <mergeCell ref="A86:E86"/>
    <mergeCell ref="F86:H86"/>
    <mergeCell ref="A87:E87"/>
    <mergeCell ref="A89:E89"/>
    <mergeCell ref="F83:H83"/>
    <mergeCell ref="A88:E88"/>
    <mergeCell ref="A83:E83"/>
    <mergeCell ref="A80:E80"/>
    <mergeCell ref="F84:H84"/>
    <mergeCell ref="A85:E85"/>
    <mergeCell ref="A91:E91"/>
    <mergeCell ref="A37:H37"/>
    <mergeCell ref="A36:B36"/>
    <mergeCell ref="C36:E36"/>
    <mergeCell ref="A41:D41"/>
    <mergeCell ref="E41:H41"/>
    <mergeCell ref="F33:H33"/>
    <mergeCell ref="F34:H34"/>
    <mergeCell ref="A40:H40"/>
    <mergeCell ref="A59:C59"/>
    <mergeCell ref="D59:H59"/>
    <mergeCell ref="A38:B38"/>
    <mergeCell ref="C38:H38"/>
    <mergeCell ref="A44:D44"/>
    <mergeCell ref="F36:H36"/>
    <mergeCell ref="A46:D46"/>
    <mergeCell ref="A47:H47"/>
    <mergeCell ref="D57:H57"/>
    <mergeCell ref="A57:C57"/>
    <mergeCell ref="G50:H50"/>
    <mergeCell ref="A51:B52"/>
    <mergeCell ref="A55:C55"/>
    <mergeCell ref="A56:C56"/>
    <mergeCell ref="D56:H56"/>
    <mergeCell ref="G53:H53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1:D11"/>
    <mergeCell ref="E11:H11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6:B16"/>
    <mergeCell ref="A13:D13"/>
    <mergeCell ref="A1:H1"/>
    <mergeCell ref="A2:H2"/>
    <mergeCell ref="A3:D3"/>
    <mergeCell ref="E3:H3"/>
    <mergeCell ref="A4:D4"/>
    <mergeCell ref="A9:D9"/>
    <mergeCell ref="E9:H9"/>
    <mergeCell ref="A10:D10"/>
    <mergeCell ref="E10:H10"/>
    <mergeCell ref="E4:H4"/>
    <mergeCell ref="A8:D8"/>
    <mergeCell ref="E8:H8"/>
    <mergeCell ref="A5:D5"/>
    <mergeCell ref="E5:H5"/>
    <mergeCell ref="A6:D6"/>
    <mergeCell ref="E6:H6"/>
    <mergeCell ref="A7:D7"/>
    <mergeCell ref="E7:H7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A219:H222"/>
    <mergeCell ref="A218:B218"/>
    <mergeCell ref="E218:F218"/>
    <mergeCell ref="C218:D218"/>
    <mergeCell ref="G218:H218"/>
    <mergeCell ref="A92:E92"/>
    <mergeCell ref="F92:H92"/>
    <mergeCell ref="A93:E93"/>
    <mergeCell ref="F93:H93"/>
    <mergeCell ref="A112:H112"/>
    <mergeCell ref="A96:B96"/>
    <mergeCell ref="A171:B171"/>
    <mergeCell ref="A214:H214"/>
    <mergeCell ref="A94:H94"/>
    <mergeCell ref="A217:H217"/>
    <mergeCell ref="A215:H215"/>
    <mergeCell ref="A211:H211"/>
    <mergeCell ref="C96:D96"/>
    <mergeCell ref="E96:F96"/>
    <mergeCell ref="G96:H96"/>
    <mergeCell ref="A173:B173"/>
    <mergeCell ref="B204:H204"/>
    <mergeCell ref="B205:H205"/>
    <mergeCell ref="A201:H201"/>
    <mergeCell ref="A212:H212"/>
    <mergeCell ref="E95:F95"/>
    <mergeCell ref="B209:H209"/>
    <mergeCell ref="B207:H207"/>
    <mergeCell ref="A97:H97"/>
    <mergeCell ref="B202:H202"/>
    <mergeCell ref="B203:H203"/>
    <mergeCell ref="A193:B193"/>
    <mergeCell ref="A196:B196"/>
    <mergeCell ref="A197:B197"/>
    <mergeCell ref="A192:H192"/>
    <mergeCell ref="A168:H168"/>
    <mergeCell ref="A194:B194"/>
    <mergeCell ref="A195:B195"/>
    <mergeCell ref="A121:B121"/>
    <mergeCell ref="G121:H127"/>
    <mergeCell ref="A122:B122"/>
    <mergeCell ref="A123:B123"/>
    <mergeCell ref="A124:B124"/>
    <mergeCell ref="A125:B125"/>
    <mergeCell ref="A126:B126"/>
    <mergeCell ref="A127:B127"/>
    <mergeCell ref="A128:H128"/>
    <mergeCell ref="A136:H136"/>
    <mergeCell ref="C52:H52"/>
    <mergeCell ref="F88:H88"/>
    <mergeCell ref="F91:H91"/>
    <mergeCell ref="F89:H89"/>
    <mergeCell ref="A170:B170"/>
    <mergeCell ref="A98:H98"/>
    <mergeCell ref="A90:E90"/>
    <mergeCell ref="C99:C100"/>
    <mergeCell ref="A104:H104"/>
    <mergeCell ref="A169:B169"/>
    <mergeCell ref="F90:H90"/>
    <mergeCell ref="D63:H63"/>
    <mergeCell ref="A64:C64"/>
    <mergeCell ref="D64:H64"/>
    <mergeCell ref="A70:B70"/>
    <mergeCell ref="G69:H69"/>
    <mergeCell ref="A60:C60"/>
    <mergeCell ref="E70:F79"/>
    <mergeCell ref="G70:H79"/>
    <mergeCell ref="A102:H102"/>
    <mergeCell ref="A103:H103"/>
    <mergeCell ref="A109:B109"/>
    <mergeCell ref="A110:B110"/>
    <mergeCell ref="A76:B76"/>
    <mergeCell ref="E42:H42"/>
    <mergeCell ref="A42:D42"/>
    <mergeCell ref="A216:H216"/>
    <mergeCell ref="A213:H213"/>
    <mergeCell ref="A113:B113"/>
    <mergeCell ref="A95:B95"/>
    <mergeCell ref="D99:D100"/>
    <mergeCell ref="E99:E100"/>
    <mergeCell ref="G99:H100"/>
    <mergeCell ref="A75:B75"/>
    <mergeCell ref="F81:H81"/>
    <mergeCell ref="A49:B49"/>
    <mergeCell ref="C49:E49"/>
    <mergeCell ref="G49:H49"/>
    <mergeCell ref="G51:H51"/>
    <mergeCell ref="D55:H55"/>
    <mergeCell ref="C51:E51"/>
    <mergeCell ref="A58:C58"/>
    <mergeCell ref="D58:H58"/>
    <mergeCell ref="C50:E50"/>
    <mergeCell ref="A53:B53"/>
    <mergeCell ref="C53:E53"/>
    <mergeCell ref="A50:B50"/>
    <mergeCell ref="A54:H54"/>
    <mergeCell ref="L110:M110"/>
    <mergeCell ref="A111:B111"/>
    <mergeCell ref="L111:M111"/>
    <mergeCell ref="G105:H111"/>
    <mergeCell ref="A118:B118"/>
    <mergeCell ref="A119:B119"/>
    <mergeCell ref="G113:H119"/>
    <mergeCell ref="A120:H120"/>
    <mergeCell ref="L120:M120"/>
    <mergeCell ref="L112:M112"/>
    <mergeCell ref="L108:M108"/>
    <mergeCell ref="L105:M105"/>
    <mergeCell ref="L106:M106"/>
    <mergeCell ref="L107:M107"/>
    <mergeCell ref="L109:M109"/>
    <mergeCell ref="A108:B108"/>
    <mergeCell ref="A105:B105"/>
    <mergeCell ref="A116:B116"/>
    <mergeCell ref="A106:B106"/>
    <mergeCell ref="A107:B107"/>
    <mergeCell ref="A115:B115"/>
    <mergeCell ref="L128:M128"/>
    <mergeCell ref="A129:B129"/>
    <mergeCell ref="G129:H135"/>
    <mergeCell ref="A130:B130"/>
    <mergeCell ref="A131:B131"/>
    <mergeCell ref="A132:B132"/>
    <mergeCell ref="A133:B133"/>
    <mergeCell ref="A134:B134"/>
    <mergeCell ref="A135:B135"/>
    <mergeCell ref="L136:M136"/>
    <mergeCell ref="A137:B137"/>
    <mergeCell ref="A138:B138"/>
    <mergeCell ref="A139:B139"/>
    <mergeCell ref="A140:B140"/>
    <mergeCell ref="A141:B141"/>
    <mergeCell ref="A142:B142"/>
    <mergeCell ref="A144:H144"/>
    <mergeCell ref="L144:M144"/>
    <mergeCell ref="A143:B143"/>
    <mergeCell ref="G137:H143"/>
    <mergeCell ref="L160:M160"/>
    <mergeCell ref="A151:B151"/>
    <mergeCell ref="G145:H151"/>
    <mergeCell ref="A159:B159"/>
    <mergeCell ref="G153:H159"/>
    <mergeCell ref="A161:B161"/>
    <mergeCell ref="A162:B162"/>
    <mergeCell ref="A163:B163"/>
    <mergeCell ref="A164:B164"/>
    <mergeCell ref="A152:H152"/>
    <mergeCell ref="L152:M152"/>
    <mergeCell ref="A153:B153"/>
    <mergeCell ref="A154:B154"/>
    <mergeCell ref="A155:B155"/>
    <mergeCell ref="A156:B156"/>
    <mergeCell ref="A157:B157"/>
    <mergeCell ref="A158:B158"/>
    <mergeCell ref="G161:H167"/>
    <mergeCell ref="A166:B166"/>
    <mergeCell ref="A200:H200"/>
    <mergeCell ref="B210:H210"/>
    <mergeCell ref="A178:B178"/>
    <mergeCell ref="A179:B179"/>
    <mergeCell ref="A180:B180"/>
    <mergeCell ref="A172:B172"/>
    <mergeCell ref="A167:B167"/>
    <mergeCell ref="A174:B174"/>
    <mergeCell ref="A175:B175"/>
    <mergeCell ref="G169:H175"/>
    <mergeCell ref="A199:B199"/>
    <mergeCell ref="G193:H199"/>
    <mergeCell ref="A198:B198"/>
  </mergeCell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5" max="16383" man="1"/>
    <brk id="200" max="16383" man="1"/>
    <brk id="222" max="16383" man="1"/>
    <brk id="265" max="16383" man="1"/>
    <brk id="30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0" t="s">
        <v>109</v>
      </c>
      <c r="C3" s="190"/>
      <c r="D3" s="190"/>
      <c r="E3" s="190"/>
      <c r="F3" s="190"/>
      <c r="G3" s="190"/>
      <c r="H3" s="190"/>
    </row>
    <row r="4" spans="1:9" x14ac:dyDescent="0.25">
      <c r="A4" s="2"/>
      <c r="B4" s="3" t="s">
        <v>110</v>
      </c>
      <c r="C4" s="3" t="s">
        <v>111</v>
      </c>
      <c r="D4" s="3" t="s">
        <v>70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2025-07-13T13:50:09Z</cp:lastPrinted>
  <dcterms:created xsi:type="dcterms:W3CDTF">2019-07-16T09:29:46Z</dcterms:created>
  <dcterms:modified xsi:type="dcterms:W3CDTF">2025-07-13T13:52:11Z</dcterms:modified>
</cp:coreProperties>
</file>