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E3DA7A3B-8AC8-481F-96AD-D87F2A40992F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C14" i="1" l="1"/>
  <c r="E3" i="1" l="1"/>
  <c r="D222" i="1" l="1"/>
  <c r="F222" i="1" s="1"/>
  <c r="D221" i="1"/>
  <c r="F221" i="1" s="1"/>
  <c r="D219" i="1"/>
  <c r="F219" i="1" s="1"/>
  <c r="D195" i="1"/>
  <c r="F195" i="1" s="1"/>
  <c r="D194" i="1"/>
  <c r="F194" i="1" s="1"/>
  <c r="D193" i="1"/>
  <c r="F193" i="1" s="1"/>
  <c r="D168" i="1"/>
  <c r="F168" i="1" s="1"/>
  <c r="D166" i="1"/>
  <c r="F166" i="1" s="1"/>
  <c r="D165" i="1"/>
  <c r="F165" i="1" s="1"/>
  <c r="D217" i="1"/>
  <c r="D216" i="1"/>
  <c r="D214" i="1"/>
  <c r="D190" i="1"/>
  <c r="D189" i="1"/>
  <c r="D188" i="1"/>
  <c r="D163" i="1"/>
  <c r="D161" i="1"/>
  <c r="D160" i="1"/>
  <c r="D212" i="1"/>
  <c r="D211" i="1"/>
  <c r="D210" i="1"/>
  <c r="D209" i="1"/>
  <c r="D184" i="1"/>
  <c r="D183" i="1"/>
  <c r="D185" i="1"/>
  <c r="D182" i="1"/>
  <c r="D158" i="1"/>
  <c r="D157" i="1"/>
  <c r="D156" i="1"/>
  <c r="D155" i="1"/>
  <c r="D207" i="1"/>
  <c r="F207" i="1" s="1"/>
  <c r="D206" i="1"/>
  <c r="F206" i="1" s="1"/>
  <c r="D205" i="1"/>
  <c r="F205" i="1" s="1"/>
  <c r="D180" i="1"/>
  <c r="F180" i="1" s="1"/>
  <c r="D179" i="1"/>
  <c r="F179" i="1" s="1"/>
  <c r="D153" i="1"/>
  <c r="F153" i="1" s="1"/>
  <c r="D151" i="1"/>
  <c r="F151" i="1" s="1"/>
  <c r="D150" i="1"/>
  <c r="F150" i="1" s="1"/>
  <c r="D202" i="1"/>
  <c r="F202" i="1" s="1"/>
  <c r="D201" i="1"/>
  <c r="F201" i="1" s="1"/>
  <c r="D200" i="1"/>
  <c r="F200" i="1" s="1"/>
  <c r="D199" i="1"/>
  <c r="F199" i="1" s="1"/>
  <c r="D175" i="1"/>
  <c r="F175" i="1" s="1"/>
  <c r="D174" i="1"/>
  <c r="F174" i="1" s="1"/>
  <c r="D173" i="1"/>
  <c r="F173" i="1" s="1"/>
  <c r="D172" i="1"/>
  <c r="F172" i="1" s="1"/>
  <c r="J173" i="1"/>
  <c r="J172" i="1"/>
  <c r="I220" i="1"/>
  <c r="G219" i="1"/>
  <c r="I151" i="1"/>
  <c r="G150" i="1"/>
  <c r="I200" i="1"/>
  <c r="G199" i="1"/>
  <c r="I193" i="1"/>
  <c r="G192" i="1"/>
  <c r="I205" i="1"/>
  <c r="G204" i="1"/>
  <c r="I166" i="1"/>
  <c r="G165" i="1"/>
  <c r="I178" i="1"/>
  <c r="G177" i="1"/>
  <c r="G172" i="1"/>
  <c r="D143" i="1"/>
  <c r="D142" i="1"/>
  <c r="D141" i="1"/>
  <c r="D140" i="1"/>
  <c r="D139" i="1"/>
  <c r="D138" i="1"/>
  <c r="O152" i="1"/>
  <c r="P221" i="1"/>
  <c r="O194" i="1"/>
  <c r="O167" i="1"/>
  <c r="P152" i="1"/>
  <c r="O174" i="1"/>
  <c r="O201" i="1"/>
  <c r="P179" i="1"/>
  <c r="O179" i="1"/>
  <c r="P194" i="1"/>
  <c r="P201" i="1"/>
  <c r="O221" i="1"/>
  <c r="O206" i="1"/>
  <c r="P167" i="1"/>
  <c r="P206" i="1"/>
  <c r="P174" i="1"/>
  <c r="E128" i="1" l="1"/>
  <c r="C129" i="1"/>
  <c r="E130" i="1"/>
  <c r="C125" i="1"/>
  <c r="E125" i="1"/>
  <c r="C128" i="1"/>
  <c r="E129" i="1"/>
  <c r="E131" i="1" s="1"/>
  <c r="C130" i="1"/>
  <c r="J174" i="1"/>
  <c r="O222" i="1"/>
  <c r="N221" i="1"/>
  <c r="P222" i="1"/>
  <c r="O202" i="1"/>
  <c r="N201" i="1"/>
  <c r="O153" i="1"/>
  <c r="N152" i="1"/>
  <c r="P202" i="1"/>
  <c r="P153" i="1"/>
  <c r="P195" i="1"/>
  <c r="O195" i="1"/>
  <c r="N194" i="1"/>
  <c r="O207" i="1"/>
  <c r="N206" i="1"/>
  <c r="P207" i="1"/>
  <c r="P168" i="1"/>
  <c r="O168" i="1"/>
  <c r="N167" i="1"/>
  <c r="P180" i="1"/>
  <c r="O180" i="1"/>
  <c r="N179" i="1"/>
  <c r="O175" i="1"/>
  <c r="N174" i="1"/>
  <c r="P175" i="1"/>
  <c r="C131" i="1" l="1"/>
  <c r="N222" i="1"/>
  <c r="N180" i="1"/>
  <c r="N202" i="1"/>
  <c r="N153" i="1"/>
  <c r="N195" i="1"/>
  <c r="N207" i="1"/>
  <c r="N168" i="1"/>
  <c r="N175" i="1"/>
  <c r="F163" i="1"/>
  <c r="F161" i="1"/>
  <c r="F189" i="1"/>
  <c r="F216" i="1"/>
  <c r="F211" i="1"/>
  <c r="F209" i="1"/>
  <c r="F185" i="1"/>
  <c r="I156" i="1"/>
  <c r="F217" i="1"/>
  <c r="G214" i="1"/>
  <c r="F214" i="1"/>
  <c r="F212" i="1"/>
  <c r="F210" i="1"/>
  <c r="G209" i="1"/>
  <c r="F190" i="1"/>
  <c r="F188" i="1"/>
  <c r="G187" i="1"/>
  <c r="F184" i="1"/>
  <c r="F183" i="1"/>
  <c r="G182" i="1"/>
  <c r="F182" i="1"/>
  <c r="G160" i="1"/>
  <c r="F160" i="1"/>
  <c r="P211" i="1"/>
  <c r="P189" i="1"/>
  <c r="O184" i="1"/>
  <c r="P184" i="1"/>
  <c r="O211" i="1"/>
  <c r="O216" i="1"/>
  <c r="P162" i="1"/>
  <c r="O189" i="1"/>
  <c r="O162" i="1"/>
  <c r="P216" i="1"/>
  <c r="G130" i="1" l="1"/>
  <c r="I182" i="1"/>
  <c r="G129" i="1"/>
  <c r="I209" i="1"/>
  <c r="N216" i="1"/>
  <c r="O217" i="1"/>
  <c r="P217" i="1"/>
  <c r="P212" i="1"/>
  <c r="O212" i="1"/>
  <c r="N211" i="1"/>
  <c r="P185" i="1"/>
  <c r="O190" i="1"/>
  <c r="N189" i="1"/>
  <c r="O185" i="1"/>
  <c r="N184" i="1"/>
  <c r="P190" i="1"/>
  <c r="O163" i="1"/>
  <c r="N162" i="1"/>
  <c r="P163" i="1"/>
  <c r="F156" i="1"/>
  <c r="F155" i="1"/>
  <c r="F158" i="1"/>
  <c r="F157" i="1"/>
  <c r="G155" i="1"/>
  <c r="O157" i="1"/>
  <c r="P157" i="1"/>
  <c r="G128" i="1" l="1"/>
  <c r="G131" i="1" s="1"/>
  <c r="N212" i="1"/>
  <c r="N185" i="1"/>
  <c r="N217" i="1"/>
  <c r="N190" i="1"/>
  <c r="N163" i="1"/>
  <c r="O158" i="1"/>
  <c r="N157" i="1"/>
  <c r="P158" i="1"/>
  <c r="N158" i="1" l="1"/>
  <c r="F138" i="1" l="1"/>
  <c r="F139" i="1" l="1"/>
  <c r="F140" i="1"/>
  <c r="F141" i="1"/>
  <c r="F142" i="1"/>
  <c r="F143" i="1"/>
  <c r="G125" i="1" l="1"/>
  <c r="J127" i="1" s="1"/>
  <c r="B226" i="1"/>
  <c r="B22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9" i="1"/>
  <c r="A225" i="1"/>
  <c r="G138" i="1"/>
  <c r="F122" i="1"/>
  <c r="J106" i="1"/>
  <c r="J105" i="1"/>
  <c r="C95" i="1"/>
  <c r="J92" i="1"/>
  <c r="J91" i="1"/>
  <c r="J90" i="1"/>
  <c r="J89" i="1"/>
  <c r="C81" i="1"/>
  <c r="J78" i="1"/>
  <c r="J77" i="1"/>
  <c r="J76" i="1"/>
  <c r="J75" i="1"/>
  <c r="C67" i="1"/>
  <c r="D61" i="1"/>
  <c r="D54" i="1"/>
  <c r="G47" i="1"/>
  <c r="C47" i="1"/>
  <c r="C48" i="1" s="1"/>
  <c r="E41" i="1"/>
  <c r="E42" i="1" s="1"/>
  <c r="E25" i="1"/>
  <c r="E23" i="1"/>
  <c r="E7" i="1"/>
  <c r="H82" i="1"/>
  <c r="H68" i="1"/>
  <c r="H96" i="1"/>
  <c r="A226" i="1" l="1"/>
  <c r="A227" i="1" s="1"/>
  <c r="A228" i="1" s="1"/>
  <c r="A229" i="1" s="1"/>
  <c r="A230" i="1" s="1"/>
  <c r="A231" i="1" s="1"/>
  <c r="A232" i="1" s="1"/>
  <c r="A233" i="1" s="1"/>
  <c r="D73" i="1"/>
  <c r="J71" i="1"/>
  <c r="D80" i="1"/>
  <c r="D78" i="1"/>
  <c r="D76" i="1"/>
  <c r="D74" i="1"/>
  <c r="J72" i="1"/>
  <c r="J70" i="1"/>
  <c r="J73" i="1"/>
  <c r="D79" i="1"/>
  <c r="D75" i="1"/>
  <c r="D77" i="1"/>
  <c r="D101" i="1"/>
  <c r="J99" i="1"/>
  <c r="D108" i="1"/>
  <c r="D106" i="1"/>
  <c r="D104" i="1"/>
  <c r="D102" i="1"/>
  <c r="J100" i="1"/>
  <c r="J98" i="1"/>
  <c r="J101" i="1"/>
  <c r="D107" i="1"/>
  <c r="D105" i="1"/>
  <c r="D103" i="1"/>
  <c r="J87" i="1"/>
  <c r="D93" i="1"/>
  <c r="D91" i="1"/>
  <c r="D89" i="1"/>
  <c r="D87" i="1"/>
  <c r="J85" i="1"/>
  <c r="D94" i="1"/>
  <c r="J86" i="1"/>
  <c r="D88" i="1"/>
  <c r="D90" i="1"/>
  <c r="D92" i="1"/>
  <c r="J84" i="1"/>
  <c r="A234" i="1" l="1"/>
  <c r="A235" i="1" s="1"/>
  <c r="A236" i="1" s="1"/>
  <c r="A237" i="1" s="1"/>
  <c r="J102" i="1"/>
  <c r="J88" i="1"/>
  <c r="J74" i="1"/>
  <c r="C71" i="1"/>
  <c r="D71" i="1" s="1"/>
  <c r="J103" i="1"/>
  <c r="J104" i="1" s="1"/>
  <c r="C99" i="1"/>
  <c r="D99" i="1" s="1"/>
  <c r="C85" i="1"/>
  <c r="D85" i="1" s="1"/>
  <c r="J93" i="1" l="1"/>
  <c r="J94" i="1" s="1"/>
  <c r="C86" i="1" s="1"/>
  <c r="E85" i="1" s="1"/>
  <c r="J107" i="1"/>
  <c r="J108" i="1" s="1"/>
  <c r="C100" i="1" s="1"/>
  <c r="E99" i="1" s="1"/>
  <c r="J79" i="1"/>
  <c r="J80" i="1" s="1"/>
  <c r="C72" i="1" s="1"/>
  <c r="E71" i="1" s="1"/>
  <c r="D86" i="1" l="1"/>
  <c r="I81" i="1"/>
  <c r="C83" i="1" s="1"/>
  <c r="G85" i="1"/>
  <c r="I67" i="1"/>
  <c r="C69" i="1" s="1"/>
  <c r="I95" i="1"/>
  <c r="C97" i="1" s="1"/>
  <c r="D72" i="1"/>
  <c r="G99" i="1"/>
  <c r="G71" i="1"/>
  <c r="D65" i="1" s="1"/>
  <c r="D66" i="1" s="1"/>
  <c r="D100" i="1"/>
  <c r="F66" i="1" l="1"/>
</calcChain>
</file>

<file path=xl/sharedStrings.xml><?xml version="1.0" encoding="utf-8"?>
<sst xmlns="http://schemas.openxmlformats.org/spreadsheetml/2006/main" count="421" uniqueCount="236">
  <si>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</si>
  <si>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</si>
  <si>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</si>
  <si>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</si>
  <si>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</si>
  <si>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</si>
  <si>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</si>
  <si>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</si>
  <si>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</si>
  <si>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</si>
  <si>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</si>
  <si>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</si>
  <si>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</si>
  <si>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</si>
  <si>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</si>
  <si>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</si>
  <si>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</si>
  <si>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</si>
  <si>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</si>
  <si>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</si>
  <si>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</si>
  <si>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</si>
  <si>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</si>
  <si>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</si>
  <si>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</si>
  <si>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</si>
  <si>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</si>
  <si>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</si>
  <si>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</si>
  <si>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</si>
  <si>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</si>
  <si>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</si>
  <si>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</si>
  <si>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</si>
  <si>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</si>
  <si>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</si>
  <si>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</si>
  <si>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</si>
  <si>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</si>
  <si>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</si>
  <si>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</si>
  <si>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</si>
  <si>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</si>
  <si>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</si>
  <si>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</si>
  <si>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</si>
  <si>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</si>
  <si>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</si>
  <si>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</si>
  <si>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</si>
  <si>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</si>
  <si>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</si>
  <si>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</si>
  <si>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</si>
  <si>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</si>
  <si>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</si>
  <si>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</si>
  <si>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</si>
  <si>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</si>
  <si>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</si>
  <si>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</si>
  <si>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</si>
  <si>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</si>
  <si>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</si>
  <si>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</si>
  <si>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</si>
  <si>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</si>
  <si>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</si>
  <si>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</si>
  <si>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</si>
  <si>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</si>
  <si>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</si>
  <si>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</si>
  <si>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</si>
  <si>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</si>
  <si>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</si>
  <si>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</si>
  <si>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</si>
  <si>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</si>
  <si>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</si>
  <si>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</si>
  <si>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</si>
  <si>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</si>
  <si>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</si>
  <si>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</si>
  <si>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</si>
  <si>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</si>
  <si>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</si>
  <si>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</si>
  <si>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</si>
  <si>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</si>
  <si>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</si>
  <si>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</si>
  <si>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</si>
  <si>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</si>
  <si>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</si>
  <si>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</si>
  <si>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</si>
  <si>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</si>
  <si>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</si>
  <si>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</si>
  <si>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</si>
  <si>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</si>
  <si>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</si>
  <si>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</si>
  <si>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</si>
  <si>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</si>
  <si>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</si>
  <si>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</si>
  <si>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</si>
  <si>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</si>
  <si>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</si>
  <si>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</si>
  <si>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</si>
  <si>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</si>
  <si>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</si>
  <si>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</si>
  <si>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</si>
  <si>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</si>
  <si>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</si>
  <si>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</si>
  <si>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</si>
  <si>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</si>
  <si>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</si>
  <si>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</si>
  <si>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</si>
  <si>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</si>
  <si>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</si>
  <si>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</si>
  <si>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</si>
  <si>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</si>
  <si>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</si>
  <si>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</si>
  <si>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</si>
  <si>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</si>
  <si>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</si>
  <si>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</si>
  <si>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</si>
  <si>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</si>
  <si>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</si>
  <si>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</si>
  <si>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</si>
  <si>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</si>
  <si>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</si>
  <si>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</si>
  <si>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</si>
  <si>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</si>
  <si>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</si>
  <si>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</si>
  <si>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</si>
  <si>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</si>
  <si>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</si>
  <si>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</si>
  <si>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</si>
  <si>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</si>
  <si>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</si>
  <si>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</si>
  <si>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</si>
  <si>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</si>
  <si>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</si>
  <si>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</si>
  <si>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</si>
  <si>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Axis Goregaon</t>
  </si>
  <si>
    <t xml:space="preserve">P51800031167
</t>
  </si>
  <si>
    <t>M/s. Ranbir Real Estate And Developers Llp</t>
  </si>
  <si>
    <t>C.T.S.No</t>
  </si>
  <si>
    <t>Locality</t>
  </si>
  <si>
    <t>Sarvoday Nagar</t>
  </si>
  <si>
    <t>Andheri</t>
  </si>
  <si>
    <t>SRA/ENG/2550/KE/MHL/AP</t>
  </si>
  <si>
    <t>1BHK</t>
  </si>
  <si>
    <t>Refuge Area</t>
  </si>
  <si>
    <t>2BHK</t>
  </si>
  <si>
    <t>2nd to 6th, 8th to 13th, 15th to 19th Floor</t>
  </si>
  <si>
    <t>156 (pt), 160/A/1 (pt) &amp; 162 (pt)</t>
  </si>
  <si>
    <t>7th Floor (Part Refuge Area)</t>
  </si>
  <si>
    <t>Residential Area Details for Sale Flats</t>
  </si>
  <si>
    <t>Wing A</t>
  </si>
  <si>
    <t>Wing B</t>
  </si>
  <si>
    <t>Wing C</t>
  </si>
  <si>
    <t>Total</t>
  </si>
  <si>
    <t>Meghwadi Police Station</t>
  </si>
  <si>
    <t>Post Office</t>
  </si>
  <si>
    <t>Slum Area</t>
  </si>
  <si>
    <t>Shramik Vidyalaya School</t>
  </si>
  <si>
    <t>MHB Colony Rd</t>
  </si>
  <si>
    <t>Residential</t>
  </si>
  <si>
    <t>2.6 KM from Andheri Railway Station</t>
  </si>
  <si>
    <t>Wing A, B &amp; C</t>
  </si>
  <si>
    <t>Approved Plans, CC, Sale Plan</t>
  </si>
  <si>
    <t>03 Buildings</t>
  </si>
  <si>
    <r>
      <t xml:space="preserve">Flat No.
</t>
    </r>
    <r>
      <rPr>
        <b/>
        <sz val="11"/>
        <color rgb="FF000000"/>
        <rFont val="Times New Roman"/>
        <family val="1"/>
      </rPr>
      <t>(Sale Plan)</t>
    </r>
  </si>
  <si>
    <t>800000/-</t>
  </si>
  <si>
    <t>Shristi Residency Phase 1</t>
  </si>
  <si>
    <t>Mumbai</t>
  </si>
  <si>
    <t>Lower Ground Floor for Parking</t>
  </si>
  <si>
    <t>Upper Ground Floor for Commercial</t>
  </si>
  <si>
    <t>Shop</t>
  </si>
  <si>
    <t>Upper Ground Floor for Residential</t>
  </si>
  <si>
    <t xml:space="preserve"> 1st Floor</t>
  </si>
  <si>
    <t>Flat 01</t>
  </si>
  <si>
    <t>Society Office</t>
  </si>
  <si>
    <t>We considered Gross carpet area = Net carpet + Chajja</t>
  </si>
  <si>
    <t xml:space="preserve"> 14th Floor (Part Refuge Area)</t>
  </si>
  <si>
    <t>Flats - 226, Shop - 6</t>
  </si>
  <si>
    <t>Wing A = L.G + U.G + 1st to 19th Floor
Wing B = L.G + U.G + 1st to 19th Floor
Wing C = L.G + U.G + 1st to 19th Floor</t>
  </si>
  <si>
    <t xml:space="preserve"> 1st Floor (Part Amenity Area)</t>
  </si>
  <si>
    <t xml:space="preserve"> 1st Floor for Residential (Part Amenity Area)</t>
  </si>
  <si>
    <t>Amenity Area</t>
  </si>
  <si>
    <t>Valid Up to: This C.C is further extended from upper Gr. Floor  + 1st to 14th upper floors including L.M.R &amp; O.H.W.T of sale Wing "A", "B" &amp; "C" or composite building No. A2 as per approved amended plans dated 09/02/2021.</t>
  </si>
  <si>
    <t xml:space="preserve">We have updated the revised approved C.C. from the RERA site (on 07/02/2023)
</t>
  </si>
  <si>
    <t xml:space="preserve">Site Person - Contact Details ( Name &amp; Contact No.)
</t>
  </si>
  <si>
    <t>Location Link</t>
  </si>
  <si>
    <t>https://goo.gl/maps/jbdZTHmHMUZzZpnJ6?coh=178572&amp;entry=tt</t>
  </si>
  <si>
    <t>On Site, we meet Sales person - 9769265177.</t>
  </si>
  <si>
    <t xml:space="preserve"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 </t>
  </si>
  <si>
    <t>Water Connection Charges</t>
  </si>
  <si>
    <t>verbal</t>
  </si>
  <si>
    <t>Recommended Rates/Other Charges of the Property have been revised on 18/01/2024.</t>
  </si>
  <si>
    <t>13200 to 14500 nikhil</t>
  </si>
  <si>
    <t>Latitude,Longitude</t>
  </si>
  <si>
    <t>19.1322452,72.8619895</t>
  </si>
  <si>
    <t>Valid Up to: This CC is re-endorsed &amp; further extended for 15th to 19th upper floors including LMR &amp; OHWT of Sale wing 'A', 'B' &amp; 'C' of composite bldg no.A2 as per approved amended plans dtd.29/12/2022.</t>
  </si>
  <si>
    <t>We have updated latest CC from Rera (dtd.17/05/2024).</t>
  </si>
  <si>
    <t>We have considered construction percent as per proposed no of floor because construction work goes beyond approved floor plans.</t>
  </si>
  <si>
    <t>Please provide revised approved plans &amp; CC.</t>
  </si>
  <si>
    <t>19th floor building is ready and as per architect  certificate also but on their web site building is proposed 22nd floor are shown</t>
  </si>
  <si>
    <t>Wing A = L.G + U.G + 1st to 19th Floor</t>
  </si>
  <si>
    <t>Wing B = L.G + U.G + 1st to 19th Floor</t>
  </si>
  <si>
    <t>Wing C = L.G + U.G + 1st to 19th Floor</t>
  </si>
  <si>
    <t>As per RERA, completion period of project is expired on 31/12/2024 but still project is under construction.</t>
  </si>
  <si>
    <t>Finishing work is in process. Internal photos was not allowed.</t>
  </si>
  <si>
    <t>As per RERA - 30/12/2025</t>
  </si>
  <si>
    <t>Gaurav Panchal</t>
  </si>
  <si>
    <t>Pratik Niwate</t>
  </si>
  <si>
    <t>Pooja- 9136927877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</si>
</sst>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0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6" fillId="2" borderId="0" xfId="2" applyFont="1" applyFill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 vertical="center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5" fillId="3" borderId="29" xfId="1" applyFont="1" applyFill="1" applyBorder="1" applyAlignment="1">
      <alignment horizontal="center" wrapText="1"/>
    </xf>
    <xf numFmtId="0" fontId="15" fillId="3" borderId="0" xfId="1" applyFont="1" applyFill="1" applyAlignment="1">
      <alignment horizontal="center" wrapText="1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8" fillId="0" borderId="18" xfId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2" fontId="6" fillId="2" borderId="1" xfId="1" applyNumberFormat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8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165" fontId="6" fillId="2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23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3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6" fillId="2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24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3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vertical="top"/>
      <protection locked="0"/>
    </xf>
    <xf numFmtId="0" fontId="6" fillId="0" borderId="23" xfId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0" fontId="13" fillId="0" borderId="8" xfId="1" applyFont="1" applyBorder="1" applyAlignment="1" applyProtection="1">
      <alignment vertical="top"/>
      <protection locked="0"/>
    </xf>
    <xf numFmtId="0" fontId="13" fillId="0" borderId="23" xfId="1" applyFont="1" applyBorder="1" applyAlignment="1" applyProtection="1">
      <alignment vertical="top"/>
      <protection locked="0"/>
    </xf>
    <xf numFmtId="0" fontId="13" fillId="0" borderId="9" xfId="1" applyFont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25" fillId="0" borderId="8" xfId="0" applyNumberFormat="1" applyFont="1" applyFill="1" applyBorder="1" applyAlignment="1" applyProtection="1">
      <alignment vertical="top" wrapText="1"/>
      <protection locked="0"/>
    </xf>
    <xf numFmtId="1" fontId="25" fillId="0" borderId="23" xfId="0" applyNumberFormat="1" applyFont="1" applyFill="1" applyBorder="1" applyAlignment="1" applyProtection="1">
      <alignment vertical="top" wrapText="1"/>
      <protection locked="0"/>
    </xf>
    <xf numFmtId="1" fontId="25" fillId="0" borderId="9" xfId="0" applyNumberFormat="1" applyFont="1" applyFill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304</xdr:row>
      <xdr:rowOff>50141</xdr:rowOff>
    </xdr:from>
    <xdr:to>
      <xdr:col>7</xdr:col>
      <xdr:colOff>384353</xdr:colOff>
      <xdr:row>320</xdr:row>
      <xdr:rowOff>89740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51666116"/>
          <a:ext cx="5680253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287</xdr:row>
      <xdr:rowOff>0</xdr:rowOff>
    </xdr:from>
    <xdr:to>
      <xdr:col>7</xdr:col>
      <xdr:colOff>384354</xdr:colOff>
      <xdr:row>303</xdr:row>
      <xdr:rowOff>39600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1" y="48215550"/>
          <a:ext cx="5680253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182751</xdr:colOff>
      <xdr:row>255</xdr:row>
      <xdr:rowOff>190500</xdr:rowOff>
    </xdr:from>
    <xdr:to>
      <xdr:col>11</xdr:col>
      <xdr:colOff>406360</xdr:colOff>
      <xdr:row>257</xdr:row>
      <xdr:rowOff>159782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8631426" y="51177825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9</xdr:col>
      <xdr:colOff>206853</xdr:colOff>
      <xdr:row>281</xdr:row>
      <xdr:rowOff>514093</xdr:rowOff>
    </xdr:from>
    <xdr:to>
      <xdr:col>10</xdr:col>
      <xdr:colOff>355680</xdr:colOff>
      <xdr:row>282</xdr:row>
      <xdr:rowOff>311925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7893528" y="57073543"/>
          <a:ext cx="91082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14</xdr:col>
      <xdr:colOff>367625</xdr:colOff>
      <xdr:row>248</xdr:row>
      <xdr:rowOff>123825</xdr:rowOff>
    </xdr:from>
    <xdr:to>
      <xdr:col>15</xdr:col>
      <xdr:colOff>657909</xdr:colOff>
      <xdr:row>250</xdr:row>
      <xdr:rowOff>96282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1902400" y="52730400"/>
          <a:ext cx="947509" cy="37250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8</xdr:col>
      <xdr:colOff>941310</xdr:colOff>
      <xdr:row>250</xdr:row>
      <xdr:rowOff>28575</xdr:rowOff>
    </xdr:from>
    <xdr:to>
      <xdr:col>9</xdr:col>
      <xdr:colOff>726769</xdr:colOff>
      <xdr:row>253</xdr:row>
      <xdr:rowOff>90799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7465935" y="53035200"/>
          <a:ext cx="947509" cy="6622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&amp; C Wing </a:t>
          </a:r>
        </a:p>
      </xdr:txBody>
    </xdr:sp>
    <xdr:clientData/>
  </xdr:twoCellAnchor>
  <xdr:twoCellAnchor>
    <xdr:from>
      <xdr:col>9</xdr:col>
      <xdr:colOff>76200</xdr:colOff>
      <xdr:row>253</xdr:row>
      <xdr:rowOff>63500</xdr:rowOff>
    </xdr:from>
    <xdr:to>
      <xdr:col>9</xdr:col>
      <xdr:colOff>107950</xdr:colOff>
      <xdr:row>256</xdr:row>
      <xdr:rowOff>3175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7762875" y="53670200"/>
          <a:ext cx="31750" cy="530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572863</xdr:colOff>
      <xdr:row>248</xdr:row>
      <xdr:rowOff>88446</xdr:rowOff>
    </xdr:from>
    <xdr:to>
      <xdr:col>16</xdr:col>
      <xdr:colOff>459021</xdr:colOff>
      <xdr:row>277</xdr:row>
      <xdr:rowOff>162349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059388" y="52418796"/>
          <a:ext cx="6334583" cy="5865103"/>
          <a:chOff x="123826" y="53863875"/>
          <a:chExt cx="6322337" cy="5979403"/>
        </a:xfrm>
      </xdr:grpSpPr>
      <xdr:pic>
        <xdr:nvPicPr>
          <xdr:cNvPr id="14" name="Picture 13" descr="https://vsjcllp.vsjadon.com/upload/insp-197580-1525.jp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4714" y="58004467"/>
            <a:ext cx="2381449" cy="183673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197580-843.jp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72084" y="53863875"/>
            <a:ext cx="2950578" cy="40375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197580-849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826" y="58006539"/>
            <a:ext cx="2396416" cy="183673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197580-916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1914" y="53873400"/>
            <a:ext cx="2965545" cy="40375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197580-925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19214" y="58006539"/>
            <a:ext cx="1344512" cy="183673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190501</xdr:colOff>
      <xdr:row>74</xdr:row>
      <xdr:rowOff>19050</xdr:rowOff>
    </xdr:from>
    <xdr:to>
      <xdr:col>14</xdr:col>
      <xdr:colOff>618394</xdr:colOff>
      <xdr:row>90</xdr:row>
      <xdr:rowOff>183700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39176" y="17573625"/>
          <a:ext cx="3513993" cy="3600000"/>
        </a:xfrm>
        <a:prstGeom prst="rect">
          <a:avLst/>
        </a:prstGeom>
      </xdr:spPr>
    </xdr:pic>
    <xdr:clientData/>
  </xdr:twoCellAnchor>
  <xdr:twoCellAnchor>
    <xdr:from>
      <xdr:col>8</xdr:col>
      <xdr:colOff>269875</xdr:colOff>
      <xdr:row>248</xdr:row>
      <xdr:rowOff>177800</xdr:rowOff>
    </xdr:from>
    <xdr:to>
      <xdr:col>15</xdr:col>
      <xdr:colOff>706689</xdr:colOff>
      <xdr:row>284</xdr:row>
      <xdr:rowOff>1193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756400" y="52508150"/>
          <a:ext cx="6113714" cy="7386243"/>
          <a:chOff x="203200" y="51981100"/>
          <a:chExt cx="6399464" cy="7281468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9507" y="57102568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497" y="5482983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92700" y="54829834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3514" y="519811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8357" y="519811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7908" y="54829834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00" y="519811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57304" y="5710256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647700</xdr:colOff>
      <xdr:row>249</xdr:row>
      <xdr:rowOff>142875</xdr:rowOff>
    </xdr:from>
    <xdr:to>
      <xdr:col>7</xdr:col>
      <xdr:colOff>261096</xdr:colOff>
      <xdr:row>283</xdr:row>
      <xdr:rowOff>19050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3BB1B721-5CAA-4E06-805F-ED41F4351F2C}"/>
            </a:ext>
          </a:extLst>
        </xdr:cNvPr>
        <xdr:cNvGrpSpPr/>
      </xdr:nvGrpSpPr>
      <xdr:grpSpPr>
        <a:xfrm>
          <a:off x="647700" y="52673250"/>
          <a:ext cx="5271246" cy="7038975"/>
          <a:chOff x="703731" y="502023"/>
          <a:chExt cx="5271246" cy="7604898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CD5C1-1446-41B8-8E23-D7AF088F2A3D}"/>
              </a:ext>
            </a:extLst>
          </xdr:cNvPr>
          <xdr:cNvGrpSpPr/>
        </xdr:nvGrpSpPr>
        <xdr:grpSpPr>
          <a:xfrm>
            <a:off x="703731" y="502023"/>
            <a:ext cx="5271246" cy="7604898"/>
            <a:chOff x="703731" y="502023"/>
            <a:chExt cx="5271246" cy="7604898"/>
          </a:xfrm>
        </xdr:grpSpPr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14111000-4E29-43E8-BEA3-61934730C4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93377" y="502023"/>
              <a:ext cx="2430000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B7A6ABEB-8893-4C27-8468-2B33B2CC2C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502023"/>
              <a:ext cx="2430000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D9CC2BDD-DEC5-4272-8698-96F3F0CBD0C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03731" y="3944472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59D28126-46E3-40C0-AE02-EF9417C66F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29354" y="3944472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B6248ED4-D605-4136-988F-894907A6FF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54977" y="3944472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B74B307E-8D24-4D65-9C11-2E3B3FD017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57978" y="6306921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A36BDC64-A513-4C89-890B-3DB54AE373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74354" y="6306921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7" name="TextBox 185">
            <a:extLst>
              <a:ext uri="{FF2B5EF4-FFF2-40B4-BE49-F238E27FC236}">
                <a16:creationId xmlns:a16="http://schemas.microsoft.com/office/drawing/2014/main" id="{DA9672D1-0478-4AFE-B51E-3ED93CC5D608}"/>
              </a:ext>
            </a:extLst>
          </xdr:cNvPr>
          <xdr:cNvSpPr txBox="1"/>
        </xdr:nvSpPr>
        <xdr:spPr>
          <a:xfrm>
            <a:off x="1684249" y="667747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6" name="TextBox 186">
            <a:extLst>
              <a:ext uri="{FF2B5EF4-FFF2-40B4-BE49-F238E27FC236}">
                <a16:creationId xmlns:a16="http://schemas.microsoft.com/office/drawing/2014/main" id="{3AE755BD-D848-40C9-91DB-48BDF5ACD48B}"/>
              </a:ext>
            </a:extLst>
          </xdr:cNvPr>
          <xdr:cNvSpPr txBox="1"/>
        </xdr:nvSpPr>
        <xdr:spPr>
          <a:xfrm>
            <a:off x="4230508" y="502023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7" name="TextBox 187">
            <a:extLst>
              <a:ext uri="{FF2B5EF4-FFF2-40B4-BE49-F238E27FC236}">
                <a16:creationId xmlns:a16="http://schemas.microsoft.com/office/drawing/2014/main" id="{0DA3A9E1-C6E3-41CC-947A-1DFA0F713321}"/>
              </a:ext>
            </a:extLst>
          </xdr:cNvPr>
          <xdr:cNvSpPr txBox="1"/>
        </xdr:nvSpPr>
        <xdr:spPr>
          <a:xfrm>
            <a:off x="809692" y="1286313"/>
            <a:ext cx="70403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 &amp; C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bdZTHmHMUZzZpnJ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86"/>
  <sheetViews>
    <sheetView tabSelected="1" view="pageBreakPreview" zoomScaleNormal="100" zoomScaleSheetLayoutView="100" workbookViewId="0">
      <selection activeCell="I4" sqref="I4"/>
    </sheetView>
  </sheetViews>
  <sheetFormatPr defaultColWidth="9.140625" defaultRowHeight="15.75" x14ac:dyDescent="0.25"/>
  <cols>
    <col min="1" max="1" width="11.42578125" style="12" customWidth="1"/>
    <col min="2" max="2" width="12" style="12" customWidth="1"/>
    <col min="3" max="3" width="12.5703125" style="12" customWidth="1"/>
    <col min="4" max="4" width="14.140625" style="12" customWidth="1"/>
    <col min="5" max="7" width="11.5703125" style="12" customWidth="1"/>
    <col min="8" max="8" width="12.42578125" style="12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1.42578125" style="3" bestFit="1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5703125" style="3" customWidth="1"/>
    <col min="17" max="247" width="9.140625" style="3"/>
    <col min="248" max="248" width="8.5703125" style="3" customWidth="1"/>
    <col min="249" max="249" width="9.85546875" style="3" customWidth="1"/>
    <col min="250" max="250" width="14.42578125" style="3" customWidth="1"/>
    <col min="251" max="251" width="7.425781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5703125" style="3" customWidth="1"/>
    <col min="505" max="505" width="9.85546875" style="3" customWidth="1"/>
    <col min="506" max="506" width="14.42578125" style="3" customWidth="1"/>
    <col min="507" max="507" width="7.425781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5703125" style="3" customWidth="1"/>
    <col min="761" max="761" width="9.85546875" style="3" customWidth="1"/>
    <col min="762" max="762" width="14.42578125" style="3" customWidth="1"/>
    <col min="763" max="763" width="7.425781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5703125" style="3" customWidth="1"/>
    <col min="1017" max="1017" width="9.85546875" style="3" customWidth="1"/>
    <col min="1018" max="1018" width="14.42578125" style="3" customWidth="1"/>
    <col min="1019" max="1019" width="7.425781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5703125" style="3" customWidth="1"/>
    <col min="1273" max="1273" width="9.85546875" style="3" customWidth="1"/>
    <col min="1274" max="1274" width="14.42578125" style="3" customWidth="1"/>
    <col min="1275" max="1275" width="7.425781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5703125" style="3" customWidth="1"/>
    <col min="1529" max="1529" width="9.85546875" style="3" customWidth="1"/>
    <col min="1530" max="1530" width="14.42578125" style="3" customWidth="1"/>
    <col min="1531" max="1531" width="7.425781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5703125" style="3" customWidth="1"/>
    <col min="1785" max="1785" width="9.85546875" style="3" customWidth="1"/>
    <col min="1786" max="1786" width="14.42578125" style="3" customWidth="1"/>
    <col min="1787" max="1787" width="7.425781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5703125" style="3" customWidth="1"/>
    <col min="2041" max="2041" width="9.85546875" style="3" customWidth="1"/>
    <col min="2042" max="2042" width="14.42578125" style="3" customWidth="1"/>
    <col min="2043" max="2043" width="7.425781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5703125" style="3" customWidth="1"/>
    <col min="2297" max="2297" width="9.85546875" style="3" customWidth="1"/>
    <col min="2298" max="2298" width="14.42578125" style="3" customWidth="1"/>
    <col min="2299" max="2299" width="7.425781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5703125" style="3" customWidth="1"/>
    <col min="2553" max="2553" width="9.85546875" style="3" customWidth="1"/>
    <col min="2554" max="2554" width="14.42578125" style="3" customWidth="1"/>
    <col min="2555" max="2555" width="7.425781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5703125" style="3" customWidth="1"/>
    <col min="2809" max="2809" width="9.85546875" style="3" customWidth="1"/>
    <col min="2810" max="2810" width="14.42578125" style="3" customWidth="1"/>
    <col min="2811" max="2811" width="7.425781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5703125" style="3" customWidth="1"/>
    <col min="3065" max="3065" width="9.85546875" style="3" customWidth="1"/>
    <col min="3066" max="3066" width="14.42578125" style="3" customWidth="1"/>
    <col min="3067" max="3067" width="7.425781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5703125" style="3" customWidth="1"/>
    <col min="3321" max="3321" width="9.85546875" style="3" customWidth="1"/>
    <col min="3322" max="3322" width="14.42578125" style="3" customWidth="1"/>
    <col min="3323" max="3323" width="7.425781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5703125" style="3" customWidth="1"/>
    <col min="3577" max="3577" width="9.85546875" style="3" customWidth="1"/>
    <col min="3578" max="3578" width="14.42578125" style="3" customWidth="1"/>
    <col min="3579" max="3579" width="7.425781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5703125" style="3" customWidth="1"/>
    <col min="3833" max="3833" width="9.85546875" style="3" customWidth="1"/>
    <col min="3834" max="3834" width="14.42578125" style="3" customWidth="1"/>
    <col min="3835" max="3835" width="7.425781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5703125" style="3" customWidth="1"/>
    <col min="4089" max="4089" width="9.85546875" style="3" customWidth="1"/>
    <col min="4090" max="4090" width="14.42578125" style="3" customWidth="1"/>
    <col min="4091" max="4091" width="7.425781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5703125" style="3" customWidth="1"/>
    <col min="4345" max="4345" width="9.85546875" style="3" customWidth="1"/>
    <col min="4346" max="4346" width="14.42578125" style="3" customWidth="1"/>
    <col min="4347" max="4347" width="7.425781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5703125" style="3" customWidth="1"/>
    <col min="4601" max="4601" width="9.85546875" style="3" customWidth="1"/>
    <col min="4602" max="4602" width="14.42578125" style="3" customWidth="1"/>
    <col min="4603" max="4603" width="7.425781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5703125" style="3" customWidth="1"/>
    <col min="4857" max="4857" width="9.85546875" style="3" customWidth="1"/>
    <col min="4858" max="4858" width="14.42578125" style="3" customWidth="1"/>
    <col min="4859" max="4859" width="7.425781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5703125" style="3" customWidth="1"/>
    <col min="5113" max="5113" width="9.85546875" style="3" customWidth="1"/>
    <col min="5114" max="5114" width="14.42578125" style="3" customWidth="1"/>
    <col min="5115" max="5115" width="7.425781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5703125" style="3" customWidth="1"/>
    <col min="5369" max="5369" width="9.85546875" style="3" customWidth="1"/>
    <col min="5370" max="5370" width="14.42578125" style="3" customWidth="1"/>
    <col min="5371" max="5371" width="7.425781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5703125" style="3" customWidth="1"/>
    <col min="5625" max="5625" width="9.85546875" style="3" customWidth="1"/>
    <col min="5626" max="5626" width="14.42578125" style="3" customWidth="1"/>
    <col min="5627" max="5627" width="7.425781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5703125" style="3" customWidth="1"/>
    <col min="5881" max="5881" width="9.85546875" style="3" customWidth="1"/>
    <col min="5882" max="5882" width="14.42578125" style="3" customWidth="1"/>
    <col min="5883" max="5883" width="7.425781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5703125" style="3" customWidth="1"/>
    <col min="6137" max="6137" width="9.85546875" style="3" customWidth="1"/>
    <col min="6138" max="6138" width="14.42578125" style="3" customWidth="1"/>
    <col min="6139" max="6139" width="7.425781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5703125" style="3" customWidth="1"/>
    <col min="6393" max="6393" width="9.85546875" style="3" customWidth="1"/>
    <col min="6394" max="6394" width="14.42578125" style="3" customWidth="1"/>
    <col min="6395" max="6395" width="7.425781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5703125" style="3" customWidth="1"/>
    <col min="6649" max="6649" width="9.85546875" style="3" customWidth="1"/>
    <col min="6650" max="6650" width="14.42578125" style="3" customWidth="1"/>
    <col min="6651" max="6651" width="7.425781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5703125" style="3" customWidth="1"/>
    <col min="6905" max="6905" width="9.85546875" style="3" customWidth="1"/>
    <col min="6906" max="6906" width="14.42578125" style="3" customWidth="1"/>
    <col min="6907" max="6907" width="7.425781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5703125" style="3" customWidth="1"/>
    <col min="7161" max="7161" width="9.85546875" style="3" customWidth="1"/>
    <col min="7162" max="7162" width="14.42578125" style="3" customWidth="1"/>
    <col min="7163" max="7163" width="7.425781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5703125" style="3" customWidth="1"/>
    <col min="7417" max="7417" width="9.85546875" style="3" customWidth="1"/>
    <col min="7418" max="7418" width="14.42578125" style="3" customWidth="1"/>
    <col min="7419" max="7419" width="7.425781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5703125" style="3" customWidth="1"/>
    <col min="7673" max="7673" width="9.85546875" style="3" customWidth="1"/>
    <col min="7674" max="7674" width="14.42578125" style="3" customWidth="1"/>
    <col min="7675" max="7675" width="7.425781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5703125" style="3" customWidth="1"/>
    <col min="7929" max="7929" width="9.85546875" style="3" customWidth="1"/>
    <col min="7930" max="7930" width="14.42578125" style="3" customWidth="1"/>
    <col min="7931" max="7931" width="7.425781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5703125" style="3" customWidth="1"/>
    <col min="8185" max="8185" width="9.85546875" style="3" customWidth="1"/>
    <col min="8186" max="8186" width="14.42578125" style="3" customWidth="1"/>
    <col min="8187" max="8187" width="7.425781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5703125" style="3" customWidth="1"/>
    <col min="8441" max="8441" width="9.85546875" style="3" customWidth="1"/>
    <col min="8442" max="8442" width="14.42578125" style="3" customWidth="1"/>
    <col min="8443" max="8443" width="7.425781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5703125" style="3" customWidth="1"/>
    <col min="8697" max="8697" width="9.85546875" style="3" customWidth="1"/>
    <col min="8698" max="8698" width="14.42578125" style="3" customWidth="1"/>
    <col min="8699" max="8699" width="7.425781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5703125" style="3" customWidth="1"/>
    <col min="8953" max="8953" width="9.85546875" style="3" customWidth="1"/>
    <col min="8954" max="8954" width="14.42578125" style="3" customWidth="1"/>
    <col min="8955" max="8955" width="7.425781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5703125" style="3" customWidth="1"/>
    <col min="9209" max="9209" width="9.85546875" style="3" customWidth="1"/>
    <col min="9210" max="9210" width="14.42578125" style="3" customWidth="1"/>
    <col min="9211" max="9211" width="7.425781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5703125" style="3" customWidth="1"/>
    <col min="9465" max="9465" width="9.85546875" style="3" customWidth="1"/>
    <col min="9466" max="9466" width="14.42578125" style="3" customWidth="1"/>
    <col min="9467" max="9467" width="7.425781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5703125" style="3" customWidth="1"/>
    <col min="9721" max="9721" width="9.85546875" style="3" customWidth="1"/>
    <col min="9722" max="9722" width="14.42578125" style="3" customWidth="1"/>
    <col min="9723" max="9723" width="7.425781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5703125" style="3" customWidth="1"/>
    <col min="9977" max="9977" width="9.85546875" style="3" customWidth="1"/>
    <col min="9978" max="9978" width="14.42578125" style="3" customWidth="1"/>
    <col min="9979" max="9979" width="7.425781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5703125" style="3" customWidth="1"/>
    <col min="10233" max="10233" width="9.85546875" style="3" customWidth="1"/>
    <col min="10234" max="10234" width="14.42578125" style="3" customWidth="1"/>
    <col min="10235" max="10235" width="7.425781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5703125" style="3" customWidth="1"/>
    <col min="10489" max="10489" width="9.85546875" style="3" customWidth="1"/>
    <col min="10490" max="10490" width="14.42578125" style="3" customWidth="1"/>
    <col min="10491" max="10491" width="7.425781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5703125" style="3" customWidth="1"/>
    <col min="10745" max="10745" width="9.85546875" style="3" customWidth="1"/>
    <col min="10746" max="10746" width="14.42578125" style="3" customWidth="1"/>
    <col min="10747" max="10747" width="7.425781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5703125" style="3" customWidth="1"/>
    <col min="11001" max="11001" width="9.85546875" style="3" customWidth="1"/>
    <col min="11002" max="11002" width="14.42578125" style="3" customWidth="1"/>
    <col min="11003" max="11003" width="7.425781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5703125" style="3" customWidth="1"/>
    <col min="11257" max="11257" width="9.85546875" style="3" customWidth="1"/>
    <col min="11258" max="11258" width="14.42578125" style="3" customWidth="1"/>
    <col min="11259" max="11259" width="7.425781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5703125" style="3" customWidth="1"/>
    <col min="11513" max="11513" width="9.85546875" style="3" customWidth="1"/>
    <col min="11514" max="11514" width="14.42578125" style="3" customWidth="1"/>
    <col min="11515" max="11515" width="7.425781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5703125" style="3" customWidth="1"/>
    <col min="11769" max="11769" width="9.85546875" style="3" customWidth="1"/>
    <col min="11770" max="11770" width="14.42578125" style="3" customWidth="1"/>
    <col min="11771" max="11771" width="7.425781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5703125" style="3" customWidth="1"/>
    <col min="12025" max="12025" width="9.85546875" style="3" customWidth="1"/>
    <col min="12026" max="12026" width="14.42578125" style="3" customWidth="1"/>
    <col min="12027" max="12027" width="7.425781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5703125" style="3" customWidth="1"/>
    <col min="12281" max="12281" width="9.85546875" style="3" customWidth="1"/>
    <col min="12282" max="12282" width="14.42578125" style="3" customWidth="1"/>
    <col min="12283" max="12283" width="7.425781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5703125" style="3" customWidth="1"/>
    <col min="12537" max="12537" width="9.85546875" style="3" customWidth="1"/>
    <col min="12538" max="12538" width="14.42578125" style="3" customWidth="1"/>
    <col min="12539" max="12539" width="7.425781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5703125" style="3" customWidth="1"/>
    <col min="12793" max="12793" width="9.85546875" style="3" customWidth="1"/>
    <col min="12794" max="12794" width="14.42578125" style="3" customWidth="1"/>
    <col min="12795" max="12795" width="7.425781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5703125" style="3" customWidth="1"/>
    <col min="13049" max="13049" width="9.85546875" style="3" customWidth="1"/>
    <col min="13050" max="13050" width="14.42578125" style="3" customWidth="1"/>
    <col min="13051" max="13051" width="7.425781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5703125" style="3" customWidth="1"/>
    <col min="13305" max="13305" width="9.85546875" style="3" customWidth="1"/>
    <col min="13306" max="13306" width="14.42578125" style="3" customWidth="1"/>
    <col min="13307" max="13307" width="7.425781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5703125" style="3" customWidth="1"/>
    <col min="13561" max="13561" width="9.85546875" style="3" customWidth="1"/>
    <col min="13562" max="13562" width="14.42578125" style="3" customWidth="1"/>
    <col min="13563" max="13563" width="7.425781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5703125" style="3" customWidth="1"/>
    <col min="13817" max="13817" width="9.85546875" style="3" customWidth="1"/>
    <col min="13818" max="13818" width="14.42578125" style="3" customWidth="1"/>
    <col min="13819" max="13819" width="7.425781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5703125" style="3" customWidth="1"/>
    <col min="14073" max="14073" width="9.85546875" style="3" customWidth="1"/>
    <col min="14074" max="14074" width="14.42578125" style="3" customWidth="1"/>
    <col min="14075" max="14075" width="7.425781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5703125" style="3" customWidth="1"/>
    <col min="14329" max="14329" width="9.85546875" style="3" customWidth="1"/>
    <col min="14330" max="14330" width="14.42578125" style="3" customWidth="1"/>
    <col min="14331" max="14331" width="7.425781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5703125" style="3" customWidth="1"/>
    <col min="14585" max="14585" width="9.85546875" style="3" customWidth="1"/>
    <col min="14586" max="14586" width="14.42578125" style="3" customWidth="1"/>
    <col min="14587" max="14587" width="7.425781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5703125" style="3" customWidth="1"/>
    <col min="14841" max="14841" width="9.85546875" style="3" customWidth="1"/>
    <col min="14842" max="14842" width="14.42578125" style="3" customWidth="1"/>
    <col min="14843" max="14843" width="7.425781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5703125" style="3" customWidth="1"/>
    <col min="15097" max="15097" width="9.85546875" style="3" customWidth="1"/>
    <col min="15098" max="15098" width="14.42578125" style="3" customWidth="1"/>
    <col min="15099" max="15099" width="7.425781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5703125" style="3" customWidth="1"/>
    <col min="15353" max="15353" width="9.85546875" style="3" customWidth="1"/>
    <col min="15354" max="15354" width="14.42578125" style="3" customWidth="1"/>
    <col min="15355" max="15355" width="7.425781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5703125" style="3" customWidth="1"/>
    <col min="15609" max="15609" width="9.85546875" style="3" customWidth="1"/>
    <col min="15610" max="15610" width="14.42578125" style="3" customWidth="1"/>
    <col min="15611" max="15611" width="7.425781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5703125" style="3" customWidth="1"/>
    <col min="15865" max="15865" width="9.85546875" style="3" customWidth="1"/>
    <col min="15866" max="15866" width="14.42578125" style="3" customWidth="1"/>
    <col min="15867" max="15867" width="7.425781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5703125" style="3" customWidth="1"/>
    <col min="16121" max="16121" width="9.85546875" style="3" customWidth="1"/>
    <col min="16122" max="16122" width="14.42578125" style="3" customWidth="1"/>
    <col min="16123" max="16123" width="7.425781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160" t="s">
        <v>215</v>
      </c>
      <c r="B1" s="160"/>
      <c r="C1" s="160"/>
      <c r="D1" s="160"/>
      <c r="E1" s="160"/>
      <c r="F1" s="160"/>
      <c r="G1" s="160"/>
      <c r="H1" s="160"/>
    </row>
    <row r="2" spans="1:8" ht="16.5" customHeight="1" x14ac:dyDescent="0.25">
      <c r="A2" s="161" t="s">
        <v>0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62" t="s">
        <v>1</v>
      </c>
      <c r="B3" s="162"/>
      <c r="C3" s="162"/>
      <c r="D3" s="162"/>
      <c r="E3" s="163" t="str">
        <f ca="1">TEXT(TODAY(),"DD/MM/YYYY")</f>
        <v>15/07/2025</v>
      </c>
      <c r="F3" s="163"/>
      <c r="G3" s="163"/>
      <c r="H3" s="163"/>
    </row>
    <row r="4" spans="1:8" ht="15" customHeight="1" x14ac:dyDescent="0.25">
      <c r="A4" s="162" t="s">
        <v>2</v>
      </c>
      <c r="B4" s="162"/>
      <c r="C4" s="162"/>
      <c r="D4" s="162"/>
      <c r="E4" s="166" t="s">
        <v>162</v>
      </c>
      <c r="F4" s="166"/>
      <c r="G4" s="166"/>
      <c r="H4" s="166"/>
    </row>
    <row r="5" spans="1:8" x14ac:dyDescent="0.25">
      <c r="A5" s="162" t="s">
        <v>3</v>
      </c>
      <c r="B5" s="162"/>
      <c r="C5" s="162"/>
      <c r="D5" s="162"/>
      <c r="E5" s="163">
        <v>45848</v>
      </c>
      <c r="F5" s="163"/>
      <c r="G5" s="163"/>
      <c r="H5" s="163"/>
    </row>
    <row r="6" spans="1:8" ht="16.5" customHeight="1" x14ac:dyDescent="0.25">
      <c r="A6" s="162" t="s">
        <v>4</v>
      </c>
      <c r="B6" s="162"/>
      <c r="C6" s="162"/>
      <c r="D6" s="162"/>
      <c r="E6" s="165" t="s">
        <v>164</v>
      </c>
      <c r="F6" s="165"/>
      <c r="G6" s="165"/>
      <c r="H6" s="165"/>
    </row>
    <row r="7" spans="1:8" ht="15" customHeight="1" x14ac:dyDescent="0.25">
      <c r="A7" s="162" t="s">
        <v>5</v>
      </c>
      <c r="B7" s="162"/>
      <c r="C7" s="162"/>
      <c r="D7" s="162"/>
      <c r="E7" s="165" t="str">
        <f>E6</f>
        <v>M/s. Ranbir Real Estate And Developers Llp</v>
      </c>
      <c r="F7" s="165"/>
      <c r="G7" s="165"/>
      <c r="H7" s="165"/>
    </row>
    <row r="8" spans="1:8" x14ac:dyDescent="0.25">
      <c r="A8" s="162" t="s">
        <v>6</v>
      </c>
      <c r="B8" s="162"/>
      <c r="C8" s="162"/>
      <c r="D8" s="162"/>
      <c r="E8" s="164" t="s">
        <v>193</v>
      </c>
      <c r="F8" s="164"/>
      <c r="G8" s="164"/>
      <c r="H8" s="164"/>
    </row>
    <row r="9" spans="1:8" x14ac:dyDescent="0.25">
      <c r="A9" s="162" t="s">
        <v>132</v>
      </c>
      <c r="B9" s="162"/>
      <c r="C9" s="162"/>
      <c r="D9" s="162"/>
      <c r="E9" s="162">
        <v>9769265177</v>
      </c>
      <c r="F9" s="162"/>
      <c r="G9" s="162"/>
      <c r="H9" s="162"/>
    </row>
    <row r="10" spans="1:8" x14ac:dyDescent="0.25">
      <c r="A10" s="165" t="s">
        <v>211</v>
      </c>
      <c r="B10" s="162"/>
      <c r="C10" s="162"/>
      <c r="D10" s="162"/>
      <c r="E10" s="98" t="s">
        <v>235</v>
      </c>
      <c r="F10" s="98"/>
      <c r="G10" s="98"/>
      <c r="H10" s="98"/>
    </row>
    <row r="11" spans="1:8" x14ac:dyDescent="0.25">
      <c r="A11" s="167" t="s">
        <v>7</v>
      </c>
      <c r="B11" s="167"/>
      <c r="C11" s="167"/>
      <c r="D11" s="167"/>
      <c r="E11" s="167" t="s">
        <v>188</v>
      </c>
      <c r="F11" s="167"/>
      <c r="G11" s="167"/>
      <c r="H11" s="167"/>
    </row>
    <row r="12" spans="1:8" ht="18" customHeight="1" x14ac:dyDescent="0.25">
      <c r="A12" s="162" t="s">
        <v>8</v>
      </c>
      <c r="B12" s="162"/>
      <c r="C12" s="162"/>
      <c r="D12" s="162"/>
      <c r="E12" s="168" t="s">
        <v>189</v>
      </c>
      <c r="F12" s="168"/>
      <c r="G12" s="168"/>
      <c r="H12" s="168"/>
    </row>
    <row r="13" spans="1:8" x14ac:dyDescent="0.25">
      <c r="A13" s="162" t="s">
        <v>9</v>
      </c>
      <c r="B13" s="162"/>
      <c r="C13" s="162"/>
      <c r="D13" s="162"/>
      <c r="E13" s="168" t="s">
        <v>163</v>
      </c>
      <c r="F13" s="167"/>
      <c r="G13" s="167"/>
      <c r="H13" s="167"/>
    </row>
    <row r="14" spans="1:8" ht="48.75" customHeight="1" x14ac:dyDescent="0.25">
      <c r="A14" s="165" t="s">
        <v>10</v>
      </c>
      <c r="B14" s="165"/>
      <c r="C14" s="165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Shristi Residency Phase 1, C.T.S.No.156 (pt), 160/A/1 (pt) &amp; 162 (pt), near Meghwadi Police Station, MHB Colony Rd, Sarvoday Nagar, Andheri, Andheri, Mumbai - 400060.</v>
      </c>
      <c r="D14" s="165"/>
      <c r="E14" s="165"/>
      <c r="F14" s="165"/>
      <c r="G14" s="165"/>
      <c r="H14" s="165"/>
    </row>
    <row r="15" spans="1:8" x14ac:dyDescent="0.25">
      <c r="A15" s="94" t="s">
        <v>165</v>
      </c>
      <c r="B15" s="94"/>
      <c r="C15" s="94" t="s">
        <v>174</v>
      </c>
      <c r="D15" s="94"/>
      <c r="E15" s="94"/>
      <c r="F15" s="94"/>
      <c r="G15" s="94"/>
      <c r="H15" s="94"/>
    </row>
    <row r="16" spans="1:8" ht="15.75" customHeight="1" x14ac:dyDescent="0.25">
      <c r="A16" s="96" t="s">
        <v>11</v>
      </c>
      <c r="B16" s="96"/>
      <c r="C16" s="95" t="s">
        <v>185</v>
      </c>
      <c r="D16" s="95"/>
      <c r="E16" s="96" t="s">
        <v>166</v>
      </c>
      <c r="F16" s="96"/>
      <c r="G16" s="94" t="s">
        <v>167</v>
      </c>
      <c r="H16" s="94"/>
    </row>
    <row r="17" spans="1:8" x14ac:dyDescent="0.25">
      <c r="A17" s="98" t="s">
        <v>13</v>
      </c>
      <c r="B17" s="98"/>
      <c r="C17" s="94" t="s">
        <v>168</v>
      </c>
      <c r="D17" s="94"/>
      <c r="E17" s="96" t="s">
        <v>12</v>
      </c>
      <c r="F17" s="96"/>
      <c r="G17" s="169" t="s">
        <v>194</v>
      </c>
      <c r="H17" s="169"/>
    </row>
    <row r="18" spans="1:8" x14ac:dyDescent="0.25">
      <c r="A18" s="98" t="s">
        <v>77</v>
      </c>
      <c r="B18" s="98"/>
      <c r="C18" s="94" t="s">
        <v>168</v>
      </c>
      <c r="D18" s="94"/>
      <c r="E18" s="96" t="s">
        <v>14</v>
      </c>
      <c r="F18" s="96"/>
      <c r="G18" s="94">
        <v>400060</v>
      </c>
      <c r="H18" s="94"/>
    </row>
    <row r="19" spans="1:8" ht="32.25" customHeight="1" x14ac:dyDescent="0.25">
      <c r="A19" s="170" t="s">
        <v>133</v>
      </c>
      <c r="B19" s="170"/>
      <c r="C19" s="171" t="s">
        <v>181</v>
      </c>
      <c r="D19" s="171"/>
      <c r="E19" s="171" t="s">
        <v>15</v>
      </c>
      <c r="F19" s="171"/>
      <c r="G19" s="94" t="s">
        <v>187</v>
      </c>
      <c r="H19" s="94"/>
    </row>
    <row r="20" spans="1:8" ht="15" customHeight="1" x14ac:dyDescent="0.25">
      <c r="A20" s="96" t="s">
        <v>81</v>
      </c>
      <c r="B20" s="96"/>
      <c r="C20" s="96"/>
      <c r="D20" s="96"/>
      <c r="E20" s="95" t="s">
        <v>16</v>
      </c>
      <c r="F20" s="95"/>
      <c r="G20" s="95"/>
      <c r="H20" s="95"/>
    </row>
    <row r="21" spans="1:8" ht="18.75" customHeight="1" x14ac:dyDescent="0.25">
      <c r="A21" s="96"/>
      <c r="B21" s="96"/>
      <c r="C21" s="96"/>
      <c r="D21" s="96"/>
      <c r="E21" s="95"/>
      <c r="F21" s="95"/>
      <c r="G21" s="95"/>
      <c r="H21" s="95"/>
    </row>
    <row r="22" spans="1:8" ht="15" customHeight="1" x14ac:dyDescent="0.25">
      <c r="A22" s="96" t="s">
        <v>17</v>
      </c>
      <c r="B22" s="96"/>
      <c r="C22" s="96"/>
      <c r="D22" s="96"/>
      <c r="E22" s="94" t="s">
        <v>18</v>
      </c>
      <c r="F22" s="94"/>
      <c r="G22" s="94"/>
      <c r="H22" s="94"/>
    </row>
    <row r="23" spans="1:8" ht="15" customHeight="1" x14ac:dyDescent="0.25">
      <c r="A23" s="98" t="s">
        <v>19</v>
      </c>
      <c r="B23" s="98"/>
      <c r="C23" s="98"/>
      <c r="D23" s="98"/>
      <c r="E23" s="94" t="str">
        <f>IF(AND(G17="Mumbai"),"Upper Class","Middle Class")</f>
        <v>Upper Class</v>
      </c>
      <c r="F23" s="94"/>
      <c r="G23" s="94"/>
      <c r="H23" s="94"/>
    </row>
    <row r="24" spans="1:8" x14ac:dyDescent="0.25">
      <c r="A24" s="98" t="s">
        <v>20</v>
      </c>
      <c r="B24" s="98"/>
      <c r="C24" s="98"/>
      <c r="D24" s="98"/>
      <c r="E24" s="94" t="s">
        <v>21</v>
      </c>
      <c r="F24" s="94"/>
      <c r="G24" s="94"/>
      <c r="H24" s="94"/>
    </row>
    <row r="25" spans="1:8" ht="15.75" customHeight="1" x14ac:dyDescent="0.25">
      <c r="A25" s="98" t="s">
        <v>22</v>
      </c>
      <c r="B25" s="98"/>
      <c r="C25" s="98"/>
      <c r="D25" s="98"/>
      <c r="E25" s="94" t="str">
        <f>IF(AND(G17="Mumbai"),"Developed","Developing")</f>
        <v>Developed</v>
      </c>
      <c r="F25" s="94"/>
      <c r="G25" s="94"/>
      <c r="H25" s="94"/>
    </row>
    <row r="26" spans="1:8" x14ac:dyDescent="0.25">
      <c r="A26" s="98" t="s">
        <v>23</v>
      </c>
      <c r="B26" s="98"/>
      <c r="C26" s="98"/>
      <c r="D26" s="98"/>
      <c r="E26" s="94" t="s">
        <v>24</v>
      </c>
      <c r="F26" s="94"/>
      <c r="G26" s="94"/>
      <c r="H26" s="94"/>
    </row>
    <row r="27" spans="1:8" x14ac:dyDescent="0.25">
      <c r="A27" s="98" t="s">
        <v>88</v>
      </c>
      <c r="B27" s="98"/>
      <c r="C27" s="98"/>
      <c r="D27" s="98"/>
      <c r="E27" s="94" t="s">
        <v>89</v>
      </c>
      <c r="F27" s="94"/>
      <c r="G27" s="94"/>
      <c r="H27" s="94"/>
    </row>
    <row r="28" spans="1:8" ht="15" customHeight="1" x14ac:dyDescent="0.25">
      <c r="A28" s="96" t="s">
        <v>33</v>
      </c>
      <c r="B28" s="96"/>
      <c r="C28" s="96"/>
      <c r="D28" s="96"/>
      <c r="E28" s="166" t="s">
        <v>186</v>
      </c>
      <c r="F28" s="166"/>
      <c r="G28" s="166"/>
      <c r="H28" s="166"/>
    </row>
    <row r="29" spans="1:8" x14ac:dyDescent="0.25">
      <c r="A29" s="96" t="s">
        <v>100</v>
      </c>
      <c r="B29" s="96"/>
      <c r="C29" s="96"/>
      <c r="D29" s="96"/>
      <c r="E29" s="96" t="s">
        <v>34</v>
      </c>
      <c r="F29" s="96"/>
      <c r="G29" s="96"/>
      <c r="H29" s="96"/>
    </row>
    <row r="30" spans="1:8" s="6" customFormat="1" x14ac:dyDescent="0.25">
      <c r="A30" s="177" t="s">
        <v>101</v>
      </c>
      <c r="B30" s="177"/>
      <c r="C30" s="175" t="s">
        <v>29</v>
      </c>
      <c r="D30" s="175"/>
      <c r="E30" s="175"/>
      <c r="F30" s="175" t="s">
        <v>31</v>
      </c>
      <c r="G30" s="175"/>
      <c r="H30" s="175"/>
    </row>
    <row r="31" spans="1:8" s="6" customFormat="1" x14ac:dyDescent="0.25">
      <c r="A31" s="172" t="s">
        <v>25</v>
      </c>
      <c r="B31" s="172" t="s">
        <v>30</v>
      </c>
      <c r="C31" s="173" t="s">
        <v>30</v>
      </c>
      <c r="D31" s="173"/>
      <c r="E31" s="173"/>
      <c r="F31" s="173" t="s">
        <v>185</v>
      </c>
      <c r="G31" s="173"/>
      <c r="H31" s="173"/>
    </row>
    <row r="32" spans="1:8" x14ac:dyDescent="0.25">
      <c r="A32" s="172" t="s">
        <v>26</v>
      </c>
      <c r="B32" s="172" t="s">
        <v>30</v>
      </c>
      <c r="C32" s="173" t="s">
        <v>30</v>
      </c>
      <c r="D32" s="173"/>
      <c r="E32" s="173"/>
      <c r="F32" s="173" t="s">
        <v>184</v>
      </c>
      <c r="G32" s="173"/>
      <c r="H32" s="173"/>
    </row>
    <row r="33" spans="1:8" s="6" customFormat="1" x14ac:dyDescent="0.25">
      <c r="A33" s="172" t="s">
        <v>28</v>
      </c>
      <c r="B33" s="172" t="s">
        <v>30</v>
      </c>
      <c r="C33" s="173" t="s">
        <v>30</v>
      </c>
      <c r="D33" s="173"/>
      <c r="E33" s="173"/>
      <c r="F33" s="173" t="s">
        <v>183</v>
      </c>
      <c r="G33" s="173"/>
      <c r="H33" s="173"/>
    </row>
    <row r="34" spans="1:8" x14ac:dyDescent="0.25">
      <c r="A34" s="172" t="s">
        <v>27</v>
      </c>
      <c r="B34" s="172" t="s">
        <v>30</v>
      </c>
      <c r="C34" s="173" t="s">
        <v>30</v>
      </c>
      <c r="D34" s="173"/>
      <c r="E34" s="173"/>
      <c r="F34" s="173" t="s">
        <v>182</v>
      </c>
      <c r="G34" s="173"/>
      <c r="H34" s="173"/>
    </row>
    <row r="35" spans="1:8" x14ac:dyDescent="0.25">
      <c r="A35" s="98" t="s">
        <v>32</v>
      </c>
      <c r="B35" s="98"/>
      <c r="C35" s="98"/>
      <c r="D35" s="98"/>
      <c r="E35" s="98"/>
      <c r="F35" s="98"/>
      <c r="G35" s="98"/>
      <c r="H35" s="98"/>
    </row>
    <row r="36" spans="1:8" ht="15.75" customHeight="1" x14ac:dyDescent="0.25">
      <c r="A36" s="176" t="s">
        <v>220</v>
      </c>
      <c r="B36" s="176"/>
      <c r="C36" s="179" t="s">
        <v>221</v>
      </c>
      <c r="D36" s="179"/>
      <c r="E36" s="179"/>
      <c r="F36" s="179"/>
      <c r="G36" s="179"/>
      <c r="H36" s="179"/>
    </row>
    <row r="37" spans="1:8" ht="15.75" customHeight="1" x14ac:dyDescent="0.25">
      <c r="A37" s="176" t="s">
        <v>212</v>
      </c>
      <c r="B37" s="176"/>
      <c r="C37" s="178" t="s">
        <v>213</v>
      </c>
      <c r="D37" s="179"/>
      <c r="E37" s="179"/>
      <c r="F37" s="179"/>
      <c r="G37" s="179"/>
      <c r="H37" s="179"/>
    </row>
    <row r="38" spans="1:8" x14ac:dyDescent="0.25">
      <c r="A38" s="126" t="s">
        <v>35</v>
      </c>
      <c r="B38" s="126"/>
      <c r="C38" s="126"/>
      <c r="D38" s="126"/>
      <c r="E38" s="126"/>
      <c r="F38" s="126"/>
      <c r="G38" s="126"/>
      <c r="H38" s="126"/>
    </row>
    <row r="39" spans="1:8" x14ac:dyDescent="0.25">
      <c r="A39" s="98" t="s">
        <v>36</v>
      </c>
      <c r="B39" s="98"/>
      <c r="C39" s="98"/>
      <c r="D39" s="98"/>
      <c r="E39" s="174">
        <v>7913.13</v>
      </c>
      <c r="F39" s="174"/>
      <c r="G39" s="174"/>
      <c r="H39" s="174"/>
    </row>
    <row r="40" spans="1:8" x14ac:dyDescent="0.25">
      <c r="A40" s="98" t="s">
        <v>37</v>
      </c>
      <c r="B40" s="98"/>
      <c r="C40" s="98"/>
      <c r="D40" s="98"/>
      <c r="E40" s="113">
        <v>2.4</v>
      </c>
      <c r="F40" s="113"/>
      <c r="G40" s="113"/>
      <c r="H40" s="113"/>
    </row>
    <row r="41" spans="1:8" x14ac:dyDescent="0.25">
      <c r="A41" s="98" t="s">
        <v>38</v>
      </c>
      <c r="B41" s="98"/>
      <c r="C41" s="98"/>
      <c r="D41" s="98"/>
      <c r="E41" s="125">
        <f>E43/E39-E40</f>
        <v>2.1612797969956259</v>
      </c>
      <c r="F41" s="125"/>
      <c r="G41" s="125"/>
      <c r="H41" s="125"/>
    </row>
    <row r="42" spans="1:8" x14ac:dyDescent="0.25">
      <c r="A42" s="98" t="s">
        <v>39</v>
      </c>
      <c r="B42" s="98"/>
      <c r="C42" s="98"/>
      <c r="D42" s="98"/>
      <c r="E42" s="125">
        <f>E40+E41</f>
        <v>4.5612797969956258</v>
      </c>
      <c r="F42" s="125"/>
      <c r="G42" s="125"/>
      <c r="H42" s="125"/>
    </row>
    <row r="43" spans="1:8" x14ac:dyDescent="0.25">
      <c r="A43" s="98" t="s">
        <v>99</v>
      </c>
      <c r="B43" s="98"/>
      <c r="C43" s="98"/>
      <c r="D43" s="98"/>
      <c r="E43" s="113">
        <v>36094</v>
      </c>
      <c r="F43" s="113"/>
      <c r="G43" s="113"/>
      <c r="H43" s="113"/>
    </row>
    <row r="44" spans="1:8" x14ac:dyDescent="0.25">
      <c r="A44" s="95" t="s">
        <v>40</v>
      </c>
      <c r="B44" s="95"/>
      <c r="C44" s="95"/>
      <c r="D44" s="95"/>
      <c r="E44" s="95" t="s">
        <v>190</v>
      </c>
      <c r="F44" s="95"/>
      <c r="G44" s="95"/>
      <c r="H44" s="95"/>
    </row>
    <row r="45" spans="1:8" x14ac:dyDescent="0.25">
      <c r="A45" s="126" t="s">
        <v>41</v>
      </c>
      <c r="B45" s="126"/>
      <c r="C45" s="126"/>
      <c r="D45" s="126"/>
      <c r="E45" s="126"/>
      <c r="F45" s="126"/>
      <c r="G45" s="126"/>
      <c r="H45" s="126"/>
    </row>
    <row r="46" spans="1:8" x14ac:dyDescent="0.25">
      <c r="A46" s="96" t="s">
        <v>42</v>
      </c>
      <c r="B46" s="96"/>
      <c r="C46" s="115" t="s">
        <v>169</v>
      </c>
      <c r="D46" s="115"/>
      <c r="E46" s="115"/>
      <c r="F46" s="53" t="s">
        <v>43</v>
      </c>
      <c r="G46" s="114">
        <v>44236</v>
      </c>
      <c r="H46" s="114"/>
    </row>
    <row r="47" spans="1:8" x14ac:dyDescent="0.25">
      <c r="A47" s="98" t="s">
        <v>44</v>
      </c>
      <c r="B47" s="98"/>
      <c r="C47" s="115" t="str">
        <f>C46</f>
        <v>SRA/ENG/2550/KE/MHL/AP</v>
      </c>
      <c r="D47" s="115"/>
      <c r="E47" s="115"/>
      <c r="F47" s="53" t="s">
        <v>43</v>
      </c>
      <c r="G47" s="114">
        <f>G46</f>
        <v>44236</v>
      </c>
      <c r="H47" s="114"/>
    </row>
    <row r="48" spans="1:8" s="5" customFormat="1" ht="15.6" customHeight="1" x14ac:dyDescent="0.25">
      <c r="A48" s="119" t="s">
        <v>45</v>
      </c>
      <c r="B48" s="120"/>
      <c r="C48" s="115" t="str">
        <f>C47</f>
        <v>SRA/ENG/2550/KE/MHL/AP</v>
      </c>
      <c r="D48" s="105"/>
      <c r="E48" s="105"/>
      <c r="F48" s="8" t="s">
        <v>43</v>
      </c>
      <c r="G48" s="114">
        <v>44847</v>
      </c>
      <c r="H48" s="114"/>
    </row>
    <row r="49" spans="1:14" s="5" customFormat="1" ht="49.5" customHeight="1" x14ac:dyDescent="0.25">
      <c r="A49" s="121"/>
      <c r="B49" s="122"/>
      <c r="C49" s="116" t="s">
        <v>209</v>
      </c>
      <c r="D49" s="117"/>
      <c r="E49" s="117"/>
      <c r="F49" s="117"/>
      <c r="G49" s="117"/>
      <c r="H49" s="118"/>
    </row>
    <row r="50" spans="1:14" s="5" customFormat="1" x14ac:dyDescent="0.25">
      <c r="A50" s="121"/>
      <c r="B50" s="122"/>
      <c r="C50" s="115" t="s">
        <v>169</v>
      </c>
      <c r="D50" s="105"/>
      <c r="E50" s="105"/>
      <c r="F50" s="8" t="s">
        <v>43</v>
      </c>
      <c r="G50" s="114">
        <v>44986</v>
      </c>
      <c r="H50" s="114"/>
    </row>
    <row r="51" spans="1:14" s="5" customFormat="1" ht="49.5" customHeight="1" x14ac:dyDescent="0.25">
      <c r="A51" s="123"/>
      <c r="B51" s="124"/>
      <c r="C51" s="116" t="s">
        <v>222</v>
      </c>
      <c r="D51" s="117"/>
      <c r="E51" s="117"/>
      <c r="F51" s="117"/>
      <c r="G51" s="117"/>
      <c r="H51" s="118"/>
    </row>
    <row r="52" spans="1:14" x14ac:dyDescent="0.25">
      <c r="A52" s="155" t="s">
        <v>46</v>
      </c>
      <c r="B52" s="155"/>
      <c r="C52" s="156" t="s">
        <v>115</v>
      </c>
      <c r="D52" s="157"/>
      <c r="E52" s="157" t="s">
        <v>47</v>
      </c>
      <c r="F52" s="9" t="s">
        <v>43</v>
      </c>
      <c r="G52" s="159" t="s">
        <v>30</v>
      </c>
      <c r="H52" s="159"/>
    </row>
    <row r="53" spans="1:14" x14ac:dyDescent="0.25">
      <c r="A53" s="158" t="s">
        <v>49</v>
      </c>
      <c r="B53" s="158"/>
      <c r="C53" s="158"/>
      <c r="D53" s="158"/>
      <c r="E53" s="158"/>
      <c r="F53" s="158"/>
      <c r="G53" s="158"/>
      <c r="H53" s="158"/>
    </row>
    <row r="54" spans="1:14" x14ac:dyDescent="0.25">
      <c r="A54" s="96" t="s">
        <v>98</v>
      </c>
      <c r="B54" s="96"/>
      <c r="C54" s="96"/>
      <c r="D54" s="98">
        <f>E43</f>
        <v>36094</v>
      </c>
      <c r="E54" s="98"/>
      <c r="F54" s="98"/>
      <c r="G54" s="98"/>
      <c r="H54" s="98"/>
    </row>
    <row r="55" spans="1:14" x14ac:dyDescent="0.25">
      <c r="A55" s="94" t="s">
        <v>50</v>
      </c>
      <c r="B55" s="95"/>
      <c r="C55" s="95"/>
      <c r="D55" s="95" t="s">
        <v>204</v>
      </c>
      <c r="E55" s="95"/>
      <c r="F55" s="95"/>
      <c r="G55" s="95"/>
      <c r="H55" s="95"/>
      <c r="I55" s="40"/>
    </row>
    <row r="56" spans="1:14" ht="49.5" customHeight="1" x14ac:dyDescent="0.25">
      <c r="A56" s="119" t="s">
        <v>51</v>
      </c>
      <c r="B56" s="154"/>
      <c r="C56" s="120"/>
      <c r="D56" s="152" t="s">
        <v>205</v>
      </c>
      <c r="E56" s="153"/>
      <c r="F56" s="153"/>
      <c r="G56" s="153"/>
      <c r="H56" s="153"/>
      <c r="I56" s="41"/>
    </row>
    <row r="57" spans="1:14" ht="15.75" customHeight="1" x14ac:dyDescent="0.25">
      <c r="A57" s="94" t="s">
        <v>96</v>
      </c>
      <c r="B57" s="94"/>
      <c r="C57" s="94"/>
      <c r="D57" s="95" t="s">
        <v>227</v>
      </c>
      <c r="E57" s="95"/>
      <c r="F57" s="95"/>
      <c r="G57" s="95"/>
      <c r="H57" s="95"/>
      <c r="I57" s="41"/>
    </row>
    <row r="58" spans="1:14" ht="15.75" customHeight="1" x14ac:dyDescent="0.25">
      <c r="A58" s="94"/>
      <c r="B58" s="94"/>
      <c r="C58" s="94"/>
      <c r="D58" s="95" t="s">
        <v>228</v>
      </c>
      <c r="E58" s="95"/>
      <c r="F58" s="95"/>
      <c r="G58" s="95"/>
      <c r="H58" s="95"/>
      <c r="I58" s="41"/>
    </row>
    <row r="59" spans="1:14" ht="15.75" customHeight="1" x14ac:dyDescent="0.25">
      <c r="A59" s="94"/>
      <c r="B59" s="94"/>
      <c r="C59" s="94"/>
      <c r="D59" s="95" t="s">
        <v>229</v>
      </c>
      <c r="E59" s="95"/>
      <c r="F59" s="95"/>
      <c r="G59" s="95"/>
      <c r="H59" s="95"/>
      <c r="I59" s="41"/>
    </row>
    <row r="60" spans="1:14" ht="15.75" customHeight="1" x14ac:dyDescent="0.25">
      <c r="A60" s="98" t="s">
        <v>48</v>
      </c>
      <c r="B60" s="98"/>
      <c r="C60" s="98"/>
      <c r="D60" s="96" t="s">
        <v>232</v>
      </c>
      <c r="E60" s="96"/>
      <c r="F60" s="96"/>
      <c r="G60" s="96"/>
      <c r="H60" s="96"/>
      <c r="J60" s="39"/>
      <c r="K60" s="40"/>
      <c r="N60" s="40"/>
    </row>
    <row r="61" spans="1:14" ht="15.75" customHeight="1" x14ac:dyDescent="0.25">
      <c r="A61" s="98" t="s">
        <v>94</v>
      </c>
      <c r="B61" s="98"/>
      <c r="C61" s="98"/>
      <c r="D61" s="151" t="str">
        <f>(IF(G52="NA","60 Years After Completion",IF(G52&lt;&gt;"NA",""&amp;60-ROUNDDOWN((E3-G52)/360,0)&amp;" Years"," ")))</f>
        <v>60 Years After Completion</v>
      </c>
      <c r="E61" s="151"/>
      <c r="F61" s="151"/>
      <c r="G61" s="151"/>
      <c r="H61" s="151"/>
      <c r="N61" s="40"/>
    </row>
    <row r="62" spans="1:14" ht="15.75" customHeight="1" x14ac:dyDescent="0.25">
      <c r="A62" s="98" t="s">
        <v>95</v>
      </c>
      <c r="B62" s="98"/>
      <c r="C62" s="98"/>
      <c r="D62" s="96" t="s">
        <v>24</v>
      </c>
      <c r="E62" s="96"/>
      <c r="F62" s="96"/>
      <c r="G62" s="96"/>
      <c r="H62" s="96"/>
      <c r="J62" s="14"/>
      <c r="K62" s="14"/>
    </row>
    <row r="63" spans="1:14" ht="15" hidden="1" customHeight="1" x14ac:dyDescent="0.25">
      <c r="A63" s="98" t="s">
        <v>78</v>
      </c>
      <c r="B63" s="98"/>
      <c r="C63" s="98"/>
      <c r="D63" s="94" t="s">
        <v>159</v>
      </c>
      <c r="E63" s="96"/>
      <c r="F63" s="96"/>
      <c r="G63" s="96"/>
      <c r="H63" s="96"/>
    </row>
    <row r="64" spans="1:14" x14ac:dyDescent="0.25">
      <c r="A64" s="96" t="s">
        <v>160</v>
      </c>
      <c r="B64" s="96"/>
      <c r="C64" s="96"/>
      <c r="D64" s="96" t="s">
        <v>30</v>
      </c>
      <c r="E64" s="96"/>
      <c r="F64" s="96"/>
      <c r="G64" s="96"/>
      <c r="H64" s="96"/>
      <c r="I64" s="51"/>
      <c r="J64" s="51"/>
      <c r="K64" s="51"/>
      <c r="L64" s="51"/>
      <c r="M64" s="51"/>
      <c r="N64" s="51"/>
    </row>
    <row r="65" spans="1:15" ht="15.75" customHeight="1" x14ac:dyDescent="0.25">
      <c r="A65" s="98" t="s">
        <v>93</v>
      </c>
      <c r="B65" s="98"/>
      <c r="C65" s="98"/>
      <c r="D65" s="94" t="str">
        <f ca="1">(IF(G71&gt;95%,"Nothing",IF(G71&gt;0%,"Cement, Aggregate, Steel, etc",IF(G71=0%,"Work not yet Started"))))</f>
        <v>Cement, Aggregate, Steel, etc</v>
      </c>
      <c r="E65" s="94"/>
      <c r="F65" s="94"/>
      <c r="G65" s="94"/>
      <c r="H65" s="94"/>
      <c r="J65" s="14"/>
    </row>
    <row r="66" spans="1:15" ht="34.5" customHeight="1" thickBot="1" x14ac:dyDescent="0.3">
      <c r="A66" s="96" t="s">
        <v>128</v>
      </c>
      <c r="B66" s="96"/>
      <c r="C66" s="96"/>
      <c r="D66" s="94" t="str">
        <f ca="1">(IF(D65="Nothing","Yes",IF(D65="Cement, Aggregate, Steel, etc","Under Construction",IF(D65="Work not yet Started","Work not yet Started"))))</f>
        <v>Under Construction</v>
      </c>
      <c r="E66" s="94"/>
      <c r="F66" s="94" t="str">
        <f ca="1">(IF(D65="Nothing","Yes",IF(D65="Cement, Aggregate, Steel, etc","Under Construction",IF(D65="Work not yet Started","Work not yet Started"))))</f>
        <v>Under Construction</v>
      </c>
      <c r="G66" s="94"/>
      <c r="H66" s="94"/>
    </row>
    <row r="67" spans="1:15" ht="15.75" customHeight="1" x14ac:dyDescent="0.25">
      <c r="A67" s="97" t="s">
        <v>151</v>
      </c>
      <c r="B67" s="97"/>
      <c r="C67" s="97" t="str">
        <f>D57</f>
        <v>Wing A = L.G + U.G + 1st to 19th Floor</v>
      </c>
      <c r="D67" s="97"/>
      <c r="E67" s="97"/>
      <c r="F67" s="97"/>
      <c r="G67" s="97"/>
      <c r="H67" s="97"/>
      <c r="I67" s="43" t="str">
        <f ca="1"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completed","0")))))))))))&amp;(IF(C73=(D68+F68+H68),", RCC Slab",IF(C73&gt;0,", RCC upto "&amp;C73&amp;" Slab",""))&amp;(IF(C74=H68,", Brickwork",IF(C74&gt;0,", Brickwork upto "&amp;C74&amp;" Floor",""))&amp;(IF(C75=H68,", Internal Plaster",IF(C75&gt;0,", Internal Plaster upto "&amp;C75&amp;" Floor",""))&amp;(IF(C76=H68,", External Plaster",IF(C76&gt;0,", External Plaster upto "&amp;C76&amp;" Floor",""))&amp;(IF(C77=H68,", Flooring",IF(C77&gt;0,", Flooring upto "&amp;C77&amp;" Floor",""))&amp;(IF(C78=H68,", Painting",IF(C78&gt;0,", Painting upto "&amp;C78&amp;" Floor",""))&amp;(IF(C79&gt;0,", Finishing upto "&amp;C79&amp;" Floor","")&amp;(IF(C73&gt;0.5," Completed",""))))))))))))))</f>
        <v>Plinth, RCC, Brick, Plaster, Flooring, Painting work Completed. Finishing work is in process.</v>
      </c>
      <c r="J67" s="15"/>
    </row>
    <row r="68" spans="1:15" x14ac:dyDescent="0.25">
      <c r="A68" s="72" t="s">
        <v>153</v>
      </c>
      <c r="B68" s="72">
        <v>1</v>
      </c>
      <c r="C68" s="72" t="s">
        <v>76</v>
      </c>
      <c r="D68" s="72">
        <v>1</v>
      </c>
      <c r="E68" s="72" t="s">
        <v>75</v>
      </c>
      <c r="F68" s="72">
        <v>0</v>
      </c>
      <c r="G68" s="72" t="s">
        <v>87</v>
      </c>
      <c r="H68" s="72">
        <f ca="1">--TRIM(RIGHT(SUBSTITUTE(LEFT(C67,_xlfn.AGGREGATE(16,6,FIND({0,1,2,3,4,5,6,7,8,9},C67,ROW(INDIRECT("1:"&amp;LEN(C67)))),1))," ",REPT(" ",LEN(C67))),LEN(C67)))</f>
        <v>19</v>
      </c>
      <c r="I68" s="44"/>
      <c r="J68" s="16"/>
    </row>
    <row r="69" spans="1:15" ht="33.6" customHeight="1" x14ac:dyDescent="0.25">
      <c r="A69" s="100" t="s">
        <v>97</v>
      </c>
      <c r="B69" s="100"/>
      <c r="C69" s="97" t="str">
        <f ca="1">I67</f>
        <v>Plinth, RCC, Brick, Plaster, Flooring, Painting work Completed. Finishing work is in process.</v>
      </c>
      <c r="D69" s="97"/>
      <c r="E69" s="97"/>
      <c r="F69" s="97"/>
      <c r="G69" s="97"/>
      <c r="H69" s="97"/>
      <c r="I69" s="44" t="s">
        <v>114</v>
      </c>
      <c r="J69" s="16"/>
    </row>
    <row r="70" spans="1:15" ht="15.75" customHeight="1" x14ac:dyDescent="0.25">
      <c r="A70" s="85" t="s">
        <v>52</v>
      </c>
      <c r="B70" s="86"/>
      <c r="C70" s="58" t="s">
        <v>150</v>
      </c>
      <c r="D70" s="59" t="s">
        <v>90</v>
      </c>
      <c r="E70" s="86" t="s">
        <v>92</v>
      </c>
      <c r="F70" s="86"/>
      <c r="G70" s="86" t="s">
        <v>91</v>
      </c>
      <c r="H70" s="145"/>
      <c r="I70" s="38" t="s">
        <v>152</v>
      </c>
      <c r="J70" s="17">
        <f ca="1">H68*25%</f>
        <v>4.75</v>
      </c>
    </row>
    <row r="71" spans="1:15" x14ac:dyDescent="0.25">
      <c r="A71" s="85" t="s">
        <v>139</v>
      </c>
      <c r="B71" s="86"/>
      <c r="C71" s="60">
        <f ca="1">J72</f>
        <v>19</v>
      </c>
      <c r="D71" s="61">
        <f ca="1">((100/H68)*C71)/100</f>
        <v>1</v>
      </c>
      <c r="E71" s="93">
        <f ca="1">(((C72/H68*10)+(40/(D68+F68+H68)*C73)+(7.5/(H68)*C74)+(7.5/(H68)*C75)+(10/H68*C76)+(10/H68*C77)+(5/H68*C78)+(5/H68*C79)+(5/H68*C80))/100)</f>
        <v>0.9263157894736842</v>
      </c>
      <c r="F71" s="93"/>
      <c r="G71" s="93">
        <f ca="1">((((C71/H68)*20)+((C72/H68)*25)+(30/(H68+F68+D68)*C73)+(5/H68*C74)+(5/H68*C75)+(5/H68*C76)+(5/H68*C77)+(0/H68*C78)+(0/H68*C79)+(5/H68*C80))/100)</f>
        <v>0.95</v>
      </c>
      <c r="H71" s="147"/>
      <c r="I71" s="38" t="s">
        <v>109</v>
      </c>
      <c r="J71" s="42">
        <f ca="1">H68*50%</f>
        <v>9.5</v>
      </c>
      <c r="K71" s="73" t="s">
        <v>226</v>
      </c>
      <c r="L71" s="74"/>
      <c r="M71" s="74"/>
      <c r="N71" s="74"/>
      <c r="O71" s="74"/>
    </row>
    <row r="72" spans="1:15" x14ac:dyDescent="0.25">
      <c r="A72" s="85" t="s">
        <v>53</v>
      </c>
      <c r="B72" s="86"/>
      <c r="C72" s="62">
        <f ca="1">J80</f>
        <v>19</v>
      </c>
      <c r="D72" s="61">
        <f ca="1">((100/H68)*C72)/100</f>
        <v>1</v>
      </c>
      <c r="E72" s="93"/>
      <c r="F72" s="93"/>
      <c r="G72" s="93"/>
      <c r="H72" s="147"/>
      <c r="I72" s="38" t="s">
        <v>110</v>
      </c>
      <c r="J72" s="42">
        <f ca="1">H68</f>
        <v>19</v>
      </c>
      <c r="K72" s="73"/>
      <c r="L72" s="74"/>
      <c r="M72" s="74"/>
      <c r="N72" s="74"/>
      <c r="O72" s="74"/>
    </row>
    <row r="73" spans="1:15" ht="15.75" customHeight="1" x14ac:dyDescent="0.25">
      <c r="A73" s="85" t="s">
        <v>140</v>
      </c>
      <c r="B73" s="86"/>
      <c r="C73" s="62">
        <f>D68+19</f>
        <v>20</v>
      </c>
      <c r="D73" s="61">
        <f ca="1">((100/(D68+F68+H68))*C73)/100</f>
        <v>1</v>
      </c>
      <c r="E73" s="93"/>
      <c r="F73" s="93"/>
      <c r="G73" s="93"/>
      <c r="H73" s="147"/>
      <c r="I73" s="38" t="s">
        <v>111</v>
      </c>
      <c r="J73" s="46">
        <f ca="1">(IF(B68&gt;1,(H68/(B68+2)),H68/4))</f>
        <v>4.75</v>
      </c>
      <c r="K73" s="73"/>
      <c r="L73" s="74"/>
      <c r="M73" s="74"/>
      <c r="N73" s="74"/>
      <c r="O73" s="74"/>
    </row>
    <row r="74" spans="1:15" ht="15.75" customHeight="1" x14ac:dyDescent="0.25">
      <c r="A74" s="85" t="s">
        <v>147</v>
      </c>
      <c r="B74" s="86" t="s">
        <v>141</v>
      </c>
      <c r="C74" s="60">
        <v>19</v>
      </c>
      <c r="D74" s="61">
        <f ca="1">((100/H68)*C74)/100</f>
        <v>1</v>
      </c>
      <c r="E74" s="93"/>
      <c r="F74" s="93"/>
      <c r="G74" s="93"/>
      <c r="H74" s="147"/>
      <c r="I74" s="38" t="s">
        <v>112</v>
      </c>
      <c r="J74" s="46">
        <f ca="1">(IF(B68&gt;1,(H68/(B68+2)+J73),H68/4+J73))</f>
        <v>9.5</v>
      </c>
      <c r="K74" s="73"/>
      <c r="L74" s="74"/>
      <c r="M74" s="74"/>
      <c r="N74" s="74"/>
      <c r="O74" s="74"/>
    </row>
    <row r="75" spans="1:15" ht="15.75" customHeight="1" x14ac:dyDescent="0.25">
      <c r="A75" s="85" t="s">
        <v>148</v>
      </c>
      <c r="B75" s="86" t="s">
        <v>141</v>
      </c>
      <c r="C75" s="60">
        <v>19</v>
      </c>
      <c r="D75" s="61">
        <f ca="1">((100/H68)*C75)/100</f>
        <v>1</v>
      </c>
      <c r="E75" s="93"/>
      <c r="F75" s="93"/>
      <c r="G75" s="93"/>
      <c r="H75" s="147"/>
      <c r="I75" s="38" t="s">
        <v>157</v>
      </c>
      <c r="J75" s="46">
        <f>(IF(B68&gt;1,(H68/(B68+2)+J74),0))</f>
        <v>0</v>
      </c>
    </row>
    <row r="76" spans="1:15" ht="15" customHeight="1" x14ac:dyDescent="0.25">
      <c r="A76" s="85" t="s">
        <v>146</v>
      </c>
      <c r="B76" s="86" t="s">
        <v>143</v>
      </c>
      <c r="C76" s="60">
        <v>19</v>
      </c>
      <c r="D76" s="61">
        <f ca="1">((100/(H68))*C76)/100</f>
        <v>1</v>
      </c>
      <c r="E76" s="93"/>
      <c r="F76" s="93"/>
      <c r="G76" s="93"/>
      <c r="H76" s="147"/>
      <c r="I76" s="38" t="s">
        <v>154</v>
      </c>
      <c r="J76" s="46">
        <f>(IF(B68&gt;2,(H68/(B68+2)+J75),0))</f>
        <v>0</v>
      </c>
    </row>
    <row r="77" spans="1:15" ht="15.75" customHeight="1" x14ac:dyDescent="0.25">
      <c r="A77" s="85" t="s">
        <v>142</v>
      </c>
      <c r="B77" s="86" t="s">
        <v>142</v>
      </c>
      <c r="C77" s="60">
        <v>19</v>
      </c>
      <c r="D77" s="61">
        <f ca="1">((100/H68)*C77)/100</f>
        <v>1</v>
      </c>
      <c r="E77" s="93"/>
      <c r="F77" s="93"/>
      <c r="G77" s="93"/>
      <c r="H77" s="147"/>
      <c r="I77" s="38" t="s">
        <v>155</v>
      </c>
      <c r="J77" s="47">
        <f>(IF(B68&gt;3,(H68/(B68+2)+J76),0))</f>
        <v>0</v>
      </c>
    </row>
    <row r="78" spans="1:15" ht="15.75" customHeight="1" x14ac:dyDescent="0.25">
      <c r="A78" s="85" t="s">
        <v>149</v>
      </c>
      <c r="B78" s="86"/>
      <c r="C78" s="60">
        <v>19</v>
      </c>
      <c r="D78" s="61">
        <f ca="1">((100/H68)*C78)/100</f>
        <v>1</v>
      </c>
      <c r="E78" s="93"/>
      <c r="F78" s="93"/>
      <c r="G78" s="93"/>
      <c r="H78" s="147"/>
      <c r="I78" s="38" t="s">
        <v>156</v>
      </c>
      <c r="J78" s="46">
        <f>(IF(B68&gt;4,(H68/(B68+2)+J77),0))</f>
        <v>0</v>
      </c>
    </row>
    <row r="79" spans="1:15" ht="15.75" customHeight="1" x14ac:dyDescent="0.25">
      <c r="A79" s="85" t="s">
        <v>144</v>
      </c>
      <c r="B79" s="86" t="s">
        <v>144</v>
      </c>
      <c r="C79" s="60">
        <v>10</v>
      </c>
      <c r="D79" s="61">
        <f ca="1">((100/(H68))*C79)/100</f>
        <v>0.52631578947368429</v>
      </c>
      <c r="E79" s="93"/>
      <c r="F79" s="93"/>
      <c r="G79" s="93"/>
      <c r="H79" s="147"/>
      <c r="I79" s="38" t="s">
        <v>158</v>
      </c>
      <c r="J79" s="46">
        <f ca="1">(IF(B68=1,(H68/(B68+3)+J74),IF(B68=0,(H68/4+J74),IF(B68&gt;1,0))))</f>
        <v>14.25</v>
      </c>
    </row>
    <row r="80" spans="1:15" ht="16.5" thickBot="1" x14ac:dyDescent="0.3">
      <c r="A80" s="149" t="s">
        <v>145</v>
      </c>
      <c r="B80" s="150"/>
      <c r="C80" s="63">
        <v>0</v>
      </c>
      <c r="D80" s="64">
        <f ca="1">((100/(H68))*C80)/100</f>
        <v>0</v>
      </c>
      <c r="E80" s="146"/>
      <c r="F80" s="146"/>
      <c r="G80" s="146"/>
      <c r="H80" s="148"/>
      <c r="I80" s="45" t="s">
        <v>113</v>
      </c>
      <c r="J80" s="48">
        <f ca="1">(IF(B68&gt;1.5,(H68/(B68+2)+J74+MAX(0,J75-J74)+MAX(0,J76-J75)+MAX(0,J77-J76)+MAX(0,J78-J77)+MAX(0,J79-J78)),IF(B68=1,(H68/(B68+3)+J79),IF(B68=0,H68/4+J79))))</f>
        <v>19</v>
      </c>
    </row>
    <row r="81" spans="1:10" ht="15.75" customHeight="1" x14ac:dyDescent="0.25">
      <c r="A81" s="108" t="s">
        <v>151</v>
      </c>
      <c r="B81" s="109"/>
      <c r="C81" s="110" t="str">
        <f>D58</f>
        <v>Wing B = L.G + U.G + 1st to 19th Floor</v>
      </c>
      <c r="D81" s="111"/>
      <c r="E81" s="111"/>
      <c r="F81" s="111"/>
      <c r="G81" s="111"/>
      <c r="H81" s="112"/>
      <c r="I81" s="43" t="str">
        <f ca="1"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Slab",IF(C87&gt;0,", RCC upto "&amp;C87&amp;" Slab",""))&amp;(IF(C88=H82,", Brickwork",IF(C88&gt;0,", Brickwork upto "&amp;C88&amp;" Floor",""))&amp;(IF(C89=H82,", Internal Plaster",IF(C89&gt;0,", Internal Plaster upto "&amp;C89&amp;" Floor",""))&amp;(IF(C90=H82,", External Plaster",IF(C90&gt;0,", External Plaster upto "&amp;C90&amp;" Floor",""))&amp;(IF(C91=H82,", Flooring",IF(C91&gt;0,", Flooring upto "&amp;C91&amp;" Floor",""))&amp;(IF(C92=H82,", Painting",IF(C92&gt;0,", Painting upto "&amp;C92&amp;" Floor",""))&amp;(IF(C93&gt;0,", Finishing upto "&amp;C93&amp;" Floor","")&amp;(IF(C87&gt;0.5," Completed",""))))))))))))))</f>
        <v>Plinth, RCC, Brick, Plaster, Flooring, Painting work Completed. Finishing work is in process.</v>
      </c>
      <c r="J81" s="15"/>
    </row>
    <row r="82" spans="1:10" x14ac:dyDescent="0.25">
      <c r="A82" s="49" t="s">
        <v>153</v>
      </c>
      <c r="B82" s="55">
        <v>1</v>
      </c>
      <c r="C82" s="55" t="s">
        <v>76</v>
      </c>
      <c r="D82" s="55">
        <v>1</v>
      </c>
      <c r="E82" s="55" t="s">
        <v>75</v>
      </c>
      <c r="F82" s="55">
        <v>0</v>
      </c>
      <c r="G82" s="55" t="s">
        <v>87</v>
      </c>
      <c r="H82" s="50">
        <f ca="1">--TRIM(RIGHT(SUBSTITUTE(LEFT(C81,_xlfn.AGGREGATE(16,6,FIND({0,1,2,3,4,5,6,7,8,9},C81,ROW(INDIRECT("1:"&amp;LEN(C81)))),1))," ",REPT(" ",LEN(C81))),LEN(C81)))</f>
        <v>19</v>
      </c>
      <c r="I82" s="44"/>
      <c r="J82" s="16"/>
    </row>
    <row r="83" spans="1:10" ht="35.1" customHeight="1" x14ac:dyDescent="0.25">
      <c r="A83" s="99" t="s">
        <v>97</v>
      </c>
      <c r="B83" s="100"/>
      <c r="C83" s="97" t="str">
        <f ca="1">I81</f>
        <v>Plinth, RCC, Brick, Plaster, Flooring, Painting work Completed. Finishing work is in process.</v>
      </c>
      <c r="D83" s="97"/>
      <c r="E83" s="97"/>
      <c r="F83" s="97"/>
      <c r="G83" s="97"/>
      <c r="H83" s="101"/>
      <c r="I83" s="44" t="s">
        <v>114</v>
      </c>
      <c r="J83" s="16"/>
    </row>
    <row r="84" spans="1:10" ht="15.75" customHeight="1" x14ac:dyDescent="0.25">
      <c r="A84" s="85" t="s">
        <v>52</v>
      </c>
      <c r="B84" s="86"/>
      <c r="C84" s="58" t="s">
        <v>150</v>
      </c>
      <c r="D84" s="59" t="s">
        <v>90</v>
      </c>
      <c r="E84" s="86" t="s">
        <v>92</v>
      </c>
      <c r="F84" s="86"/>
      <c r="G84" s="86" t="s">
        <v>91</v>
      </c>
      <c r="H84" s="145"/>
      <c r="I84" s="38" t="s">
        <v>152</v>
      </c>
      <c r="J84" s="17">
        <f ca="1">H82*25%</f>
        <v>4.75</v>
      </c>
    </row>
    <row r="85" spans="1:10" x14ac:dyDescent="0.25">
      <c r="A85" s="86" t="s">
        <v>139</v>
      </c>
      <c r="B85" s="86"/>
      <c r="C85" s="60">
        <f ca="1">J86</f>
        <v>19</v>
      </c>
      <c r="D85" s="70">
        <f ca="1">((100/H82)*C85)/100</f>
        <v>1</v>
      </c>
      <c r="E85" s="93">
        <f ca="1">(((C86/H82*10)+(40/(D82+F82+H82)*C87)+(7.5/(H82)*C88)+(7.5/(H82)*C89)+(10/H82*C90)+(10/H82*C91)+(5/H82*C92)+(5/H82*C93)+(5/H82*C94))/100)</f>
        <v>0.9263157894736842</v>
      </c>
      <c r="F85" s="93"/>
      <c r="G85" s="93">
        <f ca="1">((((C85/H82)*20)+((C86/H82)*25)+(30/(H82+F82+D82)*C87)+(5/H82*C88)+(5/H82*C89)+(5/H82*C90)+(5/H82*C91)+(0/H82*C92)+(0/H82*C93)+(5/H82*C94))/100)</f>
        <v>0.95</v>
      </c>
      <c r="H85" s="93"/>
      <c r="I85" s="38" t="s">
        <v>109</v>
      </c>
      <c r="J85" s="42">
        <f ca="1">H82*50%</f>
        <v>9.5</v>
      </c>
    </row>
    <row r="86" spans="1:10" x14ac:dyDescent="0.25">
      <c r="A86" s="86" t="s">
        <v>53</v>
      </c>
      <c r="B86" s="86"/>
      <c r="C86" s="62">
        <f ca="1">J94</f>
        <v>19</v>
      </c>
      <c r="D86" s="70">
        <f ca="1">((100/H82)*C86)/100</f>
        <v>1</v>
      </c>
      <c r="E86" s="93"/>
      <c r="F86" s="93"/>
      <c r="G86" s="93"/>
      <c r="H86" s="93"/>
      <c r="I86" s="38" t="s">
        <v>110</v>
      </c>
      <c r="J86" s="42">
        <f ca="1">H82</f>
        <v>19</v>
      </c>
    </row>
    <row r="87" spans="1:10" ht="15.75" customHeight="1" x14ac:dyDescent="0.25">
      <c r="A87" s="86" t="s">
        <v>140</v>
      </c>
      <c r="B87" s="86"/>
      <c r="C87" s="62">
        <v>20</v>
      </c>
      <c r="D87" s="70">
        <f ca="1">((100/(D82+F82+H82))*C87)/100</f>
        <v>1</v>
      </c>
      <c r="E87" s="93"/>
      <c r="F87" s="93"/>
      <c r="G87" s="93"/>
      <c r="H87" s="93"/>
      <c r="I87" s="38" t="s">
        <v>111</v>
      </c>
      <c r="J87" s="46">
        <f ca="1">(IF(B82&gt;1,(H82/(B82+2)),H82/4))</f>
        <v>4.75</v>
      </c>
    </row>
    <row r="88" spans="1:10" ht="15.75" customHeight="1" x14ac:dyDescent="0.25">
      <c r="A88" s="86" t="s">
        <v>147</v>
      </c>
      <c r="B88" s="86" t="s">
        <v>141</v>
      </c>
      <c r="C88" s="60">
        <v>19</v>
      </c>
      <c r="D88" s="70">
        <f ca="1">((100/H82)*C88)/100</f>
        <v>1</v>
      </c>
      <c r="E88" s="93"/>
      <c r="F88" s="93"/>
      <c r="G88" s="93"/>
      <c r="H88" s="93"/>
      <c r="I88" s="38" t="s">
        <v>112</v>
      </c>
      <c r="J88" s="46">
        <f ca="1">(IF(B82&gt;1,(H82/(B82+2)+J87),H82/4+J87))</f>
        <v>9.5</v>
      </c>
    </row>
    <row r="89" spans="1:10" ht="15.75" customHeight="1" x14ac:dyDescent="0.25">
      <c r="A89" s="86" t="s">
        <v>148</v>
      </c>
      <c r="B89" s="86" t="s">
        <v>141</v>
      </c>
      <c r="C89" s="60">
        <v>19</v>
      </c>
      <c r="D89" s="70">
        <f ca="1">((100/H82)*C89)/100</f>
        <v>1</v>
      </c>
      <c r="E89" s="93"/>
      <c r="F89" s="93"/>
      <c r="G89" s="93"/>
      <c r="H89" s="93"/>
      <c r="I89" s="38" t="s">
        <v>157</v>
      </c>
      <c r="J89" s="46">
        <f>(IF(B82&gt;1,(H82/(B82+2)+J88),0))</f>
        <v>0</v>
      </c>
    </row>
    <row r="90" spans="1:10" ht="15" customHeight="1" x14ac:dyDescent="0.25">
      <c r="A90" s="86" t="s">
        <v>146</v>
      </c>
      <c r="B90" s="86" t="s">
        <v>143</v>
      </c>
      <c r="C90" s="60">
        <v>19</v>
      </c>
      <c r="D90" s="70">
        <f ca="1">((100/(H82))*C90)/100</f>
        <v>1</v>
      </c>
      <c r="E90" s="93"/>
      <c r="F90" s="93"/>
      <c r="G90" s="93"/>
      <c r="H90" s="93"/>
      <c r="I90" s="38" t="s">
        <v>154</v>
      </c>
      <c r="J90" s="46">
        <f>(IF(B82&gt;2,(H82/(B82+2)+J89),0))</f>
        <v>0</v>
      </c>
    </row>
    <row r="91" spans="1:10" ht="15.75" customHeight="1" x14ac:dyDescent="0.25">
      <c r="A91" s="86" t="s">
        <v>142</v>
      </c>
      <c r="B91" s="86" t="s">
        <v>142</v>
      </c>
      <c r="C91" s="60">
        <v>19</v>
      </c>
      <c r="D91" s="70">
        <f ca="1">((100/H82)*C91)/100</f>
        <v>1</v>
      </c>
      <c r="E91" s="93"/>
      <c r="F91" s="93"/>
      <c r="G91" s="93"/>
      <c r="H91" s="93"/>
      <c r="I91" s="38" t="s">
        <v>155</v>
      </c>
      <c r="J91" s="47">
        <f>(IF(B82&gt;3,(H82/(B82+2)+J90),0))</f>
        <v>0</v>
      </c>
    </row>
    <row r="92" spans="1:10" ht="15.75" customHeight="1" x14ac:dyDescent="0.25">
      <c r="A92" s="86" t="s">
        <v>149</v>
      </c>
      <c r="B92" s="86"/>
      <c r="C92" s="60">
        <v>19</v>
      </c>
      <c r="D92" s="70">
        <f ca="1">((100/H82)*C92)/100</f>
        <v>1</v>
      </c>
      <c r="E92" s="93"/>
      <c r="F92" s="93"/>
      <c r="G92" s="93"/>
      <c r="H92" s="93"/>
      <c r="I92" s="38" t="s">
        <v>156</v>
      </c>
      <c r="J92" s="46">
        <f>(IF(B82&gt;4,(H82/(B82+2)+J91),0))</f>
        <v>0</v>
      </c>
    </row>
    <row r="93" spans="1:10" ht="15.75" customHeight="1" x14ac:dyDescent="0.25">
      <c r="A93" s="86" t="s">
        <v>144</v>
      </c>
      <c r="B93" s="86" t="s">
        <v>144</v>
      </c>
      <c r="C93" s="60">
        <v>10</v>
      </c>
      <c r="D93" s="70">
        <f ca="1">((100/(H82))*C93)/100</f>
        <v>0.52631578947368429</v>
      </c>
      <c r="E93" s="93"/>
      <c r="F93" s="93"/>
      <c r="G93" s="93"/>
      <c r="H93" s="93"/>
      <c r="I93" s="38" t="s">
        <v>158</v>
      </c>
      <c r="J93" s="46">
        <f ca="1">(IF(B82=1,(H82/(B82+3)+J88),IF(B82=0,(H82/4+J88),IF(B82&gt;1,0))))</f>
        <v>14.25</v>
      </c>
    </row>
    <row r="94" spans="1:10" ht="16.5" thickBot="1" x14ac:dyDescent="0.3">
      <c r="A94" s="86" t="s">
        <v>145</v>
      </c>
      <c r="B94" s="86"/>
      <c r="C94" s="60">
        <v>0</v>
      </c>
      <c r="D94" s="70">
        <f ca="1">((100/(H82))*C94)/100</f>
        <v>0</v>
      </c>
      <c r="E94" s="93"/>
      <c r="F94" s="93"/>
      <c r="G94" s="93"/>
      <c r="H94" s="93"/>
      <c r="I94" s="45" t="s">
        <v>113</v>
      </c>
      <c r="J94" s="48">
        <f ca="1">(IF(B82&gt;1.5,(H82/(B82+2)+J88+MAX(0,J89-J88)+MAX(0,J90-J89)+MAX(0,J91-J90)+MAX(0,J92-J91)+MAX(0,J93-J92)),IF(B82=1,(H82/(B82+3)+J93),IF(B82=0,H82/4+J93))))</f>
        <v>19</v>
      </c>
    </row>
    <row r="95" spans="1:10" ht="15.75" customHeight="1" x14ac:dyDescent="0.25">
      <c r="A95" s="97" t="s">
        <v>151</v>
      </c>
      <c r="B95" s="97"/>
      <c r="C95" s="97" t="str">
        <f>D59</f>
        <v>Wing C = L.G + U.G + 1st to 19th Floor</v>
      </c>
      <c r="D95" s="97"/>
      <c r="E95" s="97"/>
      <c r="F95" s="97"/>
      <c r="G95" s="97"/>
      <c r="H95" s="97"/>
      <c r="I95" s="43" t="str">
        <f ca="1">(IF(E99&gt;99%,"All work completed. Please provide OC.",IF(E99&gt;89.8%,"Plinth, RCC, Brick, Plaster, Flooring, Painting work Completed. Finishing work is in process.",IF(E99&lt;94%,(IF(C99=0,"Work not yet Started.",IF(D99=25%,"Piling work in process",IF(D99=50%,"Excavation work in process",IF(D99=100%,"Excavation work Completed. ","0")))&amp;(IF(C100=0%,"",IF(C100=J101,"Footing work is process",IF(C100=J102,"Footing work Completed",IF(C100=J103,"1st Basement Completed",IF(C100=J104,"1st &amp; 2nd Basement Completed",IF(C100=J105,"1st to 3rd Basement Completed",IF(C100=J106,"1st to 4th Basement Completed",IF(C100=J107,"Plinth work is process",IF(C100=J108,"Plinth work completed","0")))))))))))&amp;(IF(C101=(D96+F96+H96),", RCC Slab",IF(C101&gt;0,", RCC upto "&amp;C101&amp;" Slab",""))&amp;(IF(C102=H96,", Brickwork",IF(C102&gt;0,", Brickwork upto "&amp;C102&amp;" Floor",""))&amp;(IF(C103=H96,", Internal Plaster",IF(C103&gt;0,", Internal Plaster upto "&amp;C103&amp;" Floor",""))&amp;(IF(C104=H96,", External Plaster",IF(C104&gt;0,", External Plaster upto "&amp;C104&amp;" Floor",""))&amp;(IF(C105=H96,", Flooring",IF(C105&gt;0,", Flooring upto "&amp;C105&amp;" Floor",""))&amp;(IF(C106=H96,", Painting",IF(C106&gt;0,", Painting upto "&amp;C106&amp;" Floor",""))&amp;(IF(C107&gt;0,", Finishing upto "&amp;C107&amp;" Floor","")&amp;(IF(C101&gt;0.5," Completed",""))))))))))))))</f>
        <v>Plinth, RCC, Brick, Plaster, Flooring, Painting work Completed. Finishing work is in process.</v>
      </c>
      <c r="J95" s="15"/>
    </row>
    <row r="96" spans="1:10" x14ac:dyDescent="0.25">
      <c r="A96" s="72" t="s">
        <v>153</v>
      </c>
      <c r="B96" s="72">
        <v>1</v>
      </c>
      <c r="C96" s="72" t="s">
        <v>76</v>
      </c>
      <c r="D96" s="72">
        <v>1</v>
      </c>
      <c r="E96" s="72" t="s">
        <v>75</v>
      </c>
      <c r="F96" s="72">
        <v>0</v>
      </c>
      <c r="G96" s="72" t="s">
        <v>87</v>
      </c>
      <c r="H96" s="72">
        <f ca="1">--TRIM(RIGHT(SUBSTITUTE(LEFT(C95,_xlfn.AGGREGATE(16,6,FIND({0,1,2,3,4,5,6,7,8,9},C95,ROW(INDIRECT("1:"&amp;LEN(C95)))),1))," ",REPT(" ",LEN(C95))),LEN(C95)))</f>
        <v>19</v>
      </c>
      <c r="I96" s="44"/>
      <c r="J96" s="16"/>
    </row>
    <row r="97" spans="1:13" ht="35.1" customHeight="1" x14ac:dyDescent="0.25">
      <c r="A97" s="100" t="s">
        <v>97</v>
      </c>
      <c r="B97" s="100"/>
      <c r="C97" s="97" t="str">
        <f ca="1">I95</f>
        <v>Plinth, RCC, Brick, Plaster, Flooring, Painting work Completed. Finishing work is in process.</v>
      </c>
      <c r="D97" s="97"/>
      <c r="E97" s="97"/>
      <c r="F97" s="97"/>
      <c r="G97" s="97"/>
      <c r="H97" s="97"/>
      <c r="I97" s="44" t="s">
        <v>114</v>
      </c>
      <c r="J97" s="16"/>
    </row>
    <row r="98" spans="1:13" ht="15.75" customHeight="1" x14ac:dyDescent="0.25">
      <c r="A98" s="86" t="s">
        <v>52</v>
      </c>
      <c r="B98" s="86"/>
      <c r="C98" s="58" t="s">
        <v>150</v>
      </c>
      <c r="D98" s="69" t="s">
        <v>90</v>
      </c>
      <c r="E98" s="86" t="s">
        <v>92</v>
      </c>
      <c r="F98" s="86"/>
      <c r="G98" s="86" t="s">
        <v>91</v>
      </c>
      <c r="H98" s="86"/>
      <c r="I98" s="38" t="s">
        <v>152</v>
      </c>
      <c r="J98" s="17">
        <f ca="1">H96*25%</f>
        <v>4.75</v>
      </c>
    </row>
    <row r="99" spans="1:13" x14ac:dyDescent="0.25">
      <c r="A99" s="86" t="s">
        <v>139</v>
      </c>
      <c r="B99" s="86"/>
      <c r="C99" s="60">
        <f ca="1">J100</f>
        <v>19</v>
      </c>
      <c r="D99" s="70">
        <f ca="1">((100/H96)*C99)/100</f>
        <v>1</v>
      </c>
      <c r="E99" s="93">
        <f ca="1">(((C100/H96*10)+(40/(D96+F96+H96)*C101)+(7.5/(H96)*C102)+(7.5/(H96)*C103)+(10/H96*C104)+(10/H96*C105)+(5/H96*C106)+(5/H96*C107)+(5/H96*C108))/100)</f>
        <v>0.91842105263157892</v>
      </c>
      <c r="F99" s="93"/>
      <c r="G99" s="93">
        <f ca="1">((((C99/H96)*20)+((C100/H96)*25)+(30/(H96+F96+D96)*C101)+(5/H96*C102)+(5/H96*C103)+(5/H96*C104)+(5/H96*C105)+(0/H96*C106)+(0/H96*C107)+(5/H96*C108))/100)</f>
        <v>0.95</v>
      </c>
      <c r="H99" s="93"/>
      <c r="I99" s="38" t="s">
        <v>109</v>
      </c>
      <c r="J99" s="42">
        <f ca="1">H96*50%</f>
        <v>9.5</v>
      </c>
    </row>
    <row r="100" spans="1:13" x14ac:dyDescent="0.25">
      <c r="A100" s="86" t="s">
        <v>53</v>
      </c>
      <c r="B100" s="86"/>
      <c r="C100" s="62">
        <f ca="1">J108</f>
        <v>19</v>
      </c>
      <c r="D100" s="70">
        <f ca="1">((100/H96)*C100)/100</f>
        <v>1</v>
      </c>
      <c r="E100" s="93"/>
      <c r="F100" s="93"/>
      <c r="G100" s="93"/>
      <c r="H100" s="93"/>
      <c r="I100" s="38" t="s">
        <v>110</v>
      </c>
      <c r="J100" s="42">
        <f ca="1">H96</f>
        <v>19</v>
      </c>
    </row>
    <row r="101" spans="1:13" ht="15.75" customHeight="1" x14ac:dyDescent="0.25">
      <c r="A101" s="86" t="s">
        <v>140</v>
      </c>
      <c r="B101" s="86"/>
      <c r="C101" s="62">
        <v>20</v>
      </c>
      <c r="D101" s="70">
        <f ca="1">((100/(D96+F96+H96))*C101)/100</f>
        <v>1</v>
      </c>
      <c r="E101" s="93"/>
      <c r="F101" s="93"/>
      <c r="G101" s="93"/>
      <c r="H101" s="93"/>
      <c r="I101" s="38" t="s">
        <v>111</v>
      </c>
      <c r="J101" s="46">
        <f ca="1">(IF(B96&gt;1,(H96/(B96+2)),H96/4))</f>
        <v>4.75</v>
      </c>
    </row>
    <row r="102" spans="1:13" ht="15.75" customHeight="1" x14ac:dyDescent="0.25">
      <c r="A102" s="86" t="s">
        <v>147</v>
      </c>
      <c r="B102" s="86" t="s">
        <v>141</v>
      </c>
      <c r="C102" s="60">
        <v>19</v>
      </c>
      <c r="D102" s="70">
        <f ca="1">((100/H96)*C102)/100</f>
        <v>1</v>
      </c>
      <c r="E102" s="93"/>
      <c r="F102" s="93"/>
      <c r="G102" s="93"/>
      <c r="H102" s="93"/>
      <c r="I102" s="38" t="s">
        <v>112</v>
      </c>
      <c r="J102" s="46">
        <f ca="1">(IF(B96&gt;1,(H96/(B96+2)+J101),H96/4+J101))</f>
        <v>9.5</v>
      </c>
    </row>
    <row r="103" spans="1:13" ht="15.75" customHeight="1" x14ac:dyDescent="0.25">
      <c r="A103" s="86" t="s">
        <v>148</v>
      </c>
      <c r="B103" s="86" t="s">
        <v>141</v>
      </c>
      <c r="C103" s="60">
        <v>19</v>
      </c>
      <c r="D103" s="70">
        <f ca="1">((100/H96)*C103)/100</f>
        <v>1</v>
      </c>
      <c r="E103" s="93"/>
      <c r="F103" s="93"/>
      <c r="G103" s="93"/>
      <c r="H103" s="93"/>
      <c r="I103" s="38" t="s">
        <v>157</v>
      </c>
      <c r="J103" s="46">
        <f>(IF(B96&gt;1,(H96/(B96+2)+J102),0))</f>
        <v>0</v>
      </c>
    </row>
    <row r="104" spans="1:13" ht="15" customHeight="1" x14ac:dyDescent="0.25">
      <c r="A104" s="86" t="s">
        <v>146</v>
      </c>
      <c r="B104" s="86" t="s">
        <v>143</v>
      </c>
      <c r="C104" s="60">
        <v>19</v>
      </c>
      <c r="D104" s="70">
        <f ca="1">((100/(H96))*C104)/100</f>
        <v>1</v>
      </c>
      <c r="E104" s="93"/>
      <c r="F104" s="93"/>
      <c r="G104" s="93"/>
      <c r="H104" s="93"/>
      <c r="I104" s="38" t="s">
        <v>154</v>
      </c>
      <c r="J104" s="46">
        <f>(IF(B96&gt;2,(H96/(B96+2)+J103),0))</f>
        <v>0</v>
      </c>
    </row>
    <row r="105" spans="1:13" ht="15.75" customHeight="1" x14ac:dyDescent="0.25">
      <c r="A105" s="86" t="s">
        <v>142</v>
      </c>
      <c r="B105" s="86" t="s">
        <v>142</v>
      </c>
      <c r="C105" s="60">
        <v>19</v>
      </c>
      <c r="D105" s="70">
        <f ca="1">((100/H96)*C105)/100</f>
        <v>1</v>
      </c>
      <c r="E105" s="93"/>
      <c r="F105" s="93"/>
      <c r="G105" s="93"/>
      <c r="H105" s="93"/>
      <c r="I105" s="38" t="s">
        <v>155</v>
      </c>
      <c r="J105" s="47">
        <f>(IF(B96&gt;3,(H96/(B96+2)+J104),0))</f>
        <v>0</v>
      </c>
    </row>
    <row r="106" spans="1:13" ht="15.75" customHeight="1" x14ac:dyDescent="0.25">
      <c r="A106" s="86" t="s">
        <v>149</v>
      </c>
      <c r="B106" s="86"/>
      <c r="C106" s="60">
        <v>19</v>
      </c>
      <c r="D106" s="70">
        <f ca="1">((100/H96)*C106)/100</f>
        <v>1</v>
      </c>
      <c r="E106" s="93"/>
      <c r="F106" s="93"/>
      <c r="G106" s="93"/>
      <c r="H106" s="93"/>
      <c r="I106" s="38" t="s">
        <v>156</v>
      </c>
      <c r="J106" s="46">
        <f>(IF(B96&gt;4,(H96/(B96+2)+J105),0))</f>
        <v>0</v>
      </c>
    </row>
    <row r="107" spans="1:13" ht="15.75" customHeight="1" x14ac:dyDescent="0.25">
      <c r="A107" s="86" t="s">
        <v>144</v>
      </c>
      <c r="B107" s="86" t="s">
        <v>144</v>
      </c>
      <c r="C107" s="60">
        <v>7</v>
      </c>
      <c r="D107" s="70">
        <f ca="1">((100/(H96))*C107)/100</f>
        <v>0.36842105263157898</v>
      </c>
      <c r="E107" s="93"/>
      <c r="F107" s="93"/>
      <c r="G107" s="93"/>
      <c r="H107" s="93"/>
      <c r="I107" s="38" t="s">
        <v>158</v>
      </c>
      <c r="J107" s="46">
        <f ca="1">(IF(B96=1,(H96/(B96+3)+J102),IF(B96=0,(H96/4+J102),IF(B96&gt;1,0))))</f>
        <v>14.25</v>
      </c>
    </row>
    <row r="108" spans="1:13" ht="16.5" thickBot="1" x14ac:dyDescent="0.3">
      <c r="A108" s="86" t="s">
        <v>145</v>
      </c>
      <c r="B108" s="86"/>
      <c r="C108" s="60">
        <v>0</v>
      </c>
      <c r="D108" s="70">
        <f ca="1">((100/(H96))*C108)/100</f>
        <v>0</v>
      </c>
      <c r="E108" s="93"/>
      <c r="F108" s="93"/>
      <c r="G108" s="93"/>
      <c r="H108" s="93"/>
      <c r="I108" s="45" t="s">
        <v>113</v>
      </c>
      <c r="J108" s="48">
        <f ca="1">(IF(B96&gt;1.5,(H96/(B96+2)+J102+MAX(0,J103-J102)+MAX(0,J104-J103)+MAX(0,J105-J104)+MAX(0,J106-J105)+MAX(0,J107-J106)),IF(B96=1,(H96/(B96+3)+J107),IF(B96=0,H96/4+J107))))</f>
        <v>19</v>
      </c>
    </row>
    <row r="109" spans="1:13" x14ac:dyDescent="0.25">
      <c r="A109" s="106" t="s">
        <v>54</v>
      </c>
      <c r="B109" s="106"/>
      <c r="C109" s="106"/>
      <c r="D109" s="106"/>
      <c r="E109" s="106"/>
      <c r="F109" s="106"/>
      <c r="G109" s="106"/>
      <c r="H109" s="106"/>
    </row>
    <row r="110" spans="1:13" x14ac:dyDescent="0.25">
      <c r="A110" s="98" t="s">
        <v>79</v>
      </c>
      <c r="B110" s="98"/>
      <c r="C110" s="98"/>
      <c r="D110" s="98"/>
      <c r="E110" s="98"/>
      <c r="F110" s="105">
        <v>14500</v>
      </c>
      <c r="G110" s="105"/>
      <c r="H110" s="105"/>
      <c r="J110" s="3" t="s">
        <v>219</v>
      </c>
      <c r="L110" s="39">
        <v>45309</v>
      </c>
      <c r="M110" s="3" t="s">
        <v>217</v>
      </c>
    </row>
    <row r="111" spans="1:13" x14ac:dyDescent="0.25">
      <c r="A111" s="98" t="s">
        <v>85</v>
      </c>
      <c r="B111" s="98"/>
      <c r="C111" s="98"/>
      <c r="D111" s="98"/>
      <c r="E111" s="98"/>
      <c r="F111" s="105">
        <v>25000</v>
      </c>
      <c r="G111" s="105"/>
      <c r="H111" s="105"/>
    </row>
    <row r="112" spans="1:13" hidden="1" x14ac:dyDescent="0.25">
      <c r="A112" s="98" t="s">
        <v>86</v>
      </c>
      <c r="B112" s="98"/>
      <c r="C112" s="98"/>
      <c r="D112" s="98"/>
      <c r="E112" s="98"/>
      <c r="F112" s="105"/>
      <c r="G112" s="105"/>
      <c r="H112" s="105"/>
    </row>
    <row r="113" spans="1:10" s="7" customFormat="1" hidden="1" x14ac:dyDescent="0.25">
      <c r="A113" s="98" t="s">
        <v>102</v>
      </c>
      <c r="B113" s="98"/>
      <c r="C113" s="98"/>
      <c r="D113" s="98"/>
      <c r="E113" s="98"/>
      <c r="F113" s="105" t="s">
        <v>30</v>
      </c>
      <c r="G113" s="105"/>
      <c r="H113" s="105"/>
    </row>
    <row r="114" spans="1:10" s="7" customFormat="1" hidden="1" x14ac:dyDescent="0.25">
      <c r="A114" s="98" t="s">
        <v>103</v>
      </c>
      <c r="B114" s="98"/>
      <c r="C114" s="98"/>
      <c r="D114" s="98"/>
      <c r="E114" s="98"/>
      <c r="F114" s="105" t="s">
        <v>30</v>
      </c>
      <c r="G114" s="105"/>
      <c r="H114" s="105"/>
    </row>
    <row r="115" spans="1:10" s="7" customFormat="1" hidden="1" x14ac:dyDescent="0.25">
      <c r="A115" s="98" t="s">
        <v>104</v>
      </c>
      <c r="B115" s="98"/>
      <c r="C115" s="98"/>
      <c r="D115" s="98"/>
      <c r="E115" s="98"/>
      <c r="F115" s="105" t="s">
        <v>30</v>
      </c>
      <c r="G115" s="105"/>
      <c r="H115" s="105"/>
    </row>
    <row r="116" spans="1:10" s="7" customFormat="1" hidden="1" x14ac:dyDescent="0.25">
      <c r="A116" s="98" t="s">
        <v>105</v>
      </c>
      <c r="B116" s="98"/>
      <c r="C116" s="98"/>
      <c r="D116" s="98"/>
      <c r="E116" s="98"/>
      <c r="F116" s="105" t="s">
        <v>30</v>
      </c>
      <c r="G116" s="105"/>
      <c r="H116" s="105"/>
    </row>
    <row r="117" spans="1:10" s="7" customFormat="1" hidden="1" x14ac:dyDescent="0.25">
      <c r="A117" s="98" t="s">
        <v>106</v>
      </c>
      <c r="B117" s="98"/>
      <c r="C117" s="98"/>
      <c r="D117" s="98"/>
      <c r="E117" s="98"/>
      <c r="F117" s="105" t="s">
        <v>30</v>
      </c>
      <c r="G117" s="105"/>
      <c r="H117" s="105"/>
    </row>
    <row r="118" spans="1:10" s="7" customFormat="1" x14ac:dyDescent="0.25">
      <c r="A118" s="98" t="s">
        <v>216</v>
      </c>
      <c r="B118" s="98"/>
      <c r="C118" s="98"/>
      <c r="D118" s="98"/>
      <c r="E118" s="98"/>
      <c r="F118" s="105">
        <v>20000</v>
      </c>
      <c r="G118" s="105"/>
      <c r="H118" s="105"/>
    </row>
    <row r="119" spans="1:10" s="7" customFormat="1" x14ac:dyDescent="0.25">
      <c r="A119" s="98" t="s">
        <v>107</v>
      </c>
      <c r="B119" s="98"/>
      <c r="C119" s="98"/>
      <c r="D119" s="98"/>
      <c r="E119" s="98"/>
      <c r="F119" s="105">
        <v>30000</v>
      </c>
      <c r="G119" s="105"/>
      <c r="H119" s="105"/>
    </row>
    <row r="120" spans="1:10" s="7" customFormat="1" x14ac:dyDescent="0.25">
      <c r="A120" s="98" t="s">
        <v>108</v>
      </c>
      <c r="B120" s="98"/>
      <c r="C120" s="98"/>
      <c r="D120" s="98"/>
      <c r="E120" s="98"/>
      <c r="F120" s="105">
        <v>10000</v>
      </c>
      <c r="G120" s="105"/>
      <c r="H120" s="105"/>
    </row>
    <row r="121" spans="1:10" x14ac:dyDescent="0.25">
      <c r="A121" s="98" t="s">
        <v>55</v>
      </c>
      <c r="B121" s="98"/>
      <c r="C121" s="98"/>
      <c r="D121" s="98"/>
      <c r="E121" s="98"/>
      <c r="F121" s="115" t="s">
        <v>192</v>
      </c>
      <c r="G121" s="115"/>
      <c r="H121" s="115"/>
    </row>
    <row r="122" spans="1:10" s="4" customFormat="1" x14ac:dyDescent="0.25">
      <c r="A122" s="126" t="s">
        <v>56</v>
      </c>
      <c r="B122" s="126"/>
      <c r="C122" s="126"/>
      <c r="D122" s="126"/>
      <c r="E122" s="126"/>
      <c r="F122" s="105">
        <f>F110*0.8</f>
        <v>11600</v>
      </c>
      <c r="G122" s="105"/>
      <c r="H122" s="105"/>
    </row>
    <row r="123" spans="1:10" s="1" customFormat="1" ht="15.75" customHeight="1" x14ac:dyDescent="0.25">
      <c r="A123" s="127" t="s">
        <v>80</v>
      </c>
      <c r="B123" s="127"/>
      <c r="C123" s="127"/>
      <c r="D123" s="127"/>
      <c r="E123" s="127"/>
      <c r="F123" s="127"/>
      <c r="G123" s="127"/>
      <c r="H123" s="127"/>
    </row>
    <row r="124" spans="1:10" s="1" customFormat="1" ht="15.75" customHeight="1" x14ac:dyDescent="0.25">
      <c r="A124" s="102" t="s">
        <v>57</v>
      </c>
      <c r="B124" s="102"/>
      <c r="C124" s="107" t="s">
        <v>83</v>
      </c>
      <c r="D124" s="107"/>
      <c r="E124" s="92" t="s">
        <v>58</v>
      </c>
      <c r="F124" s="92"/>
      <c r="G124" s="102" t="s">
        <v>59</v>
      </c>
      <c r="H124" s="102"/>
    </row>
    <row r="125" spans="1:10" s="1" customFormat="1" x14ac:dyDescent="0.25">
      <c r="A125" s="128" t="s">
        <v>177</v>
      </c>
      <c r="B125" s="128"/>
      <c r="C125" s="83">
        <f>COUNT(D138:D143)</f>
        <v>6</v>
      </c>
      <c r="D125" s="84"/>
      <c r="E125" s="103">
        <f>SUM(D138:D143)</f>
        <v>939.69720000000007</v>
      </c>
      <c r="F125" s="104"/>
      <c r="G125" s="103">
        <f>SUM(F138:F143)</f>
        <v>1456.5306599999999</v>
      </c>
      <c r="H125" s="104"/>
    </row>
    <row r="126" spans="1:10" s="1" customFormat="1" x14ac:dyDescent="0.25">
      <c r="A126" s="127" t="s">
        <v>176</v>
      </c>
      <c r="B126" s="127"/>
      <c r="C126" s="127"/>
      <c r="D126" s="127"/>
      <c r="E126" s="127"/>
      <c r="F126" s="127"/>
      <c r="G126" s="127"/>
      <c r="H126" s="127"/>
    </row>
    <row r="127" spans="1:10" s="1" customFormat="1" ht="15.75" customHeight="1" x14ac:dyDescent="0.25">
      <c r="A127" s="102" t="s">
        <v>57</v>
      </c>
      <c r="B127" s="102"/>
      <c r="C127" s="107" t="s">
        <v>83</v>
      </c>
      <c r="D127" s="107"/>
      <c r="E127" s="92" t="s">
        <v>58</v>
      </c>
      <c r="F127" s="92"/>
      <c r="G127" s="102" t="s">
        <v>59</v>
      </c>
      <c r="H127" s="102"/>
      <c r="J127" s="67">
        <f>SUM(G125,G131)</f>
        <v>201793.67676</v>
      </c>
    </row>
    <row r="128" spans="1:10" s="1" customFormat="1" x14ac:dyDescent="0.25">
      <c r="A128" s="128" t="s">
        <v>177</v>
      </c>
      <c r="B128" s="128"/>
      <c r="C128" s="83">
        <f>COUNT(D150:D151,D153)+COUNT(D155:D158)*16+COUNT(D160:D161,D163)+COUNT(D165:D166,D168)</f>
        <v>73</v>
      </c>
      <c r="D128" s="84"/>
      <c r="E128" s="103">
        <f>SUM(D150:D151,D153)+SUM(D155:D158)*16+SUM(D160:D161,D163)+SUM(D165:D166,D168)</f>
        <v>48326.215860000004</v>
      </c>
      <c r="F128" s="104"/>
      <c r="G128" s="103">
        <f>SUM(F150:F151,F153)+SUM(F155:F158)*16+SUM(F160:F161,F163)+SUM(F165:F166,F168)</f>
        <v>72489.323789999995</v>
      </c>
      <c r="H128" s="104"/>
    </row>
    <row r="129" spans="1:14" s="1" customFormat="1" x14ac:dyDescent="0.25">
      <c r="A129" s="128" t="s">
        <v>178</v>
      </c>
      <c r="B129" s="128"/>
      <c r="C129" s="83">
        <f>COUNT(D172:D175)+COUNT(D179:D180)+COUNT(D182:D185)*16+COUNT(D188:D190)+COUNT(D193:D195)</f>
        <v>76</v>
      </c>
      <c r="D129" s="84"/>
      <c r="E129" s="103">
        <f>SUM(D172:D175)+SUM(D179:D180)+SUM(D182:D185)*16+SUM(D188:D190)+SUM(D193:D195)</f>
        <v>42400.52622</v>
      </c>
      <c r="F129" s="104"/>
      <c r="G129" s="103">
        <f>SUM(F172:F175)+SUM(F179:F180)+SUM(F182:F185)*16+SUM(F188:F190)+SUM(F193:F195)</f>
        <v>63600.789329999985</v>
      </c>
      <c r="H129" s="104"/>
    </row>
    <row r="130" spans="1:14" s="1" customFormat="1" x14ac:dyDescent="0.25">
      <c r="A130" s="128" t="s">
        <v>179</v>
      </c>
      <c r="B130" s="128"/>
      <c r="C130" s="83">
        <f>COUNT(D199:D202)+COUNT(D205:D207)+COUNT(D209:D212)*16+COUNT(D214,D216:D217)+COUNT(D219,D221:D222)</f>
        <v>77</v>
      </c>
      <c r="D130" s="84"/>
      <c r="E130" s="103">
        <f>SUM(D199:D202)+SUM(D205:D207)+SUM(D209:D212)*16+SUM(D214,D216:D217)+SUM(D219,D221:D222)</f>
        <v>42831.355319999995</v>
      </c>
      <c r="F130" s="104"/>
      <c r="G130" s="103">
        <f>SUM(F199:F202)+SUM(F205:F207)+SUM(F209:F212)*16+SUM(F214,F216:F217)+SUM(F219,F221:F222)</f>
        <v>64247.032980000004</v>
      </c>
      <c r="H130" s="104"/>
    </row>
    <row r="131" spans="1:14" s="1" customFormat="1" x14ac:dyDescent="0.25">
      <c r="A131" s="127" t="s">
        <v>180</v>
      </c>
      <c r="B131" s="127"/>
      <c r="C131" s="138">
        <f>SUM(C128:D130)</f>
        <v>226</v>
      </c>
      <c r="D131" s="107"/>
      <c r="E131" s="91">
        <f>SUM(E128:F130)</f>
        <v>133558.0974</v>
      </c>
      <c r="F131" s="92"/>
      <c r="G131" s="91">
        <f>SUM(G128:H130)</f>
        <v>200337.14610000001</v>
      </c>
      <c r="H131" s="92"/>
    </row>
    <row r="132" spans="1:14" s="4" customFormat="1" x14ac:dyDescent="0.25">
      <c r="A132" s="87" t="s">
        <v>60</v>
      </c>
      <c r="B132" s="87"/>
      <c r="C132" s="87"/>
      <c r="D132" s="87"/>
      <c r="E132" s="87"/>
      <c r="F132" s="87"/>
      <c r="G132" s="87"/>
      <c r="H132" s="87"/>
    </row>
    <row r="133" spans="1:14" x14ac:dyDescent="0.25">
      <c r="A133" s="87" t="s">
        <v>61</v>
      </c>
      <c r="B133" s="87"/>
      <c r="C133" s="87"/>
      <c r="D133" s="87"/>
      <c r="E133" s="87"/>
      <c r="F133" s="87"/>
      <c r="G133" s="87"/>
      <c r="H133" s="87"/>
    </row>
    <row r="134" spans="1:14" ht="47.25" customHeight="1" x14ac:dyDescent="0.25">
      <c r="A134" s="81" t="s">
        <v>130</v>
      </c>
      <c r="B134" s="81" t="s">
        <v>129</v>
      </c>
      <c r="C134" s="81" t="s">
        <v>62</v>
      </c>
      <c r="D134" s="81" t="s">
        <v>63</v>
      </c>
      <c r="E134" s="132" t="s">
        <v>64</v>
      </c>
      <c r="F134" s="32" t="s">
        <v>161</v>
      </c>
      <c r="G134" s="134" t="s">
        <v>65</v>
      </c>
      <c r="H134" s="135"/>
    </row>
    <row r="135" spans="1:14" s="2" customFormat="1" x14ac:dyDescent="0.25">
      <c r="A135" s="82"/>
      <c r="B135" s="82"/>
      <c r="C135" s="82"/>
      <c r="D135" s="82"/>
      <c r="E135" s="133"/>
      <c r="F135" s="33">
        <v>0.55000000000000004</v>
      </c>
      <c r="G135" s="136"/>
      <c r="H135" s="137"/>
    </row>
    <row r="136" spans="1:14" x14ac:dyDescent="0.25">
      <c r="A136" s="87" t="s">
        <v>177</v>
      </c>
      <c r="B136" s="87"/>
      <c r="C136" s="87"/>
      <c r="D136" s="87"/>
      <c r="E136" s="87"/>
      <c r="F136" s="87"/>
      <c r="G136" s="87"/>
      <c r="H136" s="87"/>
    </row>
    <row r="137" spans="1:14" s="2" customFormat="1" x14ac:dyDescent="0.25">
      <c r="A137" s="181" t="s">
        <v>196</v>
      </c>
      <c r="B137" s="181"/>
      <c r="C137" s="181"/>
      <c r="D137" s="181"/>
      <c r="E137" s="181"/>
      <c r="F137" s="181"/>
      <c r="G137" s="181"/>
      <c r="H137" s="181"/>
      <c r="J137" s="34"/>
    </row>
    <row r="138" spans="1:14" s="2" customFormat="1" ht="15.75" customHeight="1" x14ac:dyDescent="0.25">
      <c r="A138" s="183">
        <v>1</v>
      </c>
      <c r="B138" s="183"/>
      <c r="C138" s="52" t="s">
        <v>197</v>
      </c>
      <c r="D138" s="52">
        <f>(2.95*2.75+1.4*0.77+1.3*0.9)*10.764</f>
        <v>111.520422</v>
      </c>
      <c r="E138" s="52">
        <v>0</v>
      </c>
      <c r="F138" s="52">
        <f>D138*(($F$135)+1)+(IF(E138&lt;101,E138,IF(E138&lt;201,E138/2,IF(E138&lt;=301,E138/3,E138/4))))</f>
        <v>172.85665409999999</v>
      </c>
      <c r="G138" s="183" t="str">
        <f>A137</f>
        <v>Upper Ground Floor for Commercial</v>
      </c>
      <c r="H138" s="183"/>
      <c r="I138" s="34"/>
      <c r="L138" s="180"/>
      <c r="M138" s="180"/>
      <c r="N138" s="34"/>
    </row>
    <row r="139" spans="1:14" s="2" customFormat="1" ht="15.75" customHeight="1" x14ac:dyDescent="0.25">
      <c r="A139" s="183">
        <v>2</v>
      </c>
      <c r="B139" s="183"/>
      <c r="C139" s="52" t="s">
        <v>197</v>
      </c>
      <c r="D139" s="52">
        <f>(3.2*2.75+1.15*1.42+1.05*1.23)*10.764</f>
        <v>126.20251799999998</v>
      </c>
      <c r="E139" s="52">
        <v>0</v>
      </c>
      <c r="F139" s="52">
        <f t="shared" ref="F139:F143" si="0">D139*(($F$135)+1)+(IF(E139&lt;101,E139,IF(E139&lt;201,E139/2,IF(E139&lt;=301,E139/3,E139/4))))</f>
        <v>195.61390289999997</v>
      </c>
      <c r="G139" s="183"/>
      <c r="H139" s="183"/>
      <c r="I139" s="34"/>
      <c r="L139" s="180"/>
      <c r="M139" s="180"/>
      <c r="N139" s="34"/>
    </row>
    <row r="140" spans="1:14" s="2" customFormat="1" ht="15.75" customHeight="1" x14ac:dyDescent="0.25">
      <c r="A140" s="183">
        <v>3</v>
      </c>
      <c r="B140" s="183"/>
      <c r="C140" s="52" t="s">
        <v>197</v>
      </c>
      <c r="D140" s="52">
        <f>(6.65*2.75+1*1.65+1.05*1.55)*10.764</f>
        <v>232.12566000000001</v>
      </c>
      <c r="E140" s="52">
        <v>0</v>
      </c>
      <c r="F140" s="52">
        <f t="shared" si="0"/>
        <v>359.79477300000002</v>
      </c>
      <c r="G140" s="183"/>
      <c r="H140" s="183"/>
      <c r="I140" s="34"/>
      <c r="L140" s="180"/>
      <c r="M140" s="180"/>
      <c r="N140" s="34"/>
    </row>
    <row r="141" spans="1:14" s="2" customFormat="1" ht="15.75" customHeight="1" x14ac:dyDescent="0.25">
      <c r="A141" s="183">
        <v>4</v>
      </c>
      <c r="B141" s="183"/>
      <c r="C141" s="52" t="s">
        <v>197</v>
      </c>
      <c r="D141" s="52">
        <f>(6.65*2.75+1*1.65+1.05*1.55)*10.764</f>
        <v>232.12566000000001</v>
      </c>
      <c r="E141" s="52">
        <v>0</v>
      </c>
      <c r="F141" s="52">
        <f t="shared" si="0"/>
        <v>359.79477300000002</v>
      </c>
      <c r="G141" s="183"/>
      <c r="H141" s="183"/>
      <c r="I141" s="34"/>
      <c r="L141" s="180"/>
      <c r="M141" s="180"/>
      <c r="N141" s="34"/>
    </row>
    <row r="142" spans="1:14" s="2" customFormat="1" ht="15.75" customHeight="1" x14ac:dyDescent="0.25">
      <c r="A142" s="183">
        <v>5</v>
      </c>
      <c r="B142" s="183"/>
      <c r="C142" s="52" t="s">
        <v>197</v>
      </c>
      <c r="D142" s="52">
        <f>(3.2*2.75+1.15*1.42+1.05*1.23)*10.764</f>
        <v>126.20251799999998</v>
      </c>
      <c r="E142" s="52">
        <v>0</v>
      </c>
      <c r="F142" s="52">
        <f t="shared" si="0"/>
        <v>195.61390289999997</v>
      </c>
      <c r="G142" s="183"/>
      <c r="H142" s="183"/>
      <c r="I142" s="34"/>
      <c r="L142" s="180"/>
      <c r="M142" s="180"/>
      <c r="N142" s="34"/>
    </row>
    <row r="143" spans="1:14" s="2" customFormat="1" ht="15.75" customHeight="1" x14ac:dyDescent="0.25">
      <c r="A143" s="183">
        <v>6</v>
      </c>
      <c r="B143" s="183"/>
      <c r="C143" s="52" t="s">
        <v>197</v>
      </c>
      <c r="D143" s="52">
        <f>(2.95*2.75+1.4*0.77+1.3*0.9)*10.764</f>
        <v>111.520422</v>
      </c>
      <c r="E143" s="52">
        <v>0</v>
      </c>
      <c r="F143" s="52">
        <f t="shared" si="0"/>
        <v>172.85665409999999</v>
      </c>
      <c r="G143" s="183"/>
      <c r="H143" s="183"/>
      <c r="I143" s="34"/>
      <c r="L143" s="180"/>
      <c r="M143" s="180"/>
      <c r="N143" s="34"/>
    </row>
    <row r="144" spans="1:14" s="36" customFormat="1" x14ac:dyDescent="0.25">
      <c r="A144" s="183"/>
      <c r="B144" s="183"/>
      <c r="C144" s="183"/>
      <c r="D144" s="183"/>
      <c r="E144" s="183"/>
      <c r="F144" s="183"/>
      <c r="G144" s="183"/>
      <c r="H144" s="183"/>
      <c r="I144" s="34"/>
      <c r="N144" s="34"/>
    </row>
    <row r="145" spans="1:16" ht="47.25" customHeight="1" x14ac:dyDescent="0.25">
      <c r="A145" s="134" t="s">
        <v>131</v>
      </c>
      <c r="B145" s="134" t="s">
        <v>191</v>
      </c>
      <c r="C145" s="81" t="s">
        <v>62</v>
      </c>
      <c r="D145" s="81" t="s">
        <v>63</v>
      </c>
      <c r="E145" s="132" t="s">
        <v>64</v>
      </c>
      <c r="F145" s="37" t="s">
        <v>161</v>
      </c>
      <c r="G145" s="134" t="s">
        <v>65</v>
      </c>
      <c r="H145" s="135"/>
      <c r="I145" s="34"/>
    </row>
    <row r="146" spans="1:16" s="36" customFormat="1" x14ac:dyDescent="0.25">
      <c r="A146" s="136"/>
      <c r="B146" s="136"/>
      <c r="C146" s="82"/>
      <c r="D146" s="82"/>
      <c r="E146" s="133"/>
      <c r="F146" s="33">
        <v>0.5</v>
      </c>
      <c r="G146" s="136"/>
      <c r="H146" s="137"/>
      <c r="I146" s="34"/>
    </row>
    <row r="147" spans="1:16" s="57" customFormat="1" x14ac:dyDescent="0.25">
      <c r="A147" s="182" t="s">
        <v>177</v>
      </c>
      <c r="B147" s="182"/>
      <c r="C147" s="182"/>
      <c r="D147" s="182"/>
      <c r="E147" s="182"/>
      <c r="F147" s="182"/>
      <c r="G147" s="182"/>
      <c r="H147" s="182"/>
    </row>
    <row r="148" spans="1:16" s="57" customFormat="1" x14ac:dyDescent="0.25">
      <c r="A148" s="182" t="s">
        <v>195</v>
      </c>
      <c r="B148" s="182"/>
      <c r="C148" s="182"/>
      <c r="D148" s="182"/>
      <c r="E148" s="182"/>
      <c r="F148" s="182"/>
      <c r="G148" s="182"/>
      <c r="H148" s="182"/>
    </row>
    <row r="149" spans="1:16" s="65" customFormat="1" ht="15.75" customHeight="1" x14ac:dyDescent="0.25">
      <c r="A149" s="88" t="s">
        <v>206</v>
      </c>
      <c r="B149" s="89"/>
      <c r="C149" s="89"/>
      <c r="D149" s="89"/>
      <c r="E149" s="89"/>
      <c r="F149" s="89"/>
      <c r="G149" s="89"/>
      <c r="H149" s="90"/>
      <c r="I149" s="34"/>
      <c r="N149" s="34"/>
    </row>
    <row r="150" spans="1:16" s="65" customFormat="1" ht="15.75" customHeight="1" x14ac:dyDescent="0.25">
      <c r="A150" s="79">
        <v>1</v>
      </c>
      <c r="B150" s="80"/>
      <c r="C150" s="52" t="s">
        <v>172</v>
      </c>
      <c r="D150" s="52">
        <f>(56.58+0.7*(2.75+2.75+2.75))*10.764</f>
        <v>671.18921999999998</v>
      </c>
      <c r="E150" s="52">
        <v>0</v>
      </c>
      <c r="F150" s="52">
        <f>D150*(($F$146)+1)+(IF(E150&lt;101,E150,IF(E150&lt;201,E150/2,IF(E150&lt;=301,E150/3,E150/4))))</f>
        <v>1006.78383</v>
      </c>
      <c r="G150" s="75" t="str">
        <f>A149</f>
        <v xml:space="preserve"> 1st Floor (Part Amenity Area)</v>
      </c>
      <c r="H150" s="76"/>
      <c r="I150" s="34"/>
      <c r="N150" s="34"/>
    </row>
    <row r="151" spans="1:16" s="65" customFormat="1" ht="15.75" customHeight="1" x14ac:dyDescent="0.25">
      <c r="A151" s="79">
        <v>2</v>
      </c>
      <c r="B151" s="80"/>
      <c r="C151" s="52" t="s">
        <v>172</v>
      </c>
      <c r="D151" s="52">
        <f>(56.58+0.7*(2.75+2.75+2.75))*10.764</f>
        <v>671.18921999999998</v>
      </c>
      <c r="E151" s="52">
        <v>0</v>
      </c>
      <c r="F151" s="52">
        <f>D151*(($F$146)+1)+(IF(E151&lt;101,E151,IF(E151&lt;201,E151/2,IF(E151&lt;=301,E151/3,E151/4))))</f>
        <v>1006.78383</v>
      </c>
      <c r="G151" s="77"/>
      <c r="H151" s="78"/>
      <c r="I151" s="34">
        <f>(5.2*2.75+2.3*1.2+2.15*3.05+3.65*2.75+3.65*2.75+1.25*2.3+1.25*2.3+1*1.93+1*1.13)</f>
        <v>52.502500000000005</v>
      </c>
      <c r="J151" s="34"/>
      <c r="P151" s="35"/>
    </row>
    <row r="152" spans="1:16" s="65" customFormat="1" ht="15.75" customHeight="1" x14ac:dyDescent="0.25">
      <c r="A152" s="79">
        <v>3</v>
      </c>
      <c r="B152" s="80"/>
      <c r="C152" s="79" t="s">
        <v>208</v>
      </c>
      <c r="D152" s="144"/>
      <c r="E152" s="144"/>
      <c r="F152" s="80"/>
      <c r="G152" s="77"/>
      <c r="H152" s="78"/>
      <c r="I152" s="34"/>
      <c r="J152" s="34"/>
      <c r="N152" s="65" t="str">
        <f ca="1">O152&amp;""&amp;" to "&amp;""&amp;P152</f>
        <v>1 to 101</v>
      </c>
      <c r="O152" s="65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10^ROW(INDIRECT("1:"&amp;LEN((LEFT(A149,SUM(LEN(A149)-LEN(SUBSTITUTE(A149,{"0","1","2"},""))))))))/10))*100+1</f>
        <v>1</v>
      </c>
      <c r="P152" s="65">
        <f ca="1">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101</v>
      </c>
    </row>
    <row r="153" spans="1:16" s="65" customFormat="1" ht="15.75" customHeight="1" x14ac:dyDescent="0.25">
      <c r="A153" s="79">
        <v>4</v>
      </c>
      <c r="B153" s="80"/>
      <c r="C153" s="52" t="s">
        <v>172</v>
      </c>
      <c r="D153" s="52">
        <f>(54.8+0.7*(2.75+2.75+2.75))*10.764</f>
        <v>652.02929999999992</v>
      </c>
      <c r="E153" s="52">
        <v>0</v>
      </c>
      <c r="F153" s="52">
        <f>D153*(($F$146)+1)+(IF(E153&lt;101,E153,IF(E153&lt;201,E153/2,IF(E153&lt;=301,E153/3,E153/4))))</f>
        <v>978.04394999999988</v>
      </c>
      <c r="G153" s="77"/>
      <c r="H153" s="78"/>
      <c r="I153" s="34"/>
      <c r="N153" s="65" t="str">
        <f ca="1">O153&amp;""&amp;" to "&amp;""&amp;P153</f>
        <v>2 to 102</v>
      </c>
      <c r="O153" s="65">
        <f ca="1">O152+1</f>
        <v>2</v>
      </c>
      <c r="P153" s="65">
        <f ca="1">P152+1</f>
        <v>102</v>
      </c>
    </row>
    <row r="154" spans="1:16" s="54" customFormat="1" ht="15.75" customHeight="1" x14ac:dyDescent="0.25">
      <c r="A154" s="88" t="s">
        <v>173</v>
      </c>
      <c r="B154" s="89"/>
      <c r="C154" s="89"/>
      <c r="D154" s="89"/>
      <c r="E154" s="89"/>
      <c r="F154" s="89"/>
      <c r="G154" s="89"/>
      <c r="H154" s="90"/>
      <c r="I154" s="34"/>
      <c r="N154" s="34"/>
    </row>
    <row r="155" spans="1:16" s="54" customFormat="1" ht="15.75" customHeight="1" x14ac:dyDescent="0.25">
      <c r="A155" s="79">
        <v>1</v>
      </c>
      <c r="B155" s="80"/>
      <c r="C155" s="52" t="s">
        <v>172</v>
      </c>
      <c r="D155" s="52">
        <f>(56.58+0.7*(2.75+2.75+2.75))*10.764</f>
        <v>671.18921999999998</v>
      </c>
      <c r="E155" s="52">
        <v>0</v>
      </c>
      <c r="F155" s="52">
        <f>D155*(($F$146)+1)+(IF(E155&lt;101,E155,IF(E155&lt;201,E155/2,IF(E155&lt;=301,E155/3,E155/4))))</f>
        <v>1006.78383</v>
      </c>
      <c r="G155" s="75" t="str">
        <f>A154</f>
        <v>2nd to 6th, 8th to 13th, 15th to 19th Floor</v>
      </c>
      <c r="H155" s="76"/>
      <c r="I155" s="34"/>
      <c r="N155" s="34"/>
    </row>
    <row r="156" spans="1:16" s="54" customFormat="1" ht="15.75" customHeight="1" x14ac:dyDescent="0.25">
      <c r="A156" s="79">
        <v>2</v>
      </c>
      <c r="B156" s="80"/>
      <c r="C156" s="52" t="s">
        <v>172</v>
      </c>
      <c r="D156" s="52">
        <f>(56.58+0.7*(2.75+2.75+2.75))*10.764</f>
        <v>671.18921999999998</v>
      </c>
      <c r="E156" s="52">
        <v>0</v>
      </c>
      <c r="F156" s="52">
        <f>D156*(($F$146)+1)+(IF(E156&lt;101,E156,IF(E156&lt;201,E156/2,IF(E156&lt;=301,E156/3,E156/4))))</f>
        <v>1006.78383</v>
      </c>
      <c r="G156" s="77"/>
      <c r="H156" s="78"/>
      <c r="I156" s="34">
        <f>(5.2*2.75+2.3*1.2+2.15*3.05+3.65*2.75+3.65*2.75+1.25*2.3+1.25*2.3+1*1.93+1*1.13)</f>
        <v>52.502500000000005</v>
      </c>
      <c r="J156" s="34"/>
      <c r="P156" s="35"/>
    </row>
    <row r="157" spans="1:16" s="54" customFormat="1" ht="15.75" customHeight="1" x14ac:dyDescent="0.25">
      <c r="A157" s="79">
        <v>3</v>
      </c>
      <c r="B157" s="80"/>
      <c r="C157" s="52" t="s">
        <v>172</v>
      </c>
      <c r="D157" s="52">
        <f>(54.8+0.7*(2.75+2.75+2.75))*10.764</f>
        <v>652.02929999999992</v>
      </c>
      <c r="E157" s="52">
        <v>0</v>
      </c>
      <c r="F157" s="52">
        <f>D157*(($F$146)+1)+(IF(E157&lt;101,E157,IF(E157&lt;201,E157/2,IF(E157&lt;=301,E157/3,E157/4))))</f>
        <v>978.04394999999988</v>
      </c>
      <c r="G157" s="77"/>
      <c r="H157" s="78"/>
      <c r="I157" s="34"/>
      <c r="J157" s="34"/>
      <c r="N157" s="54" t="str">
        <f ca="1">O157&amp;""&amp;" to "&amp;""&amp;P157</f>
        <v>201 to 1901</v>
      </c>
      <c r="O157" s="54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</f>
        <v>201</v>
      </c>
      <c r="P157" s="54">
        <f ca="1">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1901</v>
      </c>
    </row>
    <row r="158" spans="1:16" s="54" customFormat="1" ht="15.75" customHeight="1" x14ac:dyDescent="0.25">
      <c r="A158" s="79">
        <v>4</v>
      </c>
      <c r="B158" s="80"/>
      <c r="C158" s="52" t="s">
        <v>172</v>
      </c>
      <c r="D158" s="52">
        <f>(54.8+0.7*(2.75+2.75+2.75))*10.764</f>
        <v>652.02929999999992</v>
      </c>
      <c r="E158" s="52">
        <v>0</v>
      </c>
      <c r="F158" s="52">
        <f>D158*(($F$146)+1)+(IF(E158&lt;101,E158,IF(E158&lt;201,E158/2,IF(E158&lt;=301,E158/3,E158/4))))</f>
        <v>978.04394999999988</v>
      </c>
      <c r="G158" s="77"/>
      <c r="H158" s="78"/>
      <c r="I158" s="34"/>
      <c r="N158" s="54" t="str">
        <f ca="1">O158&amp;""&amp;" to "&amp;""&amp;P158</f>
        <v>202 to 1902</v>
      </c>
      <c r="O158" s="54">
        <f t="shared" ref="O158:P158" ca="1" si="1">O157+1</f>
        <v>202</v>
      </c>
      <c r="P158" s="54">
        <f t="shared" ca="1" si="1"/>
        <v>1902</v>
      </c>
    </row>
    <row r="159" spans="1:16" s="56" customFormat="1" ht="15.75" customHeight="1" x14ac:dyDescent="0.25">
      <c r="A159" s="88" t="s">
        <v>175</v>
      </c>
      <c r="B159" s="89"/>
      <c r="C159" s="89"/>
      <c r="D159" s="89"/>
      <c r="E159" s="89"/>
      <c r="F159" s="89"/>
      <c r="G159" s="89"/>
      <c r="H159" s="90"/>
      <c r="I159" s="34"/>
      <c r="N159" s="34"/>
    </row>
    <row r="160" spans="1:16" s="56" customFormat="1" ht="15.75" customHeight="1" x14ac:dyDescent="0.25">
      <c r="A160" s="79">
        <v>1</v>
      </c>
      <c r="B160" s="80"/>
      <c r="C160" s="52" t="s">
        <v>172</v>
      </c>
      <c r="D160" s="52">
        <f>(56.58+0.7*(2.75+2.75+2.75))*10.764</f>
        <v>671.18921999999998</v>
      </c>
      <c r="E160" s="52">
        <v>0</v>
      </c>
      <c r="F160" s="52">
        <f>D160*(($F$146)+1)+(IF(E160&lt;101,E160,IF(E160&lt;201,E160/2,IF(E160&lt;=301,E160/3,E160/4))))</f>
        <v>1006.78383</v>
      </c>
      <c r="G160" s="75" t="str">
        <f>A159</f>
        <v>7th Floor (Part Refuge Area)</v>
      </c>
      <c r="H160" s="76"/>
      <c r="I160" s="34"/>
      <c r="N160" s="34"/>
    </row>
    <row r="161" spans="1:16" s="56" customFormat="1" ht="15.75" customHeight="1" x14ac:dyDescent="0.25">
      <c r="A161" s="79">
        <v>2</v>
      </c>
      <c r="B161" s="80"/>
      <c r="C161" s="52" t="s">
        <v>172</v>
      </c>
      <c r="D161" s="52">
        <f>(56.58+0.7*(2.75+2.75+2.75))*10.764</f>
        <v>671.18921999999998</v>
      </c>
      <c r="E161" s="52">
        <v>0</v>
      </c>
      <c r="F161" s="52">
        <f>D161*(($F$146)+1)+(IF(E161&lt;101,E161,IF(E161&lt;201,E161/2,IF(E161&lt;=301,E161/3,E161/4))))</f>
        <v>1006.78383</v>
      </c>
      <c r="G161" s="77"/>
      <c r="H161" s="78"/>
      <c r="I161" s="34"/>
      <c r="P161" s="35"/>
    </row>
    <row r="162" spans="1:16" s="56" customFormat="1" ht="15.75" customHeight="1" x14ac:dyDescent="0.25">
      <c r="A162" s="79">
        <v>3</v>
      </c>
      <c r="B162" s="80"/>
      <c r="C162" s="79" t="s">
        <v>171</v>
      </c>
      <c r="D162" s="144"/>
      <c r="E162" s="144"/>
      <c r="F162" s="80"/>
      <c r="G162" s="77"/>
      <c r="H162" s="78"/>
      <c r="I162" s="34"/>
      <c r="N162" s="56" t="e">
        <f ca="1">O162&amp;""&amp;" to "&amp;""&amp;P162</f>
        <v>#REF!</v>
      </c>
      <c r="O162" s="56" t="e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10^ROW(INDIRECT("1:"&amp;LEN((LEFT(A159,SUM(LEN(A159)-LEN(SUBSTITUTE(A159,{"0","1","2"},""))))))))/10))*100+1</f>
        <v>#REF!</v>
      </c>
      <c r="P162" s="56">
        <f ca="1">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",LEN(A159))),LEN(A159)))))))/10))*100+1</f>
        <v>701</v>
      </c>
    </row>
    <row r="163" spans="1:16" s="56" customFormat="1" ht="15.75" customHeight="1" x14ac:dyDescent="0.25">
      <c r="A163" s="79">
        <v>4</v>
      </c>
      <c r="B163" s="80"/>
      <c r="C163" s="52" t="s">
        <v>172</v>
      </c>
      <c r="D163" s="52">
        <f>(54.8+0.7*(2.75+2.75+2.75))*10.764</f>
        <v>652.02929999999992</v>
      </c>
      <c r="E163" s="52">
        <v>0</v>
      </c>
      <c r="F163" s="52">
        <f>D163*(($F$146)+1)+(IF(E163&lt;101,E163,IF(E163&lt;201,E163/2,IF(E163&lt;=301,E163/3,E163/4))))</f>
        <v>978.04394999999988</v>
      </c>
      <c r="G163" s="77"/>
      <c r="H163" s="78"/>
      <c r="I163" s="34"/>
      <c r="N163" s="56" t="e">
        <f ca="1">O163&amp;""&amp;" to "&amp;""&amp;P163</f>
        <v>#REF!</v>
      </c>
      <c r="O163" s="56" t="e">
        <f t="shared" ref="O163:P163" ca="1" si="2">O162+1</f>
        <v>#REF!</v>
      </c>
      <c r="P163" s="56">
        <f t="shared" ca="1" si="2"/>
        <v>702</v>
      </c>
    </row>
    <row r="164" spans="1:16" s="65" customFormat="1" ht="15.75" customHeight="1" x14ac:dyDescent="0.25">
      <c r="A164" s="88" t="s">
        <v>203</v>
      </c>
      <c r="B164" s="89"/>
      <c r="C164" s="89"/>
      <c r="D164" s="89"/>
      <c r="E164" s="89"/>
      <c r="F164" s="89"/>
      <c r="G164" s="89"/>
      <c r="H164" s="90"/>
      <c r="I164" s="34"/>
      <c r="N164" s="34"/>
    </row>
    <row r="165" spans="1:16" s="65" customFormat="1" ht="15.75" customHeight="1" x14ac:dyDescent="0.25">
      <c r="A165" s="79">
        <v>1</v>
      </c>
      <c r="B165" s="80"/>
      <c r="C165" s="52" t="s">
        <v>172</v>
      </c>
      <c r="D165" s="52">
        <f>(56.58+0.7*(2.75+2.75+2.75))*10.764</f>
        <v>671.18921999999998</v>
      </c>
      <c r="E165" s="52">
        <v>0</v>
      </c>
      <c r="F165" s="52">
        <f>D165*(($F$146)+1)+(IF(E165&lt;101,E165,IF(E165&lt;201,E165/2,IF(E165&lt;=301,E165/3,E165/4))))</f>
        <v>1006.78383</v>
      </c>
      <c r="G165" s="75" t="str">
        <f>A164</f>
        <v xml:space="preserve"> 14th Floor (Part Refuge Area)</v>
      </c>
      <c r="H165" s="76"/>
      <c r="I165" s="34"/>
      <c r="N165" s="34"/>
    </row>
    <row r="166" spans="1:16" s="65" customFormat="1" ht="15.75" customHeight="1" x14ac:dyDescent="0.25">
      <c r="A166" s="79">
        <v>2</v>
      </c>
      <c r="B166" s="80"/>
      <c r="C166" s="52" t="s">
        <v>172</v>
      </c>
      <c r="D166" s="52">
        <f>(56.58+0.7*(2.75+2.75+2.75))*10.764</f>
        <v>671.18921999999998</v>
      </c>
      <c r="E166" s="52">
        <v>0</v>
      </c>
      <c r="F166" s="52">
        <f>D166*(($F$146)+1)+(IF(E166&lt;101,E166,IF(E166&lt;201,E166/2,IF(E166&lt;=301,E166/3,E166/4))))</f>
        <v>1006.78383</v>
      </c>
      <c r="G166" s="77"/>
      <c r="H166" s="78"/>
      <c r="I166" s="34">
        <f>(5.2*2.75+2.3*1.2+2.15*3.05+3.65*2.75+3.65*2.75+1.25*2.3+1.25*2.3+1*1.93+1*1.13)</f>
        <v>52.502500000000005</v>
      </c>
      <c r="J166" s="34"/>
      <c r="P166" s="35"/>
    </row>
    <row r="167" spans="1:16" s="65" customFormat="1" ht="15.75" customHeight="1" x14ac:dyDescent="0.25">
      <c r="A167" s="79">
        <v>3</v>
      </c>
      <c r="B167" s="80"/>
      <c r="C167" s="79" t="s">
        <v>171</v>
      </c>
      <c r="D167" s="144"/>
      <c r="E167" s="144"/>
      <c r="F167" s="80"/>
      <c r="G167" s="77"/>
      <c r="H167" s="78"/>
      <c r="I167" s="34"/>
      <c r="J167" s="34"/>
      <c r="N167" s="65" t="str">
        <f ca="1">O167&amp;""&amp;" to "&amp;""&amp;P167</f>
        <v>1 to 1401</v>
      </c>
      <c r="O167" s="65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10^ROW(INDIRECT("1:"&amp;LEN((LEFT(A164,SUM(LEN(A164)-LEN(SUBSTITUTE(A164,{"0","1","2"},""))))))))/10))*100+1</f>
        <v>1</v>
      </c>
      <c r="P167" s="65">
        <f ca="1">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",LEN(A164))),LEN(A164)))))))/10))*100+1</f>
        <v>1401</v>
      </c>
    </row>
    <row r="168" spans="1:16" s="65" customFormat="1" ht="15.75" customHeight="1" x14ac:dyDescent="0.25">
      <c r="A168" s="79">
        <v>4</v>
      </c>
      <c r="B168" s="80"/>
      <c r="C168" s="52" t="s">
        <v>172</v>
      </c>
      <c r="D168" s="52">
        <f>(54.8+0.7*(2.75+2.75+2.75))*10.764</f>
        <v>652.02929999999992</v>
      </c>
      <c r="E168" s="52">
        <v>0</v>
      </c>
      <c r="F168" s="52">
        <f>D168*(($F$146)+1)+(IF(E168&lt;101,E168,IF(E168&lt;201,E168/2,IF(E168&lt;=301,E168/3,E168/4))))</f>
        <v>978.04394999999988</v>
      </c>
      <c r="G168" s="77"/>
      <c r="H168" s="78"/>
      <c r="I168" s="34"/>
      <c r="N168" s="65" t="str">
        <f ca="1">O168&amp;""&amp;" to "&amp;""&amp;P168</f>
        <v>2 to 1402</v>
      </c>
      <c r="O168" s="65">
        <f t="shared" ref="O168:P168" ca="1" si="3">O167+1</f>
        <v>2</v>
      </c>
      <c r="P168" s="65">
        <f t="shared" ca="1" si="3"/>
        <v>1402</v>
      </c>
    </row>
    <row r="169" spans="1:16" s="57" customFormat="1" x14ac:dyDescent="0.25">
      <c r="A169" s="182" t="s">
        <v>178</v>
      </c>
      <c r="B169" s="182"/>
      <c r="C169" s="182"/>
      <c r="D169" s="182"/>
      <c r="E169" s="182"/>
      <c r="F169" s="182"/>
      <c r="G169" s="182"/>
      <c r="H169" s="182"/>
    </row>
    <row r="170" spans="1:16" s="57" customFormat="1" x14ac:dyDescent="0.25">
      <c r="A170" s="182" t="s">
        <v>195</v>
      </c>
      <c r="B170" s="182"/>
      <c r="C170" s="182"/>
      <c r="D170" s="182"/>
      <c r="E170" s="182"/>
      <c r="F170" s="182"/>
      <c r="G170" s="182"/>
      <c r="H170" s="182"/>
    </row>
    <row r="171" spans="1:16" s="65" customFormat="1" ht="15.75" customHeight="1" x14ac:dyDescent="0.25">
      <c r="A171" s="88" t="s">
        <v>198</v>
      </c>
      <c r="B171" s="89"/>
      <c r="C171" s="89"/>
      <c r="D171" s="89"/>
      <c r="E171" s="89"/>
      <c r="F171" s="89"/>
      <c r="G171" s="89"/>
      <c r="H171" s="90"/>
      <c r="I171" s="34"/>
      <c r="N171" s="34"/>
    </row>
    <row r="172" spans="1:16" s="65" customFormat="1" ht="15.75" customHeight="1" x14ac:dyDescent="0.25">
      <c r="A172" s="79">
        <v>1</v>
      </c>
      <c r="B172" s="80"/>
      <c r="C172" s="52" t="s">
        <v>172</v>
      </c>
      <c r="D172" s="52">
        <f>(54.25+0.7*(2.75+2.75)+0.5*3.21)*10.764</f>
        <v>642.6646199999999</v>
      </c>
      <c r="E172" s="52">
        <v>0</v>
      </c>
      <c r="F172" s="52">
        <f>D172*(($F$146)+1)+(IF(E172&lt;101,E172,IF(E172&lt;201,E172/2,IF(E172&lt;=301,E172/3,E172/4))))</f>
        <v>963.99692999999979</v>
      </c>
      <c r="G172" s="75" t="str">
        <f>A171</f>
        <v>Upper Ground Floor for Residential</v>
      </c>
      <c r="H172" s="76"/>
      <c r="I172" s="65" t="s">
        <v>200</v>
      </c>
      <c r="J172" s="66">
        <f>(2.75*5.05+2.15*3.7+2.75*3.65+2.75*3.65+2.27*1.25+2.27*1.25+1.4*1+1.66*1)</f>
        <v>50.652499999999996</v>
      </c>
      <c r="N172" s="34"/>
    </row>
    <row r="173" spans="1:16" s="65" customFormat="1" ht="15.75" customHeight="1" x14ac:dyDescent="0.25">
      <c r="A173" s="79">
        <v>2</v>
      </c>
      <c r="B173" s="80"/>
      <c r="C173" s="52" t="s">
        <v>170</v>
      </c>
      <c r="D173" s="52">
        <f>(39.95+0.7*(2.75+2.75))*10.764</f>
        <v>471.46320000000003</v>
      </c>
      <c r="E173" s="52">
        <v>0</v>
      </c>
      <c r="F173" s="52">
        <f>D173*(($F$146)+1)+(IF(E173&lt;101,E173,IF(E173&lt;201,E173/2,IF(E173&lt;=301,E173/3,E173/4))))</f>
        <v>707.19479999999999</v>
      </c>
      <c r="G173" s="77"/>
      <c r="H173" s="78"/>
      <c r="I173" s="34"/>
      <c r="J173" s="34">
        <f>(0.7*(2.75+2.75+2.27)+0.5*(2.75))</f>
        <v>6.8139999999999992</v>
      </c>
      <c r="P173" s="35"/>
    </row>
    <row r="174" spans="1:16" s="65" customFormat="1" ht="15.75" customHeight="1" x14ac:dyDescent="0.25">
      <c r="A174" s="79">
        <v>3</v>
      </c>
      <c r="B174" s="80"/>
      <c r="C174" s="52" t="s">
        <v>170</v>
      </c>
      <c r="D174" s="52">
        <f>(39.95+0.7*(2.75+2.75))*10.764</f>
        <v>471.46320000000003</v>
      </c>
      <c r="E174" s="52">
        <v>0</v>
      </c>
      <c r="F174" s="52">
        <f>D174*(($F$146)+1)+(IF(E174&lt;101,E174,IF(E174&lt;201,E174/2,IF(E174&lt;=301,E174/3,E174/4))))</f>
        <v>707.19479999999999</v>
      </c>
      <c r="G174" s="77"/>
      <c r="H174" s="78"/>
      <c r="I174" s="34"/>
      <c r="J174" s="34">
        <f>J172+J173</f>
        <v>57.466499999999996</v>
      </c>
      <c r="N174" s="65" t="e">
        <f ca="1">O174&amp;""&amp;" to "&amp;""&amp;P174</f>
        <v>#REF!</v>
      </c>
      <c r="O174" s="65" t="e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10^ROW(INDIRECT("1:"&amp;LEN((LEFT(A171,SUM(LEN(A171)-LEN(SUBSTITUTE(A171,{"0","1","2"},""))))))))/10))*100+1</f>
        <v>#REF!</v>
      </c>
      <c r="P174" s="65" t="e">
        <f ca="1">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",LEN(A171))),LEN(A171)))))))/10))*100+1</f>
        <v>#NUM!</v>
      </c>
    </row>
    <row r="175" spans="1:16" s="65" customFormat="1" ht="15.75" customHeight="1" x14ac:dyDescent="0.25">
      <c r="A175" s="79">
        <v>4</v>
      </c>
      <c r="B175" s="80"/>
      <c r="C175" s="52" t="s">
        <v>172</v>
      </c>
      <c r="D175" s="52">
        <f>(54.25+0.7*(2.75+2.75)+0.5*3.21)*10.764</f>
        <v>642.6646199999999</v>
      </c>
      <c r="E175" s="52">
        <v>0</v>
      </c>
      <c r="F175" s="52">
        <f>D175*(($F$146)+1)+(IF(E175&lt;101,E175,IF(E175&lt;201,E175/2,IF(E175&lt;=301,E175/3,E175/4))))</f>
        <v>963.99692999999979</v>
      </c>
      <c r="G175" s="77"/>
      <c r="H175" s="78"/>
      <c r="I175" s="34"/>
      <c r="N175" s="65" t="e">
        <f ca="1">O175&amp;""&amp;" to "&amp;""&amp;P175</f>
        <v>#REF!</v>
      </c>
      <c r="O175" s="65" t="e">
        <f t="shared" ref="O175:P175" ca="1" si="4">O174+1</f>
        <v>#REF!</v>
      </c>
      <c r="P175" s="65" t="e">
        <f t="shared" ca="1" si="4"/>
        <v>#NUM!</v>
      </c>
    </row>
    <row r="176" spans="1:16" s="65" customFormat="1" ht="15.75" customHeight="1" x14ac:dyDescent="0.25">
      <c r="A176" s="181" t="s">
        <v>207</v>
      </c>
      <c r="B176" s="181"/>
      <c r="C176" s="181"/>
      <c r="D176" s="181"/>
      <c r="E176" s="181"/>
      <c r="F176" s="181"/>
      <c r="G176" s="181"/>
      <c r="H176" s="181"/>
      <c r="I176" s="34"/>
      <c r="N176" s="34"/>
    </row>
    <row r="177" spans="1:16" s="65" customFormat="1" ht="15.75" customHeight="1" x14ac:dyDescent="0.25">
      <c r="A177" s="183">
        <v>1</v>
      </c>
      <c r="B177" s="183"/>
      <c r="C177" s="183" t="s">
        <v>208</v>
      </c>
      <c r="D177" s="183"/>
      <c r="E177" s="183"/>
      <c r="F177" s="183"/>
      <c r="G177" s="183" t="str">
        <f>A176</f>
        <v xml:space="preserve"> 1st Floor for Residential (Part Amenity Area)</v>
      </c>
      <c r="H177" s="183"/>
      <c r="I177" s="34"/>
      <c r="N177" s="34"/>
    </row>
    <row r="178" spans="1:16" s="65" customFormat="1" ht="15.75" customHeight="1" x14ac:dyDescent="0.25">
      <c r="A178" s="183">
        <v>2</v>
      </c>
      <c r="B178" s="183"/>
      <c r="C178" s="183" t="s">
        <v>208</v>
      </c>
      <c r="D178" s="183"/>
      <c r="E178" s="183"/>
      <c r="F178" s="183"/>
      <c r="G178" s="183"/>
      <c r="H178" s="183"/>
      <c r="I178" s="34">
        <f>(5.2*2.75+2.3*1.2+2.15*3.05+3.65*2.75+3.65*2.75+1.25*2.3+1.25*2.3+1*1.93+1*1.13)</f>
        <v>52.502500000000005</v>
      </c>
      <c r="J178" s="34"/>
      <c r="P178" s="35"/>
    </row>
    <row r="179" spans="1:16" s="65" customFormat="1" ht="15.75" customHeight="1" x14ac:dyDescent="0.25">
      <c r="A179" s="183">
        <v>3</v>
      </c>
      <c r="B179" s="183"/>
      <c r="C179" s="52" t="s">
        <v>170</v>
      </c>
      <c r="D179" s="52">
        <f>(39.95+0.75*(2.75+2.75))*10.764</f>
        <v>474.42329999999998</v>
      </c>
      <c r="E179" s="52">
        <v>0</v>
      </c>
      <c r="F179" s="52">
        <f>D179*(($F$146)+1)+(IF(E179&lt;101,E179,IF(E179&lt;201,E179/2,IF(E179&lt;=301,E179/3,E179/4))))</f>
        <v>711.63495</v>
      </c>
      <c r="G179" s="183"/>
      <c r="H179" s="183"/>
      <c r="I179" s="34"/>
      <c r="J179" s="34"/>
      <c r="N179" s="65" t="str">
        <f ca="1">O179&amp;""&amp;" to "&amp;""&amp;P179</f>
        <v>1 to 101</v>
      </c>
      <c r="O179" s="65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10^ROW(INDIRECT("1:"&amp;LEN((LEFT(A176,SUM(LEN(A176)-LEN(SUBSTITUTE(A176,{"0","1","2"},""))))))))/10))*100+1</f>
        <v>1</v>
      </c>
      <c r="P179" s="65">
        <f ca="1">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",LEN(A176))),LEN(A176)))))))/10))*100+1</f>
        <v>101</v>
      </c>
    </row>
    <row r="180" spans="1:16" s="65" customFormat="1" ht="15.75" customHeight="1" x14ac:dyDescent="0.25">
      <c r="A180" s="183">
        <v>4</v>
      </c>
      <c r="B180" s="183"/>
      <c r="C180" s="52" t="s">
        <v>172</v>
      </c>
      <c r="D180" s="52">
        <f>(54.25+0.7*(2.75+2.75)+0.5*(3.21))*10.764</f>
        <v>642.6646199999999</v>
      </c>
      <c r="E180" s="52">
        <v>0</v>
      </c>
      <c r="F180" s="52">
        <f>D180*(($F$146)+1)+(IF(E180&lt;101,E180,IF(E180&lt;201,E180/2,IF(E180&lt;=301,E180/3,E180/4))))</f>
        <v>963.99692999999979</v>
      </c>
      <c r="G180" s="183"/>
      <c r="H180" s="183"/>
      <c r="I180" s="34"/>
      <c r="N180" s="65" t="str">
        <f ca="1">O180&amp;""&amp;" to "&amp;""&amp;P180</f>
        <v>2 to 102</v>
      </c>
      <c r="O180" s="65">
        <f t="shared" ref="O180:P180" ca="1" si="5">O179+1</f>
        <v>2</v>
      </c>
      <c r="P180" s="65">
        <f t="shared" ca="1" si="5"/>
        <v>102</v>
      </c>
    </row>
    <row r="181" spans="1:16" s="56" customFormat="1" ht="15.75" customHeight="1" x14ac:dyDescent="0.25">
      <c r="A181" s="181" t="s">
        <v>173</v>
      </c>
      <c r="B181" s="181"/>
      <c r="C181" s="181"/>
      <c r="D181" s="181"/>
      <c r="E181" s="181"/>
      <c r="F181" s="181"/>
      <c r="G181" s="181"/>
      <c r="H181" s="181"/>
      <c r="I181" s="34"/>
      <c r="N181" s="34"/>
    </row>
    <row r="182" spans="1:16" s="56" customFormat="1" ht="15.75" customHeight="1" x14ac:dyDescent="0.25">
      <c r="A182" s="183">
        <v>1</v>
      </c>
      <c r="B182" s="183"/>
      <c r="C182" s="52" t="s">
        <v>172</v>
      </c>
      <c r="D182" s="52">
        <f>(54.25+0.7*(2.75+2.75)+0.5*(3.21))*10.764</f>
        <v>642.6646199999999</v>
      </c>
      <c r="E182" s="52">
        <v>0</v>
      </c>
      <c r="F182" s="52">
        <f>D182*(($F$146)+1)+(IF(E182&lt;101,E182,IF(E182&lt;201,E182/2,IF(E182&lt;=301,E182/3,E182/4))))</f>
        <v>963.99692999999979</v>
      </c>
      <c r="G182" s="183" t="str">
        <f>A181</f>
        <v>2nd to 6th, 8th to 13th, 15th to 19th Floor</v>
      </c>
      <c r="H182" s="183"/>
      <c r="I182" s="34">
        <f>11300000/F182</f>
        <v>11722.029031772956</v>
      </c>
      <c r="N182" s="34"/>
    </row>
    <row r="183" spans="1:16" s="56" customFormat="1" ht="15.75" customHeight="1" x14ac:dyDescent="0.25">
      <c r="A183" s="183">
        <v>2</v>
      </c>
      <c r="B183" s="183"/>
      <c r="C183" s="52" t="s">
        <v>170</v>
      </c>
      <c r="D183" s="52">
        <f>(39.95+0.7*(2.75+2.75))*10.764</f>
        <v>471.46320000000003</v>
      </c>
      <c r="E183" s="52">
        <v>0</v>
      </c>
      <c r="F183" s="52">
        <f>D183*(($F$146)+1)+(IF(E183&lt;101,E183,IF(E183&lt;201,E183/2,IF(E183&lt;=301,E183/3,E183/4))))</f>
        <v>707.19479999999999</v>
      </c>
      <c r="G183" s="183"/>
      <c r="H183" s="183"/>
      <c r="I183" s="34"/>
      <c r="P183" s="35"/>
    </row>
    <row r="184" spans="1:16" s="56" customFormat="1" ht="15.75" customHeight="1" x14ac:dyDescent="0.25">
      <c r="A184" s="183">
        <v>3</v>
      </c>
      <c r="B184" s="183"/>
      <c r="C184" s="52" t="s">
        <v>170</v>
      </c>
      <c r="D184" s="52">
        <f>(39.95+0.7*(2.75+2.75))*10.764</f>
        <v>471.46320000000003</v>
      </c>
      <c r="E184" s="52">
        <v>0</v>
      </c>
      <c r="F184" s="52">
        <f>D184*(($F$146)+1)+(IF(E184&lt;101,E184,IF(E184&lt;201,E184/2,IF(E184&lt;=301,E184/3,E184/4))))</f>
        <v>707.19479999999999</v>
      </c>
      <c r="G184" s="183"/>
      <c r="H184" s="183"/>
      <c r="I184" s="34"/>
      <c r="N184" s="56" t="str">
        <f ca="1">O184&amp;""&amp;" to "&amp;""&amp;P184</f>
        <v>201 to 1901</v>
      </c>
      <c r="O184" s="56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10^ROW(INDIRECT("1:"&amp;LEN((LEFT(A181,SUM(LEN(A181)-LEN(SUBSTITUTE(A181,{"0","1","2"},""))))))))/10))*100+1</f>
        <v>201</v>
      </c>
      <c r="P184" s="56">
        <f ca="1">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",LEN(A181))),LEN(A181)))))))/10))*100+1</f>
        <v>1901</v>
      </c>
    </row>
    <row r="185" spans="1:16" s="56" customFormat="1" ht="15.75" customHeight="1" x14ac:dyDescent="0.25">
      <c r="A185" s="183">
        <v>4</v>
      </c>
      <c r="B185" s="183"/>
      <c r="C185" s="52" t="s">
        <v>172</v>
      </c>
      <c r="D185" s="52">
        <f>(54.25+0.7*(2.75+2.75)+0.5*(3.21))*10.764</f>
        <v>642.6646199999999</v>
      </c>
      <c r="E185" s="52">
        <v>0</v>
      </c>
      <c r="F185" s="52">
        <f>D185*(($F$146)+1)+(IF(E185&lt;101,E185,IF(E185&lt;201,E185/2,IF(E185&lt;=301,E185/3,E185/4))))</f>
        <v>963.99692999999979</v>
      </c>
      <c r="G185" s="183"/>
      <c r="H185" s="183"/>
      <c r="I185" s="34"/>
      <c r="N185" s="56" t="str">
        <f ca="1">O185&amp;""&amp;" to "&amp;""&amp;P185</f>
        <v>202 to 1902</v>
      </c>
      <c r="O185" s="56">
        <f t="shared" ref="O185:P185" ca="1" si="6">O184+1</f>
        <v>202</v>
      </c>
      <c r="P185" s="56">
        <f t="shared" ca="1" si="6"/>
        <v>1902</v>
      </c>
    </row>
    <row r="186" spans="1:16" s="56" customFormat="1" ht="15.75" customHeight="1" x14ac:dyDescent="0.25">
      <c r="A186" s="88" t="s">
        <v>175</v>
      </c>
      <c r="B186" s="89"/>
      <c r="C186" s="89"/>
      <c r="D186" s="89"/>
      <c r="E186" s="89"/>
      <c r="F186" s="89"/>
      <c r="G186" s="89"/>
      <c r="H186" s="90"/>
      <c r="I186" s="34"/>
      <c r="N186" s="34"/>
    </row>
    <row r="187" spans="1:16" s="56" customFormat="1" ht="15.75" customHeight="1" x14ac:dyDescent="0.25">
      <c r="A187" s="79">
        <v>1</v>
      </c>
      <c r="B187" s="80"/>
      <c r="C187" s="79" t="s">
        <v>171</v>
      </c>
      <c r="D187" s="144"/>
      <c r="E187" s="144"/>
      <c r="F187" s="80"/>
      <c r="G187" s="75" t="str">
        <f>A186</f>
        <v>7th Floor (Part Refuge Area)</v>
      </c>
      <c r="H187" s="76"/>
      <c r="I187" s="34"/>
      <c r="N187" s="34"/>
    </row>
    <row r="188" spans="1:16" s="56" customFormat="1" ht="15.75" customHeight="1" x14ac:dyDescent="0.25">
      <c r="A188" s="79">
        <v>2</v>
      </c>
      <c r="B188" s="80"/>
      <c r="C188" s="52" t="s">
        <v>170</v>
      </c>
      <c r="D188" s="52">
        <f>(39.95+0.7*(2.75+2.75))*10.764</f>
        <v>471.46320000000003</v>
      </c>
      <c r="E188" s="52">
        <v>0</v>
      </c>
      <c r="F188" s="52">
        <f>D188*(($F$146)+1)+(IF(E188&lt;101,E188,IF(E188&lt;201,E188/2,IF(E188&lt;=301,E188/3,E188/4))))</f>
        <v>707.19479999999999</v>
      </c>
      <c r="G188" s="77"/>
      <c r="H188" s="78"/>
      <c r="I188" s="34"/>
      <c r="P188" s="35"/>
    </row>
    <row r="189" spans="1:16" s="56" customFormat="1" ht="15.75" customHeight="1" x14ac:dyDescent="0.25">
      <c r="A189" s="79">
        <v>3</v>
      </c>
      <c r="B189" s="80"/>
      <c r="C189" s="52" t="s">
        <v>170</v>
      </c>
      <c r="D189" s="52">
        <f>(39.95+0.7*(2.75+2.75))*10.764</f>
        <v>471.46320000000003</v>
      </c>
      <c r="E189" s="52">
        <v>0</v>
      </c>
      <c r="F189" s="52">
        <f>D189*(($F$146)+1)+(IF(E189&lt;101,E189,IF(E189&lt;201,E189/2,IF(E189&lt;=301,E189/3,E189/4))))</f>
        <v>707.19479999999999</v>
      </c>
      <c r="G189" s="77"/>
      <c r="H189" s="78"/>
      <c r="I189" s="34"/>
      <c r="N189" s="56" t="e">
        <f ca="1">O189&amp;""&amp;" to "&amp;""&amp;P189</f>
        <v>#REF!</v>
      </c>
      <c r="O189" s="56" t="e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10^ROW(INDIRECT("1:"&amp;LEN((LEFT(A186,SUM(LEN(A186)-LEN(SUBSTITUTE(A186,{"0","1","2"},""))))))))/10))*100+1</f>
        <v>#REF!</v>
      </c>
      <c r="P189" s="56">
        <f ca="1">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",LEN(A186))),LEN(A186)))))))/10))*100+1</f>
        <v>701</v>
      </c>
    </row>
    <row r="190" spans="1:16" s="56" customFormat="1" ht="15.75" customHeight="1" x14ac:dyDescent="0.25">
      <c r="A190" s="79">
        <v>4</v>
      </c>
      <c r="B190" s="80"/>
      <c r="C190" s="52" t="s">
        <v>172</v>
      </c>
      <c r="D190" s="52">
        <f>(54.25+0.7*(2.75+2.75)+0.5*(3.21))*10.764</f>
        <v>642.6646199999999</v>
      </c>
      <c r="E190" s="52">
        <v>0</v>
      </c>
      <c r="F190" s="52">
        <f>D190*(($F$146)+1)+(IF(E190&lt;101,E190,IF(E190&lt;201,E190/2,IF(E190&lt;=301,E190/3,E190/4))))</f>
        <v>963.99692999999979</v>
      </c>
      <c r="G190" s="77"/>
      <c r="H190" s="78"/>
      <c r="I190" s="34"/>
      <c r="N190" s="56" t="e">
        <f ca="1">O190&amp;""&amp;" to "&amp;""&amp;P190</f>
        <v>#REF!</v>
      </c>
      <c r="O190" s="56" t="e">
        <f t="shared" ref="O190:P190" ca="1" si="7">O189+1</f>
        <v>#REF!</v>
      </c>
      <c r="P190" s="56">
        <f t="shared" ca="1" si="7"/>
        <v>702</v>
      </c>
    </row>
    <row r="191" spans="1:16" s="65" customFormat="1" ht="15.75" customHeight="1" x14ac:dyDescent="0.25">
      <c r="A191" s="88" t="s">
        <v>203</v>
      </c>
      <c r="B191" s="89"/>
      <c r="C191" s="89"/>
      <c r="D191" s="89"/>
      <c r="E191" s="89"/>
      <c r="F191" s="89"/>
      <c r="G191" s="89"/>
      <c r="H191" s="90"/>
      <c r="I191" s="34"/>
      <c r="N191" s="34"/>
    </row>
    <row r="192" spans="1:16" s="65" customFormat="1" ht="15.75" customHeight="1" x14ac:dyDescent="0.25">
      <c r="A192" s="79">
        <v>1</v>
      </c>
      <c r="B192" s="80"/>
      <c r="C192" s="79" t="s">
        <v>171</v>
      </c>
      <c r="D192" s="144"/>
      <c r="E192" s="144"/>
      <c r="F192" s="80"/>
      <c r="G192" s="75" t="str">
        <f>A191</f>
        <v xml:space="preserve"> 14th Floor (Part Refuge Area)</v>
      </c>
      <c r="H192" s="76"/>
      <c r="I192" s="34"/>
      <c r="N192" s="34"/>
    </row>
    <row r="193" spans="1:16" s="65" customFormat="1" ht="15.75" customHeight="1" x14ac:dyDescent="0.25">
      <c r="A193" s="79">
        <v>2</v>
      </c>
      <c r="B193" s="80"/>
      <c r="C193" s="52" t="s">
        <v>172</v>
      </c>
      <c r="D193" s="52">
        <f>(59.57+0.7*(2.75+2.75+2.75))*10.764</f>
        <v>703.37357999999995</v>
      </c>
      <c r="E193" s="52">
        <v>0</v>
      </c>
      <c r="F193" s="52">
        <f>D193*(($F$146)+1)+(IF(E193&lt;101,E193,IF(E193&lt;201,E193/2,IF(E193&lt;=301,E193/3,E193/4))))</f>
        <v>1055.0603699999999</v>
      </c>
      <c r="G193" s="77"/>
      <c r="H193" s="78"/>
      <c r="I193" s="34">
        <f>(5.2*2.75+2.3*1.2+2.15*3.05+3.65*2.75+3.65*2.75+1.25*2.3+1.25*2.3+1*1.93+1*1.13)</f>
        <v>52.502500000000005</v>
      </c>
      <c r="J193" s="34"/>
      <c r="P193" s="35"/>
    </row>
    <row r="194" spans="1:16" s="65" customFormat="1" ht="15.75" customHeight="1" x14ac:dyDescent="0.25">
      <c r="A194" s="79">
        <v>3</v>
      </c>
      <c r="B194" s="80"/>
      <c r="C194" s="52" t="s">
        <v>170</v>
      </c>
      <c r="D194" s="52">
        <f>(39.95+0.7*(2.75+2.75))*10.764</f>
        <v>471.46320000000003</v>
      </c>
      <c r="E194" s="52">
        <v>0</v>
      </c>
      <c r="F194" s="52">
        <f>D194*(($F$146)+1)+(IF(E194&lt;101,E194,IF(E194&lt;201,E194/2,IF(E194&lt;=301,E194/3,E194/4))))</f>
        <v>707.19479999999999</v>
      </c>
      <c r="G194" s="77"/>
      <c r="H194" s="78"/>
      <c r="I194" s="34"/>
      <c r="J194" s="34"/>
      <c r="N194" s="65" t="str">
        <f ca="1">O194&amp;""&amp;" to "&amp;""&amp;P194</f>
        <v>1 to 1401</v>
      </c>
      <c r="O194" s="65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10^ROW(INDIRECT("1:"&amp;LEN((LEFT(A191,SUM(LEN(A191)-LEN(SUBSTITUTE(A191,{"0","1","2"},""))))))))/10))*100+1</f>
        <v>1</v>
      </c>
      <c r="P194" s="65">
        <f ca="1">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",LEN(A191))),LEN(A191)))))))/10))*100+1</f>
        <v>1401</v>
      </c>
    </row>
    <row r="195" spans="1:16" s="65" customFormat="1" ht="15.75" customHeight="1" x14ac:dyDescent="0.25">
      <c r="A195" s="79">
        <v>4</v>
      </c>
      <c r="B195" s="80"/>
      <c r="C195" s="52" t="s">
        <v>172</v>
      </c>
      <c r="D195" s="52">
        <f>(54.25+0.7*(2.75+2.75)+0.5*(3.21))*10.764</f>
        <v>642.6646199999999</v>
      </c>
      <c r="E195" s="52">
        <v>0</v>
      </c>
      <c r="F195" s="52">
        <f>D195*(($F$146)+1)+(IF(E195&lt;101,E195,IF(E195&lt;201,E195/2,IF(E195&lt;=301,E195/3,E195/4))))</f>
        <v>963.99692999999979</v>
      </c>
      <c r="G195" s="77"/>
      <c r="H195" s="78"/>
      <c r="I195" s="34"/>
      <c r="N195" s="65" t="str">
        <f ca="1">O195&amp;""&amp;" to "&amp;""&amp;P195</f>
        <v>2 to 1402</v>
      </c>
      <c r="O195" s="65">
        <f t="shared" ref="O195:P195" ca="1" si="8">O194+1</f>
        <v>2</v>
      </c>
      <c r="P195" s="65">
        <f t="shared" ca="1" si="8"/>
        <v>1402</v>
      </c>
    </row>
    <row r="196" spans="1:16" s="57" customFormat="1" x14ac:dyDescent="0.25">
      <c r="A196" s="184" t="s">
        <v>179</v>
      </c>
      <c r="B196" s="184"/>
      <c r="C196" s="184"/>
      <c r="D196" s="184"/>
      <c r="E196" s="184"/>
      <c r="F196" s="184"/>
      <c r="G196" s="184"/>
      <c r="H196" s="184"/>
    </row>
    <row r="197" spans="1:16" s="57" customFormat="1" x14ac:dyDescent="0.25">
      <c r="A197" s="182" t="s">
        <v>195</v>
      </c>
      <c r="B197" s="182"/>
      <c r="C197" s="182"/>
      <c r="D197" s="182"/>
      <c r="E197" s="182"/>
      <c r="F197" s="182"/>
      <c r="G197" s="182"/>
      <c r="H197" s="182"/>
    </row>
    <row r="198" spans="1:16" s="65" customFormat="1" ht="15.75" customHeight="1" x14ac:dyDescent="0.25">
      <c r="A198" s="88" t="s">
        <v>198</v>
      </c>
      <c r="B198" s="89"/>
      <c r="C198" s="89"/>
      <c r="D198" s="89"/>
      <c r="E198" s="89"/>
      <c r="F198" s="89"/>
      <c r="G198" s="89"/>
      <c r="H198" s="90"/>
      <c r="I198" s="34"/>
      <c r="N198" s="34"/>
    </row>
    <row r="199" spans="1:16" s="65" customFormat="1" ht="15.75" customHeight="1" x14ac:dyDescent="0.25">
      <c r="A199" s="79">
        <v>1</v>
      </c>
      <c r="B199" s="80"/>
      <c r="C199" s="52" t="s">
        <v>170</v>
      </c>
      <c r="D199" s="52">
        <f>(39.95+0.7*(2.75+2.75))*10.764</f>
        <v>471.46320000000003</v>
      </c>
      <c r="E199" s="52">
        <v>0</v>
      </c>
      <c r="F199" s="52">
        <f>D199*(($F$146)+1)+(IF(E199&lt;101,E199,IF(E199&lt;201,E199/2,IF(E199&lt;=301,E199/3,E199/4))))</f>
        <v>707.19479999999999</v>
      </c>
      <c r="G199" s="75" t="str">
        <f>A198</f>
        <v>Upper Ground Floor for Residential</v>
      </c>
      <c r="H199" s="76"/>
      <c r="I199" s="34"/>
      <c r="N199" s="34"/>
    </row>
    <row r="200" spans="1:16" s="65" customFormat="1" ht="15.75" customHeight="1" x14ac:dyDescent="0.25">
      <c r="A200" s="79">
        <v>2</v>
      </c>
      <c r="B200" s="80"/>
      <c r="C200" s="52" t="s">
        <v>172</v>
      </c>
      <c r="D200" s="52">
        <f>(54.25+0.7*(2.75+2.75)+0.5*3.21)*10.764</f>
        <v>642.6646199999999</v>
      </c>
      <c r="E200" s="52">
        <v>0</v>
      </c>
      <c r="F200" s="52">
        <f>D200*(($F$146)+1)+(IF(E200&lt;101,E200,IF(E200&lt;201,E200/2,IF(E200&lt;=301,E200/3,E200/4))))</f>
        <v>963.99692999999979</v>
      </c>
      <c r="G200" s="77"/>
      <c r="H200" s="78"/>
      <c r="I200" s="34">
        <f>(5.2*2.75+2.3*1.2+2.15*3.05+3.65*2.75+3.65*2.75+1.25*2.3+1.25*2.3+1*1.93+1*1.13)</f>
        <v>52.502500000000005</v>
      </c>
      <c r="J200" s="34"/>
      <c r="P200" s="35"/>
    </row>
    <row r="201" spans="1:16" s="65" customFormat="1" ht="15.75" customHeight="1" x14ac:dyDescent="0.25">
      <c r="A201" s="79">
        <v>3</v>
      </c>
      <c r="B201" s="80"/>
      <c r="C201" s="52" t="s">
        <v>172</v>
      </c>
      <c r="D201" s="52">
        <f>(54.25+0.7*(2.75+2.75)+0.5*3.21)*10.764</f>
        <v>642.6646199999999</v>
      </c>
      <c r="E201" s="52">
        <v>0</v>
      </c>
      <c r="F201" s="52">
        <f>D201*(($F$146)+1)+(IF(E201&lt;101,E201,IF(E201&lt;201,E201/2,IF(E201&lt;=301,E201/3,E201/4))))</f>
        <v>963.99692999999979</v>
      </c>
      <c r="G201" s="77"/>
      <c r="H201" s="78"/>
      <c r="I201" s="34"/>
      <c r="J201" s="34"/>
      <c r="N201" s="65" t="e">
        <f ca="1">O201&amp;""&amp;" to "&amp;""&amp;P201</f>
        <v>#REF!</v>
      </c>
      <c r="O201" s="65" t="e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10^ROW(INDIRECT("1:"&amp;LEN((LEFT(A198,SUM(LEN(A198)-LEN(SUBSTITUTE(A198,{"0","1","2"},""))))))))/10))*100+1</f>
        <v>#REF!</v>
      </c>
      <c r="P201" s="65" t="e">
        <f ca="1">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",LEN(A198))),LEN(A198)))))))/10))*100+1</f>
        <v>#NUM!</v>
      </c>
    </row>
    <row r="202" spans="1:16" s="65" customFormat="1" ht="15.75" customHeight="1" x14ac:dyDescent="0.25">
      <c r="A202" s="79">
        <v>4</v>
      </c>
      <c r="B202" s="80"/>
      <c r="C202" s="52" t="s">
        <v>170</v>
      </c>
      <c r="D202" s="52">
        <f>(39.95+0.7*(2.75+2.75))*10.764</f>
        <v>471.46320000000003</v>
      </c>
      <c r="E202" s="52">
        <v>0</v>
      </c>
      <c r="F202" s="52">
        <f>D202*(($F$146)+1)+(IF(E202&lt;101,E202,IF(E202&lt;201,E202/2,IF(E202&lt;=301,E202/3,E202/4))))</f>
        <v>707.19479999999999</v>
      </c>
      <c r="G202" s="77"/>
      <c r="H202" s="78"/>
      <c r="I202" s="34"/>
      <c r="N202" s="65" t="e">
        <f ca="1">O202&amp;""&amp;" to "&amp;""&amp;P202</f>
        <v>#REF!</v>
      </c>
      <c r="O202" s="65" t="e">
        <f t="shared" ref="O202:P202" ca="1" si="9">O201+1</f>
        <v>#REF!</v>
      </c>
      <c r="P202" s="65" t="e">
        <f t="shared" ca="1" si="9"/>
        <v>#NUM!</v>
      </c>
    </row>
    <row r="203" spans="1:16" s="65" customFormat="1" ht="15.75" customHeight="1" x14ac:dyDescent="0.25">
      <c r="A203" s="88" t="s">
        <v>199</v>
      </c>
      <c r="B203" s="89"/>
      <c r="C203" s="89"/>
      <c r="D203" s="89"/>
      <c r="E203" s="89"/>
      <c r="F203" s="89"/>
      <c r="G203" s="89"/>
      <c r="H203" s="90"/>
      <c r="I203" s="34"/>
      <c r="N203" s="34"/>
    </row>
    <row r="204" spans="1:16" s="65" customFormat="1" ht="15.75" customHeight="1" x14ac:dyDescent="0.25">
      <c r="A204" s="79">
        <v>1</v>
      </c>
      <c r="B204" s="80"/>
      <c r="C204" s="79" t="s">
        <v>201</v>
      </c>
      <c r="D204" s="144"/>
      <c r="E204" s="144"/>
      <c r="F204" s="80"/>
      <c r="G204" s="75" t="str">
        <f>A203</f>
        <v xml:space="preserve"> 1st Floor</v>
      </c>
      <c r="H204" s="76"/>
      <c r="I204" s="34"/>
      <c r="N204" s="34"/>
    </row>
    <row r="205" spans="1:16" s="65" customFormat="1" ht="15.75" customHeight="1" x14ac:dyDescent="0.25">
      <c r="A205" s="79">
        <v>2</v>
      </c>
      <c r="B205" s="80"/>
      <c r="C205" s="52" t="s">
        <v>172</v>
      </c>
      <c r="D205" s="52">
        <f>(54.25+0.7*(2.75+2.75)+0.5*(3.21))*10.764</f>
        <v>642.6646199999999</v>
      </c>
      <c r="E205" s="52">
        <v>0</v>
      </c>
      <c r="F205" s="52">
        <f>D205*(($F$146)+1)+(IF(E205&lt;101,E205,IF(E205&lt;201,E205/2,IF(E205&lt;=301,E205/3,E205/4))))</f>
        <v>963.99692999999979</v>
      </c>
      <c r="G205" s="77"/>
      <c r="H205" s="78"/>
      <c r="I205" s="34">
        <f>(5.2*2.75+2.3*1.2+2.15*3.05+3.65*2.75+3.65*2.75+1.25*2.3+1.25*2.3+1*1.93+1*1.13)</f>
        <v>52.502500000000005</v>
      </c>
      <c r="J205" s="34"/>
      <c r="P205" s="35"/>
    </row>
    <row r="206" spans="1:16" s="65" customFormat="1" ht="15.75" customHeight="1" x14ac:dyDescent="0.25">
      <c r="A206" s="79">
        <v>3</v>
      </c>
      <c r="B206" s="80"/>
      <c r="C206" s="52" t="s">
        <v>172</v>
      </c>
      <c r="D206" s="52">
        <f>(56.46+0.7*(2.75+2.75)+0.5*(3.21))*10.764</f>
        <v>666.45305999999994</v>
      </c>
      <c r="E206" s="52">
        <v>0</v>
      </c>
      <c r="F206" s="52">
        <f>D206*(($F$146)+1)+(IF(E206&lt;101,E206,IF(E206&lt;201,E206/2,IF(E206&lt;=301,E206/3,E206/4))))</f>
        <v>999.67958999999996</v>
      </c>
      <c r="G206" s="77"/>
      <c r="H206" s="78"/>
      <c r="I206" s="34"/>
      <c r="J206" s="34"/>
      <c r="N206" s="65" t="str">
        <f ca="1">O206&amp;""&amp;" to "&amp;""&amp;P206</f>
        <v>1 to 101</v>
      </c>
      <c r="O206" s="65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10^ROW(INDIRECT("1:"&amp;LEN((LEFT(A203,SUM(LEN(A203)-LEN(SUBSTITUTE(A203,{"0","1","2"},""))))))))/10))*100+1</f>
        <v>1</v>
      </c>
      <c r="P206" s="65">
        <f ca="1">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",LEN(A203))),LEN(A203)))))))/10))*100+1</f>
        <v>101</v>
      </c>
    </row>
    <row r="207" spans="1:16" s="65" customFormat="1" ht="15.75" customHeight="1" x14ac:dyDescent="0.25">
      <c r="A207" s="79">
        <v>4</v>
      </c>
      <c r="B207" s="80"/>
      <c r="C207" s="52" t="s">
        <v>170</v>
      </c>
      <c r="D207" s="52">
        <f>(39.95+0.7*(2.7+2.7))*10.764</f>
        <v>470.70972</v>
      </c>
      <c r="E207" s="52">
        <v>0</v>
      </c>
      <c r="F207" s="52">
        <f>D207*(($F$146)+1)+(IF(E207&lt;101,E207,IF(E207&lt;201,E207/2,IF(E207&lt;=301,E207/3,E207/4))))</f>
        <v>706.06457999999998</v>
      </c>
      <c r="G207" s="77"/>
      <c r="H207" s="78"/>
      <c r="I207" s="34"/>
      <c r="N207" s="65" t="str">
        <f ca="1">O207&amp;""&amp;" to "&amp;""&amp;P207</f>
        <v>2 to 102</v>
      </c>
      <c r="O207" s="65">
        <f t="shared" ref="O207:P207" ca="1" si="10">O206+1</f>
        <v>2</v>
      </c>
      <c r="P207" s="65">
        <f t="shared" ca="1" si="10"/>
        <v>102</v>
      </c>
    </row>
    <row r="208" spans="1:16" s="56" customFormat="1" ht="15.75" customHeight="1" x14ac:dyDescent="0.25">
      <c r="A208" s="88" t="s">
        <v>173</v>
      </c>
      <c r="B208" s="89"/>
      <c r="C208" s="89"/>
      <c r="D208" s="89"/>
      <c r="E208" s="89"/>
      <c r="F208" s="89"/>
      <c r="G208" s="89"/>
      <c r="H208" s="90"/>
      <c r="I208" s="34"/>
      <c r="N208" s="34"/>
    </row>
    <row r="209" spans="1:16" s="56" customFormat="1" ht="15.75" customHeight="1" x14ac:dyDescent="0.25">
      <c r="A209" s="79">
        <v>1</v>
      </c>
      <c r="B209" s="80"/>
      <c r="C209" s="52" t="s">
        <v>170</v>
      </c>
      <c r="D209" s="52">
        <f>(39.95+0.7*(2.75+2.75))*10.764</f>
        <v>471.46320000000003</v>
      </c>
      <c r="E209" s="52">
        <v>0</v>
      </c>
      <c r="F209" s="52">
        <f>D209*(($F$146)+1)+(IF(E209&lt;101,E209,IF(E209&lt;201,E209/2,IF(E209&lt;=301,E209/3,E209/4))))</f>
        <v>707.19479999999999</v>
      </c>
      <c r="G209" s="75" t="str">
        <f>A208</f>
        <v>2nd to 6th, 8th to 13th, 15th to 19th Floor</v>
      </c>
      <c r="H209" s="76"/>
      <c r="I209" s="34">
        <f>8200000/F209</f>
        <v>11595.107882580585</v>
      </c>
      <c r="N209" s="34"/>
    </row>
    <row r="210" spans="1:16" s="56" customFormat="1" ht="15.75" customHeight="1" x14ac:dyDescent="0.25">
      <c r="A210" s="79">
        <v>2</v>
      </c>
      <c r="B210" s="80"/>
      <c r="C210" s="52" t="s">
        <v>172</v>
      </c>
      <c r="D210" s="52">
        <f>(54.25+0.7*(2.75+2.75)+0.5*(3.21))*10.764</f>
        <v>642.6646199999999</v>
      </c>
      <c r="E210" s="52">
        <v>0</v>
      </c>
      <c r="F210" s="52">
        <f>D210*(($F$146)+1)+(IF(E210&lt;101,E210,IF(E210&lt;201,E210/2,IF(E210&lt;=301,E210/3,E210/4))))</f>
        <v>963.99692999999979</v>
      </c>
      <c r="G210" s="77"/>
      <c r="H210" s="78"/>
      <c r="I210" s="34"/>
      <c r="P210" s="35"/>
    </row>
    <row r="211" spans="1:16" s="56" customFormat="1" ht="15.75" customHeight="1" x14ac:dyDescent="0.25">
      <c r="A211" s="79">
        <v>3</v>
      </c>
      <c r="B211" s="80"/>
      <c r="C211" s="52" t="s">
        <v>172</v>
      </c>
      <c r="D211" s="52">
        <f>(54.25+0.7*(2.75+2.75)+0.5*(3.21))*10.764</f>
        <v>642.6646199999999</v>
      </c>
      <c r="E211" s="52">
        <v>0</v>
      </c>
      <c r="F211" s="52">
        <f>D211*(($F$146)+1)+(IF(E211&lt;101,E211,IF(E211&lt;201,E211/2,IF(E211&lt;=301,E211/3,E211/4))))</f>
        <v>963.99692999999979</v>
      </c>
      <c r="G211" s="77"/>
      <c r="H211" s="78"/>
      <c r="I211" s="34"/>
      <c r="N211" s="56" t="str">
        <f ca="1">O211&amp;""&amp;" to "&amp;""&amp;P211</f>
        <v>201 to 1901</v>
      </c>
      <c r="O211" s="56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10^ROW(INDIRECT("1:"&amp;LEN((LEFT(A208,SUM(LEN(A208)-LEN(SUBSTITUTE(A208,{"0","1","2"},""))))))))/10))*100+1</f>
        <v>201</v>
      </c>
      <c r="P211" s="56">
        <f ca="1">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1901</v>
      </c>
    </row>
    <row r="212" spans="1:16" s="56" customFormat="1" ht="15.75" customHeight="1" x14ac:dyDescent="0.25">
      <c r="A212" s="79">
        <v>4</v>
      </c>
      <c r="B212" s="80"/>
      <c r="C212" s="52" t="s">
        <v>170</v>
      </c>
      <c r="D212" s="52">
        <f>(39.95+0.7*(2.75+2.75))*10.764</f>
        <v>471.46320000000003</v>
      </c>
      <c r="E212" s="52">
        <v>0</v>
      </c>
      <c r="F212" s="52">
        <f>D212*(($F$146)+1)+(IF(E212&lt;101,E212,IF(E212&lt;201,E212/2,IF(E212&lt;=301,E212/3,E212/4))))</f>
        <v>707.19479999999999</v>
      </c>
      <c r="G212" s="77"/>
      <c r="H212" s="78"/>
      <c r="I212" s="34"/>
      <c r="N212" s="56" t="str">
        <f ca="1">O212&amp;""&amp;" to "&amp;""&amp;P212</f>
        <v>202 to 1902</v>
      </c>
      <c r="O212" s="56">
        <f t="shared" ref="O212:P212" ca="1" si="11">O211+1</f>
        <v>202</v>
      </c>
      <c r="P212" s="56">
        <f t="shared" ca="1" si="11"/>
        <v>1902</v>
      </c>
    </row>
    <row r="213" spans="1:16" s="56" customFormat="1" ht="15.75" customHeight="1" x14ac:dyDescent="0.25">
      <c r="A213" s="88" t="s">
        <v>175</v>
      </c>
      <c r="B213" s="89"/>
      <c r="C213" s="89"/>
      <c r="D213" s="89"/>
      <c r="E213" s="89"/>
      <c r="F213" s="89"/>
      <c r="G213" s="89"/>
      <c r="H213" s="90"/>
      <c r="I213" s="34"/>
      <c r="N213" s="34"/>
    </row>
    <row r="214" spans="1:16" s="56" customFormat="1" ht="15.75" customHeight="1" x14ac:dyDescent="0.25">
      <c r="A214" s="79">
        <v>1</v>
      </c>
      <c r="B214" s="80"/>
      <c r="C214" s="52" t="s">
        <v>170</v>
      </c>
      <c r="D214" s="52">
        <f>(39.95+0.7*(2.75+2.75))*10.764</f>
        <v>471.46320000000003</v>
      </c>
      <c r="E214" s="52">
        <v>0</v>
      </c>
      <c r="F214" s="52">
        <f>D214*(($F$146)+1)+(IF(E214&lt;101,E214,IF(E214&lt;201,E214/2,IF(E214&lt;=301,E214/3,E214/4))))</f>
        <v>707.19479999999999</v>
      </c>
      <c r="G214" s="75" t="str">
        <f>A213</f>
        <v>7th Floor (Part Refuge Area)</v>
      </c>
      <c r="H214" s="76"/>
      <c r="I214" s="34"/>
      <c r="N214" s="34"/>
    </row>
    <row r="215" spans="1:16" s="56" customFormat="1" ht="15.75" customHeight="1" x14ac:dyDescent="0.25">
      <c r="A215" s="79">
        <v>2</v>
      </c>
      <c r="B215" s="80"/>
      <c r="C215" s="79" t="s">
        <v>171</v>
      </c>
      <c r="D215" s="144"/>
      <c r="E215" s="144"/>
      <c r="F215" s="80"/>
      <c r="G215" s="77"/>
      <c r="H215" s="78"/>
      <c r="I215" s="34"/>
      <c r="P215" s="35"/>
    </row>
    <row r="216" spans="1:16" s="56" customFormat="1" ht="15.75" customHeight="1" x14ac:dyDescent="0.25">
      <c r="A216" s="79">
        <v>3</v>
      </c>
      <c r="B216" s="80"/>
      <c r="C216" s="52" t="s">
        <v>172</v>
      </c>
      <c r="D216" s="52">
        <f>(54.25+0.7*(2.75+2.75)+0.5*(3.21))*10.764</f>
        <v>642.6646199999999</v>
      </c>
      <c r="E216" s="52">
        <v>0</v>
      </c>
      <c r="F216" s="52">
        <f>D216*(($F$146)+1)+(IF(E216&lt;101,E216,IF(E216&lt;201,E216/2,IF(E216&lt;=301,E216/3,E216/4))))</f>
        <v>963.99692999999979</v>
      </c>
      <c r="G216" s="77"/>
      <c r="H216" s="78"/>
      <c r="I216" s="34"/>
      <c r="N216" s="56" t="e">
        <f ca="1">O216&amp;""&amp;" to "&amp;""&amp;P216</f>
        <v>#REF!</v>
      </c>
      <c r="O216" s="56" t="e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10^ROW(INDIRECT("1:"&amp;LEN((LEFT(A213,SUM(LEN(A213)-LEN(SUBSTITUTE(A213,{"0","1","2"},""))))))))/10))*100+1</f>
        <v>#REF!</v>
      </c>
      <c r="P216" s="56">
        <f ca="1">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",LEN(A213))),LEN(A213)))))))/10))*100+1</f>
        <v>701</v>
      </c>
    </row>
    <row r="217" spans="1:16" s="56" customFormat="1" ht="15.75" customHeight="1" x14ac:dyDescent="0.25">
      <c r="A217" s="79">
        <v>4</v>
      </c>
      <c r="B217" s="80"/>
      <c r="C217" s="52" t="s">
        <v>170</v>
      </c>
      <c r="D217" s="52">
        <f>(39.95+0.7*(2.75+2.75))*10.764</f>
        <v>471.46320000000003</v>
      </c>
      <c r="E217" s="52">
        <v>0</v>
      </c>
      <c r="F217" s="52">
        <f>D217*(($F$146)+1)+(IF(E217&lt;101,E217,IF(E217&lt;201,E217/2,IF(E217&lt;=301,E217/3,E217/4))))</f>
        <v>707.19479999999999</v>
      </c>
      <c r="G217" s="77"/>
      <c r="H217" s="78"/>
      <c r="I217" s="34"/>
      <c r="N217" s="56" t="e">
        <f ca="1">O217&amp;""&amp;" to "&amp;""&amp;P217</f>
        <v>#REF!</v>
      </c>
      <c r="O217" s="56" t="e">
        <f t="shared" ref="O217:P217" ca="1" si="12">O216+1</f>
        <v>#REF!</v>
      </c>
      <c r="P217" s="56">
        <f t="shared" ca="1" si="12"/>
        <v>702</v>
      </c>
    </row>
    <row r="218" spans="1:16" s="65" customFormat="1" ht="15.75" customHeight="1" x14ac:dyDescent="0.25">
      <c r="A218" s="88" t="s">
        <v>203</v>
      </c>
      <c r="B218" s="89"/>
      <c r="C218" s="89"/>
      <c r="D218" s="89"/>
      <c r="E218" s="89"/>
      <c r="F218" s="89"/>
      <c r="G218" s="89"/>
      <c r="H218" s="90"/>
      <c r="I218" s="34"/>
      <c r="N218" s="34"/>
    </row>
    <row r="219" spans="1:16" s="65" customFormat="1" ht="15.75" customHeight="1" x14ac:dyDescent="0.25">
      <c r="A219" s="79">
        <v>1</v>
      </c>
      <c r="B219" s="80"/>
      <c r="C219" s="52" t="s">
        <v>170</v>
      </c>
      <c r="D219" s="52">
        <f>(39.95+0.7*(2.75+2.75))*10.764</f>
        <v>471.46320000000003</v>
      </c>
      <c r="E219" s="52">
        <v>0</v>
      </c>
      <c r="F219" s="52">
        <f>D219*(($F$146)+1)+(IF(E219&lt;101,E219,IF(E219&lt;201,E219/2,IF(E219&lt;=301,E219/3,E219/4))))</f>
        <v>707.19479999999999</v>
      </c>
      <c r="G219" s="75" t="str">
        <f>A218</f>
        <v xml:space="preserve"> 14th Floor (Part Refuge Area)</v>
      </c>
      <c r="H219" s="76"/>
      <c r="I219" s="34"/>
      <c r="N219" s="34"/>
    </row>
    <row r="220" spans="1:16" s="65" customFormat="1" ht="15.75" customHeight="1" x14ac:dyDescent="0.25">
      <c r="A220" s="79">
        <v>2</v>
      </c>
      <c r="B220" s="80"/>
      <c r="C220" s="79" t="s">
        <v>171</v>
      </c>
      <c r="D220" s="144"/>
      <c r="E220" s="144"/>
      <c r="F220" s="80"/>
      <c r="G220" s="77"/>
      <c r="H220" s="78"/>
      <c r="I220" s="34">
        <f>(5.2*2.75+2.3*1.2+2.15*3.05+3.65*2.75+3.65*2.75+1.25*2.3+1.25*2.3+1*1.93+1*1.13)</f>
        <v>52.502500000000005</v>
      </c>
      <c r="J220" s="34"/>
      <c r="P220" s="35"/>
    </row>
    <row r="221" spans="1:16" s="65" customFormat="1" ht="15.75" customHeight="1" x14ac:dyDescent="0.25">
      <c r="A221" s="79">
        <v>3</v>
      </c>
      <c r="B221" s="80"/>
      <c r="C221" s="52" t="s">
        <v>172</v>
      </c>
      <c r="D221" s="52">
        <f>(54.25+0.7*(2.75+2.75)+0.5*(3.21))*10.764</f>
        <v>642.6646199999999</v>
      </c>
      <c r="E221" s="52">
        <v>0</v>
      </c>
      <c r="F221" s="52">
        <f>D221*(($F$146)+1)+(IF(E221&lt;101,E221,IF(E221&lt;201,E221/2,IF(E221&lt;=301,E221/3,E221/4))))</f>
        <v>963.99692999999979</v>
      </c>
      <c r="G221" s="77"/>
      <c r="H221" s="78"/>
      <c r="I221" s="34"/>
      <c r="J221" s="34"/>
      <c r="N221" s="65" t="str">
        <f ca="1">O221&amp;""&amp;" to "&amp;""&amp;P221</f>
        <v>1 to 1401</v>
      </c>
      <c r="O221" s="65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10^ROW(INDIRECT("1:"&amp;LEN((LEFT(A218,SUM(LEN(A218)-LEN(SUBSTITUTE(A218,{"0","1","2"},""))))))))/10))*100+1</f>
        <v>1</v>
      </c>
      <c r="P221" s="65">
        <f ca="1">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",LEN(A218))),LEN(A218)))))))/10))*100+1</f>
        <v>1401</v>
      </c>
    </row>
    <row r="222" spans="1:16" s="65" customFormat="1" ht="15.75" customHeight="1" x14ac:dyDescent="0.25">
      <c r="A222" s="79">
        <v>4</v>
      </c>
      <c r="B222" s="80"/>
      <c r="C222" s="52" t="s">
        <v>170</v>
      </c>
      <c r="D222" s="52">
        <f>(39.95+0.7*(2.75+2.75))*10.764</f>
        <v>471.46320000000003</v>
      </c>
      <c r="E222" s="52">
        <v>0</v>
      </c>
      <c r="F222" s="52">
        <f>D222*(($F$146)+1)+(IF(E222&lt;101,E222,IF(E222&lt;201,E222/2,IF(E222&lt;=301,E222/3,E222/4))))</f>
        <v>707.19479999999999</v>
      </c>
      <c r="G222" s="77"/>
      <c r="H222" s="78"/>
      <c r="I222" s="34"/>
      <c r="N222" s="65" t="str">
        <f ca="1">O222&amp;""&amp;" to "&amp;""&amp;P222</f>
        <v>2 to 1402</v>
      </c>
      <c r="O222" s="65">
        <f t="shared" ref="O222:P222" ca="1" si="13">O221+1</f>
        <v>2</v>
      </c>
      <c r="P222" s="65">
        <f t="shared" ca="1" si="13"/>
        <v>1402</v>
      </c>
    </row>
    <row r="223" spans="1:16" s="54" customFormat="1" ht="15.75" customHeight="1" x14ac:dyDescent="0.25">
      <c r="A223" s="195" t="s">
        <v>73</v>
      </c>
      <c r="B223" s="195"/>
      <c r="C223" s="195"/>
      <c r="D223" s="195"/>
      <c r="E223" s="195"/>
      <c r="F223" s="195"/>
      <c r="G223" s="195"/>
      <c r="H223" s="195"/>
      <c r="I223" s="34"/>
      <c r="N223" s="34"/>
    </row>
    <row r="224" spans="1:16" s="54" customFormat="1" ht="15.75" customHeight="1" x14ac:dyDescent="0.25">
      <c r="A224" s="71">
        <v>1</v>
      </c>
      <c r="B224" s="196" t="s">
        <v>231</v>
      </c>
      <c r="C224" s="196"/>
      <c r="D224" s="196"/>
      <c r="E224" s="196"/>
      <c r="F224" s="196"/>
      <c r="G224" s="196"/>
      <c r="H224" s="196"/>
      <c r="I224" s="34"/>
      <c r="N224" s="34"/>
    </row>
    <row r="225" spans="1:8" s="1" customFormat="1" x14ac:dyDescent="0.25">
      <c r="A225" s="71">
        <f t="shared" ref="A225:A237" si="14">A224+1</f>
        <v>2</v>
      </c>
      <c r="B225" s="196" t="str">
        <f>(IF(F145="Saleable area Loading :","We have considered Saleable area of Flats as per our Calculation.","We considered Saleable area of Flat as per Builder area Sheet."))</f>
        <v>We have considered Saleable area of Flats as per our Calculation.</v>
      </c>
      <c r="C225" s="196"/>
      <c r="D225" s="196"/>
      <c r="E225" s="196"/>
      <c r="F225" s="196"/>
      <c r="G225" s="196"/>
      <c r="H225" s="196"/>
    </row>
    <row r="226" spans="1:8" s="1" customFormat="1" x14ac:dyDescent="0.25">
      <c r="A226" s="71">
        <f t="shared" si="14"/>
        <v>3</v>
      </c>
      <c r="B226" s="196" t="str">
        <f>(IF(F134="Saleable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6" s="196"/>
      <c r="D226" s="196"/>
      <c r="E226" s="196"/>
      <c r="F226" s="196"/>
      <c r="G226" s="196"/>
      <c r="H226" s="196"/>
    </row>
    <row r="227" spans="1:8" s="1" customFormat="1" ht="15.75" customHeight="1" x14ac:dyDescent="0.25">
      <c r="A227" s="71">
        <f>A226+1</f>
        <v>4</v>
      </c>
      <c r="B227" s="191" t="s">
        <v>134</v>
      </c>
      <c r="C227" s="191"/>
      <c r="D227" s="191"/>
      <c r="E227" s="191"/>
      <c r="F227" s="191"/>
      <c r="G227" s="191"/>
      <c r="H227" s="191"/>
    </row>
    <row r="228" spans="1:8" s="1" customFormat="1" ht="15.75" customHeight="1" x14ac:dyDescent="0.25">
      <c r="A228" s="71">
        <f t="shared" si="14"/>
        <v>5</v>
      </c>
      <c r="B228" s="191" t="s">
        <v>202</v>
      </c>
      <c r="C228" s="191"/>
      <c r="D228" s="191"/>
      <c r="E228" s="191"/>
      <c r="F228" s="191"/>
      <c r="G228" s="191"/>
      <c r="H228" s="191"/>
    </row>
    <row r="229" spans="1:8" s="1" customFormat="1" ht="15.75" customHeight="1" x14ac:dyDescent="0.25">
      <c r="A229" s="71">
        <f t="shared" si="14"/>
        <v>6</v>
      </c>
      <c r="B229" s="191" t="s">
        <v>135</v>
      </c>
      <c r="C229" s="191"/>
      <c r="D229" s="191"/>
      <c r="E229" s="191"/>
      <c r="F229" s="191"/>
      <c r="G229" s="191"/>
      <c r="H229" s="191"/>
    </row>
    <row r="230" spans="1:8" s="1" customFormat="1" ht="15.75" customHeight="1" x14ac:dyDescent="0.25">
      <c r="A230" s="71">
        <f t="shared" si="14"/>
        <v>7</v>
      </c>
      <c r="B230" s="191" t="s">
        <v>136</v>
      </c>
      <c r="C230" s="191"/>
      <c r="D230" s="191"/>
      <c r="E230" s="191"/>
      <c r="F230" s="191"/>
      <c r="G230" s="191"/>
      <c r="H230" s="191"/>
    </row>
    <row r="231" spans="1:8" s="1" customFormat="1" ht="15.75" hidden="1" customHeight="1" x14ac:dyDescent="0.25">
      <c r="A231" s="71">
        <f t="shared" si="14"/>
        <v>8</v>
      </c>
      <c r="B231" s="196" t="s">
        <v>214</v>
      </c>
      <c r="C231" s="196"/>
      <c r="D231" s="196"/>
      <c r="E231" s="196"/>
      <c r="F231" s="196"/>
      <c r="G231" s="196"/>
      <c r="H231" s="196"/>
    </row>
    <row r="232" spans="1:8" s="1" customFormat="1" ht="15.75" customHeight="1" x14ac:dyDescent="0.25">
      <c r="A232" s="68">
        <f t="shared" si="14"/>
        <v>9</v>
      </c>
      <c r="B232" s="196" t="s">
        <v>210</v>
      </c>
      <c r="C232" s="196"/>
      <c r="D232" s="196"/>
      <c r="E232" s="196"/>
      <c r="F232" s="196"/>
      <c r="G232" s="196"/>
      <c r="H232" s="196"/>
    </row>
    <row r="233" spans="1:8" s="1" customFormat="1" ht="15.75" customHeight="1" x14ac:dyDescent="0.25">
      <c r="A233" s="68">
        <f t="shared" si="14"/>
        <v>10</v>
      </c>
      <c r="B233" s="185" t="s">
        <v>218</v>
      </c>
      <c r="C233" s="186"/>
      <c r="D233" s="186"/>
      <c r="E233" s="186"/>
      <c r="F233" s="186"/>
      <c r="G233" s="186"/>
      <c r="H233" s="187"/>
    </row>
    <row r="234" spans="1:8" s="1" customFormat="1" ht="33.6" customHeight="1" x14ac:dyDescent="0.25">
      <c r="A234" s="68">
        <f t="shared" si="14"/>
        <v>11</v>
      </c>
      <c r="B234" s="185" t="s">
        <v>224</v>
      </c>
      <c r="C234" s="186"/>
      <c r="D234" s="186"/>
      <c r="E234" s="186"/>
      <c r="F234" s="186"/>
      <c r="G234" s="186"/>
      <c r="H234" s="187"/>
    </row>
    <row r="235" spans="1:8" s="1" customFormat="1" x14ac:dyDescent="0.25">
      <c r="A235" s="68">
        <f t="shared" si="14"/>
        <v>12</v>
      </c>
      <c r="B235" s="185" t="s">
        <v>223</v>
      </c>
      <c r="C235" s="186"/>
      <c r="D235" s="186"/>
      <c r="E235" s="186"/>
      <c r="F235" s="186"/>
      <c r="G235" s="186"/>
      <c r="H235" s="187"/>
    </row>
    <row r="236" spans="1:8" s="1" customFormat="1" x14ac:dyDescent="0.25">
      <c r="A236" s="68">
        <f t="shared" si="14"/>
        <v>13</v>
      </c>
      <c r="B236" s="185" t="s">
        <v>225</v>
      </c>
      <c r="C236" s="186"/>
      <c r="D236" s="186"/>
      <c r="E236" s="186"/>
      <c r="F236" s="186"/>
      <c r="G236" s="186"/>
      <c r="H236" s="187"/>
    </row>
    <row r="237" spans="1:8" s="1" customFormat="1" ht="31.35" hidden="1" customHeight="1" x14ac:dyDescent="0.25">
      <c r="A237" s="68">
        <f t="shared" si="14"/>
        <v>14</v>
      </c>
      <c r="B237" s="197" t="s">
        <v>230</v>
      </c>
      <c r="C237" s="198"/>
      <c r="D237" s="198"/>
      <c r="E237" s="198"/>
      <c r="F237" s="198"/>
      <c r="G237" s="198"/>
      <c r="H237" s="199"/>
    </row>
    <row r="238" spans="1:8" s="1" customFormat="1" ht="15.75" customHeight="1" x14ac:dyDescent="0.25">
      <c r="A238" s="192" t="s">
        <v>66</v>
      </c>
      <c r="B238" s="193"/>
      <c r="C238" s="193"/>
      <c r="D238" s="193"/>
      <c r="E238" s="193"/>
      <c r="F238" s="193"/>
      <c r="G238" s="193"/>
      <c r="H238" s="194"/>
    </row>
    <row r="239" spans="1:8" s="1" customFormat="1" ht="15.75" customHeight="1" x14ac:dyDescent="0.25">
      <c r="A239" s="129" t="s">
        <v>67</v>
      </c>
      <c r="B239" s="130"/>
      <c r="C239" s="130"/>
      <c r="D239" s="130"/>
      <c r="E239" s="130"/>
      <c r="F239" s="130"/>
      <c r="G239" s="130"/>
      <c r="H239" s="131"/>
    </row>
    <row r="240" spans="1:8" x14ac:dyDescent="0.25">
      <c r="A240" s="188" t="s">
        <v>68</v>
      </c>
      <c r="B240" s="189"/>
      <c r="C240" s="189"/>
      <c r="D240" s="189"/>
      <c r="E240" s="189"/>
      <c r="F240" s="189"/>
      <c r="G240" s="189"/>
      <c r="H240" s="190"/>
    </row>
    <row r="241" spans="1:8" x14ac:dyDescent="0.25">
      <c r="A241" s="129" t="s">
        <v>69</v>
      </c>
      <c r="B241" s="130"/>
      <c r="C241" s="130"/>
      <c r="D241" s="130"/>
      <c r="E241" s="130"/>
      <c r="F241" s="130"/>
      <c r="G241" s="130"/>
      <c r="H241" s="131"/>
    </row>
    <row r="242" spans="1:8" ht="15.75" customHeight="1" x14ac:dyDescent="0.25">
      <c r="A242" s="129" t="s">
        <v>70</v>
      </c>
      <c r="B242" s="130"/>
      <c r="C242" s="130"/>
      <c r="D242" s="130"/>
      <c r="E242" s="130"/>
      <c r="F242" s="130"/>
      <c r="G242" s="130"/>
      <c r="H242" s="131"/>
    </row>
    <row r="243" spans="1:8" x14ac:dyDescent="0.25">
      <c r="A243" s="129" t="s">
        <v>137</v>
      </c>
      <c r="B243" s="130"/>
      <c r="C243" s="130"/>
      <c r="D243" s="130"/>
      <c r="E243" s="130"/>
      <c r="F243" s="130"/>
      <c r="G243" s="130"/>
      <c r="H243" s="131"/>
    </row>
    <row r="244" spans="1:8" x14ac:dyDescent="0.25">
      <c r="A244" s="141" t="s">
        <v>138</v>
      </c>
      <c r="B244" s="142"/>
      <c r="C244" s="142"/>
      <c r="D244" s="142"/>
      <c r="E244" s="142"/>
      <c r="F244" s="142"/>
      <c r="G244" s="142"/>
      <c r="H244" s="143"/>
    </row>
    <row r="245" spans="1:8" x14ac:dyDescent="0.25">
      <c r="A245" s="140" t="s">
        <v>82</v>
      </c>
      <c r="B245" s="140"/>
      <c r="C245" s="140" t="s">
        <v>234</v>
      </c>
      <c r="D245" s="140"/>
      <c r="E245" s="140" t="s">
        <v>116</v>
      </c>
      <c r="F245" s="140"/>
      <c r="G245" s="140" t="s">
        <v>233</v>
      </c>
      <c r="H245" s="140"/>
    </row>
    <row r="246" spans="1:8" ht="35.25" customHeight="1" x14ac:dyDescent="0.25">
      <c r="A246" s="139" t="s">
        <v>84</v>
      </c>
      <c r="B246" s="139"/>
      <c r="C246" s="139"/>
      <c r="D246" s="139"/>
      <c r="E246" s="139"/>
      <c r="F246" s="139"/>
      <c r="G246" s="139"/>
      <c r="H246" s="139"/>
    </row>
    <row r="247" spans="1:8" x14ac:dyDescent="0.25">
      <c r="A247" s="139"/>
      <c r="B247" s="139"/>
      <c r="C247" s="139"/>
      <c r="D247" s="139"/>
      <c r="E247" s="139"/>
      <c r="F247" s="139"/>
      <c r="G247" s="139"/>
      <c r="H247" s="139"/>
    </row>
    <row r="248" spans="1:8" ht="15.75" customHeight="1" x14ac:dyDescent="0.25">
      <c r="A248" s="139"/>
      <c r="B248" s="139"/>
      <c r="C248" s="139"/>
      <c r="D248" s="139"/>
      <c r="E248" s="139"/>
      <c r="F248" s="139"/>
      <c r="G248" s="139"/>
      <c r="H248" s="139"/>
    </row>
    <row r="249" spans="1:8" x14ac:dyDescent="0.25">
      <c r="A249" s="10" t="s">
        <v>71</v>
      </c>
      <c r="B249" s="11"/>
      <c r="C249" s="11"/>
      <c r="D249" s="10" t="str">
        <f>E8</f>
        <v>Shristi Residency Phase 1</v>
      </c>
      <c r="F249" s="11"/>
      <c r="G249" s="11"/>
      <c r="H249" s="11"/>
    </row>
    <row r="250" spans="1:8" x14ac:dyDescent="0.25">
      <c r="A250" s="11"/>
      <c r="B250" s="11"/>
      <c r="C250" s="11"/>
      <c r="D250" s="11"/>
      <c r="E250" s="11"/>
      <c r="F250" s="11"/>
      <c r="G250" s="11"/>
      <c r="H250" s="11"/>
    </row>
    <row r="251" spans="1:8" x14ac:dyDescent="0.25">
      <c r="A251" s="11"/>
      <c r="B251" s="11"/>
      <c r="C251" s="11"/>
      <c r="D251" s="11"/>
      <c r="E251" s="11"/>
      <c r="F251" s="11"/>
      <c r="G251" s="11"/>
      <c r="H251" s="11"/>
    </row>
    <row r="254" spans="1:8" ht="15" customHeight="1" x14ac:dyDescent="0.25"/>
    <row r="281" spans="1:1" ht="45" customHeight="1" x14ac:dyDescent="0.25"/>
    <row r="286" spans="1:1" x14ac:dyDescent="0.25">
      <c r="A286" s="13" t="s">
        <v>72</v>
      </c>
    </row>
  </sheetData>
  <mergeCells count="409">
    <mergeCell ref="B236:H236"/>
    <mergeCell ref="A243:H243"/>
    <mergeCell ref="A240:H240"/>
    <mergeCell ref="B229:H229"/>
    <mergeCell ref="A238:H238"/>
    <mergeCell ref="A239:H239"/>
    <mergeCell ref="A223:H223"/>
    <mergeCell ref="B230:H230"/>
    <mergeCell ref="B232:H232"/>
    <mergeCell ref="B233:H233"/>
    <mergeCell ref="B231:H231"/>
    <mergeCell ref="B226:H226"/>
    <mergeCell ref="B224:H224"/>
    <mergeCell ref="B225:H225"/>
    <mergeCell ref="B227:H227"/>
    <mergeCell ref="B228:H228"/>
    <mergeCell ref="B234:H234"/>
    <mergeCell ref="B235:H235"/>
    <mergeCell ref="B237:H237"/>
    <mergeCell ref="G204:H207"/>
    <mergeCell ref="A205:B205"/>
    <mergeCell ref="A201:B201"/>
    <mergeCell ref="A161:B161"/>
    <mergeCell ref="A163:B163"/>
    <mergeCell ref="A202:B202"/>
    <mergeCell ref="A206:B206"/>
    <mergeCell ref="A203:H203"/>
    <mergeCell ref="A182:B182"/>
    <mergeCell ref="A183:B183"/>
    <mergeCell ref="A184:B184"/>
    <mergeCell ref="A185:B185"/>
    <mergeCell ref="A187:B187"/>
    <mergeCell ref="A165:B165"/>
    <mergeCell ref="A197:H197"/>
    <mergeCell ref="A176:H176"/>
    <mergeCell ref="A177:B177"/>
    <mergeCell ref="G177:H180"/>
    <mergeCell ref="A178:B178"/>
    <mergeCell ref="A188:B188"/>
    <mergeCell ref="A181:H181"/>
    <mergeCell ref="A171:H171"/>
    <mergeCell ref="A172:B172"/>
    <mergeCell ref="G172:H175"/>
    <mergeCell ref="C215:F215"/>
    <mergeCell ref="A154:H154"/>
    <mergeCell ref="G155:H158"/>
    <mergeCell ref="A213:H213"/>
    <mergeCell ref="G214:H217"/>
    <mergeCell ref="A196:H196"/>
    <mergeCell ref="G182:H185"/>
    <mergeCell ref="A186:H186"/>
    <mergeCell ref="G187:H190"/>
    <mergeCell ref="A216:B216"/>
    <mergeCell ref="A217:B217"/>
    <mergeCell ref="A214:B214"/>
    <mergeCell ref="A215:B215"/>
    <mergeCell ref="A191:H191"/>
    <mergeCell ref="A192:B192"/>
    <mergeCell ref="G192:H195"/>
    <mergeCell ref="A193:B193"/>
    <mergeCell ref="A194:B194"/>
    <mergeCell ref="A195:B195"/>
    <mergeCell ref="A198:H198"/>
    <mergeCell ref="A199:B199"/>
    <mergeCell ref="A179:B179"/>
    <mergeCell ref="A180:B180"/>
    <mergeCell ref="A204:B204"/>
    <mergeCell ref="A148:H148"/>
    <mergeCell ref="A170:H170"/>
    <mergeCell ref="A138:B138"/>
    <mergeCell ref="A139:B139"/>
    <mergeCell ref="A140:B140"/>
    <mergeCell ref="A142:B142"/>
    <mergeCell ref="A141:B141"/>
    <mergeCell ref="A143:B143"/>
    <mergeCell ref="G138:H143"/>
    <mergeCell ref="A144:H144"/>
    <mergeCell ref="A145:A146"/>
    <mergeCell ref="C162:F162"/>
    <mergeCell ref="B145:B146"/>
    <mergeCell ref="A147:H147"/>
    <mergeCell ref="A173:B173"/>
    <mergeCell ref="A174:B174"/>
    <mergeCell ref="A175:B175"/>
    <mergeCell ref="C152:F152"/>
    <mergeCell ref="C177:F177"/>
    <mergeCell ref="C178:F178"/>
    <mergeCell ref="C167:F167"/>
    <mergeCell ref="A159:H159"/>
    <mergeCell ref="G160:H163"/>
    <mergeCell ref="G165:H168"/>
    <mergeCell ref="A166:B166"/>
    <mergeCell ref="A167:B167"/>
    <mergeCell ref="A168:B168"/>
    <mergeCell ref="A155:B155"/>
    <mergeCell ref="A164:H164"/>
    <mergeCell ref="L143:M143"/>
    <mergeCell ref="L142:M142"/>
    <mergeCell ref="L141:M141"/>
    <mergeCell ref="L140:M140"/>
    <mergeCell ref="A169:H169"/>
    <mergeCell ref="G209:H212"/>
    <mergeCell ref="C187:F187"/>
    <mergeCell ref="E84:F84"/>
    <mergeCell ref="G84:H84"/>
    <mergeCell ref="A115:E115"/>
    <mergeCell ref="F115:H115"/>
    <mergeCell ref="A116:E116"/>
    <mergeCell ref="A118:E118"/>
    <mergeCell ref="F112:H112"/>
    <mergeCell ref="A117:E117"/>
    <mergeCell ref="A102:B102"/>
    <mergeCell ref="A103:B103"/>
    <mergeCell ref="A104:B104"/>
    <mergeCell ref="A106:B106"/>
    <mergeCell ref="A107:B107"/>
    <mergeCell ref="A112:E112"/>
    <mergeCell ref="A114:E114"/>
    <mergeCell ref="F114:H114"/>
    <mergeCell ref="F113:H113"/>
    <mergeCell ref="L139:M139"/>
    <mergeCell ref="L138:M138"/>
    <mergeCell ref="A78:B78"/>
    <mergeCell ref="C128:D128"/>
    <mergeCell ref="E128:F128"/>
    <mergeCell ref="G128:H128"/>
    <mergeCell ref="F116:H116"/>
    <mergeCell ref="A110:E110"/>
    <mergeCell ref="A95:B95"/>
    <mergeCell ref="C95:H95"/>
    <mergeCell ref="A137:H137"/>
    <mergeCell ref="E134:E135"/>
    <mergeCell ref="G134:H135"/>
    <mergeCell ref="A85:B85"/>
    <mergeCell ref="E85:F94"/>
    <mergeCell ref="A92:B92"/>
    <mergeCell ref="A93:B93"/>
    <mergeCell ref="A94:B94"/>
    <mergeCell ref="A97:B97"/>
    <mergeCell ref="C97:H97"/>
    <mergeCell ref="A98:B98"/>
    <mergeCell ref="E98:F98"/>
    <mergeCell ref="G98:H98"/>
    <mergeCell ref="A99:B99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D59:H59"/>
    <mergeCell ref="C49:H49"/>
    <mergeCell ref="D56:H56"/>
    <mergeCell ref="A56:C56"/>
    <mergeCell ref="G47:H47"/>
    <mergeCell ref="A46:B46"/>
    <mergeCell ref="C46:E46"/>
    <mergeCell ref="D58:H58"/>
    <mergeCell ref="C47:E47"/>
    <mergeCell ref="A52:B52"/>
    <mergeCell ref="C52:E52"/>
    <mergeCell ref="A47:B47"/>
    <mergeCell ref="A53:H53"/>
    <mergeCell ref="A54:C54"/>
    <mergeCell ref="A55:C55"/>
    <mergeCell ref="D55:H55"/>
    <mergeCell ref="G52:H52"/>
    <mergeCell ref="G70:H70"/>
    <mergeCell ref="A69:B69"/>
    <mergeCell ref="A67:B67"/>
    <mergeCell ref="C67:H67"/>
    <mergeCell ref="A60:C60"/>
    <mergeCell ref="A61:C61"/>
    <mergeCell ref="D60:H60"/>
    <mergeCell ref="E71:F80"/>
    <mergeCell ref="G71:H80"/>
    <mergeCell ref="A79:B79"/>
    <mergeCell ref="A80:B80"/>
    <mergeCell ref="D61:H61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5:B75"/>
    <mergeCell ref="A62:C62"/>
    <mergeCell ref="A77:B77"/>
    <mergeCell ref="A189:B189"/>
    <mergeCell ref="A190:B190"/>
    <mergeCell ref="A209:B209"/>
    <mergeCell ref="A210:B210"/>
    <mergeCell ref="A211:B211"/>
    <mergeCell ref="A212:B212"/>
    <mergeCell ref="A246:H248"/>
    <mergeCell ref="A245:B245"/>
    <mergeCell ref="E245:F245"/>
    <mergeCell ref="C245:D245"/>
    <mergeCell ref="G245:H245"/>
    <mergeCell ref="A244:H244"/>
    <mergeCell ref="A242:H242"/>
    <mergeCell ref="A218:H218"/>
    <mergeCell ref="A219:B219"/>
    <mergeCell ref="G219:H222"/>
    <mergeCell ref="A220:B220"/>
    <mergeCell ref="A221:B221"/>
    <mergeCell ref="A222:B222"/>
    <mergeCell ref="C204:F204"/>
    <mergeCell ref="C192:F192"/>
    <mergeCell ref="C220:F220"/>
    <mergeCell ref="A200:B200"/>
    <mergeCell ref="A208:H208"/>
    <mergeCell ref="A123:H123"/>
    <mergeCell ref="A121:E121"/>
    <mergeCell ref="F121:H121"/>
    <mergeCell ref="A122:E122"/>
    <mergeCell ref="F122:H122"/>
    <mergeCell ref="A128:B128"/>
    <mergeCell ref="A125:B125"/>
    <mergeCell ref="A241:H241"/>
    <mergeCell ref="A126:H126"/>
    <mergeCell ref="A127:B127"/>
    <mergeCell ref="D145:D146"/>
    <mergeCell ref="E145:E146"/>
    <mergeCell ref="G145:H146"/>
    <mergeCell ref="G125:H125"/>
    <mergeCell ref="C134:C135"/>
    <mergeCell ref="E129:F129"/>
    <mergeCell ref="E130:F130"/>
    <mergeCell ref="A129:B129"/>
    <mergeCell ref="C129:D129"/>
    <mergeCell ref="C131:D131"/>
    <mergeCell ref="G129:H129"/>
    <mergeCell ref="A130:B130"/>
    <mergeCell ref="G130:H130"/>
    <mergeCell ref="A131:B131"/>
    <mergeCell ref="E40:H40"/>
    <mergeCell ref="A40:D40"/>
    <mergeCell ref="G46:H46"/>
    <mergeCell ref="G48:H48"/>
    <mergeCell ref="D54:H54"/>
    <mergeCell ref="C48:E48"/>
    <mergeCell ref="C50:E50"/>
    <mergeCell ref="G50:H50"/>
    <mergeCell ref="C51:H51"/>
    <mergeCell ref="A48:B51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76:B76"/>
    <mergeCell ref="F110:H110"/>
    <mergeCell ref="A109:H109"/>
    <mergeCell ref="A108:B108"/>
    <mergeCell ref="F111:H111"/>
    <mergeCell ref="A111:E111"/>
    <mergeCell ref="C127:D127"/>
    <mergeCell ref="E99:F108"/>
    <mergeCell ref="G99:H108"/>
    <mergeCell ref="E127:F127"/>
    <mergeCell ref="E124:F124"/>
    <mergeCell ref="A124:B124"/>
    <mergeCell ref="A113:E113"/>
    <mergeCell ref="C124:D124"/>
    <mergeCell ref="F120:H120"/>
    <mergeCell ref="G127:H127"/>
    <mergeCell ref="F118:H118"/>
    <mergeCell ref="F119:H119"/>
    <mergeCell ref="A89:B89"/>
    <mergeCell ref="A90:B90"/>
    <mergeCell ref="A91:B91"/>
    <mergeCell ref="A81:B81"/>
    <mergeCell ref="C81:H81"/>
    <mergeCell ref="A105:B105"/>
    <mergeCell ref="A100:B100"/>
    <mergeCell ref="A101:B101"/>
    <mergeCell ref="G85:H94"/>
    <mergeCell ref="A57:C59"/>
    <mergeCell ref="D57:H57"/>
    <mergeCell ref="G131:H131"/>
    <mergeCell ref="B134:B135"/>
    <mergeCell ref="A162:B162"/>
    <mergeCell ref="A156:B156"/>
    <mergeCell ref="A160:B160"/>
    <mergeCell ref="D62:H62"/>
    <mergeCell ref="C69:H69"/>
    <mergeCell ref="A72:B72"/>
    <mergeCell ref="A74:B74"/>
    <mergeCell ref="A120:E120"/>
    <mergeCell ref="A83:B83"/>
    <mergeCell ref="C83:H83"/>
    <mergeCell ref="A84:B84"/>
    <mergeCell ref="A133:H133"/>
    <mergeCell ref="G124:H124"/>
    <mergeCell ref="A119:E119"/>
    <mergeCell ref="C125:D125"/>
    <mergeCell ref="E125:F125"/>
    <mergeCell ref="F117:H117"/>
    <mergeCell ref="K71:O74"/>
    <mergeCell ref="G199:H202"/>
    <mergeCell ref="A207:B207"/>
    <mergeCell ref="D134:D135"/>
    <mergeCell ref="A158:B158"/>
    <mergeCell ref="C130:D130"/>
    <mergeCell ref="A71:B71"/>
    <mergeCell ref="A70:B70"/>
    <mergeCell ref="A73:B73"/>
    <mergeCell ref="A86:B86"/>
    <mergeCell ref="A87:B87"/>
    <mergeCell ref="A88:B88"/>
    <mergeCell ref="A134:A135"/>
    <mergeCell ref="C145:C146"/>
    <mergeCell ref="A132:H132"/>
    <mergeCell ref="A136:H136"/>
    <mergeCell ref="A150:B150"/>
    <mergeCell ref="G150:H153"/>
    <mergeCell ref="A151:B151"/>
    <mergeCell ref="A152:B152"/>
    <mergeCell ref="A153:B153"/>
    <mergeCell ref="A149:H149"/>
    <mergeCell ref="A157:B157"/>
    <mergeCell ref="E131:F131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7" max="7" man="1"/>
    <brk id="66" max="16383" man="1"/>
    <brk id="94" max="16383" man="1"/>
    <brk id="248" max="16383" man="1"/>
    <brk id="28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9"/>
    <col min="2" max="2" width="22.140625" style="19" customWidth="1"/>
    <col min="3" max="3" width="37" style="19" customWidth="1"/>
    <col min="4" max="5" width="11.42578125" style="19" customWidth="1"/>
    <col min="6" max="6" width="14" style="19" customWidth="1"/>
    <col min="7" max="7" width="20" style="19" customWidth="1"/>
    <col min="8" max="8" width="16.42578125" style="19" customWidth="1"/>
    <col min="9" max="16384" width="8.5703125" style="19"/>
  </cols>
  <sheetData>
    <row r="1" spans="1:9" ht="15" customHeight="1" x14ac:dyDescent="0.25">
      <c r="A1" s="18"/>
      <c r="B1" s="18"/>
      <c r="C1" s="18"/>
      <c r="D1" s="18"/>
      <c r="E1" s="18"/>
      <c r="F1" s="18"/>
      <c r="G1" s="18"/>
      <c r="H1" s="18"/>
    </row>
    <row r="2" spans="1:9" ht="15" customHeight="1" x14ac:dyDescent="0.2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25">
      <c r="A3" s="20"/>
      <c r="B3" s="200" t="s">
        <v>117</v>
      </c>
      <c r="C3" s="200"/>
      <c r="D3" s="200"/>
      <c r="E3" s="200"/>
      <c r="F3" s="200"/>
      <c r="G3" s="200"/>
      <c r="H3" s="200"/>
    </row>
    <row r="4" spans="1:9" x14ac:dyDescent="0.25">
      <c r="A4" s="20"/>
      <c r="B4" s="21" t="s">
        <v>118</v>
      </c>
      <c r="C4" s="21" t="s">
        <v>119</v>
      </c>
      <c r="D4" s="21" t="s">
        <v>74</v>
      </c>
      <c r="E4" s="21" t="s">
        <v>120</v>
      </c>
      <c r="F4" s="21" t="s">
        <v>126</v>
      </c>
      <c r="G4" s="21" t="s">
        <v>127</v>
      </c>
      <c r="H4" s="21" t="s">
        <v>121</v>
      </c>
    </row>
    <row r="5" spans="1:9" ht="15" customHeight="1" x14ac:dyDescent="0.25">
      <c r="A5" s="20"/>
      <c r="B5" s="23" t="s">
        <v>122</v>
      </c>
      <c r="C5" s="24"/>
      <c r="D5" s="23"/>
      <c r="E5" s="23"/>
      <c r="F5" s="25">
        <f>E5*1.6</f>
        <v>0</v>
      </c>
      <c r="G5" s="25" t="e">
        <f>H5/F5</f>
        <v>#DIV/0!</v>
      </c>
      <c r="H5" s="26"/>
    </row>
    <row r="6" spans="1:9" x14ac:dyDescent="0.25">
      <c r="A6" s="20"/>
      <c r="B6" s="23" t="s">
        <v>122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25">
      <c r="A7" s="20"/>
      <c r="B7" s="23" t="s">
        <v>122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25">
      <c r="A8" s="20"/>
      <c r="B8" s="23" t="s">
        <v>122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25">
      <c r="A9" s="20"/>
      <c r="B9" s="23" t="s">
        <v>122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25">
      <c r="A10" s="20"/>
      <c r="B10" s="23" t="s">
        <v>123</v>
      </c>
      <c r="C10" s="24"/>
      <c r="D10" s="23"/>
      <c r="E10" s="23"/>
      <c r="F10" s="25">
        <f t="shared" si="0"/>
        <v>0</v>
      </c>
      <c r="G10" s="25" t="e">
        <f t="shared" si="1"/>
        <v>#DIV/0!</v>
      </c>
      <c r="H10" s="26"/>
    </row>
    <row r="11" spans="1:9" ht="15" customHeight="1" x14ac:dyDescent="0.25">
      <c r="A11" s="20"/>
      <c r="B11" s="23" t="s">
        <v>123</v>
      </c>
      <c r="C11" s="24"/>
      <c r="D11" s="23"/>
      <c r="E11" s="23"/>
      <c r="F11" s="25">
        <f t="shared" si="0"/>
        <v>0</v>
      </c>
      <c r="G11" s="25" t="e">
        <f t="shared" si="1"/>
        <v>#DIV/0!</v>
      </c>
      <c r="H11" s="26"/>
    </row>
    <row r="12" spans="1:9" ht="15" customHeight="1" x14ac:dyDescent="0.25">
      <c r="A12" s="20"/>
      <c r="B12" s="28" t="s">
        <v>124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25">
      <c r="A13" s="18"/>
      <c r="B13" s="28" t="s">
        <v>125</v>
      </c>
      <c r="C13" s="30"/>
      <c r="D13" s="30"/>
      <c r="E13" s="30"/>
      <c r="F13" s="31"/>
      <c r="G13" s="28"/>
      <c r="H13" s="28"/>
      <c r="I13" s="22"/>
    </row>
    <row r="14" spans="1:9" ht="15" customHeight="1" x14ac:dyDescent="0.25">
      <c r="B14" s="18"/>
      <c r="C14" s="18"/>
      <c r="D14" s="18"/>
      <c r="E14" s="18"/>
    </row>
    <row r="15" spans="1:9" ht="15" customHeight="1" x14ac:dyDescent="0.25">
      <c r="B15" s="18"/>
      <c r="C15" s="18"/>
      <c r="D15" s="18"/>
      <c r="E15" s="18"/>
    </row>
    <row r="16" spans="1:9" ht="15" customHeight="1" x14ac:dyDescent="0.25">
      <c r="B16" s="18"/>
      <c r="C16" s="18"/>
      <c r="D16" s="18"/>
      <c r="E16" s="18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2025-07-15T09:12:28Z</cp:lastPrinted>
  <dcterms:created xsi:type="dcterms:W3CDTF">2019-07-16T09:29:46Z</dcterms:created>
  <dcterms:modified xsi:type="dcterms:W3CDTF">2025-07-15T09:14:55Z</dcterms:modified>
</cp:coreProperties>
</file>