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6F6E86CB-C555-4BCE-8AE4-F550DE24FFE1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C120" i="1"/>
  <c r="C118" i="1"/>
  <c r="C119" i="1" l="1"/>
  <c r="J326" i="1" l="1"/>
  <c r="J325" i="1"/>
  <c r="C112" i="1" l="1"/>
  <c r="C15" i="1" l="1"/>
  <c r="J210" i="1" l="1"/>
  <c r="J206" i="1"/>
  <c r="D366" i="1" l="1"/>
  <c r="F366" i="1" s="1"/>
  <c r="D365" i="1"/>
  <c r="F365" i="1" s="1"/>
  <c r="D364" i="1"/>
  <c r="D363" i="1"/>
  <c r="D362" i="1"/>
  <c r="F362" i="1" s="1"/>
  <c r="D361" i="1"/>
  <c r="F361" i="1" s="1"/>
  <c r="D360" i="1"/>
  <c r="F360" i="1" s="1"/>
  <c r="D359" i="1"/>
  <c r="F359" i="1" s="1"/>
  <c r="D357" i="1"/>
  <c r="F357" i="1" s="1"/>
  <c r="D356" i="1"/>
  <c r="F356" i="1" s="1"/>
  <c r="D355" i="1"/>
  <c r="F355" i="1" s="1"/>
  <c r="D353" i="1"/>
  <c r="F353" i="1" s="1"/>
  <c r="D352" i="1"/>
  <c r="F352" i="1" s="1"/>
  <c r="D351" i="1"/>
  <c r="F351" i="1" s="1"/>
  <c r="D350" i="1"/>
  <c r="F350" i="1" s="1"/>
  <c r="D348" i="1"/>
  <c r="F348" i="1" s="1"/>
  <c r="D347" i="1"/>
  <c r="F347" i="1" s="1"/>
  <c r="D346" i="1"/>
  <c r="F346" i="1" s="1"/>
  <c r="D345" i="1"/>
  <c r="F345" i="1" s="1"/>
  <c r="D344" i="1"/>
  <c r="F344" i="1" s="1"/>
  <c r="D343" i="1"/>
  <c r="F343" i="1" s="1"/>
  <c r="D342" i="1"/>
  <c r="F342" i="1" s="1"/>
  <c r="D341" i="1"/>
  <c r="F341" i="1" s="1"/>
  <c r="D339" i="1"/>
  <c r="F339" i="1" s="1"/>
  <c r="D338" i="1"/>
  <c r="F338" i="1" s="1"/>
  <c r="D337" i="1"/>
  <c r="F337" i="1" s="1"/>
  <c r="D335" i="1"/>
  <c r="F335" i="1" s="1"/>
  <c r="D334" i="1"/>
  <c r="F334" i="1" s="1"/>
  <c r="D333" i="1"/>
  <c r="F333" i="1" s="1"/>
  <c r="D332" i="1"/>
  <c r="F332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4" i="1"/>
  <c r="F324" i="1" s="1"/>
  <c r="D323" i="1"/>
  <c r="F323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0" i="1"/>
  <c r="F310" i="1" s="1"/>
  <c r="D309" i="1"/>
  <c r="F309" i="1" s="1"/>
  <c r="D307" i="1"/>
  <c r="F307" i="1" s="1"/>
  <c r="D306" i="1"/>
  <c r="F306" i="1" s="1"/>
  <c r="D305" i="1"/>
  <c r="F305" i="1" s="1"/>
  <c r="D304" i="1"/>
  <c r="F304" i="1" s="1"/>
  <c r="D303" i="1"/>
  <c r="F303" i="1" s="1"/>
  <c r="D301" i="1"/>
  <c r="F301" i="1" s="1"/>
  <c r="D300" i="1"/>
  <c r="F300" i="1" s="1"/>
  <c r="D299" i="1"/>
  <c r="F299" i="1" s="1"/>
  <c r="D298" i="1"/>
  <c r="D297" i="1"/>
  <c r="D296" i="1"/>
  <c r="D295" i="1"/>
  <c r="D294" i="1"/>
  <c r="D292" i="1"/>
  <c r="F292" i="1" s="1"/>
  <c r="D291" i="1"/>
  <c r="F291" i="1" s="1"/>
  <c r="D289" i="1"/>
  <c r="F289" i="1" s="1"/>
  <c r="D288" i="1"/>
  <c r="F288" i="1" s="1"/>
  <c r="D287" i="1"/>
  <c r="F287" i="1" s="1"/>
  <c r="D286" i="1"/>
  <c r="F286" i="1" s="1"/>
  <c r="D285" i="1"/>
  <c r="F285" i="1" s="1"/>
  <c r="D283" i="1"/>
  <c r="F283" i="1" s="1"/>
  <c r="D282" i="1"/>
  <c r="F282" i="1" s="1"/>
  <c r="D281" i="1"/>
  <c r="F281" i="1" s="1"/>
  <c r="D280" i="1"/>
  <c r="F280" i="1" s="1"/>
  <c r="D279" i="1"/>
  <c r="D278" i="1"/>
  <c r="D277" i="1"/>
  <c r="F277" i="1" s="1"/>
  <c r="D276" i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D241" i="1"/>
  <c r="F241" i="1" s="1"/>
  <c r="D240" i="1"/>
  <c r="F240" i="1" s="1"/>
  <c r="I216" i="1"/>
  <c r="D238" i="1"/>
  <c r="F238" i="1" s="1"/>
  <c r="D237" i="1"/>
  <c r="F23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D217" i="1"/>
  <c r="F217" i="1" s="1"/>
  <c r="D216" i="1"/>
  <c r="F216" i="1" s="1"/>
  <c r="D215" i="1"/>
  <c r="F215" i="1" s="1"/>
  <c r="D214" i="1"/>
  <c r="F214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7" i="1"/>
  <c r="F197" i="1" s="1"/>
  <c r="D196" i="1"/>
  <c r="F196" i="1" s="1"/>
  <c r="D195" i="1"/>
  <c r="F195" i="1" s="1"/>
  <c r="D194" i="1"/>
  <c r="F194" i="1" s="1"/>
  <c r="D192" i="1"/>
  <c r="F192" i="1" s="1"/>
  <c r="D191" i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2" i="1"/>
  <c r="F172" i="1" s="1"/>
  <c r="D171" i="1"/>
  <c r="F171" i="1" s="1"/>
  <c r="D170" i="1"/>
  <c r="F170" i="1" s="1"/>
  <c r="D169" i="1"/>
  <c r="F169" i="1" s="1"/>
  <c r="D168" i="1"/>
  <c r="F168" i="1" s="1"/>
  <c r="D167" i="1"/>
  <c r="F167" i="1" s="1"/>
  <c r="D166" i="1"/>
  <c r="F166" i="1" s="1"/>
  <c r="D163" i="1"/>
  <c r="F163" i="1" s="1"/>
  <c r="D161" i="1"/>
  <c r="J161" i="1"/>
  <c r="F364" i="1"/>
  <c r="F363" i="1"/>
  <c r="A360" i="1"/>
  <c r="A361" i="1" s="1"/>
  <c r="A362" i="1" s="1"/>
  <c r="A363" i="1" s="1"/>
  <c r="A364" i="1" s="1"/>
  <c r="A365" i="1" s="1"/>
  <c r="A366" i="1" s="1"/>
  <c r="G359" i="1"/>
  <c r="A351" i="1"/>
  <c r="A352" i="1" s="1"/>
  <c r="A353" i="1" s="1"/>
  <c r="A354" i="1" s="1"/>
  <c r="A355" i="1" s="1"/>
  <c r="A356" i="1" s="1"/>
  <c r="A357" i="1" s="1"/>
  <c r="G350" i="1"/>
  <c r="A342" i="1"/>
  <c r="A343" i="1" s="1"/>
  <c r="A344" i="1" s="1"/>
  <c r="A345" i="1" s="1"/>
  <c r="A346" i="1" s="1"/>
  <c r="A347" i="1" s="1"/>
  <c r="A348" i="1" s="1"/>
  <c r="G341" i="1"/>
  <c r="A333" i="1"/>
  <c r="A334" i="1" s="1"/>
  <c r="A335" i="1" s="1"/>
  <c r="A336" i="1" s="1"/>
  <c r="A337" i="1" s="1"/>
  <c r="A338" i="1" s="1"/>
  <c r="A339" i="1" s="1"/>
  <c r="G332" i="1"/>
  <c r="A324" i="1"/>
  <c r="A325" i="1" s="1"/>
  <c r="A326" i="1" s="1"/>
  <c r="A327" i="1" s="1"/>
  <c r="A328" i="1" s="1"/>
  <c r="A329" i="1" s="1"/>
  <c r="A330" i="1" s="1"/>
  <c r="I323" i="1"/>
  <c r="G323" i="1"/>
  <c r="A313" i="1"/>
  <c r="A314" i="1" s="1"/>
  <c r="A315" i="1" s="1"/>
  <c r="A316" i="1" s="1"/>
  <c r="A317" i="1" s="1"/>
  <c r="A318" i="1" s="1"/>
  <c r="A319" i="1" s="1"/>
  <c r="G312" i="1"/>
  <c r="F308" i="1"/>
  <c r="A304" i="1"/>
  <c r="A305" i="1" s="1"/>
  <c r="A306" i="1" s="1"/>
  <c r="A307" i="1" s="1"/>
  <c r="A308" i="1" s="1"/>
  <c r="A309" i="1" s="1"/>
  <c r="A310" i="1" s="1"/>
  <c r="G303" i="1"/>
  <c r="A286" i="1"/>
  <c r="A287" i="1" s="1"/>
  <c r="A288" i="1" s="1"/>
  <c r="A289" i="1" s="1"/>
  <c r="A290" i="1" s="1"/>
  <c r="A291" i="1" s="1"/>
  <c r="A292" i="1" s="1"/>
  <c r="G285" i="1"/>
  <c r="I276" i="1"/>
  <c r="G276" i="1"/>
  <c r="F242" i="1"/>
  <c r="F256" i="1"/>
  <c r="A241" i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G240" i="1"/>
  <c r="A215" i="1"/>
  <c r="A216" i="1" s="1"/>
  <c r="A217" i="1" s="1"/>
  <c r="A218" i="1" s="1"/>
  <c r="A219" i="1" s="1"/>
  <c r="G214" i="1"/>
  <c r="F191" i="1"/>
  <c r="I176" i="1"/>
  <c r="A195" i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G194" i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G176" i="1"/>
  <c r="I172" i="1"/>
  <c r="I171" i="1"/>
  <c r="I161" i="1"/>
  <c r="G163" i="1"/>
  <c r="A167" i="1"/>
  <c r="A168" i="1" s="1"/>
  <c r="A169" i="1" s="1"/>
  <c r="A170" i="1" s="1"/>
  <c r="A171" i="1" s="1"/>
  <c r="A172" i="1" s="1"/>
  <c r="G166" i="1"/>
  <c r="C150" i="1" l="1"/>
  <c r="J280" i="1"/>
  <c r="I150" i="1"/>
  <c r="G152" i="1"/>
  <c r="C143" i="1"/>
  <c r="C146" i="1"/>
  <c r="C152" i="1"/>
  <c r="G146" i="1"/>
  <c r="G144" i="1"/>
  <c r="C145" i="1"/>
  <c r="G151" i="1"/>
  <c r="E146" i="1"/>
  <c r="E144" i="1"/>
  <c r="E152" i="1"/>
  <c r="G145" i="1"/>
  <c r="C151" i="1"/>
  <c r="E143" i="1"/>
  <c r="C144" i="1"/>
  <c r="E145" i="1"/>
  <c r="E150" i="1"/>
  <c r="E151" i="1"/>
  <c r="A220" i="1"/>
  <c r="A221" i="1" s="1"/>
  <c r="A222" i="1" s="1"/>
  <c r="A223" i="1" s="1"/>
  <c r="A224" i="1" s="1"/>
  <c r="A225" i="1" s="1"/>
  <c r="I42" i="1"/>
  <c r="C147" i="1" l="1"/>
  <c r="C153" i="1"/>
  <c r="E147" i="1"/>
  <c r="E153" i="1"/>
  <c r="A226" i="1"/>
  <c r="A227" i="1" s="1"/>
  <c r="A228" i="1" s="1"/>
  <c r="A229" i="1" s="1"/>
  <c r="A230" i="1" s="1"/>
  <c r="A231" i="1" s="1"/>
  <c r="D62" i="1"/>
  <c r="E30" i="1"/>
  <c r="B370" i="1"/>
  <c r="C68" i="1"/>
  <c r="B69" i="1" s="1"/>
  <c r="E25" i="1"/>
  <c r="A232" i="1" l="1"/>
  <c r="A233" i="1" s="1"/>
  <c r="A234" i="1" s="1"/>
  <c r="A235" i="1" s="1"/>
  <c r="A236" i="1" s="1"/>
  <c r="A237" i="1" s="1"/>
  <c r="A238" i="1" s="1"/>
  <c r="E27" i="1"/>
  <c r="E154" i="1" l="1"/>
  <c r="C154" i="1"/>
  <c r="E43" i="1" l="1"/>
  <c r="E44" i="1" s="1"/>
  <c r="F278" i="1" l="1"/>
  <c r="F279" i="1"/>
  <c r="F276" i="1"/>
  <c r="A277" i="1"/>
  <c r="A278" i="1" s="1"/>
  <c r="A279" i="1" s="1"/>
  <c r="A280" i="1" s="1"/>
  <c r="A281" i="1" s="1"/>
  <c r="A282" i="1" s="1"/>
  <c r="A283" i="1" s="1"/>
  <c r="J279" i="1" l="1"/>
  <c r="J281" i="1" s="1"/>
  <c r="F140" i="1"/>
  <c r="F161" i="1" l="1"/>
  <c r="G143" i="1" s="1"/>
  <c r="G147" i="1" s="1"/>
  <c r="F298" i="1" l="1"/>
  <c r="F297" i="1"/>
  <c r="F295" i="1"/>
  <c r="F294" i="1"/>
  <c r="F296" i="1"/>
  <c r="G150" i="1" l="1"/>
  <c r="B371" i="1"/>
  <c r="G153" i="1" l="1"/>
  <c r="G154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92" i="1"/>
  <c r="G294" i="1"/>
  <c r="A295" i="1"/>
  <c r="A296" i="1" s="1"/>
  <c r="A297" i="1" s="1"/>
  <c r="A298" i="1" s="1"/>
  <c r="A299" i="1" s="1"/>
  <c r="A300" i="1" s="1"/>
  <c r="A301" i="1" s="1"/>
  <c r="G161" i="1"/>
  <c r="B113" i="1"/>
  <c r="B84" i="1"/>
  <c r="D55" i="1"/>
  <c r="G50" i="1"/>
  <c r="G51" i="1" s="1"/>
  <c r="C50" i="1"/>
  <c r="C51" i="1" s="1"/>
  <c r="E7" i="1"/>
  <c r="E3" i="1"/>
  <c r="H113" i="1"/>
  <c r="H69" i="1"/>
  <c r="H84" i="1"/>
  <c r="J89" i="1" l="1"/>
  <c r="J83" i="1"/>
  <c r="J85" i="1" s="1"/>
  <c r="D94" i="1"/>
  <c r="D95" i="1"/>
  <c r="D96" i="1"/>
  <c r="D90" i="1"/>
  <c r="D91" i="1"/>
  <c r="D92" i="1"/>
  <c r="D93" i="1"/>
  <c r="D82" i="1"/>
  <c r="D80" i="1"/>
  <c r="D79" i="1"/>
  <c r="D78" i="1"/>
  <c r="D76" i="1"/>
  <c r="J68" i="1"/>
  <c r="D81" i="1"/>
  <c r="D77" i="1"/>
  <c r="J73" i="1"/>
  <c r="J74" i="1"/>
  <c r="C73" i="1" s="1"/>
  <c r="J72" i="1"/>
  <c r="J75" i="1"/>
  <c r="J76" i="1" s="1"/>
  <c r="J112" i="1"/>
  <c r="J114" i="1" s="1"/>
  <c r="J116" i="1"/>
  <c r="D125" i="1"/>
  <c r="D123" i="1"/>
  <c r="D121" i="1"/>
  <c r="D119" i="1"/>
  <c r="J117" i="1"/>
  <c r="C116" i="1" s="1"/>
  <c r="J115" i="1"/>
  <c r="J118" i="1"/>
  <c r="D124" i="1"/>
  <c r="D122" i="1"/>
  <c r="D120" i="1"/>
  <c r="J87" i="1"/>
  <c r="J88" i="1"/>
  <c r="C87" i="1" s="1"/>
  <c r="J86" i="1"/>
  <c r="J90" i="1" l="1"/>
  <c r="J95" i="1" s="1"/>
  <c r="J119" i="1"/>
  <c r="J124" i="1" s="1"/>
  <c r="J81" i="1"/>
  <c r="J120" i="1"/>
  <c r="J121" i="1" s="1"/>
  <c r="J122" i="1" s="1"/>
  <c r="J123" i="1" s="1"/>
  <c r="J91" i="1"/>
  <c r="J92" i="1" s="1"/>
  <c r="J93" i="1" s="1"/>
  <c r="J94" i="1" s="1"/>
  <c r="J77" i="1"/>
  <c r="J78" i="1" s="1"/>
  <c r="J79" i="1" s="1"/>
  <c r="J80" i="1" s="1"/>
  <c r="D118" i="1"/>
  <c r="D116" i="1"/>
  <c r="D89" i="1"/>
  <c r="D75" i="1"/>
  <c r="J71" i="1"/>
  <c r="D73" i="1"/>
  <c r="D87" i="1"/>
  <c r="J125" i="1" l="1"/>
  <c r="C117" i="1" s="1"/>
  <c r="D117" i="1" s="1"/>
  <c r="I113" i="1" s="1"/>
  <c r="J82" i="1"/>
  <c r="J96" i="1"/>
  <c r="C88" i="1" l="1"/>
  <c r="J84" i="1" s="1"/>
  <c r="C74" i="1"/>
  <c r="G73" i="1" s="1"/>
  <c r="J113" i="1"/>
  <c r="G116" i="1"/>
  <c r="D66" i="1" s="1"/>
  <c r="D67" i="1" s="1"/>
  <c r="E116" i="1"/>
  <c r="I114" i="1"/>
  <c r="G87" i="1" l="1"/>
  <c r="D88" i="1"/>
  <c r="I84" i="1" s="1"/>
  <c r="I85" i="1" s="1"/>
  <c r="E87" i="1"/>
  <c r="E73" i="1"/>
  <c r="D74" i="1"/>
  <c r="J69" i="1"/>
  <c r="I112" i="1"/>
  <c r="C114" i="1" s="1"/>
  <c r="F67" i="1"/>
  <c r="I83" i="1" l="1"/>
  <c r="C85" i="1" s="1"/>
  <c r="I69" i="1"/>
  <c r="I71" i="1" s="1"/>
  <c r="I68" i="1"/>
  <c r="B98" i="1" l="1"/>
  <c r="H98" i="1"/>
  <c r="J102" i="1" l="1"/>
  <c r="C101" i="1" s="1"/>
  <c r="D101" i="1" s="1"/>
  <c r="J100" i="1"/>
  <c r="J97" i="1"/>
  <c r="J99" i="1" s="1"/>
  <c r="D108" i="1"/>
  <c r="D106" i="1"/>
  <c r="D104" i="1"/>
  <c r="D109" i="1"/>
  <c r="D107" i="1"/>
  <c r="D105" i="1"/>
  <c r="D103" i="1"/>
  <c r="J101" i="1"/>
  <c r="D110" i="1"/>
  <c r="J108" i="1"/>
  <c r="J106" i="1"/>
  <c r="J107" i="1"/>
  <c r="J105" i="1"/>
  <c r="J103" i="1"/>
  <c r="J104" i="1" l="1"/>
  <c r="J109" i="1" l="1"/>
  <c r="J110" i="1" s="1"/>
  <c r="C102" i="1"/>
  <c r="E101" i="1" l="1"/>
  <c r="C111" i="1" s="1"/>
  <c r="D102" i="1"/>
  <c r="I98" i="1" s="1"/>
  <c r="G101" i="1"/>
  <c r="G111" i="1" s="1"/>
  <c r="J98" i="1"/>
  <c r="I99" i="1" l="1"/>
  <c r="I97" i="1" s="1"/>
  <c r="C99" i="1" s="1"/>
</calcChain>
</file>

<file path=xl/sharedStrings.xml><?xml version="1.0" encoding="utf-8"?>
<sst xmlns="http://schemas.openxmlformats.org/spreadsheetml/2006/main" count="610" uniqueCount="274">
  <si>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</si>
  <si>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</si>
  <si>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</si>
  <si>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</si>
  <si>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</si>
  <si>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</si>
  <si>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</si>
  <si>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</si>
  <si>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</si>
  <si>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</si>
  <si>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</si>
  <si>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</si>
  <si>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</si>
  <si>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</si>
  <si>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</si>
  <si>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</si>
  <si>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</si>
  <si>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</si>
  <si>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</si>
  <si>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</si>
  <si>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</si>
  <si>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</si>
  <si>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</si>
  <si>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</si>
  <si>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</si>
  <si>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</si>
  <si>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</si>
  <si>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</si>
  <si>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</si>
  <si>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</si>
  <si>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</si>
  <si>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</si>
  <si>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</si>
  <si>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</si>
  <si>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</si>
  <si>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</si>
  <si>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</si>
  <si>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</si>
  <si>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</si>
  <si>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</si>
  <si>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</si>
  <si>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</si>
  <si>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</si>
  <si>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</si>
  <si>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</si>
  <si>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</si>
  <si>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</si>
  <si>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</si>
  <si>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</si>
  <si>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</si>
  <si>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</si>
  <si>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</si>
  <si>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</si>
  <si>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</si>
  <si>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</si>
  <si>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</si>
  <si>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</si>
  <si>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</si>
  <si>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</si>
  <si>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</si>
  <si>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</si>
  <si>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</si>
  <si>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</si>
  <si>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</si>
  <si>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</si>
  <si>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</si>
  <si>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</si>
  <si>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</si>
  <si>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</si>
  <si>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</si>
  <si>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</si>
  <si>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</si>
  <si>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</si>
  <si>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</si>
  <si>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</si>
  <si>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</si>
  <si>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</si>
  <si>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</si>
  <si>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</si>
  <si>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</si>
  <si>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</si>
  <si>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</si>
  <si>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</si>
  <si>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</si>
  <si>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</si>
  <si>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</si>
  <si>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</si>
  <si>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</si>
  <si>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</si>
  <si>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</si>
  <si>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</si>
  <si>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</si>
  <si>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</si>
  <si>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</si>
  <si>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</si>
  <si>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</si>
  <si>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</si>
  <si>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</si>
  <si>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</si>
  <si>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</si>
  <si>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</si>
  <si>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</si>
  <si>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</si>
  <si>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</si>
  <si>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</si>
  <si>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</si>
  <si>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</si>
  <si>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</si>
  <si>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</si>
  <si>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</si>
  <si>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</si>
  <si>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</si>
  <si>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</si>
  <si>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</si>
  <si>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</si>
  <si>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</si>
  <si>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</si>
  <si>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</si>
  <si>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</si>
  <si>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</si>
  <si>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</si>
  <si>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</si>
  <si>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</si>
  <si>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</si>
  <si>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</si>
  <si>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</si>
  <si>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</si>
  <si>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</si>
  <si>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</si>
  <si>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</si>
  <si>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</si>
  <si>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</si>
  <si>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</si>
  <si>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</si>
  <si>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</si>
  <si>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</si>
  <si>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</si>
  <si>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</si>
  <si>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</si>
  <si>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</si>
  <si>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</si>
  <si>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</si>
  <si>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</si>
  <si>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</si>
  <si>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</si>
  <si>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</si>
  <si>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</si>
  <si>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</si>
  <si>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</si>
  <si>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</si>
  <si>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</si>
  <si>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</si>
  <si>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</si>
  <si>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</si>
  <si>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</si>
  <si>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</si>
  <si>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</si>
  <si>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</si>
  <si>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</si>
  <si>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</si>
  <si>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</si>
  <si>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</si>
  <si>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</si>
  <si>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Flat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</si>
  <si>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</si>
  <si>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</si>
  <si>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</si>
  <si>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</si>
  <si>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</si>
  <si>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</si>
  <si>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</si>
  <si>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</si>
  <si>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</si>
  <si>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Reyansh Realty</t>
  </si>
  <si>
    <t>P51700049126</t>
  </si>
  <si>
    <t>Thane</t>
  </si>
  <si>
    <t>Mira</t>
  </si>
  <si>
    <t>Mira-Bhayandar Municipal Corporation</t>
  </si>
  <si>
    <t>As per RERA - 31/12/2027</t>
  </si>
  <si>
    <t>MBMNP/NR/4929/2022-23</t>
  </si>
  <si>
    <t>Ground Floor For Commercial</t>
  </si>
  <si>
    <t>Hall</t>
  </si>
  <si>
    <t>1st to 6th Floor</t>
  </si>
  <si>
    <t>Shop</t>
  </si>
  <si>
    <t>Lower ground, Upper ground &amp; 1st floor is provided for parking purpose.</t>
  </si>
  <si>
    <t>2nd &amp; 3rd Podium Floor For Parking</t>
  </si>
  <si>
    <t>4th, 5th, 7th to 10th, 12th to 15th Floor For Commercial</t>
  </si>
  <si>
    <t>Office</t>
  </si>
  <si>
    <t>6th, 11th &amp; 16th (Part Refuge Area)</t>
  </si>
  <si>
    <t>Refuge Area</t>
  </si>
  <si>
    <t>18th Floor For Service</t>
  </si>
  <si>
    <t>Room</t>
  </si>
  <si>
    <t>Swimming pool, Game zone, Spa, Salon, Gym, Cardio</t>
  </si>
  <si>
    <t>Wing A</t>
  </si>
  <si>
    <t>Ground Floor For Entrance Lobby, Meter Room, Panel Room, LV Room &amp; Parking</t>
  </si>
  <si>
    <t>1st to 3rd Podium Floor For Parking</t>
  </si>
  <si>
    <t>4th(E-Deck) Floor For Drivres Room, Society Office &amp; Garden</t>
  </si>
  <si>
    <t>Wing A &amp; B</t>
  </si>
  <si>
    <t>1BHK</t>
  </si>
  <si>
    <t>2BHK</t>
  </si>
  <si>
    <t>17th Floor For Conference room, Restaurant &amp; Game zone</t>
  </si>
  <si>
    <t>21st Floor For Banquet</t>
  </si>
  <si>
    <t>5th, 6th, 8th to 11th, 13th to 16th For Residential</t>
  </si>
  <si>
    <t>7th, 12th, 17th Floor (Part Refuge Area)</t>
  </si>
  <si>
    <t>22nd, 27th, 32nd Floor (Part Refuge Area)</t>
  </si>
  <si>
    <t>18th to 21st, 23rd to 26th, 28th to 31st, 33th to 35th Floor</t>
  </si>
  <si>
    <t>2BHK Duplex With 37th Floor</t>
  </si>
  <si>
    <t>37th Floor For Recreation</t>
  </si>
  <si>
    <t>Wing B</t>
  </si>
  <si>
    <t>We considered Gross carpet area = Net carpet + Balcony + Chajja Area.</t>
  </si>
  <si>
    <t>Approved Plans, CC, Cost Sheet</t>
  </si>
  <si>
    <t>04 Building</t>
  </si>
  <si>
    <t>Flats - 504, Shops - 07, Offices - 218, Hall - 07, Room - 46</t>
  </si>
  <si>
    <t>19th Floor For Swimming Pool &amp; Commercial</t>
  </si>
  <si>
    <t>20th Floor For Spa, Salon, Gym, Cardio &amp; Commercial</t>
  </si>
  <si>
    <t>Housing</t>
  </si>
  <si>
    <t>REYANSH VENTURA</t>
  </si>
  <si>
    <t>Reyansh Ventura</t>
  </si>
  <si>
    <t>Building No.1 (Reyansh Ventura) = G + 1st to 6th Floor
Building No.2 (Reyansh Ventura) = Lower Gr + Upper Gr  + 3P + 4th to 17th Floor + 18th (Service Floor) + 19th Floor
Building No.3 (A &amp; B Wing) (Luxuria) = G + 3P + 4th (E-Deck) + 5th to 37th Floor</t>
  </si>
  <si>
    <t>Building No.1 (Reyansh Ventura)</t>
  </si>
  <si>
    <t>Building No.2 (Reyansh Ventura)</t>
  </si>
  <si>
    <t>Building No.3 (Luxuria)</t>
  </si>
  <si>
    <t>4.1 KM from Mira road Railway Station</t>
  </si>
  <si>
    <t>Om Sai Mansarover complex CHS LTD</t>
  </si>
  <si>
    <t>Mashacha Pada Road</t>
  </si>
  <si>
    <t>Mira Bhayandar Road</t>
  </si>
  <si>
    <t>Shyam Lalan Building</t>
  </si>
  <si>
    <t>Rishab Plaza</t>
  </si>
  <si>
    <t>Mira (East)</t>
  </si>
  <si>
    <t>https://goo.gl/maps/EYNFhRR11N1NgL349?coh=178572&amp;entry=tt</t>
  </si>
  <si>
    <t>Building No.1 (Reyansh Ventura)
Building No.2 (Reyansh Ventura)
Building No.3 (Wing A &amp; B) (Luxuria)</t>
  </si>
  <si>
    <t>(Reyansh Ventura) Building No.1 = G + 1st to 6th Floor
(Reyansh Ventura) Building No.2 = Lower Gr + Upper Gr  + 3P + 4th to 17th Floor + 18th (Service Floor) + 19th to 21st Floor
(Luxuria) Building No.3 (A &amp; B Wing) = G + 3P + 4th (E-Deck) + 5th to 37th Floor</t>
  </si>
  <si>
    <t>(Reyansh Ventura) Building No.1 = G + 1st to 6th Floor</t>
  </si>
  <si>
    <t>(Reyansh Ventura) Building No.2 = Lower Gr + Upper Gr  + 3P + 4th to 17th Floor + 18th (Service Floor) + 19th to 21st Floor</t>
  </si>
  <si>
    <t>(Luxuria) Building No.3 (A &amp; B Wing) = G + 3P + 4th (E-Deck) + 5th to 37th Floor</t>
  </si>
  <si>
    <t xml:space="preserve">https://housing.com/in/buy/projects/page/295038-luxuria-by-reyanshp-realty-llp-in-mira-road-east </t>
  </si>
  <si>
    <t xml:space="preserve">https://www.magicbricks.com/luxuria-mira-road-east-mumbai-pdpid-4d4235333936373139 </t>
  </si>
  <si>
    <t xml:space="preserve"> Urban Grandeur Buldg - 2</t>
  </si>
  <si>
    <t>1.6KM</t>
  </si>
  <si>
    <t>9000 &amp; 20000</t>
  </si>
  <si>
    <t>55% &amp; 50%</t>
  </si>
  <si>
    <t>Survey No. (Old)</t>
  </si>
  <si>
    <t>10PT, 11PT, 177/1 &amp; New Survey No. 45/1, 65/1B, 64/2A</t>
  </si>
  <si>
    <t>Recommended rate of the Office Per Sq. Ft. (4th to 7th Floor)</t>
  </si>
  <si>
    <t>Recommended rate of the Office Per Sq. Ft. (8th to 20th Floor)</t>
  </si>
  <si>
    <t>Recommended rate of the Shop Per Sq. Ft. (Gr + 1st Floor)</t>
  </si>
  <si>
    <t>Building No.3
(Luxuria)</t>
  </si>
  <si>
    <t>Building No.2
(Reyansh Ventura)</t>
  </si>
  <si>
    <t>Sheet Inspection</t>
  </si>
  <si>
    <t>Flats</t>
  </si>
  <si>
    <t>Shops</t>
  </si>
  <si>
    <t>On carpet</t>
  </si>
  <si>
    <t>36th Floor For Residential</t>
  </si>
  <si>
    <t>Shop
Duplex With 1st floor</t>
  </si>
  <si>
    <t xml:space="preserve"> 1st Floor For Commercial (Duplex with Ground Floor)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</si>
  <si>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</si>
  <si>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19.278612,72.877816</t>
  </si>
  <si>
    <t>Other Charges</t>
  </si>
  <si>
    <t>Recommended Rates/Other Charges of the Property have been revised on 27/05/2024.</t>
  </si>
  <si>
    <t>OC cHarges Added by Trupti on 27/05/2024</t>
  </si>
  <si>
    <t>Name of the Project As per Builder</t>
  </si>
  <si>
    <t>Name of the Project As per Rera</t>
  </si>
  <si>
    <t>Vihang Luxuria</t>
  </si>
  <si>
    <t>Mr. Jitendra - 9145463833</t>
  </si>
  <si>
    <t>Reyanshp Realty LLP</t>
  </si>
  <si>
    <t>All work completed. Provide OC</t>
  </si>
  <si>
    <t>Average (Part I &amp; II)
Progress %</t>
  </si>
  <si>
    <t>Average (Part I, II)
Disbursement %</t>
  </si>
  <si>
    <t>Part I (Reyansh Ventura) Building No.2 = Lower Gr + Upper Gr  + 3P + 4th to 17th Floor + 18th (Service Floor) + 19th to 21st Floor</t>
  </si>
  <si>
    <t>Part II (Reyansh Ventura) Building No.2 = Lower Gr + Upper Gr  + 3P + 4th to 17th Floor + 18th (Service Floor) + 19th to 21st Floor</t>
  </si>
  <si>
    <t>Mr. Sanjay : 8689920816</t>
  </si>
  <si>
    <t>Gaurav Panchal</t>
  </si>
  <si>
    <t>Ranjan Sharma</t>
  </si>
  <si>
    <t>Building No.1 = All work completed. Provide OC
Building No.2 = Construction work is same as last visit dtd. 05/04/2025 but work is in process. (Slow speed).
Building No. 3 = 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</si>
</sst>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26" fillId="0" borderId="0" xfId="10"/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7" fillId="0" borderId="0" xfId="0" applyFont="1" applyBorder="1" applyProtection="1">
      <protection hidden="1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7" fillId="0" borderId="36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center" wrapText="1"/>
      <protection locked="0"/>
    </xf>
    <xf numFmtId="1" fontId="8" fillId="0" borderId="34" xfId="0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0" fillId="3" borderId="37" xfId="1" applyFont="1" applyFill="1" applyBorder="1" applyAlignment="1" applyProtection="1">
      <alignment horizontal="center" vertical="center" wrapText="1"/>
      <protection locked="0"/>
    </xf>
    <xf numFmtId="0" fontId="10" fillId="3" borderId="29" xfId="1" applyFont="1" applyFill="1" applyBorder="1" applyAlignment="1" applyProtection="1">
      <alignment horizontal="center" vertical="center" wrapText="1"/>
      <protection locked="0"/>
    </xf>
    <xf numFmtId="9" fontId="10" fillId="3" borderId="16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16" xfId="1" applyFont="1" applyFill="1" applyBorder="1" applyAlignment="1" applyProtection="1">
      <alignment horizontal="center" vertical="center" wrapText="1"/>
      <protection locked="0"/>
    </xf>
    <xf numFmtId="9" fontId="10" fillId="3" borderId="11" xfId="8" applyFont="1" applyFill="1" applyBorder="1" applyAlignment="1" applyProtection="1">
      <alignment horizontal="center" vertical="center" wrapText="1"/>
      <protection locked="0"/>
    </xf>
    <xf numFmtId="9" fontId="10" fillId="3" borderId="16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13" fillId="0" borderId="38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9" fontId="13" fillId="0" borderId="8" xfId="1" applyNumberFormat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9" fontId="8" fillId="0" borderId="8" xfId="1" applyNumberFormat="1" applyFont="1" applyBorder="1" applyAlignment="1" applyProtection="1">
      <alignment horizontal="center" vertical="top"/>
      <protection locked="0"/>
    </xf>
    <xf numFmtId="0" fontId="8" fillId="0" borderId="39" xfId="1" applyFont="1" applyBorder="1" applyAlignment="1" applyProtection="1">
      <alignment horizontal="center" vertical="top"/>
      <protection locked="0"/>
    </xf>
    <xf numFmtId="0" fontId="7" fillId="0" borderId="40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16" xfId="1" applyFont="1" applyBorder="1" applyAlignment="1" applyProtection="1">
      <alignment horizontal="center" vertical="top" wrapText="1"/>
      <protection locked="0"/>
    </xf>
    <xf numFmtId="0" fontId="7" fillId="0" borderId="41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42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248480</xdr:colOff>
      <xdr:row>13</xdr:row>
      <xdr:rowOff>165276</xdr:rowOff>
    </xdr:from>
    <xdr:to>
      <xdr:col>11</xdr:col>
      <xdr:colOff>75833</xdr:colOff>
      <xdr:row>21</xdr:row>
      <xdr:rowOff>123608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66893" y="3370646"/>
          <a:ext cx="3339179" cy="2153223"/>
        </a:xfrm>
        <a:prstGeom prst="rect">
          <a:avLst/>
        </a:prstGeom>
      </xdr:spPr>
    </xdr:pic>
    <xdr:clientData/>
  </xdr:twoCellAnchor>
  <xdr:twoCellAnchor editAs="oneCell">
    <xdr:from>
      <xdr:col>8</xdr:col>
      <xdr:colOff>86593</xdr:colOff>
      <xdr:row>22</xdr:row>
      <xdr:rowOff>188994</xdr:rowOff>
    </xdr:from>
    <xdr:to>
      <xdr:col>11</xdr:col>
      <xdr:colOff>787790</xdr:colOff>
      <xdr:row>26</xdr:row>
      <xdr:rowOff>85626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5006" y="5779755"/>
          <a:ext cx="4213023" cy="716611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331936</xdr:colOff>
      <xdr:row>470</xdr:row>
      <xdr:rowOff>18071</xdr:rowOff>
    </xdr:from>
    <xdr:to>
      <xdr:col>5</xdr:col>
      <xdr:colOff>524327</xdr:colOff>
      <xdr:row>484</xdr:row>
      <xdr:rowOff>115116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7349" y="92211788"/>
          <a:ext cx="2760000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480393</xdr:colOff>
      <xdr:row>451</xdr:row>
      <xdr:rowOff>16565</xdr:rowOff>
    </xdr:from>
    <xdr:to>
      <xdr:col>6</xdr:col>
      <xdr:colOff>361848</xdr:colOff>
      <xdr:row>469</xdr:row>
      <xdr:rowOff>38477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2393" y="88433413"/>
          <a:ext cx="4031042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4</xdr:col>
      <xdr:colOff>194508</xdr:colOff>
      <xdr:row>453</xdr:row>
      <xdr:rowOff>51610</xdr:rowOff>
    </xdr:from>
    <xdr:to>
      <xdr:col>4</xdr:col>
      <xdr:colOff>633487</xdr:colOff>
      <xdr:row>454</xdr:row>
      <xdr:rowOff>106334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18094572">
          <a:off x="3641701" y="88773287"/>
          <a:ext cx="253507" cy="43897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223633</xdr:colOff>
      <xdr:row>463</xdr:row>
      <xdr:rowOff>86209</xdr:rowOff>
    </xdr:from>
    <xdr:to>
      <xdr:col>5</xdr:col>
      <xdr:colOff>16567</xdr:colOff>
      <xdr:row>465</xdr:row>
      <xdr:rowOff>182218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3144944" y="90377376"/>
          <a:ext cx="493574" cy="1515717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157370</xdr:colOff>
      <xdr:row>455</xdr:row>
      <xdr:rowOff>41414</xdr:rowOff>
    </xdr:from>
    <xdr:to>
      <xdr:col>5</xdr:col>
      <xdr:colOff>728871</xdr:colOff>
      <xdr:row>460</xdr:row>
      <xdr:rowOff>99392</xdr:rowOff>
    </xdr:to>
    <xdr:sp macro="" textlink="">
      <xdr:nvSpPr>
        <xdr:cNvPr id="17" name="Freefor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11827" y="89253392"/>
          <a:ext cx="1350066" cy="1051891"/>
        </a:xfrm>
        <a:custGeom>
          <a:avLst/>
          <a:gdLst>
            <a:gd name="connsiteX0" fmla="*/ 513522 w 1350066"/>
            <a:gd name="connsiteY0" fmla="*/ 281608 h 1051891"/>
            <a:gd name="connsiteX1" fmla="*/ 728870 w 1350066"/>
            <a:gd name="connsiteY1" fmla="*/ 0 h 1051891"/>
            <a:gd name="connsiteX2" fmla="*/ 1350066 w 1350066"/>
            <a:gd name="connsiteY2" fmla="*/ 488674 h 1051891"/>
            <a:gd name="connsiteX3" fmla="*/ 927653 w 1350066"/>
            <a:gd name="connsiteY3" fmla="*/ 1035326 h 1051891"/>
            <a:gd name="connsiteX4" fmla="*/ 0 w 1350066"/>
            <a:gd name="connsiteY4" fmla="*/ 1051891 h 1051891"/>
            <a:gd name="connsiteX5" fmla="*/ 16566 w 1350066"/>
            <a:gd name="connsiteY5" fmla="*/ 737152 h 1051891"/>
            <a:gd name="connsiteX6" fmla="*/ 745435 w 1350066"/>
            <a:gd name="connsiteY6" fmla="*/ 712304 h 1051891"/>
            <a:gd name="connsiteX7" fmla="*/ 811696 w 1350066"/>
            <a:gd name="connsiteY7" fmla="*/ 662608 h 1051891"/>
            <a:gd name="connsiteX8" fmla="*/ 513522 w 1350066"/>
            <a:gd name="connsiteY8" fmla="*/ 281608 h 105189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1350066" h="1051891">
              <a:moveTo>
                <a:pt x="513522" y="281608"/>
              </a:moveTo>
              <a:lnTo>
                <a:pt x="728870" y="0"/>
              </a:lnTo>
              <a:lnTo>
                <a:pt x="1350066" y="488674"/>
              </a:lnTo>
              <a:lnTo>
                <a:pt x="927653" y="1035326"/>
              </a:lnTo>
              <a:lnTo>
                <a:pt x="0" y="1051891"/>
              </a:lnTo>
              <a:lnTo>
                <a:pt x="16566" y="737152"/>
              </a:lnTo>
              <a:lnTo>
                <a:pt x="745435" y="712304"/>
              </a:lnTo>
              <a:lnTo>
                <a:pt x="811696" y="662608"/>
              </a:lnTo>
              <a:lnTo>
                <a:pt x="513522" y="281608"/>
              </a:lnTo>
              <a:close/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91111</xdr:colOff>
      <xdr:row>452</xdr:row>
      <xdr:rowOff>91109</xdr:rowOff>
    </xdr:from>
    <xdr:to>
      <xdr:col>5</xdr:col>
      <xdr:colOff>323024</xdr:colOff>
      <xdr:row>453</xdr:row>
      <xdr:rowOff>115957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2103521">
          <a:off x="3445568" y="88706739"/>
          <a:ext cx="1010478" cy="22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No.1</a:t>
          </a:r>
        </a:p>
      </xdr:txBody>
    </xdr:sp>
    <xdr:clientData/>
  </xdr:twoCellAnchor>
  <xdr:twoCellAnchor>
    <xdr:from>
      <xdr:col>5</xdr:col>
      <xdr:colOff>57980</xdr:colOff>
      <xdr:row>455</xdr:row>
      <xdr:rowOff>57979</xdr:rowOff>
    </xdr:from>
    <xdr:to>
      <xdr:col>6</xdr:col>
      <xdr:colOff>289893</xdr:colOff>
      <xdr:row>456</xdr:row>
      <xdr:rowOff>82827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rot="2078065">
          <a:off x="4191002" y="89269957"/>
          <a:ext cx="1010478" cy="223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No.2</a:t>
          </a:r>
        </a:p>
      </xdr:txBody>
    </xdr:sp>
    <xdr:clientData/>
  </xdr:twoCellAnchor>
  <xdr:twoCellAnchor>
    <xdr:from>
      <xdr:col>3</xdr:col>
      <xdr:colOff>530089</xdr:colOff>
      <xdr:row>462</xdr:row>
      <xdr:rowOff>41411</xdr:rowOff>
    </xdr:from>
    <xdr:to>
      <xdr:col>4</xdr:col>
      <xdr:colOff>596349</xdr:colOff>
      <xdr:row>463</xdr:row>
      <xdr:rowOff>66261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940328" y="90644868"/>
          <a:ext cx="1010478" cy="223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No.3</a:t>
          </a:r>
        </a:p>
      </xdr:txBody>
    </xdr:sp>
    <xdr:clientData/>
  </xdr:twoCellAnchor>
  <xdr:twoCellAnchor editAs="oneCell">
    <xdr:from>
      <xdr:col>8</xdr:col>
      <xdr:colOff>149089</xdr:colOff>
      <xdr:row>56</xdr:row>
      <xdr:rowOff>356153</xdr:rowOff>
    </xdr:from>
    <xdr:to>
      <xdr:col>11</xdr:col>
      <xdr:colOff>82079</xdr:colOff>
      <xdr:row>60</xdr:row>
      <xdr:rowOff>180562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02" y="13840240"/>
          <a:ext cx="3444816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335328</xdr:colOff>
      <xdr:row>509</xdr:row>
      <xdr:rowOff>88576</xdr:rowOff>
    </xdr:from>
    <xdr:to>
      <xdr:col>6</xdr:col>
      <xdr:colOff>394972</xdr:colOff>
      <xdr:row>523</xdr:row>
      <xdr:rowOff>185619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7328" y="100233598"/>
          <a:ext cx="4209231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314740</xdr:colOff>
      <xdr:row>494</xdr:row>
      <xdr:rowOff>16565</xdr:rowOff>
    </xdr:from>
    <xdr:to>
      <xdr:col>6</xdr:col>
      <xdr:colOff>415562</xdr:colOff>
      <xdr:row>508</xdr:row>
      <xdr:rowOff>113611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6740" y="97179848"/>
          <a:ext cx="4250409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579781</xdr:colOff>
      <xdr:row>520</xdr:row>
      <xdr:rowOff>124239</xdr:rowOff>
    </xdr:from>
    <xdr:to>
      <xdr:col>4</xdr:col>
      <xdr:colOff>223630</xdr:colOff>
      <xdr:row>523</xdr:row>
      <xdr:rowOff>66260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45194" y="102455869"/>
          <a:ext cx="1432893" cy="538369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234808</xdr:colOff>
      <xdr:row>513</xdr:row>
      <xdr:rowOff>134883</xdr:rowOff>
    </xdr:from>
    <xdr:to>
      <xdr:col>5</xdr:col>
      <xdr:colOff>112730</xdr:colOff>
      <xdr:row>518</xdr:row>
      <xdr:rowOff>191132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 rot="2076108">
          <a:off x="3589265" y="101075035"/>
          <a:ext cx="656487" cy="1050162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113697</xdr:colOff>
      <xdr:row>511</xdr:row>
      <xdr:rowOff>152698</xdr:rowOff>
    </xdr:from>
    <xdr:to>
      <xdr:col>4</xdr:col>
      <xdr:colOff>505967</xdr:colOff>
      <xdr:row>513</xdr:row>
      <xdr:rowOff>155231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 rot="2208056">
          <a:off x="3468154" y="100695285"/>
          <a:ext cx="392270" cy="400098"/>
        </a:xfrm>
        <a:prstGeom prst="rect">
          <a:avLst/>
        </a:prstGeom>
        <a:noFill/>
        <a:ln w="190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107674</xdr:colOff>
      <xdr:row>27</xdr:row>
      <xdr:rowOff>24848</xdr:rowOff>
    </xdr:from>
    <xdr:to>
      <xdr:col>11</xdr:col>
      <xdr:colOff>325260</xdr:colOff>
      <xdr:row>36</xdr:row>
      <xdr:rowOff>72887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6087" y="6634370"/>
          <a:ext cx="3729412" cy="1828800"/>
        </a:xfrm>
        <a:prstGeom prst="rect">
          <a:avLst/>
        </a:prstGeom>
      </xdr:spPr>
    </xdr:pic>
    <xdr:clientData/>
  </xdr:twoCellAnchor>
  <xdr:twoCellAnchor editAs="oneCell">
    <xdr:from>
      <xdr:col>9</xdr:col>
      <xdr:colOff>239781</xdr:colOff>
      <xdr:row>137</xdr:row>
      <xdr:rowOff>109744</xdr:rowOff>
    </xdr:from>
    <xdr:to>
      <xdr:col>12</xdr:col>
      <xdr:colOff>581498</xdr:colOff>
      <xdr:row>143</xdr:row>
      <xdr:rowOff>118856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8955" y="27152461"/>
          <a:ext cx="2892760" cy="1831285"/>
        </a:xfrm>
        <a:prstGeom prst="rect">
          <a:avLst/>
        </a:prstGeom>
      </xdr:spPr>
    </xdr:pic>
    <xdr:clientData/>
  </xdr:twoCellAnchor>
  <xdr:twoCellAnchor>
    <xdr:from>
      <xdr:col>8</xdr:col>
      <xdr:colOff>1151283</xdr:colOff>
      <xdr:row>392</xdr:row>
      <xdr:rowOff>157368</xdr:rowOff>
    </xdr:from>
    <xdr:to>
      <xdr:col>10</xdr:col>
      <xdr:colOff>356153</xdr:colOff>
      <xdr:row>395</xdr:row>
      <xdr:rowOff>33129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669696" y="84002216"/>
          <a:ext cx="1747631" cy="463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No.3 (Wing A &amp; B) (Luxuria)</a:t>
          </a:r>
        </a:p>
      </xdr:txBody>
    </xdr:sp>
    <xdr:clientData/>
  </xdr:twoCellAnchor>
  <xdr:twoCellAnchor>
    <xdr:from>
      <xdr:col>8</xdr:col>
      <xdr:colOff>1643268</xdr:colOff>
      <xdr:row>403</xdr:row>
      <xdr:rowOff>162194</xdr:rowOff>
    </xdr:from>
    <xdr:to>
      <xdr:col>11</xdr:col>
      <xdr:colOff>674203</xdr:colOff>
      <xdr:row>405</xdr:row>
      <xdr:rowOff>37955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161681" y="86185368"/>
          <a:ext cx="2542761" cy="2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No.1 &amp; 2 (Reyansh Ventura)</a:t>
          </a:r>
        </a:p>
      </xdr:txBody>
    </xdr:sp>
    <xdr:clientData/>
  </xdr:twoCellAnchor>
  <xdr:twoCellAnchor>
    <xdr:from>
      <xdr:col>8</xdr:col>
      <xdr:colOff>1179442</xdr:colOff>
      <xdr:row>400</xdr:row>
      <xdr:rowOff>71084</xdr:rowOff>
    </xdr:from>
    <xdr:to>
      <xdr:col>10</xdr:col>
      <xdr:colOff>670890</xdr:colOff>
      <xdr:row>401</xdr:row>
      <xdr:rowOff>145629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697855" y="86715454"/>
          <a:ext cx="2034209" cy="27332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00" b="1"/>
            <a:t>Building No.1  (Reyansh Ventura)</a:t>
          </a:r>
        </a:p>
      </xdr:txBody>
    </xdr:sp>
    <xdr:clientData/>
  </xdr:twoCellAnchor>
  <xdr:twoCellAnchor>
    <xdr:from>
      <xdr:col>9</xdr:col>
      <xdr:colOff>0</xdr:colOff>
      <xdr:row>417</xdr:row>
      <xdr:rowOff>129210</xdr:rowOff>
    </xdr:from>
    <xdr:to>
      <xdr:col>11</xdr:col>
      <xdr:colOff>9388</xdr:colOff>
      <xdr:row>419</xdr:row>
      <xdr:rowOff>195470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712200" y="92959860"/>
          <a:ext cx="1825488" cy="4599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Building No.3 (Wing A &amp; B) (Luxuria)</a:t>
          </a:r>
        </a:p>
      </xdr:txBody>
    </xdr:sp>
    <xdr:clientData/>
  </xdr:twoCellAnchor>
  <xdr:oneCellAnchor>
    <xdr:from>
      <xdr:col>10</xdr:col>
      <xdr:colOff>303558</xdr:colOff>
      <xdr:row>404</xdr:row>
      <xdr:rowOff>173108</xdr:rowOff>
    </xdr:from>
    <xdr:ext cx="535596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815858" y="90444708"/>
          <a:ext cx="535596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chemeClr val="tx1"/>
              </a:solidFill>
            </a:rPr>
            <a:t>Part II</a:t>
          </a:r>
        </a:p>
      </xdr:txBody>
    </xdr:sp>
    <xdr:clientData/>
  </xdr:oneCellAnchor>
  <xdr:twoCellAnchor>
    <xdr:from>
      <xdr:col>10</xdr:col>
      <xdr:colOff>598833</xdr:colOff>
      <xdr:row>402</xdr:row>
      <xdr:rowOff>163583</xdr:rowOff>
    </xdr:from>
    <xdr:to>
      <xdr:col>11</xdr:col>
      <xdr:colOff>354358</xdr:colOff>
      <xdr:row>404</xdr:row>
      <xdr:rowOff>135008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 flipV="1">
          <a:off x="10111133" y="90041483"/>
          <a:ext cx="771525" cy="3651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199610</xdr:colOff>
      <xdr:row>397</xdr:row>
      <xdr:rowOff>114853</xdr:rowOff>
    </xdr:from>
    <xdr:ext cx="497957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2410660" y="89008503"/>
          <a:ext cx="497957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chemeClr val="tx1"/>
              </a:solidFill>
            </a:rPr>
            <a:t>Part I</a:t>
          </a:r>
        </a:p>
      </xdr:txBody>
    </xdr:sp>
    <xdr:clientData/>
  </xdr:oneCellAnchor>
  <xdr:twoCellAnchor>
    <xdr:from>
      <xdr:col>12</xdr:col>
      <xdr:colOff>729835</xdr:colOff>
      <xdr:row>398</xdr:row>
      <xdr:rowOff>50283</xdr:rowOff>
    </xdr:from>
    <xdr:to>
      <xdr:col>13</xdr:col>
      <xdr:colOff>199610</xdr:colOff>
      <xdr:row>399</xdr:row>
      <xdr:rowOff>145361</xdr:rowOff>
    </xdr:to>
    <xdr:cxnSp macro="">
      <xdr:nvCxnSpPr>
        <xdr:cNvPr id="67" name="Straight Arrow Connector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stCxn id="66" idx="1"/>
        </xdr:cNvCxnSpPr>
      </xdr:nvCxnSpPr>
      <xdr:spPr>
        <a:xfrm flipH="1">
          <a:off x="12115385" y="89140783"/>
          <a:ext cx="295275" cy="29192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506067</xdr:colOff>
      <xdr:row>397</xdr:row>
      <xdr:rowOff>155024</xdr:rowOff>
    </xdr:from>
    <xdr:ext cx="549966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4279217" y="89048674"/>
          <a:ext cx="549966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IN" sz="1100" b="1">
              <a:solidFill>
                <a:schemeClr val="tx1"/>
              </a:solidFill>
            </a:rPr>
            <a:t>Part II</a:t>
          </a:r>
        </a:p>
      </xdr:txBody>
    </xdr:sp>
    <xdr:clientData/>
  </xdr:oneCellAnchor>
  <xdr:twoCellAnchor>
    <xdr:from>
      <xdr:col>15</xdr:col>
      <xdr:colOff>46383</xdr:colOff>
      <xdr:row>398</xdr:row>
      <xdr:rowOff>90454</xdr:rowOff>
    </xdr:from>
    <xdr:to>
      <xdr:col>15</xdr:col>
      <xdr:colOff>506067</xdr:colOff>
      <xdr:row>401</xdr:row>
      <xdr:rowOff>106433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stCxn id="68" idx="1"/>
        </xdr:cNvCxnSpPr>
      </xdr:nvCxnSpPr>
      <xdr:spPr>
        <a:xfrm flipH="1">
          <a:off x="13819533" y="89180954"/>
          <a:ext cx="459684" cy="6065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392</xdr:row>
      <xdr:rowOff>104775</xdr:rowOff>
    </xdr:from>
    <xdr:to>
      <xdr:col>15</xdr:col>
      <xdr:colOff>15052</xdr:colOff>
      <xdr:row>446</xdr:row>
      <xdr:rowOff>196689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7012214" y="88918596"/>
          <a:ext cx="6120124" cy="8038486"/>
          <a:chOff x="184150" y="87991950"/>
          <a:chExt cx="6406327" cy="7762714"/>
        </a:xfrm>
      </xdr:grpSpPr>
      <xdr:pic>
        <xdr:nvPicPr>
          <xdr:cNvPr id="70" name="Picture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2164" y="935946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9359466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3670" y="90793307"/>
            <a:ext cx="359666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482" y="87991950"/>
            <a:ext cx="3596666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3482" y="90793307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67445" y="879919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07667" y="9359466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7" name="TextBox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/>
        </xdr:nvSpPr>
        <xdr:spPr>
          <a:xfrm>
            <a:off x="1718882" y="88487250"/>
            <a:ext cx="2312779" cy="2682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chemeClr val="tx1"/>
                </a:solidFill>
              </a:rPr>
              <a:t>Building No.2 (Reyansh Ventura)</a:t>
            </a:r>
          </a:p>
        </xdr:txBody>
      </xdr:sp>
      <xdr:sp macro="" textlink="">
        <xdr:nvSpPr>
          <xdr:cNvPr id="78" name="TextBox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2750342" y="88831808"/>
            <a:ext cx="497957" cy="26456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ysClr val="windowText" lastClr="000000"/>
                </a:solidFill>
              </a:rPr>
              <a:t>Part I</a:t>
            </a:r>
          </a:p>
        </xdr:txBody>
      </xdr:sp>
      <xdr:cxnSp macro="">
        <xdr:nvCxnSpPr>
          <xdr:cNvPr id="79" name="Straight Arrow Connector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CxnSpPr>
            <a:stCxn id="78" idx="2"/>
          </xdr:cNvCxnSpPr>
        </xdr:nvCxnSpPr>
        <xdr:spPr>
          <a:xfrm flipH="1">
            <a:off x="2616200" y="89096368"/>
            <a:ext cx="383121" cy="406882"/>
          </a:xfrm>
          <a:prstGeom prst="straightConnector1">
            <a:avLst/>
          </a:prstGeom>
          <a:ln w="28575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1" name="TextBox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 txBox="1"/>
        </xdr:nvSpPr>
        <xdr:spPr>
          <a:xfrm>
            <a:off x="5069937" y="89465150"/>
            <a:ext cx="708563" cy="264560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1">
                <a:solidFill>
                  <a:sysClr val="windowText" lastClr="000000"/>
                </a:solidFill>
              </a:rPr>
              <a:t>Part II</a:t>
            </a:r>
          </a:p>
        </xdr:txBody>
      </xdr:sp>
      <xdr:cxnSp macro="">
        <xdr:nvCxnSpPr>
          <xdr:cNvPr id="82" name="Straight Arrow Connector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/>
        </xdr:nvCxnSpPr>
        <xdr:spPr>
          <a:xfrm flipV="1">
            <a:off x="5302250" y="89217500"/>
            <a:ext cx="158750" cy="266700"/>
          </a:xfrm>
          <a:prstGeom prst="straightConnector1">
            <a:avLst/>
          </a:prstGeom>
          <a:ln w="12700">
            <a:solidFill>
              <a:srgbClr val="FFFF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>
          <a:xfrm>
            <a:off x="4732595" y="88176100"/>
            <a:ext cx="1401505" cy="4572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chemeClr val="tx1"/>
                </a:solidFill>
              </a:rPr>
              <a:t>Building No.2 (Reyansh Ventura)</a:t>
            </a:r>
          </a:p>
        </xdr:txBody>
      </xdr:sp>
      <xdr:sp macro="" textlink="">
        <xdr:nvSpPr>
          <xdr:cNvPr id="84" name="TextBox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 txBox="1"/>
        </xdr:nvSpPr>
        <xdr:spPr>
          <a:xfrm>
            <a:off x="626682" y="90812357"/>
            <a:ext cx="1833770" cy="459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Building No.3 (Wing A &amp; B) (Luxuria)</a:t>
            </a: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3939870" y="92317307"/>
            <a:ext cx="1833770" cy="459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>
                <a:solidFill>
                  <a:srgbClr val="FFFF00"/>
                </a:solidFill>
              </a:rPr>
              <a:t>Building No.3 (Wing A &amp; B) (Luxuria)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184150" y="93594664"/>
            <a:ext cx="1833770" cy="459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Building No.3 (Wing A &amp; B) (Luxuria)</a:t>
            </a:r>
          </a:p>
        </xdr:txBody>
      </xdr:sp>
    </xdr:grpSp>
    <xdr:clientData/>
  </xdr:twoCellAnchor>
  <xdr:twoCellAnchor>
    <xdr:from>
      <xdr:col>0</xdr:col>
      <xdr:colOff>504825</xdr:colOff>
      <xdr:row>392</xdr:row>
      <xdr:rowOff>114300</xdr:rowOff>
    </xdr:from>
    <xdr:to>
      <xdr:col>7</xdr:col>
      <xdr:colOff>364133</xdr:colOff>
      <xdr:row>447</xdr:row>
      <xdr:rowOff>119916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7D2E04CF-F3D5-4230-8F57-2B37D6AA83E5}"/>
            </a:ext>
          </a:extLst>
        </xdr:cNvPr>
        <xdr:cNvGrpSpPr/>
      </xdr:nvGrpSpPr>
      <xdr:grpSpPr>
        <a:xfrm>
          <a:off x="504825" y="88928121"/>
          <a:ext cx="5533487" cy="8156295"/>
          <a:chOff x="729000" y="268940"/>
          <a:chExt cx="5555258" cy="7997091"/>
        </a:xfrm>
      </xdr:grpSpPr>
      <xdr:grpSp>
        <xdr:nvGrpSpPr>
          <xdr:cNvPr id="49" name="Group 48">
            <a:extLst>
              <a:ext uri="{FF2B5EF4-FFF2-40B4-BE49-F238E27FC236}">
                <a16:creationId xmlns:a16="http://schemas.microsoft.com/office/drawing/2014/main" id="{CF5E0E1A-DE03-46DC-8224-AA7FC1C09541}"/>
              </a:ext>
            </a:extLst>
          </xdr:cNvPr>
          <xdr:cNvGrpSpPr/>
        </xdr:nvGrpSpPr>
        <xdr:grpSpPr>
          <a:xfrm>
            <a:off x="729000" y="268940"/>
            <a:ext cx="5555258" cy="7997091"/>
            <a:chOff x="729000" y="268940"/>
            <a:chExt cx="5555258" cy="7997091"/>
          </a:xfrm>
        </xdr:grpSpPr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9A4EF330-6F7D-4020-AF17-EAC6989B8EB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279000" y="718941"/>
              <a:ext cx="3600000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931AA3A1-5764-43E1-9230-5DF8B769531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3134258" y="718940"/>
              <a:ext cx="3600000" cy="27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52BBE214-8680-4002-96BB-3DEF414D6DA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611896" y="4357486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63322F49-1C99-4A0F-BC08-AEBBACDB42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2432542" y="4357486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EB70B14E-86BF-47CE-8BAB-3A80D2674A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4253188" y="4357486"/>
              <a:ext cx="2160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0" name="Picture 79">
              <a:extLst>
                <a:ext uri="{FF2B5EF4-FFF2-40B4-BE49-F238E27FC236}">
                  <a16:creationId xmlns:a16="http://schemas.microsoft.com/office/drawing/2014/main" id="{D9ECB16F-E74E-4A87-8BAF-30271CA8CB5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16200000">
              <a:off x="1854000" y="6691031"/>
              <a:ext cx="1800000" cy="135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87" name="Picture 86">
              <a:extLst>
                <a:ext uri="{FF2B5EF4-FFF2-40B4-BE49-F238E27FC236}">
                  <a16:creationId xmlns:a16="http://schemas.microsoft.com/office/drawing/2014/main" id="{15320919-2834-4C47-BA97-B623FA32A0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 rot="5400000">
              <a:off x="3359258" y="6691031"/>
              <a:ext cx="1800000" cy="135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50" name="TextBox 18">
            <a:extLst>
              <a:ext uri="{FF2B5EF4-FFF2-40B4-BE49-F238E27FC236}">
                <a16:creationId xmlns:a16="http://schemas.microsoft.com/office/drawing/2014/main" id="{B70822BA-39E9-4A85-B6A0-C6595C378CDD}"/>
              </a:ext>
            </a:extLst>
          </xdr:cNvPr>
          <xdr:cNvSpPr txBox="1"/>
        </xdr:nvSpPr>
        <xdr:spPr>
          <a:xfrm>
            <a:off x="2702542" y="1293868"/>
            <a:ext cx="74924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1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51" name="Straight Arrow Connector 50">
            <a:extLst>
              <a:ext uri="{FF2B5EF4-FFF2-40B4-BE49-F238E27FC236}">
                <a16:creationId xmlns:a16="http://schemas.microsoft.com/office/drawing/2014/main" id="{146942DA-28DE-4A09-AB73-5E9967F13C36}"/>
              </a:ext>
            </a:extLst>
          </xdr:cNvPr>
          <xdr:cNvCxnSpPr/>
        </xdr:nvCxnSpPr>
        <xdr:spPr>
          <a:xfrm>
            <a:off x="2941320" y="1663200"/>
            <a:ext cx="341276" cy="395972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4" name="TextBox 21">
            <a:extLst>
              <a:ext uri="{FF2B5EF4-FFF2-40B4-BE49-F238E27FC236}">
                <a16:creationId xmlns:a16="http://schemas.microsoft.com/office/drawing/2014/main" id="{652EF0E3-B0A1-42B1-A1E1-6E23DF99A006}"/>
              </a:ext>
            </a:extLst>
          </xdr:cNvPr>
          <xdr:cNvSpPr txBox="1"/>
        </xdr:nvSpPr>
        <xdr:spPr>
          <a:xfrm>
            <a:off x="2004756" y="1075323"/>
            <a:ext cx="74924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Part 2</a:t>
            </a:r>
            <a:endParaRPr lang="en-IN" b="1">
              <a:solidFill>
                <a:srgbClr val="FF0000"/>
              </a:solidFill>
            </a:endParaRPr>
          </a:p>
        </xdr:txBody>
      </xdr:sp>
      <xdr:cxnSp macro="">
        <xdr:nvCxnSpPr>
          <xdr:cNvPr id="55" name="Straight Arrow Connector 54">
            <a:extLst>
              <a:ext uri="{FF2B5EF4-FFF2-40B4-BE49-F238E27FC236}">
                <a16:creationId xmlns:a16="http://schemas.microsoft.com/office/drawing/2014/main" id="{0998235C-8893-4C8B-A5D4-81E6D705EE00}"/>
              </a:ext>
            </a:extLst>
          </xdr:cNvPr>
          <xdr:cNvCxnSpPr/>
        </xdr:nvCxnSpPr>
        <xdr:spPr>
          <a:xfrm>
            <a:off x="2313922" y="1391569"/>
            <a:ext cx="99060" cy="405740"/>
          </a:xfrm>
          <a:prstGeom prst="straightConnector1">
            <a:avLst/>
          </a:prstGeom>
          <a:ln w="28575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6" name="TextBox 23">
            <a:extLst>
              <a:ext uri="{FF2B5EF4-FFF2-40B4-BE49-F238E27FC236}">
                <a16:creationId xmlns:a16="http://schemas.microsoft.com/office/drawing/2014/main" id="{FD80A801-BC85-4EAE-ACE1-ADA307448223}"/>
              </a:ext>
            </a:extLst>
          </xdr:cNvPr>
          <xdr:cNvSpPr txBox="1"/>
        </xdr:nvSpPr>
        <xdr:spPr>
          <a:xfrm>
            <a:off x="3747695" y="1022237"/>
            <a:ext cx="1752403" cy="64314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Bldg No. 3 A &amp; B</a:t>
            </a:r>
          </a:p>
          <a:p>
            <a:r>
              <a:rPr lang="en-US" b="1">
                <a:solidFill>
                  <a:srgbClr val="FF0000"/>
                </a:solidFill>
              </a:rPr>
              <a:t>(Luxuria)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</xdr:col>
      <xdr:colOff>142874</xdr:colOff>
      <xdr:row>392</xdr:row>
      <xdr:rowOff>104775</xdr:rowOff>
    </xdr:from>
    <xdr:to>
      <xdr:col>3</xdr:col>
      <xdr:colOff>819150</xdr:colOff>
      <xdr:row>394</xdr:row>
      <xdr:rowOff>74057</xdr:rowOff>
    </xdr:to>
    <xdr:sp macro="" textlink="">
      <xdr:nvSpPr>
        <xdr:cNvPr id="88" name="TextBox 21">
          <a:extLst>
            <a:ext uri="{FF2B5EF4-FFF2-40B4-BE49-F238E27FC236}">
              <a16:creationId xmlns:a16="http://schemas.microsoft.com/office/drawing/2014/main" id="{DEB40A8C-FAD5-46F6-A48E-9642FA191F22}"/>
            </a:ext>
          </a:extLst>
        </xdr:cNvPr>
        <xdr:cNvSpPr txBox="1"/>
      </xdr:nvSpPr>
      <xdr:spPr>
        <a:xfrm>
          <a:off x="904874" y="87601425"/>
          <a:ext cx="2324101" cy="36933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FF0000"/>
              </a:solidFill>
            </a:rPr>
            <a:t>Bldg</a:t>
          </a:r>
          <a:r>
            <a:rPr lang="en-US" b="1" baseline="0">
              <a:solidFill>
                <a:srgbClr val="FF0000"/>
              </a:solidFill>
            </a:rPr>
            <a:t> No. 2</a:t>
          </a:r>
        </a:p>
        <a:p>
          <a:r>
            <a:rPr lang="en-US" b="1" baseline="0">
              <a:solidFill>
                <a:srgbClr val="FF0000"/>
              </a:solidFill>
            </a:rPr>
            <a:t>(Reyansh Ventura)</a:t>
          </a:r>
          <a:endParaRPr lang="en-IN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681718</xdr:colOff>
      <xdr:row>419</xdr:row>
      <xdr:rowOff>46263</xdr:rowOff>
    </xdr:from>
    <xdr:to>
      <xdr:col>3</xdr:col>
      <xdr:colOff>18789</xdr:colOff>
      <xdr:row>437</xdr:row>
      <xdr:rowOff>89890</xdr:rowOff>
    </xdr:to>
    <xdr:sp macro="" textlink="">
      <xdr:nvSpPr>
        <xdr:cNvPr id="89" name="TextBox 23">
          <a:extLst>
            <a:ext uri="{FF2B5EF4-FFF2-40B4-BE49-F238E27FC236}">
              <a16:creationId xmlns:a16="http://schemas.microsoft.com/office/drawing/2014/main" id="{E17F0432-47A6-447C-827D-BA87EB11D54E}"/>
            </a:ext>
          </a:extLst>
        </xdr:cNvPr>
        <xdr:cNvSpPr txBox="1"/>
      </xdr:nvSpPr>
      <xdr:spPr>
        <a:xfrm>
          <a:off x="681718" y="94357370"/>
          <a:ext cx="1745535" cy="6559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</a:rPr>
            <a:t>Bldg No. 3 A &amp; B</a:t>
          </a:r>
        </a:p>
        <a:p>
          <a:r>
            <a:rPr lang="en-US" sz="1600" b="1">
              <a:solidFill>
                <a:srgbClr val="FF0000"/>
              </a:solidFill>
            </a:rPr>
            <a:t>(Luxuria)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31297</xdr:colOff>
      <xdr:row>419</xdr:row>
      <xdr:rowOff>76199</xdr:rowOff>
    </xdr:from>
    <xdr:to>
      <xdr:col>5</xdr:col>
      <xdr:colOff>62332</xdr:colOff>
      <xdr:row>437</xdr:row>
      <xdr:rowOff>119826</xdr:rowOff>
    </xdr:to>
    <xdr:sp macro="" textlink="">
      <xdr:nvSpPr>
        <xdr:cNvPr id="90" name="TextBox 23">
          <a:extLst>
            <a:ext uri="{FF2B5EF4-FFF2-40B4-BE49-F238E27FC236}">
              <a16:creationId xmlns:a16="http://schemas.microsoft.com/office/drawing/2014/main" id="{E58C2143-7D45-40EA-A1F0-316379F22411}"/>
            </a:ext>
          </a:extLst>
        </xdr:cNvPr>
        <xdr:cNvSpPr txBox="1"/>
      </xdr:nvSpPr>
      <xdr:spPr>
        <a:xfrm>
          <a:off x="2439761" y="94387306"/>
          <a:ext cx="1745535" cy="6559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</a:rPr>
            <a:t>Bldg No. 3 A &amp; B</a:t>
          </a:r>
        </a:p>
        <a:p>
          <a:r>
            <a:rPr lang="en-US" sz="1600" b="1">
              <a:solidFill>
                <a:srgbClr val="FF0000"/>
              </a:solidFill>
            </a:rPr>
            <a:t>(Luxuria)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129268</xdr:colOff>
      <xdr:row>419</xdr:row>
      <xdr:rowOff>160563</xdr:rowOff>
    </xdr:from>
    <xdr:to>
      <xdr:col>7</xdr:col>
      <xdr:colOff>323588</xdr:colOff>
      <xdr:row>438</xdr:row>
      <xdr:rowOff>83</xdr:rowOff>
    </xdr:to>
    <xdr:sp macro="" textlink="">
      <xdr:nvSpPr>
        <xdr:cNvPr id="91" name="TextBox 23">
          <a:extLst>
            <a:ext uri="{FF2B5EF4-FFF2-40B4-BE49-F238E27FC236}">
              <a16:creationId xmlns:a16="http://schemas.microsoft.com/office/drawing/2014/main" id="{F16F2BD2-E930-429F-B743-CEDB7F49D08E}"/>
            </a:ext>
          </a:extLst>
        </xdr:cNvPr>
        <xdr:cNvSpPr txBox="1"/>
      </xdr:nvSpPr>
      <xdr:spPr>
        <a:xfrm>
          <a:off x="4252232" y="94471670"/>
          <a:ext cx="1745535" cy="6559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 b="1">
              <a:solidFill>
                <a:srgbClr val="FF0000"/>
              </a:solidFill>
            </a:rPr>
            <a:t>Bldg No. 3 A &amp; B</a:t>
          </a:r>
        </a:p>
        <a:p>
          <a:r>
            <a:rPr lang="en-US" sz="1600" b="1">
              <a:solidFill>
                <a:srgbClr val="FF0000"/>
              </a:solidFill>
            </a:rPr>
            <a:t>(Luxuria)</a:t>
          </a:r>
          <a:endParaRPr lang="en-IN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gicbricks.com/luxuria-mira-road-east-mumbai-pdpid-4d4235333936373139" TargetMode="External"/><Relationship Id="rId2" Type="http://schemas.openxmlformats.org/officeDocument/2006/relationships/hyperlink" Target="https://housing.com/in/buy/projects/page/295038-luxuria-by-reyanshp-realty-llp-in-mira-road-east" TargetMode="External"/><Relationship Id="rId1" Type="http://schemas.openxmlformats.org/officeDocument/2006/relationships/hyperlink" Target="https://goo.gl/maps/EYNFhRR11N1NgL349?coh=178572&amp;entry=tt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93"/>
  <sheetViews>
    <sheetView tabSelected="1" view="pageBreakPreview" topLeftCell="A402" zoomScale="70" zoomScaleNormal="100" zoomScaleSheetLayoutView="70" workbookViewId="0">
      <selection activeCell="Q419" sqref="Q419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7" width="11.7109375" style="40" customWidth="1"/>
    <col min="8" max="8" width="12.42578125" style="40" customWidth="1"/>
    <col min="9" max="9" width="26.7109375" style="21" customWidth="1"/>
    <col min="10" max="10" width="11.42578125" style="21" customWidth="1"/>
    <col min="11" max="11" width="14.5703125" style="21" customWidth="1"/>
    <col min="12" max="12" width="12.285156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5" t="s">
        <v>255</v>
      </c>
      <c r="B1" s="175"/>
      <c r="C1" s="175"/>
      <c r="D1" s="175"/>
      <c r="E1" s="175"/>
      <c r="F1" s="175"/>
      <c r="G1" s="175"/>
      <c r="H1" s="175"/>
    </row>
    <row r="2" spans="1:12" ht="16.5" customHeight="1" x14ac:dyDescent="0.25">
      <c r="A2" s="176" t="s">
        <v>0</v>
      </c>
      <c r="B2" s="176"/>
      <c r="C2" s="176"/>
      <c r="D2" s="176"/>
      <c r="E2" s="176"/>
      <c r="F2" s="176"/>
      <c r="G2" s="176"/>
      <c r="H2" s="176"/>
    </row>
    <row r="3" spans="1:12" x14ac:dyDescent="0.25">
      <c r="A3" s="157" t="s">
        <v>1</v>
      </c>
      <c r="B3" s="157"/>
      <c r="C3" s="157"/>
      <c r="D3" s="157"/>
      <c r="E3" s="157" t="str">
        <f ca="1">TEXT(TODAY(),"DD/MM/YYYY")</f>
        <v>16/07/2025</v>
      </c>
      <c r="F3" s="157"/>
      <c r="G3" s="157"/>
      <c r="H3" s="157"/>
    </row>
    <row r="4" spans="1:12" x14ac:dyDescent="0.25">
      <c r="A4" s="157" t="s">
        <v>2</v>
      </c>
      <c r="B4" s="157"/>
      <c r="C4" s="157"/>
      <c r="D4" s="157"/>
      <c r="E4" s="157" t="s">
        <v>172</v>
      </c>
      <c r="F4" s="157"/>
      <c r="G4" s="157"/>
      <c r="H4" s="157"/>
    </row>
    <row r="5" spans="1:12" x14ac:dyDescent="0.25">
      <c r="A5" s="157" t="s">
        <v>3</v>
      </c>
      <c r="B5" s="157"/>
      <c r="C5" s="157"/>
      <c r="D5" s="157"/>
      <c r="E5" s="181">
        <v>45848</v>
      </c>
      <c r="F5" s="157"/>
      <c r="G5" s="157"/>
      <c r="H5" s="157"/>
    </row>
    <row r="6" spans="1:12" ht="16.5" customHeight="1" x14ac:dyDescent="0.25">
      <c r="A6" s="157" t="s">
        <v>4</v>
      </c>
      <c r="B6" s="157"/>
      <c r="C6" s="157"/>
      <c r="D6" s="157"/>
      <c r="E6" s="157" t="s">
        <v>264</v>
      </c>
      <c r="F6" s="157"/>
      <c r="G6" s="157"/>
      <c r="H6" s="157"/>
    </row>
    <row r="7" spans="1:12" ht="15" customHeight="1" x14ac:dyDescent="0.25">
      <c r="A7" s="157" t="s">
        <v>5</v>
      </c>
      <c r="B7" s="157"/>
      <c r="C7" s="157"/>
      <c r="D7" s="157"/>
      <c r="E7" s="157" t="str">
        <f>E6</f>
        <v>Reyanshp Realty LLP</v>
      </c>
      <c r="F7" s="157"/>
      <c r="G7" s="157"/>
      <c r="H7" s="157"/>
    </row>
    <row r="8" spans="1:12" x14ac:dyDescent="0.25">
      <c r="A8" s="177" t="s">
        <v>260</v>
      </c>
      <c r="B8" s="178"/>
      <c r="C8" s="178"/>
      <c r="D8" s="179"/>
      <c r="E8" s="120" t="s">
        <v>173</v>
      </c>
      <c r="F8" s="121"/>
      <c r="G8" s="121"/>
      <c r="H8" s="122"/>
    </row>
    <row r="9" spans="1:12" x14ac:dyDescent="0.25">
      <c r="A9" s="177" t="s">
        <v>261</v>
      </c>
      <c r="B9" s="178"/>
      <c r="C9" s="178"/>
      <c r="D9" s="179"/>
      <c r="E9" s="180" t="s">
        <v>262</v>
      </c>
      <c r="F9" s="121"/>
      <c r="G9" s="121"/>
      <c r="H9" s="122"/>
    </row>
    <row r="10" spans="1:12" x14ac:dyDescent="0.25">
      <c r="A10" s="157" t="s">
        <v>170</v>
      </c>
      <c r="B10" s="157"/>
      <c r="C10" s="157"/>
      <c r="D10" s="157"/>
      <c r="E10" s="157">
        <v>8879225522</v>
      </c>
      <c r="F10" s="157"/>
      <c r="G10" s="157"/>
      <c r="H10" s="157"/>
    </row>
    <row r="11" spans="1:12" x14ac:dyDescent="0.25">
      <c r="A11" s="157" t="s">
        <v>171</v>
      </c>
      <c r="B11" s="157"/>
      <c r="C11" s="157"/>
      <c r="D11" s="157"/>
      <c r="E11" s="117" t="s">
        <v>270</v>
      </c>
      <c r="F11" s="157"/>
      <c r="G11" s="157"/>
      <c r="H11" s="157"/>
      <c r="I11" s="117" t="s">
        <v>263</v>
      </c>
      <c r="J11" s="157"/>
      <c r="K11" s="157"/>
      <c r="L11" s="157"/>
    </row>
    <row r="12" spans="1:12" ht="48.75" customHeight="1" x14ac:dyDescent="0.25">
      <c r="A12" s="157" t="s">
        <v>6</v>
      </c>
      <c r="B12" s="157"/>
      <c r="C12" s="157"/>
      <c r="D12" s="157"/>
      <c r="E12" s="117" t="s">
        <v>230</v>
      </c>
      <c r="F12" s="157"/>
      <c r="G12" s="157"/>
      <c r="H12" s="157"/>
    </row>
    <row r="13" spans="1:12" x14ac:dyDescent="0.25">
      <c r="A13" s="109" t="s">
        <v>7</v>
      </c>
      <c r="B13" s="109"/>
      <c r="C13" s="109"/>
      <c r="D13" s="109"/>
      <c r="E13" s="117" t="s">
        <v>210</v>
      </c>
      <c r="F13" s="117"/>
      <c r="G13" s="117"/>
      <c r="H13" s="117"/>
    </row>
    <row r="14" spans="1:12" x14ac:dyDescent="0.25">
      <c r="A14" s="109" t="s">
        <v>8</v>
      </c>
      <c r="B14" s="109"/>
      <c r="C14" s="109"/>
      <c r="D14" s="109"/>
      <c r="E14" s="117" t="s">
        <v>174</v>
      </c>
      <c r="F14" s="157"/>
      <c r="G14" s="157"/>
      <c r="H14" s="157"/>
    </row>
    <row r="15" spans="1:12" ht="47.25" customHeight="1" x14ac:dyDescent="0.25">
      <c r="A15" s="173" t="s">
        <v>9</v>
      </c>
      <c r="B15" s="173"/>
      <c r="C15" s="173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Vihang Luxuria, Survey No. (Old).10PT, 11PT, 177/1 &amp; New Survey No. 45/1, 65/1B, 64/2A, near Om Sai Mansarover complex CHS LTD, Mira Bhayandar Road, Mira, Mira, Mira (East), Thane, Thane - 401107.</v>
      </c>
      <c r="D15" s="173"/>
      <c r="E15" s="173"/>
      <c r="F15" s="173"/>
      <c r="G15" s="173"/>
      <c r="H15" s="173"/>
    </row>
    <row r="16" spans="1:12" x14ac:dyDescent="0.25">
      <c r="A16" s="117" t="s">
        <v>241</v>
      </c>
      <c r="B16" s="117"/>
      <c r="C16" s="117" t="s">
        <v>242</v>
      </c>
      <c r="D16" s="117"/>
      <c r="E16" s="117"/>
      <c r="F16" s="117"/>
      <c r="G16" s="117"/>
      <c r="H16" s="117"/>
    </row>
    <row r="17" spans="1:8" ht="15.75" customHeight="1" x14ac:dyDescent="0.25">
      <c r="A17" s="117" t="s">
        <v>166</v>
      </c>
      <c r="B17" s="117"/>
      <c r="C17" s="117" t="s">
        <v>176</v>
      </c>
      <c r="D17" s="117"/>
      <c r="E17" s="117"/>
      <c r="F17" s="117"/>
      <c r="G17" s="117"/>
      <c r="H17" s="117"/>
    </row>
    <row r="18" spans="1:8" ht="15.75" customHeight="1" x14ac:dyDescent="0.25">
      <c r="A18" s="173" t="s">
        <v>10</v>
      </c>
      <c r="B18" s="173"/>
      <c r="C18" s="157" t="s">
        <v>225</v>
      </c>
      <c r="D18" s="157"/>
      <c r="E18" s="173" t="s">
        <v>74</v>
      </c>
      <c r="F18" s="173"/>
      <c r="G18" s="117" t="s">
        <v>176</v>
      </c>
      <c r="H18" s="117"/>
    </row>
    <row r="19" spans="1:8" x14ac:dyDescent="0.25">
      <c r="A19" s="109" t="s">
        <v>12</v>
      </c>
      <c r="B19" s="109"/>
      <c r="C19" s="117" t="s">
        <v>228</v>
      </c>
      <c r="D19" s="117"/>
      <c r="E19" s="173" t="s">
        <v>11</v>
      </c>
      <c r="F19" s="173"/>
      <c r="G19" s="174" t="s">
        <v>175</v>
      </c>
      <c r="H19" s="174"/>
    </row>
    <row r="20" spans="1:8" x14ac:dyDescent="0.25">
      <c r="A20" s="109" t="s">
        <v>75</v>
      </c>
      <c r="B20" s="109"/>
      <c r="C20" s="117" t="s">
        <v>175</v>
      </c>
      <c r="D20" s="117"/>
      <c r="E20" s="173" t="s">
        <v>13</v>
      </c>
      <c r="F20" s="173"/>
      <c r="G20" s="117">
        <v>401107</v>
      </c>
      <c r="H20" s="117"/>
    </row>
    <row r="21" spans="1:8" ht="32.25" customHeight="1" x14ac:dyDescent="0.25">
      <c r="A21" s="109" t="s">
        <v>126</v>
      </c>
      <c r="B21" s="109"/>
      <c r="C21" s="117" t="s">
        <v>223</v>
      </c>
      <c r="D21" s="117"/>
      <c r="E21" s="173" t="s">
        <v>14</v>
      </c>
      <c r="F21" s="173"/>
      <c r="G21" s="117" t="s">
        <v>222</v>
      </c>
      <c r="H21" s="117"/>
    </row>
    <row r="22" spans="1:8" ht="15" customHeight="1" x14ac:dyDescent="0.25">
      <c r="A22" s="173" t="s">
        <v>78</v>
      </c>
      <c r="B22" s="173"/>
      <c r="C22" s="173"/>
      <c r="D22" s="173"/>
      <c r="E22" s="157" t="s">
        <v>15</v>
      </c>
      <c r="F22" s="157"/>
      <c r="G22" s="157"/>
      <c r="H22" s="157"/>
    </row>
    <row r="23" spans="1:8" ht="18.75" customHeight="1" x14ac:dyDescent="0.25">
      <c r="A23" s="173"/>
      <c r="B23" s="173"/>
      <c r="C23" s="173"/>
      <c r="D23" s="173"/>
      <c r="E23" s="157"/>
      <c r="F23" s="157"/>
      <c r="G23" s="157"/>
      <c r="H23" s="157"/>
    </row>
    <row r="24" spans="1:8" ht="15" customHeight="1" x14ac:dyDescent="0.25">
      <c r="A24" s="173" t="s">
        <v>16</v>
      </c>
      <c r="B24" s="173"/>
      <c r="C24" s="173"/>
      <c r="D24" s="173"/>
      <c r="E24" s="117" t="s">
        <v>17</v>
      </c>
      <c r="F24" s="117"/>
      <c r="G24" s="117"/>
      <c r="H24" s="117"/>
    </row>
    <row r="25" spans="1:8" ht="15" customHeight="1" x14ac:dyDescent="0.25">
      <c r="A25" s="109" t="s">
        <v>18</v>
      </c>
      <c r="B25" s="109"/>
      <c r="C25" s="109"/>
      <c r="D25" s="109"/>
      <c r="E25" s="170" t="str">
        <f>IF(AND(G19="Mumbai"),"Upper Class","Middle Class")</f>
        <v>Middle Class</v>
      </c>
      <c r="F25" s="170"/>
      <c r="G25" s="170"/>
      <c r="H25" s="170"/>
    </row>
    <row r="26" spans="1:8" x14ac:dyDescent="0.25">
      <c r="A26" s="109" t="s">
        <v>19</v>
      </c>
      <c r="B26" s="109"/>
      <c r="C26" s="109"/>
      <c r="D26" s="109"/>
      <c r="E26" s="117" t="s">
        <v>20</v>
      </c>
      <c r="F26" s="117"/>
      <c r="G26" s="117"/>
      <c r="H26" s="117"/>
    </row>
    <row r="27" spans="1:8" ht="15.75" customHeight="1" x14ac:dyDescent="0.25">
      <c r="A27" s="109" t="s">
        <v>21</v>
      </c>
      <c r="B27" s="109"/>
      <c r="C27" s="109"/>
      <c r="D27" s="109"/>
      <c r="E27" s="170" t="str">
        <f>IF(AND(G19="Mumbai"),"Developed","Developing")</f>
        <v>Developing</v>
      </c>
      <c r="F27" s="170"/>
      <c r="G27" s="170"/>
      <c r="H27" s="170"/>
    </row>
    <row r="28" spans="1:8" x14ac:dyDescent="0.25">
      <c r="A28" s="109" t="s">
        <v>22</v>
      </c>
      <c r="B28" s="109"/>
      <c r="C28" s="109"/>
      <c r="D28" s="109"/>
      <c r="E28" s="117" t="s">
        <v>23</v>
      </c>
      <c r="F28" s="117"/>
      <c r="G28" s="117"/>
      <c r="H28" s="117"/>
    </row>
    <row r="29" spans="1:8" ht="15.75" customHeight="1" x14ac:dyDescent="0.25">
      <c r="A29" s="109" t="s">
        <v>83</v>
      </c>
      <c r="B29" s="109"/>
      <c r="C29" s="109"/>
      <c r="D29" s="109"/>
      <c r="E29" s="117" t="s">
        <v>84</v>
      </c>
      <c r="F29" s="117"/>
      <c r="G29" s="117"/>
      <c r="H29" s="117"/>
    </row>
    <row r="30" spans="1:8" ht="15" customHeight="1" x14ac:dyDescent="0.25">
      <c r="A30" s="109" t="s">
        <v>32</v>
      </c>
      <c r="B30" s="109"/>
      <c r="C30" s="109"/>
      <c r="D30" s="109"/>
      <c r="E30" s="17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70"/>
      <c r="G30" s="170"/>
      <c r="H30" s="170"/>
    </row>
    <row r="31" spans="1:8" ht="15.75" customHeight="1" x14ac:dyDescent="0.25">
      <c r="A31" s="109" t="s">
        <v>95</v>
      </c>
      <c r="B31" s="109"/>
      <c r="C31" s="109"/>
      <c r="D31" s="109"/>
      <c r="E31" s="117" t="s">
        <v>33</v>
      </c>
      <c r="F31" s="117"/>
      <c r="G31" s="117"/>
      <c r="H31" s="117"/>
    </row>
    <row r="32" spans="1:8" s="22" customFormat="1" x14ac:dyDescent="0.25">
      <c r="A32" s="172" t="s">
        <v>96</v>
      </c>
      <c r="B32" s="172"/>
      <c r="C32" s="171" t="s">
        <v>28</v>
      </c>
      <c r="D32" s="171"/>
      <c r="E32" s="171"/>
      <c r="F32" s="171" t="s">
        <v>30</v>
      </c>
      <c r="G32" s="171"/>
      <c r="H32" s="171"/>
    </row>
    <row r="33" spans="1:9" s="22" customFormat="1" x14ac:dyDescent="0.25">
      <c r="A33" s="160" t="s">
        <v>24</v>
      </c>
      <c r="B33" s="160" t="s">
        <v>29</v>
      </c>
      <c r="C33" s="161" t="s">
        <v>29</v>
      </c>
      <c r="D33" s="161"/>
      <c r="E33" s="161"/>
      <c r="F33" s="161" t="s">
        <v>224</v>
      </c>
      <c r="G33" s="161"/>
      <c r="H33" s="161"/>
    </row>
    <row r="34" spans="1:9" x14ac:dyDescent="0.25">
      <c r="A34" s="160" t="s">
        <v>25</v>
      </c>
      <c r="B34" s="160" t="s">
        <v>29</v>
      </c>
      <c r="C34" s="161" t="s">
        <v>29</v>
      </c>
      <c r="D34" s="161"/>
      <c r="E34" s="161"/>
      <c r="F34" s="161" t="s">
        <v>226</v>
      </c>
      <c r="G34" s="161"/>
      <c r="H34" s="161"/>
    </row>
    <row r="35" spans="1:9" s="22" customFormat="1" x14ac:dyDescent="0.25">
      <c r="A35" s="160" t="s">
        <v>27</v>
      </c>
      <c r="B35" s="160" t="s">
        <v>29</v>
      </c>
      <c r="C35" s="161" t="s">
        <v>29</v>
      </c>
      <c r="D35" s="161"/>
      <c r="E35" s="161"/>
      <c r="F35" s="161" t="s">
        <v>225</v>
      </c>
      <c r="G35" s="161"/>
      <c r="H35" s="161"/>
    </row>
    <row r="36" spans="1:9" x14ac:dyDescent="0.25">
      <c r="A36" s="160" t="s">
        <v>26</v>
      </c>
      <c r="B36" s="160" t="s">
        <v>29</v>
      </c>
      <c r="C36" s="161" t="s">
        <v>29</v>
      </c>
      <c r="D36" s="161"/>
      <c r="E36" s="161"/>
      <c r="F36" s="161" t="s">
        <v>227</v>
      </c>
      <c r="G36" s="161"/>
      <c r="H36" s="161"/>
    </row>
    <row r="37" spans="1:9" x14ac:dyDescent="0.25">
      <c r="A37" s="109" t="s">
        <v>31</v>
      </c>
      <c r="B37" s="109"/>
      <c r="C37" s="109"/>
      <c r="D37" s="109"/>
      <c r="E37" s="109"/>
      <c r="F37" s="109"/>
      <c r="G37" s="109"/>
      <c r="H37" s="109"/>
    </row>
    <row r="38" spans="1:9" ht="15.75" customHeight="1" x14ac:dyDescent="0.25">
      <c r="A38" s="115" t="s">
        <v>168</v>
      </c>
      <c r="B38" s="115"/>
      <c r="C38" s="109" t="s">
        <v>256</v>
      </c>
      <c r="D38" s="109"/>
      <c r="E38" s="109"/>
      <c r="F38" s="109"/>
      <c r="G38" s="109"/>
      <c r="H38" s="109"/>
    </row>
    <row r="39" spans="1:9" x14ac:dyDescent="0.25">
      <c r="A39" s="115" t="s">
        <v>165</v>
      </c>
      <c r="B39" s="115"/>
      <c r="C39" s="116" t="s">
        <v>229</v>
      </c>
      <c r="D39" s="117"/>
      <c r="E39" s="117"/>
      <c r="F39" s="117"/>
      <c r="G39" s="117"/>
      <c r="H39" s="117"/>
    </row>
    <row r="40" spans="1:9" x14ac:dyDescent="0.25">
      <c r="A40" s="115" t="s">
        <v>34</v>
      </c>
      <c r="B40" s="115"/>
      <c r="C40" s="115"/>
      <c r="D40" s="115"/>
      <c r="E40" s="115"/>
      <c r="F40" s="115"/>
      <c r="G40" s="115"/>
      <c r="H40" s="115"/>
    </row>
    <row r="41" spans="1:9" x14ac:dyDescent="0.25">
      <c r="A41" s="109" t="s">
        <v>35</v>
      </c>
      <c r="B41" s="109"/>
      <c r="C41" s="109"/>
      <c r="D41" s="109"/>
      <c r="E41" s="163">
        <v>11965.17</v>
      </c>
      <c r="F41" s="163"/>
      <c r="G41" s="163"/>
      <c r="H41" s="163"/>
    </row>
    <row r="42" spans="1:9" x14ac:dyDescent="0.25">
      <c r="A42" s="109" t="s">
        <v>36</v>
      </c>
      <c r="B42" s="109"/>
      <c r="C42" s="109"/>
      <c r="D42" s="109"/>
      <c r="E42" s="168">
        <v>1.1000000000000001</v>
      </c>
      <c r="F42" s="168"/>
      <c r="G42" s="168"/>
      <c r="H42" s="168"/>
      <c r="I42" s="21">
        <f>11965.17*1.1</f>
        <v>13161.687000000002</v>
      </c>
    </row>
    <row r="43" spans="1:9" x14ac:dyDescent="0.25">
      <c r="A43" s="109" t="s">
        <v>37</v>
      </c>
      <c r="B43" s="109"/>
      <c r="C43" s="109"/>
      <c r="D43" s="109"/>
      <c r="E43" s="168">
        <f>E45/E41-E42</f>
        <v>4.222505238120311</v>
      </c>
      <c r="F43" s="168"/>
      <c r="G43" s="168"/>
      <c r="H43" s="168"/>
    </row>
    <row r="44" spans="1:9" x14ac:dyDescent="0.25">
      <c r="A44" s="109" t="s">
        <v>38</v>
      </c>
      <c r="B44" s="109"/>
      <c r="C44" s="109"/>
      <c r="D44" s="109"/>
      <c r="E44" s="168">
        <f>E42+E43</f>
        <v>5.3225052381203106</v>
      </c>
      <c r="F44" s="168"/>
      <c r="G44" s="168"/>
      <c r="H44" s="168"/>
    </row>
    <row r="45" spans="1:9" x14ac:dyDescent="0.25">
      <c r="A45" s="109" t="s">
        <v>94</v>
      </c>
      <c r="B45" s="109"/>
      <c r="C45" s="109"/>
      <c r="D45" s="109"/>
      <c r="E45" s="169">
        <v>63684.68</v>
      </c>
      <c r="F45" s="169"/>
      <c r="G45" s="169"/>
      <c r="H45" s="169"/>
    </row>
    <row r="46" spans="1:9" x14ac:dyDescent="0.25">
      <c r="A46" s="157" t="s">
        <v>39</v>
      </c>
      <c r="B46" s="157"/>
      <c r="C46" s="157"/>
      <c r="D46" s="157"/>
      <c r="E46" s="157" t="s">
        <v>211</v>
      </c>
      <c r="F46" s="157"/>
      <c r="G46" s="157"/>
      <c r="H46" s="157"/>
    </row>
    <row r="47" spans="1:9" x14ac:dyDescent="0.25">
      <c r="A47" s="115" t="s">
        <v>40</v>
      </c>
      <c r="B47" s="115"/>
      <c r="C47" s="115"/>
      <c r="D47" s="115"/>
      <c r="E47" s="115"/>
      <c r="F47" s="115"/>
      <c r="G47" s="115"/>
      <c r="H47" s="115"/>
    </row>
    <row r="48" spans="1:9" ht="33.75" customHeight="1" x14ac:dyDescent="0.25">
      <c r="A48" s="118" t="s">
        <v>155</v>
      </c>
      <c r="B48" s="119"/>
      <c r="C48" s="120" t="s">
        <v>177</v>
      </c>
      <c r="D48" s="121"/>
      <c r="E48" s="121"/>
      <c r="F48" s="121"/>
      <c r="G48" s="121"/>
      <c r="H48" s="122"/>
    </row>
    <row r="49" spans="1:14" ht="15.75" customHeight="1" x14ac:dyDescent="0.25">
      <c r="A49" s="118" t="s">
        <v>41</v>
      </c>
      <c r="B49" s="119"/>
      <c r="C49" s="118" t="s">
        <v>179</v>
      </c>
      <c r="D49" s="199"/>
      <c r="E49" s="119"/>
      <c r="F49" s="18" t="s">
        <v>42</v>
      </c>
      <c r="G49" s="217">
        <v>45002</v>
      </c>
      <c r="H49" s="119"/>
    </row>
    <row r="50" spans="1:14" x14ac:dyDescent="0.25">
      <c r="A50" s="118" t="s">
        <v>43</v>
      </c>
      <c r="B50" s="119"/>
      <c r="C50" s="118" t="str">
        <f>C49</f>
        <v>MBMNP/NR/4929/2022-23</v>
      </c>
      <c r="D50" s="199"/>
      <c r="E50" s="119"/>
      <c r="F50" s="18" t="s">
        <v>42</v>
      </c>
      <c r="G50" s="217">
        <f>G49</f>
        <v>45002</v>
      </c>
      <c r="H50" s="218"/>
    </row>
    <row r="51" spans="1:14" s="23" customFormat="1" ht="15.75" customHeight="1" x14ac:dyDescent="0.25">
      <c r="A51" s="219" t="s">
        <v>159</v>
      </c>
      <c r="B51" s="220"/>
      <c r="C51" s="118" t="str">
        <f>C50</f>
        <v>MBMNP/NR/4929/2022-23</v>
      </c>
      <c r="D51" s="199"/>
      <c r="E51" s="119"/>
      <c r="F51" s="18" t="s">
        <v>42</v>
      </c>
      <c r="G51" s="217">
        <f>G50</f>
        <v>45002</v>
      </c>
      <c r="H51" s="218"/>
    </row>
    <row r="52" spans="1:14" s="23" customFormat="1" ht="68.099999999999994" customHeight="1" x14ac:dyDescent="0.25">
      <c r="A52" s="221"/>
      <c r="B52" s="222"/>
      <c r="C52" s="118" t="s">
        <v>218</v>
      </c>
      <c r="D52" s="199"/>
      <c r="E52" s="199"/>
      <c r="F52" s="199"/>
      <c r="G52" s="199"/>
      <c r="H52" s="119"/>
    </row>
    <row r="53" spans="1:14" x14ac:dyDescent="0.25">
      <c r="A53" s="210" t="s">
        <v>44</v>
      </c>
      <c r="B53" s="211"/>
      <c r="C53" s="210" t="s">
        <v>108</v>
      </c>
      <c r="D53" s="212"/>
      <c r="E53" s="211"/>
      <c r="F53" s="46" t="s">
        <v>42</v>
      </c>
      <c r="G53" s="213" t="s">
        <v>29</v>
      </c>
      <c r="H53" s="214"/>
    </row>
    <row r="54" spans="1:14" x14ac:dyDescent="0.25">
      <c r="A54" s="188" t="s">
        <v>46</v>
      </c>
      <c r="B54" s="188"/>
      <c r="C54" s="188"/>
      <c r="D54" s="188"/>
      <c r="E54" s="188"/>
      <c r="F54" s="188"/>
      <c r="G54" s="188"/>
      <c r="H54" s="188"/>
    </row>
    <row r="55" spans="1:14" x14ac:dyDescent="0.25">
      <c r="A55" s="173" t="s">
        <v>93</v>
      </c>
      <c r="B55" s="173"/>
      <c r="C55" s="173"/>
      <c r="D55" s="109">
        <f>E45</f>
        <v>63684.68</v>
      </c>
      <c r="E55" s="109"/>
      <c r="F55" s="109"/>
      <c r="G55" s="109"/>
      <c r="H55" s="109"/>
    </row>
    <row r="56" spans="1:14" x14ac:dyDescent="0.25">
      <c r="A56" s="117" t="s">
        <v>47</v>
      </c>
      <c r="B56" s="157"/>
      <c r="C56" s="157"/>
      <c r="D56" s="157" t="s">
        <v>212</v>
      </c>
      <c r="E56" s="157"/>
      <c r="F56" s="157"/>
      <c r="G56" s="157"/>
      <c r="H56" s="157"/>
      <c r="I56" s="24"/>
    </row>
    <row r="57" spans="1:14" ht="79.5" customHeight="1" x14ac:dyDescent="0.25">
      <c r="A57" s="200" t="s">
        <v>48</v>
      </c>
      <c r="B57" s="201"/>
      <c r="C57" s="216"/>
      <c r="D57" s="158" t="s">
        <v>231</v>
      </c>
      <c r="E57" s="159"/>
      <c r="F57" s="159"/>
      <c r="G57" s="159"/>
      <c r="H57" s="159"/>
    </row>
    <row r="58" spans="1:14" ht="15.75" customHeight="1" x14ac:dyDescent="0.25">
      <c r="A58" s="200" t="s">
        <v>91</v>
      </c>
      <c r="B58" s="201"/>
      <c r="C58" s="201"/>
      <c r="D58" s="206" t="s">
        <v>232</v>
      </c>
      <c r="E58" s="207"/>
      <c r="F58" s="207"/>
      <c r="G58" s="207"/>
      <c r="H58" s="208"/>
    </row>
    <row r="59" spans="1:14" ht="31.5" customHeight="1" x14ac:dyDescent="0.25">
      <c r="A59" s="202"/>
      <c r="B59" s="203"/>
      <c r="C59" s="203"/>
      <c r="D59" s="202" t="s">
        <v>233</v>
      </c>
      <c r="E59" s="203"/>
      <c r="F59" s="203"/>
      <c r="G59" s="203"/>
      <c r="H59" s="209"/>
    </row>
    <row r="60" spans="1:14" ht="31.5" customHeight="1" x14ac:dyDescent="0.25">
      <c r="A60" s="204"/>
      <c r="B60" s="205"/>
      <c r="C60" s="205"/>
      <c r="D60" s="204" t="s">
        <v>234</v>
      </c>
      <c r="E60" s="205"/>
      <c r="F60" s="205"/>
      <c r="G60" s="205"/>
      <c r="H60" s="215"/>
    </row>
    <row r="61" spans="1:14" ht="15.75" customHeight="1" x14ac:dyDescent="0.25">
      <c r="A61" s="109" t="s">
        <v>45</v>
      </c>
      <c r="B61" s="109"/>
      <c r="C61" s="109"/>
      <c r="D61" s="164" t="s">
        <v>178</v>
      </c>
      <c r="E61" s="164"/>
      <c r="F61" s="164"/>
      <c r="G61" s="164"/>
      <c r="H61" s="164"/>
      <c r="J61" s="25"/>
      <c r="K61" s="24"/>
      <c r="N61" s="24"/>
    </row>
    <row r="62" spans="1:14" ht="15.75" customHeight="1" x14ac:dyDescent="0.25">
      <c r="A62" s="109" t="s">
        <v>89</v>
      </c>
      <c r="B62" s="109"/>
      <c r="C62" s="109"/>
      <c r="D62" s="167" t="str">
        <f>(IF(G53="NA","60 Years After Completion",IF(G53&lt;&gt;"NA",""&amp;60-ROUNDDOWN((E3-G53)/360,0)&amp;" Years"," ")))</f>
        <v>60 Years After Completion</v>
      </c>
      <c r="E62" s="167"/>
      <c r="F62" s="167"/>
      <c r="G62" s="167"/>
      <c r="H62" s="167"/>
      <c r="N62" s="24"/>
    </row>
    <row r="63" spans="1:14" ht="15.75" customHeight="1" x14ac:dyDescent="0.25">
      <c r="A63" s="109" t="s">
        <v>90</v>
      </c>
      <c r="B63" s="109"/>
      <c r="C63" s="109"/>
      <c r="D63" s="173" t="s">
        <v>23</v>
      </c>
      <c r="E63" s="173"/>
      <c r="F63" s="173"/>
      <c r="G63" s="173"/>
      <c r="H63" s="173"/>
      <c r="J63" s="26"/>
      <c r="K63" s="26"/>
    </row>
    <row r="64" spans="1:14" x14ac:dyDescent="0.25">
      <c r="A64" s="109" t="s">
        <v>76</v>
      </c>
      <c r="B64" s="109"/>
      <c r="C64" s="109"/>
      <c r="D64" s="117" t="s">
        <v>192</v>
      </c>
      <c r="E64" s="173"/>
      <c r="F64" s="173"/>
      <c r="G64" s="173"/>
      <c r="H64" s="173"/>
    </row>
    <row r="65" spans="1:14" x14ac:dyDescent="0.25">
      <c r="A65" s="173" t="s">
        <v>152</v>
      </c>
      <c r="B65" s="173"/>
      <c r="C65" s="173"/>
      <c r="D65" s="173" t="s">
        <v>29</v>
      </c>
      <c r="E65" s="173"/>
      <c r="F65" s="173"/>
      <c r="G65" s="173"/>
      <c r="H65" s="173"/>
      <c r="I65" s="27"/>
      <c r="J65" s="27"/>
      <c r="K65" s="27"/>
      <c r="L65" s="27"/>
      <c r="M65" s="27"/>
      <c r="N65" s="27"/>
    </row>
    <row r="66" spans="1:14" ht="15.75" customHeight="1" x14ac:dyDescent="0.25">
      <c r="A66" s="185" t="s">
        <v>88</v>
      </c>
      <c r="B66" s="185"/>
      <c r="C66" s="185"/>
      <c r="D66" s="158" t="str">
        <f ca="1">(IF(G116&gt;95%,"Nothing",IF(G116&gt;0%,"Cement, Aggregate, Steel, etc",IF(G116=0%,"Work not yet Started"))))</f>
        <v>Cement, Aggregate, Steel, etc</v>
      </c>
      <c r="E66" s="158"/>
      <c r="F66" s="158"/>
      <c r="G66" s="158"/>
      <c r="H66" s="158"/>
      <c r="J66" s="26"/>
    </row>
    <row r="67" spans="1:14" ht="33.75" customHeight="1" thickBot="1" x14ac:dyDescent="0.3">
      <c r="A67" s="184" t="s">
        <v>121</v>
      </c>
      <c r="B67" s="184"/>
      <c r="C67" s="184"/>
      <c r="D67" s="158" t="str">
        <f ca="1">(IF(D66="Nothing","Yes",IF(D66="Cement, Aggregate, Steel, etc","Under Construction",IF(D66="Work not yet Started","Work not yet Started"))))</f>
        <v>Under Construction</v>
      </c>
      <c r="E67" s="158"/>
      <c r="F67" s="158" t="str">
        <f ca="1">(IF(D66="Nothing","Yes",IF(D66="Cement, Aggregate, Steel, etc","Under Construction",IF(D66="Work not yet Started","Work not yet Started"))))</f>
        <v>Under Construction</v>
      </c>
      <c r="G67" s="158"/>
      <c r="H67" s="158"/>
    </row>
    <row r="68" spans="1:14" ht="15.75" customHeight="1" x14ac:dyDescent="0.25">
      <c r="A68" s="145" t="s">
        <v>144</v>
      </c>
      <c r="B68" s="146"/>
      <c r="C68" s="182" t="str">
        <f>D58</f>
        <v>(Reyansh Ventura) Building No.1 = G + 1st to 6th Floor</v>
      </c>
      <c r="D68" s="149"/>
      <c r="E68" s="149"/>
      <c r="F68" s="149"/>
      <c r="G68" s="149"/>
      <c r="H68" s="183"/>
      <c r="I68" s="50" t="str">
        <f ca="1">IF(D82=100%,"All work Completed. Possession granted to the Building.",IF(D81=100%,"All work Completed, Waiting for OC",I69&amp;""&amp;I71&amp;""&amp;J69&amp;""&amp;J68&amp;" "&amp;J71))</f>
        <v>All work Completed. Possession granted to the Building.</v>
      </c>
      <c r="J68" s="51" t="str">
        <f ca="1">(IF(C75=(D69+F69+H69),"",IF(C75&gt;0,", RCC upto "&amp;C75&amp;" Slab","")))&amp;(IF(C76=H69,"",IF(C76&gt;0,", Brickwork upto "&amp;C76&amp;" Floor","")))&amp;(IF(C77=H69,"",IF(C77&gt;0,", Internal Plaster upto "&amp;C77&amp;" Floor","")))&amp;(IF(C78=H69,"",IF(C78&gt;0,", External Plaster upto "&amp;C78&amp;" Floor","")))&amp;(IF(C79=H69,"",IF(C79&gt;0,", Flooring upto "&amp;C79&amp;" Floor","")))&amp;(IF(C80=H69,"",IF(C80&gt;0,", Painting upto "&amp;C80&amp;" Floor","")))&amp;(IF(C81=H69,"",IF(C81&gt;0,", Finishing upto "&amp;C81&amp;" Floor","")))&amp;(IF(C82=H69,"",IF(C82&gt;0,", Possession upto "&amp;C82&amp;" Floor","")))</f>
        <v/>
      </c>
    </row>
    <row r="69" spans="1:14" x14ac:dyDescent="0.25">
      <c r="A69" s="16" t="s">
        <v>146</v>
      </c>
      <c r="B69" s="76">
        <f>IF(AND(ISNUMBER(SEARCH("1B",C68))),1,IF(AND(ISNUMBER(SEARCH("2B",C68))),2,IF(AND(ISNUMBER(SEARCH("3B",C68))),3,IF(AND(ISNUMBER(SEARCH("4B",C68))),4,IF(ISNUMBER(SEARCH("5B",C68)),5,0)))))</f>
        <v>0</v>
      </c>
      <c r="C69" s="76" t="s">
        <v>73</v>
      </c>
      <c r="D69" s="76">
        <v>1</v>
      </c>
      <c r="E69" s="76" t="s">
        <v>72</v>
      </c>
      <c r="F69" s="76">
        <v>0</v>
      </c>
      <c r="G69" s="49" t="s">
        <v>82</v>
      </c>
      <c r="H69" s="17">
        <f ca="1">--TRIM(RIGHT(SUBSTITUTE(LEFT(C68,_xlfn.AGGREGATE(16,6,FIND({0,1,2,3,4,5,6,7,8,9},C68,ROW(INDIRECT("1:"&amp;LEN(C68)))),1))," ",REPT(" ",LEN(C68))),LEN(C68)))</f>
        <v>6</v>
      </c>
      <c r="I69" s="5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Plaster, Flooring, Painting, Building common Amenities</v>
      </c>
      <c r="J69" s="5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0" spans="1:14" x14ac:dyDescent="0.25">
      <c r="A70" s="234" t="s">
        <v>87</v>
      </c>
      <c r="B70" s="235"/>
      <c r="C70" s="236">
        <v>1</v>
      </c>
      <c r="D70" s="235"/>
      <c r="E70" s="237" t="s">
        <v>86</v>
      </c>
      <c r="F70" s="235"/>
      <c r="G70" s="238">
        <v>1</v>
      </c>
      <c r="H70" s="239"/>
      <c r="I70" s="52"/>
      <c r="J70" s="53"/>
    </row>
    <row r="71" spans="1:14" ht="16.5" thickBot="1" x14ac:dyDescent="0.3">
      <c r="A71" s="244" t="s">
        <v>92</v>
      </c>
      <c r="B71" s="245"/>
      <c r="C71" s="246" t="s">
        <v>265</v>
      </c>
      <c r="D71" s="246"/>
      <c r="E71" s="246"/>
      <c r="F71" s="246"/>
      <c r="G71" s="246"/>
      <c r="H71" s="247"/>
      <c r="I71" s="52" t="str">
        <f ca="1">IF(I69&lt;&gt;""," Completed","")</f>
        <v xml:space="preserve"> Completed</v>
      </c>
      <c r="J71" s="53" t="str">
        <f ca="1">IF(J68&lt;&gt;"","Completed","")</f>
        <v/>
      </c>
    </row>
    <row r="72" spans="1:14" ht="15.75" hidden="1" customHeight="1" x14ac:dyDescent="0.25">
      <c r="A72" s="240" t="s">
        <v>49</v>
      </c>
      <c r="B72" s="241"/>
      <c r="C72" s="242" t="s">
        <v>143</v>
      </c>
      <c r="D72" s="242" t="s">
        <v>85</v>
      </c>
      <c r="E72" s="241" t="s">
        <v>87</v>
      </c>
      <c r="F72" s="241"/>
      <c r="G72" s="241" t="s">
        <v>86</v>
      </c>
      <c r="H72" s="243"/>
      <c r="I72" s="14" t="s">
        <v>145</v>
      </c>
      <c r="J72" s="28">
        <f ca="1">H69*25%</f>
        <v>1.5</v>
      </c>
    </row>
    <row r="73" spans="1:14" hidden="1" x14ac:dyDescent="0.25">
      <c r="A73" s="123" t="s">
        <v>132</v>
      </c>
      <c r="B73" s="124"/>
      <c r="C73" s="44">
        <f ca="1">J74</f>
        <v>6</v>
      </c>
      <c r="D73" s="19">
        <f ca="1">((100/H69)*C73)/100</f>
        <v>1</v>
      </c>
      <c r="E73" s="125">
        <f ca="1">(((C74/H69*10)+(40/(D69+F69+H69)*C75)+(7.5/(H69)*C76)+(7.5/(H69)*C77)+(10/H69*C78)+(10/H69*C79)+(5/H69*C80)+(5/H69*C81)+(5/H69*C82))/100)</f>
        <v>1</v>
      </c>
      <c r="F73" s="137"/>
      <c r="G73" s="125">
        <f ca="1">((((C73/H69)*20)+((C74/H69)*25)+(30/(H69+F69+D69)*C75)+(5/H69*C76)+(5/H69*C77)+(5/H69*C78)+(5/H69*C79)+(0/H69*C80)+(0/H69*C81)+(5/H69*C82))/100)</f>
        <v>1</v>
      </c>
      <c r="H73" s="126"/>
      <c r="I73" s="14" t="s">
        <v>103</v>
      </c>
      <c r="J73" s="29">
        <f ca="1">H69*50%</f>
        <v>3</v>
      </c>
    </row>
    <row r="74" spans="1:14" hidden="1" x14ac:dyDescent="0.25">
      <c r="A74" s="123" t="s">
        <v>50</v>
      </c>
      <c r="B74" s="124"/>
      <c r="C74" s="55">
        <f ca="1">J82</f>
        <v>6</v>
      </c>
      <c r="D74" s="19">
        <f ca="1">((100/H69)*C74)/100</f>
        <v>1</v>
      </c>
      <c r="E74" s="127"/>
      <c r="F74" s="138"/>
      <c r="G74" s="127"/>
      <c r="H74" s="128"/>
      <c r="I74" s="14" t="s">
        <v>104</v>
      </c>
      <c r="J74" s="29">
        <f ca="1">H69</f>
        <v>6</v>
      </c>
    </row>
    <row r="75" spans="1:14" ht="15.75" hidden="1" customHeight="1" x14ac:dyDescent="0.25">
      <c r="A75" s="123" t="s">
        <v>133</v>
      </c>
      <c r="B75" s="124"/>
      <c r="C75" s="44">
        <v>7</v>
      </c>
      <c r="D75" s="19">
        <f ca="1">((100/(D69+F69+H69))*C75)/100</f>
        <v>1</v>
      </c>
      <c r="E75" s="127"/>
      <c r="F75" s="138"/>
      <c r="G75" s="127"/>
      <c r="H75" s="128"/>
      <c r="I75" s="14" t="s">
        <v>105</v>
      </c>
      <c r="J75" s="30">
        <f ca="1">(IF(B69&gt;1,(H69/(B69+2)),H69/4))</f>
        <v>1.5</v>
      </c>
    </row>
    <row r="76" spans="1:14" ht="15.75" hidden="1" customHeight="1" x14ac:dyDescent="0.25">
      <c r="A76" s="123" t="s">
        <v>140</v>
      </c>
      <c r="B76" s="124" t="s">
        <v>134</v>
      </c>
      <c r="C76" s="44">
        <v>6</v>
      </c>
      <c r="D76" s="19">
        <f ca="1">((100/H69)*C76)/100</f>
        <v>1</v>
      </c>
      <c r="E76" s="127"/>
      <c r="F76" s="138"/>
      <c r="G76" s="127"/>
      <c r="H76" s="128"/>
      <c r="I76" s="14" t="s">
        <v>106</v>
      </c>
      <c r="J76" s="30">
        <f ca="1">(IF(B69&gt;1,(H69/(B69+2)+J75),H69/4+J75))</f>
        <v>3</v>
      </c>
    </row>
    <row r="77" spans="1:14" ht="15.75" hidden="1" customHeight="1" x14ac:dyDescent="0.25">
      <c r="A77" s="123" t="s">
        <v>141</v>
      </c>
      <c r="B77" s="124" t="s">
        <v>134</v>
      </c>
      <c r="C77" s="44">
        <v>6</v>
      </c>
      <c r="D77" s="19">
        <f ca="1">((100/H69)*C77)/100</f>
        <v>1</v>
      </c>
      <c r="E77" s="127"/>
      <c r="F77" s="138"/>
      <c r="G77" s="127"/>
      <c r="H77" s="128"/>
      <c r="I77" s="14" t="s">
        <v>150</v>
      </c>
      <c r="J77" s="30">
        <f>(IF(B69&gt;1,(H69/(B69+2)+J76),0))</f>
        <v>0</v>
      </c>
    </row>
    <row r="78" spans="1:14" ht="15" hidden="1" customHeight="1" x14ac:dyDescent="0.25">
      <c r="A78" s="123" t="s">
        <v>139</v>
      </c>
      <c r="B78" s="124" t="s">
        <v>136</v>
      </c>
      <c r="C78" s="44">
        <v>6</v>
      </c>
      <c r="D78" s="19">
        <f ca="1">((100/(H69))*C78)/100</f>
        <v>1</v>
      </c>
      <c r="E78" s="127"/>
      <c r="F78" s="138"/>
      <c r="G78" s="127"/>
      <c r="H78" s="128"/>
      <c r="I78" s="14" t="s">
        <v>147</v>
      </c>
      <c r="J78" s="30">
        <f>(IF(B69&gt;2,(H69/(B69+2)+J77),0))</f>
        <v>0</v>
      </c>
    </row>
    <row r="79" spans="1:14" ht="15.75" hidden="1" customHeight="1" x14ac:dyDescent="0.25">
      <c r="A79" s="123" t="s">
        <v>135</v>
      </c>
      <c r="B79" s="124" t="s">
        <v>135</v>
      </c>
      <c r="C79" s="44">
        <v>6</v>
      </c>
      <c r="D79" s="19">
        <f ca="1">((100/H69)*C79)/100</f>
        <v>1</v>
      </c>
      <c r="E79" s="127"/>
      <c r="F79" s="138"/>
      <c r="G79" s="127"/>
      <c r="H79" s="128"/>
      <c r="I79" s="14" t="s">
        <v>148</v>
      </c>
      <c r="J79" s="31">
        <f>(IF(B69&gt;3,(H69/(B69+2)+J78),0))</f>
        <v>0</v>
      </c>
    </row>
    <row r="80" spans="1:14" ht="15.75" hidden="1" customHeight="1" x14ac:dyDescent="0.25">
      <c r="A80" s="123" t="s">
        <v>142</v>
      </c>
      <c r="B80" s="124"/>
      <c r="C80" s="44">
        <v>6</v>
      </c>
      <c r="D80" s="19">
        <f ca="1">((100/H69)*C80)/100</f>
        <v>1</v>
      </c>
      <c r="E80" s="127"/>
      <c r="F80" s="138"/>
      <c r="G80" s="127"/>
      <c r="H80" s="128"/>
      <c r="I80" s="14" t="s">
        <v>149</v>
      </c>
      <c r="J80" s="30">
        <f>(IF(B69&gt;4,(H69/(B69+2)+J79),0))</f>
        <v>0</v>
      </c>
    </row>
    <row r="81" spans="1:10" ht="15.75" hidden="1" customHeight="1" x14ac:dyDescent="0.25">
      <c r="A81" s="123" t="s">
        <v>137</v>
      </c>
      <c r="B81" s="124" t="s">
        <v>137</v>
      </c>
      <c r="C81" s="44">
        <v>6</v>
      </c>
      <c r="D81" s="19">
        <f ca="1">((100/(H69))*C81)/100</f>
        <v>1</v>
      </c>
      <c r="E81" s="127"/>
      <c r="F81" s="138"/>
      <c r="G81" s="127"/>
      <c r="H81" s="128"/>
      <c r="I81" s="14" t="s">
        <v>151</v>
      </c>
      <c r="J81" s="30">
        <f ca="1">(IF(B69=1,(H69/(B69+3)+J76),IF(B69=0,(H69/4+J76),IF(B69&gt;1,0))))</f>
        <v>4.5</v>
      </c>
    </row>
    <row r="82" spans="1:10" ht="16.5" hidden="1" thickBot="1" x14ac:dyDescent="0.3">
      <c r="A82" s="165" t="s">
        <v>138</v>
      </c>
      <c r="B82" s="166"/>
      <c r="C82" s="45">
        <v>6</v>
      </c>
      <c r="D82" s="20">
        <f ca="1">((100/(H69))*C82)/100</f>
        <v>1</v>
      </c>
      <c r="E82" s="139"/>
      <c r="F82" s="140"/>
      <c r="G82" s="139"/>
      <c r="H82" s="162"/>
      <c r="I82" s="15" t="s">
        <v>107</v>
      </c>
      <c r="J82" s="32">
        <f ca="1">(IF(B69&gt;1.5,(H69/(B69+2)+J76+MAX(0,J77-J76)+MAX(0,J78-J77)+MAX(0,J79-J78)+MAX(0,J80-J79)+MAX(0,J81-J80)),IF(B69=1,(H69/(B69+3)+J81),IF(B69=0,H69/4+J81))))</f>
        <v>6</v>
      </c>
    </row>
    <row r="83" spans="1:10" ht="34.5" customHeight="1" x14ac:dyDescent="0.25">
      <c r="A83" s="145" t="s">
        <v>144</v>
      </c>
      <c r="B83" s="146"/>
      <c r="C83" s="182" t="s">
        <v>268</v>
      </c>
      <c r="D83" s="149"/>
      <c r="E83" s="149"/>
      <c r="F83" s="149"/>
      <c r="G83" s="149"/>
      <c r="H83" s="183"/>
      <c r="I83" s="50" t="str">
        <f ca="1">IF(D96=100%,"All work Completed. Possession granted to the Building.",IF(D95=100%,"All work Completed, Waiting for OC",I84&amp;""&amp;I85&amp;""&amp;J84&amp;""&amp;J83&amp;" "&amp;J85))</f>
        <v xml:space="preserve">Excavation, Plinth Completed </v>
      </c>
      <c r="J83" s="51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/>
      </c>
    </row>
    <row r="84" spans="1:10" x14ac:dyDescent="0.25">
      <c r="A84" s="16" t="s">
        <v>146</v>
      </c>
      <c r="B84" s="54">
        <f>IF(AND(ISNUMBER(SEARCH("1B",C83))),1,IF(AND(ISNUMBER(SEARCH("2B",C83))),2,IF(AND(ISNUMBER(SEARCH("3B",C83))),3,IF(AND(ISNUMBER(SEARCH("4B",C83))),4,IF(ISNUMBER(SEARCH("5B",C83)),5,0)))))</f>
        <v>0</v>
      </c>
      <c r="C84" s="48" t="s">
        <v>73</v>
      </c>
      <c r="D84" s="48">
        <v>2</v>
      </c>
      <c r="E84" s="48" t="s">
        <v>72</v>
      </c>
      <c r="F84" s="59">
        <v>0</v>
      </c>
      <c r="G84" s="49" t="s">
        <v>82</v>
      </c>
      <c r="H84" s="17">
        <f ca="1">--TRIM(RIGHT(SUBSTITUTE(LEFT(C83,_xlfn.AGGREGATE(16,6,FIND({0,1,2,3,4,5,6,7,8,9},C83,ROW(INDIRECT("1:"&amp;LEN(C83)))),1))," ",REPT(" ",LEN(C83))),LEN(C83)))</f>
        <v>21</v>
      </c>
      <c r="I84" s="52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3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x14ac:dyDescent="0.25">
      <c r="A85" s="131" t="s">
        <v>92</v>
      </c>
      <c r="B85" s="132"/>
      <c r="C85" s="133" t="str">
        <f ca="1">(IF($G$53="NA",I83,"All work Completed. OC Received."))</f>
        <v xml:space="preserve">Excavation, Plinth Completed </v>
      </c>
      <c r="D85" s="133"/>
      <c r="E85" s="133"/>
      <c r="F85" s="133"/>
      <c r="G85" s="133"/>
      <c r="H85" s="134"/>
      <c r="I85" s="52" t="str">
        <f ca="1">IF(I84&lt;&gt;""," Completed","")</f>
        <v xml:space="preserve"> Completed</v>
      </c>
      <c r="J85" s="53" t="str">
        <f ca="1">IF(J83&lt;&gt;"","Completed","")</f>
        <v/>
      </c>
    </row>
    <row r="86" spans="1:10" ht="15.75" customHeight="1" x14ac:dyDescent="0.25">
      <c r="A86" s="123" t="s">
        <v>49</v>
      </c>
      <c r="B86" s="124"/>
      <c r="C86" s="44" t="s">
        <v>143</v>
      </c>
      <c r="D86" s="44" t="s">
        <v>85</v>
      </c>
      <c r="E86" s="124" t="s">
        <v>87</v>
      </c>
      <c r="F86" s="124"/>
      <c r="G86" s="124" t="s">
        <v>86</v>
      </c>
      <c r="H86" s="135"/>
      <c r="I86" s="14" t="s">
        <v>145</v>
      </c>
      <c r="J86" s="28">
        <f ca="1">H84*25%</f>
        <v>5.25</v>
      </c>
    </row>
    <row r="87" spans="1:10" x14ac:dyDescent="0.25">
      <c r="A87" s="123" t="s">
        <v>132</v>
      </c>
      <c r="B87" s="124"/>
      <c r="C87" s="44">
        <f ca="1">J88</f>
        <v>21</v>
      </c>
      <c r="D87" s="19">
        <f ca="1">((100/H84)*C87)/100</f>
        <v>1</v>
      </c>
      <c r="E87" s="125">
        <f ca="1">(((C88/H84*10)+(40/(D84+F84+H84)*C89)+(7.5/(H84)*C90)+(7.5/(H84)*C91)+(10/H84*C92)+(10/H84*C93)+(5/H84*C94)+(5/H84*C95)+(5/H84*C96))/100)</f>
        <v>0.1</v>
      </c>
      <c r="F87" s="137"/>
      <c r="G87" s="125">
        <f ca="1">((((C87/H84)*20)+((C88/H84)*25)+(30/(H84+F84+D84)*C89)+(5/H84*C90)+(5/H84*C91)+(5/H84*C92)+(5/H84*C93)+(0/H84*C94)+(0/H84*C95)+(5/H84*C96))/100)</f>
        <v>0.45</v>
      </c>
      <c r="H87" s="126"/>
      <c r="I87" s="14" t="s">
        <v>103</v>
      </c>
      <c r="J87" s="29">
        <f ca="1">H84*50%</f>
        <v>10.5</v>
      </c>
    </row>
    <row r="88" spans="1:10" x14ac:dyDescent="0.25">
      <c r="A88" s="123" t="s">
        <v>50</v>
      </c>
      <c r="B88" s="124"/>
      <c r="C88" s="55">
        <f ca="1">J96</f>
        <v>21</v>
      </c>
      <c r="D88" s="19">
        <f ca="1">((100/H84)*C88)/100</f>
        <v>1</v>
      </c>
      <c r="E88" s="127"/>
      <c r="F88" s="138"/>
      <c r="G88" s="127"/>
      <c r="H88" s="128"/>
      <c r="I88" s="14" t="s">
        <v>104</v>
      </c>
      <c r="J88" s="29">
        <f ca="1">H84</f>
        <v>21</v>
      </c>
    </row>
    <row r="89" spans="1:10" ht="15.75" customHeight="1" x14ac:dyDescent="0.25">
      <c r="A89" s="123" t="s">
        <v>133</v>
      </c>
      <c r="B89" s="124"/>
      <c r="C89" s="44">
        <v>0</v>
      </c>
      <c r="D89" s="19">
        <f ca="1">((100/(D84+F84+H84))*C89)/100</f>
        <v>0</v>
      </c>
      <c r="E89" s="127"/>
      <c r="F89" s="138"/>
      <c r="G89" s="127"/>
      <c r="H89" s="128"/>
      <c r="I89" s="14" t="s">
        <v>105</v>
      </c>
      <c r="J89" s="30">
        <f ca="1">(IF(B84&gt;1,(H84/(B84+2)),H84/4))</f>
        <v>5.25</v>
      </c>
    </row>
    <row r="90" spans="1:10" ht="15.75" customHeight="1" x14ac:dyDescent="0.25">
      <c r="A90" s="123" t="s">
        <v>140</v>
      </c>
      <c r="B90" s="124" t="s">
        <v>134</v>
      </c>
      <c r="C90" s="44">
        <v>0</v>
      </c>
      <c r="D90" s="19">
        <f ca="1">((100/H84)*C90)/100</f>
        <v>0</v>
      </c>
      <c r="E90" s="127"/>
      <c r="F90" s="138"/>
      <c r="G90" s="127"/>
      <c r="H90" s="128"/>
      <c r="I90" s="14" t="s">
        <v>106</v>
      </c>
      <c r="J90" s="30">
        <f ca="1">(IF(B84&gt;1,(H84/(B84+2)+J89),H84/4+J89))</f>
        <v>10.5</v>
      </c>
    </row>
    <row r="91" spans="1:10" ht="15.75" customHeight="1" x14ac:dyDescent="0.25">
      <c r="A91" s="123" t="s">
        <v>141</v>
      </c>
      <c r="B91" s="124" t="s">
        <v>134</v>
      </c>
      <c r="C91" s="44">
        <v>0</v>
      </c>
      <c r="D91" s="19">
        <f ca="1">((100/H84)*C91)/100</f>
        <v>0</v>
      </c>
      <c r="E91" s="127"/>
      <c r="F91" s="138"/>
      <c r="G91" s="127"/>
      <c r="H91" s="128"/>
      <c r="I91" s="14" t="s">
        <v>150</v>
      </c>
      <c r="J91" s="30">
        <f>(IF(B84&gt;1,(H84/(B84+2)+J90),0))</f>
        <v>0</v>
      </c>
    </row>
    <row r="92" spans="1:10" ht="15" customHeight="1" x14ac:dyDescent="0.25">
      <c r="A92" s="123" t="s">
        <v>139</v>
      </c>
      <c r="B92" s="124" t="s">
        <v>136</v>
      </c>
      <c r="C92" s="44">
        <v>0</v>
      </c>
      <c r="D92" s="19">
        <f ca="1">((100/(H84))*C92)/100</f>
        <v>0</v>
      </c>
      <c r="E92" s="127"/>
      <c r="F92" s="138"/>
      <c r="G92" s="127"/>
      <c r="H92" s="128"/>
      <c r="I92" s="14" t="s">
        <v>147</v>
      </c>
      <c r="J92" s="30">
        <f>(IF(B84&gt;2,(H84/(B84+2)+J91),0))</f>
        <v>0</v>
      </c>
    </row>
    <row r="93" spans="1:10" ht="15.75" customHeight="1" x14ac:dyDescent="0.25">
      <c r="A93" s="123" t="s">
        <v>135</v>
      </c>
      <c r="B93" s="124" t="s">
        <v>135</v>
      </c>
      <c r="C93" s="44">
        <v>0</v>
      </c>
      <c r="D93" s="19">
        <f ca="1">((100/H84)*C93)/100</f>
        <v>0</v>
      </c>
      <c r="E93" s="127"/>
      <c r="F93" s="138"/>
      <c r="G93" s="127"/>
      <c r="H93" s="128"/>
      <c r="I93" s="14" t="s">
        <v>148</v>
      </c>
      <c r="J93" s="31">
        <f>(IF(B84&gt;3,(H84/(B84+2)+J92),0))</f>
        <v>0</v>
      </c>
    </row>
    <row r="94" spans="1:10" ht="15.75" customHeight="1" x14ac:dyDescent="0.25">
      <c r="A94" s="123" t="s">
        <v>142</v>
      </c>
      <c r="B94" s="124"/>
      <c r="C94" s="44">
        <v>0</v>
      </c>
      <c r="D94" s="19">
        <f ca="1">((100/H84)*C94)/100</f>
        <v>0</v>
      </c>
      <c r="E94" s="127"/>
      <c r="F94" s="138"/>
      <c r="G94" s="127"/>
      <c r="H94" s="128"/>
      <c r="I94" s="14" t="s">
        <v>149</v>
      </c>
      <c r="J94" s="30">
        <f>(IF(B84&gt;4,(H84/(B84+2)+J93),0))</f>
        <v>0</v>
      </c>
    </row>
    <row r="95" spans="1:10" ht="15.75" customHeight="1" x14ac:dyDescent="0.25">
      <c r="A95" s="123" t="s">
        <v>137</v>
      </c>
      <c r="B95" s="124" t="s">
        <v>137</v>
      </c>
      <c r="C95" s="44">
        <v>0</v>
      </c>
      <c r="D95" s="19">
        <f ca="1">((100/(H84))*C95)/100</f>
        <v>0</v>
      </c>
      <c r="E95" s="127"/>
      <c r="F95" s="138"/>
      <c r="G95" s="127"/>
      <c r="H95" s="128"/>
      <c r="I95" s="14" t="s">
        <v>151</v>
      </c>
      <c r="J95" s="30">
        <f ca="1">(IF(B84=1,(H84/(B84+3)+J90),IF(B84=0,(H84/4+J90),IF(B84&gt;1,0))))</f>
        <v>15.75</v>
      </c>
    </row>
    <row r="96" spans="1:10" ht="16.5" thickBot="1" x14ac:dyDescent="0.3">
      <c r="A96" s="155" t="s">
        <v>138</v>
      </c>
      <c r="B96" s="156"/>
      <c r="C96" s="71">
        <v>0</v>
      </c>
      <c r="D96" s="72">
        <f ca="1">((100/(H84))*C96)/100</f>
        <v>0</v>
      </c>
      <c r="E96" s="127"/>
      <c r="F96" s="138"/>
      <c r="G96" s="127"/>
      <c r="H96" s="128"/>
      <c r="I96" s="15" t="s">
        <v>107</v>
      </c>
      <c r="J96" s="32">
        <f ca="1">(IF(B84&gt;1.5,(H84/(B84+2)+J90+MAX(0,J91-J90)+MAX(0,J92-J91)+MAX(0,J93-J92)+MAX(0,J94-J93)+MAX(0,J95-J94)),IF(B84=1,(H84/(B84+3)+J95),IF(B84=0,H84/4+J95))))</f>
        <v>21</v>
      </c>
    </row>
    <row r="97" spans="1:10" ht="34.5" customHeight="1" x14ac:dyDescent="0.25">
      <c r="A97" s="231" t="s">
        <v>144</v>
      </c>
      <c r="B97" s="231"/>
      <c r="C97" s="231" t="s">
        <v>269</v>
      </c>
      <c r="D97" s="231"/>
      <c r="E97" s="231"/>
      <c r="F97" s="231"/>
      <c r="G97" s="231"/>
      <c r="H97" s="231"/>
      <c r="I97" s="77" t="str">
        <f ca="1">IF(D110=100%,"All work Completed. Possession granted to the Building.",IF(D109=100%,"All work Completed, Waiting for OC",I98&amp;""&amp;I99&amp;""&amp;J98&amp;""&amp;J97&amp;" "&amp;J99))</f>
        <v xml:space="preserve">Excavation Completed, Footing work Completed </v>
      </c>
      <c r="J97" s="51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/>
      </c>
    </row>
    <row r="98" spans="1:10" x14ac:dyDescent="0.25">
      <c r="A98" s="75" t="s">
        <v>146</v>
      </c>
      <c r="B98" s="75">
        <f>IF(AND(ISNUMBER(SEARCH("1B",C97))),1,IF(AND(ISNUMBER(SEARCH("2B",C97))),2,IF(AND(ISNUMBER(SEARCH("3B",C97))),3,IF(AND(ISNUMBER(SEARCH("4B",C97))),4,IF(ISNUMBER(SEARCH("5B",C97)),5,0)))))</f>
        <v>0</v>
      </c>
      <c r="C98" s="75" t="s">
        <v>73</v>
      </c>
      <c r="D98" s="75">
        <v>2</v>
      </c>
      <c r="E98" s="75" t="s">
        <v>72</v>
      </c>
      <c r="F98" s="75">
        <v>0</v>
      </c>
      <c r="G98" s="49" t="s">
        <v>82</v>
      </c>
      <c r="H98" s="75">
        <f ca="1">--TRIM(RIGHT(SUBSTITUTE(LEFT(C97,_xlfn.AGGREGATE(16,6,FIND({0,1,2,3,4,5,6,7,8,9},C97,ROW(INDIRECT("1:"&amp;LEN(C97)))),1))," ",REPT(" ",LEN(C97))),LEN(C97)))</f>
        <v>21</v>
      </c>
      <c r="I98" s="78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</v>
      </c>
      <c r="J98" s="53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>, Footing work Completed</v>
      </c>
    </row>
    <row r="99" spans="1:10" x14ac:dyDescent="0.25">
      <c r="A99" s="132" t="s">
        <v>92</v>
      </c>
      <c r="B99" s="132"/>
      <c r="C99" s="133" t="str">
        <f ca="1">(IF($G$53="NA",I97,"All work Completed. OC Received."))</f>
        <v xml:space="preserve">Excavation Completed, Footing work Completed </v>
      </c>
      <c r="D99" s="133"/>
      <c r="E99" s="133"/>
      <c r="F99" s="133"/>
      <c r="G99" s="133"/>
      <c r="H99" s="133"/>
      <c r="I99" s="78" t="str">
        <f ca="1">IF(I98&lt;&gt;""," Completed","")</f>
        <v xml:space="preserve"> Completed</v>
      </c>
      <c r="J99" s="53" t="str">
        <f ca="1">IF(J97&lt;&gt;"","Completed","")</f>
        <v/>
      </c>
    </row>
    <row r="100" spans="1:10" ht="15.75" customHeight="1" x14ac:dyDescent="0.25">
      <c r="A100" s="124" t="s">
        <v>49</v>
      </c>
      <c r="B100" s="124"/>
      <c r="C100" s="74" t="s">
        <v>143</v>
      </c>
      <c r="D100" s="74" t="s">
        <v>85</v>
      </c>
      <c r="E100" s="124" t="s">
        <v>87</v>
      </c>
      <c r="F100" s="124"/>
      <c r="G100" s="124" t="s">
        <v>86</v>
      </c>
      <c r="H100" s="124"/>
      <c r="I100" s="14" t="s">
        <v>145</v>
      </c>
      <c r="J100" s="28">
        <f ca="1">H98*25%</f>
        <v>5.25</v>
      </c>
    </row>
    <row r="101" spans="1:10" x14ac:dyDescent="0.25">
      <c r="A101" s="124" t="s">
        <v>132</v>
      </c>
      <c r="B101" s="124"/>
      <c r="C101" s="74">
        <f ca="1">J102</f>
        <v>21</v>
      </c>
      <c r="D101" s="19">
        <f ca="1">((100/H98)*C101)/100</f>
        <v>1</v>
      </c>
      <c r="E101" s="232">
        <f ca="1">(((C102/H98*10)+(40/(D98+F98+H98)*C103)+(7.5/(H98)*C104)+(7.5/(H98)*C105)+(10/H98*C106)+(10/H98*C107)+(5/H98*C108)+(5/H98*C109)+(5/H98*C110))/100)</f>
        <v>0.05</v>
      </c>
      <c r="F101" s="232"/>
      <c r="G101" s="232">
        <f ca="1">((((C101/H98)*20)+((C102/H98)*25)+(30/(H98+F98+D98)*C103)+(5/H98*C104)+(5/H98*C105)+(5/H98*C106)+(5/H98*C107)+(0/H98*C108)+(0/H98*C109)+(5/H98*C110))/100)</f>
        <v>0.32500000000000001</v>
      </c>
      <c r="H101" s="232"/>
      <c r="I101" s="14" t="s">
        <v>103</v>
      </c>
      <c r="J101" s="29">
        <f ca="1">H98*50%</f>
        <v>10.5</v>
      </c>
    </row>
    <row r="102" spans="1:10" x14ac:dyDescent="0.25">
      <c r="A102" s="124" t="s">
        <v>50</v>
      </c>
      <c r="B102" s="124"/>
      <c r="C102" s="55">
        <f ca="1">J104</f>
        <v>10.5</v>
      </c>
      <c r="D102" s="19">
        <f ca="1">((100/H98)*C102)/100</f>
        <v>0.5</v>
      </c>
      <c r="E102" s="232"/>
      <c r="F102" s="232"/>
      <c r="G102" s="232"/>
      <c r="H102" s="232"/>
      <c r="I102" s="14" t="s">
        <v>104</v>
      </c>
      <c r="J102" s="29">
        <f ca="1">H98</f>
        <v>21</v>
      </c>
    </row>
    <row r="103" spans="1:10" ht="15.75" customHeight="1" x14ac:dyDescent="0.25">
      <c r="A103" s="124" t="s">
        <v>133</v>
      </c>
      <c r="B103" s="124"/>
      <c r="C103" s="74">
        <v>0</v>
      </c>
      <c r="D103" s="19">
        <f ca="1">((100/(D98+F98+H98))*C103)/100</f>
        <v>0</v>
      </c>
      <c r="E103" s="232"/>
      <c r="F103" s="232"/>
      <c r="G103" s="232"/>
      <c r="H103" s="232"/>
      <c r="I103" s="14" t="s">
        <v>105</v>
      </c>
      <c r="J103" s="30">
        <f ca="1">(IF(B98&gt;1,(H98/(B98+2)),H98/4))</f>
        <v>5.25</v>
      </c>
    </row>
    <row r="104" spans="1:10" ht="15.75" customHeight="1" x14ac:dyDescent="0.25">
      <c r="A104" s="124" t="s">
        <v>140</v>
      </c>
      <c r="B104" s="124" t="s">
        <v>134</v>
      </c>
      <c r="C104" s="74">
        <v>0</v>
      </c>
      <c r="D104" s="19">
        <f ca="1">((100/H98)*C104)/100</f>
        <v>0</v>
      </c>
      <c r="E104" s="232"/>
      <c r="F104" s="232"/>
      <c r="G104" s="232"/>
      <c r="H104" s="232"/>
      <c r="I104" s="14" t="s">
        <v>106</v>
      </c>
      <c r="J104" s="30">
        <f ca="1">(IF(B98&gt;1,(H98/(B98+2)+J103),H98/4+J103))</f>
        <v>10.5</v>
      </c>
    </row>
    <row r="105" spans="1:10" ht="15.75" customHeight="1" x14ac:dyDescent="0.25">
      <c r="A105" s="124" t="s">
        <v>141</v>
      </c>
      <c r="B105" s="124" t="s">
        <v>134</v>
      </c>
      <c r="C105" s="74">
        <v>0</v>
      </c>
      <c r="D105" s="19">
        <f ca="1">((100/H98)*C105)/100</f>
        <v>0</v>
      </c>
      <c r="E105" s="232"/>
      <c r="F105" s="232"/>
      <c r="G105" s="232"/>
      <c r="H105" s="232"/>
      <c r="I105" s="14" t="s">
        <v>150</v>
      </c>
      <c r="J105" s="30">
        <f>(IF(B98&gt;1,(H98/(B98+2)+J104),0))</f>
        <v>0</v>
      </c>
    </row>
    <row r="106" spans="1:10" ht="15" customHeight="1" x14ac:dyDescent="0.25">
      <c r="A106" s="124" t="s">
        <v>139</v>
      </c>
      <c r="B106" s="124" t="s">
        <v>136</v>
      </c>
      <c r="C106" s="74">
        <v>0</v>
      </c>
      <c r="D106" s="19">
        <f ca="1">((100/(H98))*C106)/100</f>
        <v>0</v>
      </c>
      <c r="E106" s="232"/>
      <c r="F106" s="232"/>
      <c r="G106" s="232"/>
      <c r="H106" s="232"/>
      <c r="I106" s="14" t="s">
        <v>147</v>
      </c>
      <c r="J106" s="30">
        <f>(IF(B98&gt;2,(H98/(B98+2)+J105),0))</f>
        <v>0</v>
      </c>
    </row>
    <row r="107" spans="1:10" ht="15.75" customHeight="1" x14ac:dyDescent="0.25">
      <c r="A107" s="124" t="s">
        <v>135</v>
      </c>
      <c r="B107" s="124" t="s">
        <v>135</v>
      </c>
      <c r="C107" s="74">
        <v>0</v>
      </c>
      <c r="D107" s="19">
        <f ca="1">((100/H98)*C107)/100</f>
        <v>0</v>
      </c>
      <c r="E107" s="232"/>
      <c r="F107" s="232"/>
      <c r="G107" s="232"/>
      <c r="H107" s="232"/>
      <c r="I107" s="14" t="s">
        <v>148</v>
      </c>
      <c r="J107" s="31">
        <f>(IF(B98&gt;3,(H98/(B98+2)+J106),0))</f>
        <v>0</v>
      </c>
    </row>
    <row r="108" spans="1:10" ht="15.75" customHeight="1" x14ac:dyDescent="0.25">
      <c r="A108" s="124" t="s">
        <v>142</v>
      </c>
      <c r="B108" s="124"/>
      <c r="C108" s="74">
        <v>0</v>
      </c>
      <c r="D108" s="19">
        <f ca="1">((100/H98)*C108)/100</f>
        <v>0</v>
      </c>
      <c r="E108" s="232"/>
      <c r="F108" s="232"/>
      <c r="G108" s="232"/>
      <c r="H108" s="232"/>
      <c r="I108" s="14" t="s">
        <v>149</v>
      </c>
      <c r="J108" s="30">
        <f>(IF(B98&gt;4,(H98/(B98+2)+J107),0))</f>
        <v>0</v>
      </c>
    </row>
    <row r="109" spans="1:10" ht="15.75" customHeight="1" x14ac:dyDescent="0.25">
      <c r="A109" s="124" t="s">
        <v>137</v>
      </c>
      <c r="B109" s="124" t="s">
        <v>137</v>
      </c>
      <c r="C109" s="74">
        <v>0</v>
      </c>
      <c r="D109" s="19">
        <f ca="1">((100/(H98))*C109)/100</f>
        <v>0</v>
      </c>
      <c r="E109" s="232"/>
      <c r="F109" s="232"/>
      <c r="G109" s="232"/>
      <c r="H109" s="232"/>
      <c r="I109" s="14" t="s">
        <v>151</v>
      </c>
      <c r="J109" s="30">
        <f ca="1">(IF(B98=1,(H98/(B98+3)+J104),IF(B98=0,(H98/4+J104),IF(B98&gt;1,0))))</f>
        <v>15.75</v>
      </c>
    </row>
    <row r="110" spans="1:10" ht="16.5" thickBot="1" x14ac:dyDescent="0.3">
      <c r="A110" s="124" t="s">
        <v>138</v>
      </c>
      <c r="B110" s="124"/>
      <c r="C110" s="74">
        <v>0</v>
      </c>
      <c r="D110" s="19">
        <f ca="1">((100/(H98))*C110)/100</f>
        <v>0</v>
      </c>
      <c r="E110" s="232"/>
      <c r="F110" s="232"/>
      <c r="G110" s="232"/>
      <c r="H110" s="232"/>
      <c r="I110" s="15" t="s">
        <v>107</v>
      </c>
      <c r="J110" s="32">
        <f ca="1">(IF(B98&gt;1.5,(H98/(B98+2)+J104+MAX(0,J105-J104)+MAX(0,J106-J105)+MAX(0,J107-J106)+MAX(0,J108-J107)+MAX(0,J109-J108)),IF(B98=1,(H98/(B98+3)+J109),IF(B98=0,H98/4+J109))))</f>
        <v>21</v>
      </c>
    </row>
    <row r="111" spans="1:10" ht="40.5" customHeight="1" thickBot="1" x14ac:dyDescent="0.3">
      <c r="A111" s="225" t="s">
        <v>266</v>
      </c>
      <c r="B111" s="226"/>
      <c r="C111" s="227">
        <f ca="1">AVERAGE(E87,E101)</f>
        <v>7.5000000000000011E-2</v>
      </c>
      <c r="D111" s="228"/>
      <c r="E111" s="229" t="s">
        <v>267</v>
      </c>
      <c r="F111" s="229"/>
      <c r="G111" s="230">
        <f ca="1">AVERAGE(G87,G101)</f>
        <v>0.38750000000000001</v>
      </c>
      <c r="H111" s="230"/>
      <c r="I111" s="70"/>
      <c r="J111" s="30"/>
    </row>
    <row r="112" spans="1:10" ht="33.75" customHeight="1" x14ac:dyDescent="0.25">
      <c r="A112" s="145" t="s">
        <v>144</v>
      </c>
      <c r="B112" s="146"/>
      <c r="C112" s="147" t="str">
        <f>D60</f>
        <v>(Luxuria) Building No.3 (A &amp; B Wing) = G + 3P + 4th (E-Deck) + 5th to 37th Floor</v>
      </c>
      <c r="D112" s="148"/>
      <c r="E112" s="149"/>
      <c r="F112" s="149"/>
      <c r="G112" s="148"/>
      <c r="H112" s="150"/>
      <c r="I112" s="50" t="str">
        <f ca="1">IF(D125=100%,"All work Completed. Possession granted to the Building.",IF(D124=100%,"All work Completed, Waiting for OC",I113&amp;""&amp;I114&amp;""&amp;J113&amp;""&amp;J112&amp;" "&amp;J114))</f>
        <v>Excavation, Plinth Completed, RCC upto 10 Slab, Brickwork upto 9 Floor, Internal Plaster upto 6.75 Floor, External Plaster upto 4.725 Floor Completed</v>
      </c>
      <c r="J112" s="51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RCC upto 10 Slab, Brickwork upto 9 Floor, Internal Plaster upto 6.75 Floor, External Plaster upto 4.725 Floor</v>
      </c>
    </row>
    <row r="113" spans="1:10" x14ac:dyDescent="0.25">
      <c r="A113" s="16" t="s">
        <v>146</v>
      </c>
      <c r="B113" s="54">
        <f>IF(AND(ISNUMBER(SEARCH("1B",C112))),1,IF(AND(ISNUMBER(SEARCH("2B",C112))),2,IF(AND(ISNUMBER(SEARCH("3B",C112))),3,IF(AND(ISNUMBER(SEARCH("4B",C112))),4,IF(ISNUMBER(SEARCH("5B",C112)),5,0)))))</f>
        <v>0</v>
      </c>
      <c r="C113" s="48" t="s">
        <v>73</v>
      </c>
      <c r="D113" s="48">
        <v>1</v>
      </c>
      <c r="E113" s="48" t="s">
        <v>72</v>
      </c>
      <c r="F113" s="59">
        <v>0</v>
      </c>
      <c r="G113" s="49" t="s">
        <v>82</v>
      </c>
      <c r="H113" s="17">
        <f ca="1">--TRIM(RIGHT(SUBSTITUTE(LEFT(C112,_xlfn.AGGREGATE(16,6,FIND({0,1,2,3,4,5,6,7,8,9},C112,ROW(INDIRECT("1:"&amp;LEN(C112)))),1))," ",REPT(" ",LEN(C112))),LEN(C112)))</f>
        <v>37</v>
      </c>
      <c r="I113" s="52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</v>
      </c>
      <c r="J113" s="53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0" ht="33" customHeight="1" x14ac:dyDescent="0.25">
      <c r="A114" s="131" t="s">
        <v>92</v>
      </c>
      <c r="B114" s="132"/>
      <c r="C114" s="133" t="str">
        <f ca="1">(IF($G$53="NA",I112,"All work Completed. OC Received."))</f>
        <v>Excavation, Plinth Completed, RCC upto 10 Slab, Brickwork upto 9 Floor, Internal Plaster upto 6.75 Floor, External Plaster upto 4.725 Floor Completed</v>
      </c>
      <c r="D114" s="133"/>
      <c r="E114" s="133"/>
      <c r="F114" s="133"/>
      <c r="G114" s="133"/>
      <c r="H114" s="134"/>
      <c r="I114" s="52" t="str">
        <f ca="1">IF(I113&lt;&gt;""," Completed","")</f>
        <v xml:space="preserve"> Completed</v>
      </c>
      <c r="J114" s="53" t="str">
        <f ca="1">IF(J112&lt;&gt;"","Completed","")</f>
        <v>Completed</v>
      </c>
    </row>
    <row r="115" spans="1:10" ht="15.75" customHeight="1" x14ac:dyDescent="0.25">
      <c r="A115" s="123" t="s">
        <v>49</v>
      </c>
      <c r="B115" s="124"/>
      <c r="C115" s="44" t="s">
        <v>143</v>
      </c>
      <c r="D115" s="44" t="s">
        <v>85</v>
      </c>
      <c r="E115" s="124" t="s">
        <v>87</v>
      </c>
      <c r="F115" s="124"/>
      <c r="G115" s="124" t="s">
        <v>86</v>
      </c>
      <c r="H115" s="135"/>
      <c r="I115" s="14" t="s">
        <v>145</v>
      </c>
      <c r="J115" s="28">
        <f ca="1">H113*25%</f>
        <v>9.25</v>
      </c>
    </row>
    <row r="116" spans="1:10" x14ac:dyDescent="0.25">
      <c r="A116" s="123" t="s">
        <v>132</v>
      </c>
      <c r="B116" s="124"/>
      <c r="C116" s="44">
        <f ca="1">J117</f>
        <v>37</v>
      </c>
      <c r="D116" s="19">
        <f ca="1">((100/H113)*C116)/100</f>
        <v>1</v>
      </c>
      <c r="E116" s="125">
        <f ca="1">(((C117/H113*10)+(40/(D113+F113+H113)*C118)+(7.5/(H113)*C119)+(7.5/(H113)*C120)+(10/H113*C121)+(10/H113*C122)+(5/H113*C123)+(5/H113*C124)+(5/H113*C125))/100)</f>
        <v>0.24995910384068279</v>
      </c>
      <c r="F116" s="137"/>
      <c r="G116" s="125">
        <f ca="1">((((C116/H113)*20)+((C117/H113)*25)+(30/(H113+F113+D113)*C118)+(5/H113*C119)+(5/H113*C120)+(5/H113*C121)+(5/H113*C122)+(0/H113*C123)+(0/H113*C124)+(5/H113*C125))/100)</f>
        <v>0.55661628733997159</v>
      </c>
      <c r="H116" s="126"/>
      <c r="I116" s="14" t="s">
        <v>103</v>
      </c>
      <c r="J116" s="29">
        <f ca="1">H113*50%</f>
        <v>18.5</v>
      </c>
    </row>
    <row r="117" spans="1:10" x14ac:dyDescent="0.25">
      <c r="A117" s="123" t="s">
        <v>50</v>
      </c>
      <c r="B117" s="124"/>
      <c r="C117" s="55">
        <f ca="1">J125</f>
        <v>37</v>
      </c>
      <c r="D117" s="19">
        <f ca="1">((100/H113)*C117)/100</f>
        <v>1</v>
      </c>
      <c r="E117" s="127"/>
      <c r="F117" s="138"/>
      <c r="G117" s="127"/>
      <c r="H117" s="128"/>
      <c r="I117" s="14" t="s">
        <v>104</v>
      </c>
      <c r="J117" s="29">
        <f ca="1">H113</f>
        <v>37</v>
      </c>
    </row>
    <row r="118" spans="1:10" ht="15.75" customHeight="1" x14ac:dyDescent="0.25">
      <c r="A118" s="123" t="s">
        <v>133</v>
      </c>
      <c r="B118" s="124"/>
      <c r="C118" s="44">
        <f>14-4</f>
        <v>10</v>
      </c>
      <c r="D118" s="19">
        <f ca="1">((100/(D113+F113+H113))*C118)/100</f>
        <v>0.26315789473684215</v>
      </c>
      <c r="E118" s="127"/>
      <c r="F118" s="138"/>
      <c r="G118" s="127"/>
      <c r="H118" s="128"/>
      <c r="I118" s="14" t="s">
        <v>105</v>
      </c>
      <c r="J118" s="30">
        <f ca="1">(IF(B113&gt;1,(H113/(B113+2)),H113/4))</f>
        <v>9.25</v>
      </c>
    </row>
    <row r="119" spans="1:10" ht="15.75" customHeight="1" x14ac:dyDescent="0.25">
      <c r="A119" s="123" t="s">
        <v>140</v>
      </c>
      <c r="B119" s="124" t="s">
        <v>134</v>
      </c>
      <c r="C119" s="44">
        <f>C118-1</f>
        <v>9</v>
      </c>
      <c r="D119" s="19">
        <f ca="1">((100/H113)*C119)/100</f>
        <v>0.24324324324324323</v>
      </c>
      <c r="E119" s="127"/>
      <c r="F119" s="138"/>
      <c r="G119" s="127"/>
      <c r="H119" s="128"/>
      <c r="I119" s="14" t="s">
        <v>106</v>
      </c>
      <c r="J119" s="30">
        <f ca="1">(IF(B113&gt;1,(H113/(B113+2)+J118),H113/4+J118))</f>
        <v>18.5</v>
      </c>
    </row>
    <row r="120" spans="1:10" ht="15.75" customHeight="1" x14ac:dyDescent="0.25">
      <c r="A120" s="123" t="s">
        <v>141</v>
      </c>
      <c r="B120" s="124" t="s">
        <v>134</v>
      </c>
      <c r="C120" s="55">
        <f>C119*0.75</f>
        <v>6.75</v>
      </c>
      <c r="D120" s="19">
        <f ca="1">((100/H113)*C120)/100</f>
        <v>0.18243243243243243</v>
      </c>
      <c r="E120" s="127"/>
      <c r="F120" s="138"/>
      <c r="G120" s="127"/>
      <c r="H120" s="128"/>
      <c r="I120" s="14" t="s">
        <v>150</v>
      </c>
      <c r="J120" s="30">
        <f>(IF(B113&gt;1,(H113/(B113+2)+J119),0))</f>
        <v>0</v>
      </c>
    </row>
    <row r="121" spans="1:10" ht="15" customHeight="1" x14ac:dyDescent="0.25">
      <c r="A121" s="123" t="s">
        <v>139</v>
      </c>
      <c r="B121" s="124" t="s">
        <v>136</v>
      </c>
      <c r="C121" s="55">
        <f>C120*0.7</f>
        <v>4.7249999999999996</v>
      </c>
      <c r="D121" s="19">
        <f ca="1">((100/(H113))*C121)/100</f>
        <v>0.12770270270270268</v>
      </c>
      <c r="E121" s="127"/>
      <c r="F121" s="138"/>
      <c r="G121" s="127"/>
      <c r="H121" s="128"/>
      <c r="I121" s="14" t="s">
        <v>147</v>
      </c>
      <c r="J121" s="30">
        <f>(IF(B113&gt;2,(H113/(B113+2)+J120),0))</f>
        <v>0</v>
      </c>
    </row>
    <row r="122" spans="1:10" ht="15.75" customHeight="1" x14ac:dyDescent="0.25">
      <c r="A122" s="123" t="s">
        <v>135</v>
      </c>
      <c r="B122" s="124" t="s">
        <v>135</v>
      </c>
      <c r="C122" s="44">
        <v>0</v>
      </c>
      <c r="D122" s="19">
        <f ca="1">((100/H113)*C122)/100</f>
        <v>0</v>
      </c>
      <c r="E122" s="127"/>
      <c r="F122" s="138"/>
      <c r="G122" s="127"/>
      <c r="H122" s="128"/>
      <c r="I122" s="14" t="s">
        <v>148</v>
      </c>
      <c r="J122" s="31">
        <f>(IF(B113&gt;3,(H113/(B113+2)+J121),0))</f>
        <v>0</v>
      </c>
    </row>
    <row r="123" spans="1:10" ht="15.75" customHeight="1" x14ac:dyDescent="0.25">
      <c r="A123" s="123" t="s">
        <v>142</v>
      </c>
      <c r="B123" s="124"/>
      <c r="C123" s="44">
        <v>0</v>
      </c>
      <c r="D123" s="19">
        <f ca="1">((100/H113)*C123)/100</f>
        <v>0</v>
      </c>
      <c r="E123" s="127"/>
      <c r="F123" s="138"/>
      <c r="G123" s="127"/>
      <c r="H123" s="128"/>
      <c r="I123" s="14" t="s">
        <v>149</v>
      </c>
      <c r="J123" s="30">
        <f>(IF(B113&gt;4,(H113/(B113+2)+J122),0))</f>
        <v>0</v>
      </c>
    </row>
    <row r="124" spans="1:10" ht="15.75" customHeight="1" x14ac:dyDescent="0.25">
      <c r="A124" s="123" t="s">
        <v>137</v>
      </c>
      <c r="B124" s="124" t="s">
        <v>137</v>
      </c>
      <c r="C124" s="44">
        <v>0</v>
      </c>
      <c r="D124" s="19">
        <f ca="1">((100/(H113))*C124)/100</f>
        <v>0</v>
      </c>
      <c r="E124" s="127"/>
      <c r="F124" s="138"/>
      <c r="G124" s="127"/>
      <c r="H124" s="128"/>
      <c r="I124" s="14" t="s">
        <v>151</v>
      </c>
      <c r="J124" s="30">
        <f ca="1">(IF(B113=1,(H113/(B113+3)+J119),IF(B113=0,(H113/4+J119),IF(B113&gt;1,0))))</f>
        <v>27.75</v>
      </c>
    </row>
    <row r="125" spans="1:10" ht="16.5" thickBot="1" x14ac:dyDescent="0.3">
      <c r="A125" s="165" t="s">
        <v>138</v>
      </c>
      <c r="B125" s="166"/>
      <c r="C125" s="45">
        <v>0</v>
      </c>
      <c r="D125" s="20">
        <f ca="1">((100/(H113))*C125)/100</f>
        <v>0</v>
      </c>
      <c r="E125" s="139"/>
      <c r="F125" s="140"/>
      <c r="G125" s="139"/>
      <c r="H125" s="162"/>
      <c r="I125" s="15" t="s">
        <v>107</v>
      </c>
      <c r="J125" s="32">
        <f ca="1">(IF(B113&gt;1.5,(H113/(B113+2)+J119+MAX(0,J120-J119)+MAX(0,J121-J120)+MAX(0,J122-J121)+MAX(0,J123-J122)+MAX(0,J124-J123)),IF(B113=1,(H113/(B113+3)+J124),IF(B113=0,H113/4+J124))))</f>
        <v>37</v>
      </c>
    </row>
    <row r="126" spans="1:10" x14ac:dyDescent="0.25">
      <c r="A126" s="136" t="s">
        <v>161</v>
      </c>
      <c r="B126" s="136"/>
      <c r="C126" s="136"/>
      <c r="D126" s="136"/>
      <c r="E126" s="136"/>
      <c r="F126" s="141" t="s">
        <v>164</v>
      </c>
      <c r="G126" s="141"/>
      <c r="H126" s="141"/>
    </row>
    <row r="127" spans="1:10" x14ac:dyDescent="0.25">
      <c r="A127" s="109" t="s">
        <v>163</v>
      </c>
      <c r="B127" s="109"/>
      <c r="C127" s="109"/>
      <c r="D127" s="109"/>
      <c r="E127" s="109"/>
      <c r="F127" s="224">
        <v>9000</v>
      </c>
      <c r="G127" s="224"/>
      <c r="H127" s="224"/>
    </row>
    <row r="128" spans="1:10" x14ac:dyDescent="0.25">
      <c r="A128" s="109" t="s">
        <v>245</v>
      </c>
      <c r="B128" s="109"/>
      <c r="C128" s="109"/>
      <c r="D128" s="109"/>
      <c r="E128" s="109"/>
      <c r="F128" s="114">
        <v>30000</v>
      </c>
      <c r="G128" s="114"/>
      <c r="H128" s="114"/>
    </row>
    <row r="129" spans="1:9" x14ac:dyDescent="0.25">
      <c r="A129" s="109" t="s">
        <v>243</v>
      </c>
      <c r="B129" s="109"/>
      <c r="C129" s="109"/>
      <c r="D129" s="109"/>
      <c r="E129" s="109"/>
      <c r="F129" s="114">
        <v>16500</v>
      </c>
      <c r="G129" s="114"/>
      <c r="H129" s="114"/>
    </row>
    <row r="130" spans="1:9" s="33" customFormat="1" hidden="1" x14ac:dyDescent="0.25">
      <c r="A130" s="109" t="s">
        <v>162</v>
      </c>
      <c r="B130" s="109"/>
      <c r="C130" s="109"/>
      <c r="D130" s="109"/>
      <c r="E130" s="109"/>
      <c r="F130" s="114"/>
      <c r="G130" s="114"/>
      <c r="H130" s="114"/>
    </row>
    <row r="131" spans="1:9" s="33" customFormat="1" hidden="1" x14ac:dyDescent="0.25">
      <c r="A131" s="109" t="s">
        <v>97</v>
      </c>
      <c r="B131" s="109"/>
      <c r="C131" s="109"/>
      <c r="D131" s="109"/>
      <c r="E131" s="109"/>
      <c r="F131" s="114"/>
      <c r="G131" s="114"/>
      <c r="H131" s="114"/>
    </row>
    <row r="132" spans="1:9" x14ac:dyDescent="0.25">
      <c r="A132" s="109" t="s">
        <v>244</v>
      </c>
      <c r="B132" s="109"/>
      <c r="C132" s="109"/>
      <c r="D132" s="109"/>
      <c r="E132" s="109"/>
      <c r="F132" s="114">
        <v>15000</v>
      </c>
      <c r="G132" s="114"/>
      <c r="H132" s="114"/>
    </row>
    <row r="133" spans="1:9" s="33" customFormat="1" x14ac:dyDescent="0.25">
      <c r="A133" s="109" t="s">
        <v>98</v>
      </c>
      <c r="B133" s="109"/>
      <c r="C133" s="109"/>
      <c r="D133" s="109"/>
      <c r="E133" s="109"/>
      <c r="F133" s="114">
        <v>120000</v>
      </c>
      <c r="G133" s="114"/>
      <c r="H133" s="114"/>
      <c r="I133" s="33" t="s">
        <v>259</v>
      </c>
    </row>
    <row r="134" spans="1:9" s="33" customFormat="1" x14ac:dyDescent="0.25">
      <c r="A134" s="109" t="s">
        <v>257</v>
      </c>
      <c r="B134" s="109"/>
      <c r="C134" s="109"/>
      <c r="D134" s="109"/>
      <c r="E134" s="109"/>
      <c r="F134" s="114">
        <v>265000</v>
      </c>
      <c r="G134" s="114"/>
      <c r="H134" s="114"/>
    </row>
    <row r="135" spans="1:9" s="33" customFormat="1" hidden="1" x14ac:dyDescent="0.25">
      <c r="A135" s="109" t="s">
        <v>99</v>
      </c>
      <c r="B135" s="109"/>
      <c r="C135" s="109"/>
      <c r="D135" s="109"/>
      <c r="E135" s="109"/>
      <c r="F135" s="114"/>
      <c r="G135" s="114"/>
      <c r="H135" s="114"/>
    </row>
    <row r="136" spans="1:9" s="33" customFormat="1" hidden="1" x14ac:dyDescent="0.25">
      <c r="A136" s="109" t="s">
        <v>100</v>
      </c>
      <c r="B136" s="109"/>
      <c r="C136" s="109"/>
      <c r="D136" s="109"/>
      <c r="E136" s="109"/>
      <c r="F136" s="114"/>
      <c r="G136" s="114"/>
      <c r="H136" s="114"/>
    </row>
    <row r="137" spans="1:9" s="33" customFormat="1" hidden="1" x14ac:dyDescent="0.25">
      <c r="A137" s="109" t="s">
        <v>101</v>
      </c>
      <c r="B137" s="109"/>
      <c r="C137" s="109"/>
      <c r="D137" s="109"/>
      <c r="E137" s="109"/>
      <c r="F137" s="114"/>
      <c r="G137" s="114"/>
      <c r="H137" s="114"/>
    </row>
    <row r="138" spans="1:9" s="33" customFormat="1" x14ac:dyDescent="0.25">
      <c r="A138" s="109" t="s">
        <v>102</v>
      </c>
      <c r="B138" s="109"/>
      <c r="C138" s="109"/>
      <c r="D138" s="109"/>
      <c r="E138" s="109"/>
      <c r="F138" s="114">
        <v>65000</v>
      </c>
      <c r="G138" s="114"/>
      <c r="H138" s="114"/>
    </row>
    <row r="139" spans="1:9" x14ac:dyDescent="0.25">
      <c r="A139" s="109" t="s">
        <v>51</v>
      </c>
      <c r="B139" s="109"/>
      <c r="C139" s="109"/>
      <c r="D139" s="109"/>
      <c r="E139" s="109"/>
      <c r="F139" s="114">
        <v>500000</v>
      </c>
      <c r="G139" s="114"/>
      <c r="H139" s="114"/>
    </row>
    <row r="140" spans="1:9" s="34" customFormat="1" x14ac:dyDescent="0.25">
      <c r="A140" s="115" t="s">
        <v>52</v>
      </c>
      <c r="B140" s="115"/>
      <c r="C140" s="115"/>
      <c r="D140" s="115"/>
      <c r="E140" s="115"/>
      <c r="F140" s="114">
        <f>F127*0.8</f>
        <v>7200</v>
      </c>
      <c r="G140" s="114"/>
      <c r="H140" s="114"/>
    </row>
    <row r="141" spans="1:9" s="35" customFormat="1" ht="15.75" customHeight="1" x14ac:dyDescent="0.25">
      <c r="A141" s="110" t="s">
        <v>77</v>
      </c>
      <c r="B141" s="110"/>
      <c r="C141" s="110"/>
      <c r="D141" s="110"/>
      <c r="E141" s="110"/>
      <c r="F141" s="110"/>
      <c r="G141" s="110"/>
      <c r="H141" s="110"/>
    </row>
    <row r="142" spans="1:9" s="35" customFormat="1" ht="15.75" customHeight="1" x14ac:dyDescent="0.25">
      <c r="A142" s="113" t="s">
        <v>53</v>
      </c>
      <c r="B142" s="113"/>
      <c r="C142" s="112" t="s">
        <v>80</v>
      </c>
      <c r="D142" s="112"/>
      <c r="E142" s="189" t="s">
        <v>54</v>
      </c>
      <c r="F142" s="189"/>
      <c r="G142" s="113" t="s">
        <v>55</v>
      </c>
      <c r="H142" s="113"/>
    </row>
    <row r="143" spans="1:9" s="35" customFormat="1" ht="65.25" customHeight="1" x14ac:dyDescent="0.25">
      <c r="A143" s="58" t="s">
        <v>219</v>
      </c>
      <c r="B143" s="58" t="s">
        <v>181</v>
      </c>
      <c r="C143" s="89">
        <f>COUNT(D161)+COUNT(D163)*6</f>
        <v>7</v>
      </c>
      <c r="D143" s="89"/>
      <c r="E143" s="90">
        <f>SUM(D161)+SUM(D163)*6</f>
        <v>12529.618919999999</v>
      </c>
      <c r="F143" s="90"/>
      <c r="G143" s="90">
        <f>SUM(F161)+SUM(F163)*6</f>
        <v>19420.909326000001</v>
      </c>
      <c r="H143" s="90"/>
    </row>
    <row r="144" spans="1:9" s="35" customFormat="1" ht="15.75" customHeight="1" x14ac:dyDescent="0.25">
      <c r="A144" s="95" t="s">
        <v>220</v>
      </c>
      <c r="B144" s="58" t="s">
        <v>183</v>
      </c>
      <c r="C144" s="89">
        <f>COUNT(D166:D172)</f>
        <v>7</v>
      </c>
      <c r="D144" s="91"/>
      <c r="E144" s="90">
        <f>SUM(D166:D172)</f>
        <v>17017.668719999998</v>
      </c>
      <c r="F144" s="92"/>
      <c r="G144" s="90">
        <f>SUM(F166:F172)</f>
        <v>26377.386515999999</v>
      </c>
      <c r="H144" s="92"/>
    </row>
    <row r="145" spans="1:12" s="35" customFormat="1" x14ac:dyDescent="0.25">
      <c r="A145" s="95"/>
      <c r="B145" s="58" t="s">
        <v>187</v>
      </c>
      <c r="C145" s="89">
        <f>COUNT(D176:D192)*10+COUNT(D194:D197,D199:D210)*3</f>
        <v>218</v>
      </c>
      <c r="D145" s="89"/>
      <c r="E145" s="90">
        <f>SUM(D176:D192)*10+SUM(D194:D197,D199:D210)*3</f>
        <v>152071.53155999997</v>
      </c>
      <c r="F145" s="90"/>
      <c r="G145" s="90">
        <f>SUM(F176:F192)*10+SUM(F194:F197,F199:F210)*3</f>
        <v>235710.873918</v>
      </c>
      <c r="H145" s="90"/>
    </row>
    <row r="146" spans="1:12" s="35" customFormat="1" ht="30.75" customHeight="1" x14ac:dyDescent="0.25">
      <c r="A146" s="95"/>
      <c r="B146" s="58" t="s">
        <v>191</v>
      </c>
      <c r="C146" s="89">
        <f>COUNT(D214:D223,D226:D238)+COUNT(D240:D249,D252:D264)</f>
        <v>46</v>
      </c>
      <c r="D146" s="91"/>
      <c r="E146" s="90">
        <f>SUM(D214:D223,D226:D238)+SUM(D240:D249,D252:D264)</f>
        <v>12541.78224</v>
      </c>
      <c r="F146" s="92"/>
      <c r="G146" s="90">
        <f>SUM(F214:F223,F226:F238)+SUM(F240:F249,F252:F264)</f>
        <v>19439.762471999995</v>
      </c>
      <c r="H146" s="92"/>
    </row>
    <row r="147" spans="1:12" s="35" customFormat="1" x14ac:dyDescent="0.25">
      <c r="A147" s="110" t="s">
        <v>154</v>
      </c>
      <c r="B147" s="110"/>
      <c r="C147" s="111">
        <f>SUM(C143:C146)</f>
        <v>278</v>
      </c>
      <c r="D147" s="112"/>
      <c r="E147" s="111">
        <f t="shared" ref="E147" si="0">SUM(E143:E146)</f>
        <v>194160.60143999997</v>
      </c>
      <c r="F147" s="112"/>
      <c r="G147" s="111">
        <f t="shared" ref="G147" si="1">SUM(G143:G146)</f>
        <v>300948.93223199999</v>
      </c>
      <c r="H147" s="112"/>
      <c r="J147" s="35" t="s">
        <v>248</v>
      </c>
    </row>
    <row r="148" spans="1:12" s="35" customFormat="1" x14ac:dyDescent="0.25">
      <c r="A148" s="110" t="s">
        <v>71</v>
      </c>
      <c r="B148" s="110"/>
      <c r="C148" s="110"/>
      <c r="D148" s="110"/>
      <c r="E148" s="110"/>
      <c r="F148" s="110"/>
      <c r="G148" s="110"/>
      <c r="H148" s="110"/>
      <c r="I148" s="35" t="s">
        <v>251</v>
      </c>
      <c r="J148" s="35">
        <v>15000</v>
      </c>
      <c r="K148" s="35" t="s">
        <v>249</v>
      </c>
    </row>
    <row r="149" spans="1:12" s="35" customFormat="1" ht="15.75" customHeight="1" x14ac:dyDescent="0.25">
      <c r="A149" s="113" t="s">
        <v>53</v>
      </c>
      <c r="B149" s="113"/>
      <c r="C149" s="112" t="s">
        <v>80</v>
      </c>
      <c r="D149" s="112"/>
      <c r="E149" s="189" t="s">
        <v>54</v>
      </c>
      <c r="F149" s="189"/>
      <c r="G149" s="113" t="s">
        <v>55</v>
      </c>
      <c r="H149" s="113"/>
      <c r="J149" s="35">
        <v>65000</v>
      </c>
      <c r="K149" s="35" t="s">
        <v>250</v>
      </c>
    </row>
    <row r="150" spans="1:12" s="35" customFormat="1" ht="15.75" customHeight="1" x14ac:dyDescent="0.25">
      <c r="A150" s="93" t="s">
        <v>246</v>
      </c>
      <c r="B150" s="58" t="s">
        <v>193</v>
      </c>
      <c r="C150" s="89">
        <f>COUNT(D276:D283)*10+COUNT(D285:D289,D291:D292)*3+COUNT(D294:D301)*15+COUNT(D303:D307,D309:D310)*3+COUNT(D312:D319)</f>
        <v>250</v>
      </c>
      <c r="D150" s="89"/>
      <c r="E150" s="90">
        <f t="shared" ref="E150" si="2">SUM(D276:D283)*10+SUM(D285:D289,D291:D292)*3+SUM(D294:D301)*15+SUM(D303:D307,D309:D310)*3+SUM(D312:D319)</f>
        <v>154310.76648000002</v>
      </c>
      <c r="F150" s="90"/>
      <c r="G150" s="90">
        <f>SUM(F276:F283)*10+SUM(F285:F289,F291:F292)*3+SUM(F294:F301)*15+SUM(F303:F307,F309:F310)*3+SUM(F312:F319)</f>
        <v>239181.68804399998</v>
      </c>
      <c r="H150" s="90"/>
      <c r="I150" s="66">
        <f>6300000/F281</f>
        <v>8224.3999323601856</v>
      </c>
      <c r="J150" s="35">
        <v>30000</v>
      </c>
      <c r="K150" s="35" t="s">
        <v>187</v>
      </c>
    </row>
    <row r="151" spans="1:12" s="35" customFormat="1" ht="39.75" customHeight="1" x14ac:dyDescent="0.25">
      <c r="A151" s="94"/>
      <c r="B151" s="58" t="s">
        <v>208</v>
      </c>
      <c r="C151" s="89">
        <f>COUNT(D323:D330)*10+COUNT(D332:D335,D337:D339)*3+COUNT(D341:D348)*15+COUNT(D350:D353,D355:D357)*3+COUNT(D359:D366)</f>
        <v>250</v>
      </c>
      <c r="D151" s="89"/>
      <c r="E151" s="90">
        <f>SUM(D323:D330)*10+SUM(D332:D335,D337:D339)*3+SUM(D341:D348)*15+SUM(D350:D353,D355:D357)*3+SUM(D359:D366)</f>
        <v>154328.85</v>
      </c>
      <c r="F151" s="90"/>
      <c r="G151" s="90">
        <f>SUM(F323:F330)*10+SUM(F332:F335,F337:F339)*3+SUM(F341:F348)*15+SUM(F350:F353,F355:F357)*3+SUM(F359:F366)</f>
        <v>239209.71749999997</v>
      </c>
      <c r="H151" s="90"/>
    </row>
    <row r="152" spans="1:12" s="35" customFormat="1" ht="33.75" customHeight="1" x14ac:dyDescent="0.25">
      <c r="A152" s="98" t="s">
        <v>247</v>
      </c>
      <c r="B152" s="99"/>
      <c r="C152" s="89">
        <f>COUNT(D224:D225)+COUNT(D250:D251)</f>
        <v>4</v>
      </c>
      <c r="D152" s="89"/>
      <c r="E152" s="90">
        <f>SUM(D224:D225)+SUM(D250:D251)</f>
        <v>2142.8971199999996</v>
      </c>
      <c r="F152" s="90"/>
      <c r="G152" s="90">
        <f>SUM(F224:F225)+SUM(F250:F251)</f>
        <v>3321.4905360000002</v>
      </c>
      <c r="H152" s="90"/>
      <c r="I152" s="67" t="s">
        <v>237</v>
      </c>
      <c r="J152" s="67" t="s">
        <v>238</v>
      </c>
      <c r="K152" s="67" t="s">
        <v>239</v>
      </c>
      <c r="L152" s="67" t="s">
        <v>240</v>
      </c>
    </row>
    <row r="153" spans="1:12" s="35" customFormat="1" ht="16.5" thickBot="1" x14ac:dyDescent="0.3">
      <c r="A153" s="198" t="s">
        <v>154</v>
      </c>
      <c r="B153" s="198"/>
      <c r="C153" s="96">
        <f>SUM(C150:C152)</f>
        <v>504</v>
      </c>
      <c r="D153" s="97"/>
      <c r="E153" s="96">
        <f t="shared" ref="E153" si="3">SUM(E150:E152)</f>
        <v>310782.51360000001</v>
      </c>
      <c r="F153" s="97"/>
      <c r="G153" s="96">
        <f t="shared" ref="G153" si="4">SUM(G150:G152)</f>
        <v>481712.89607999998</v>
      </c>
      <c r="H153" s="97"/>
    </row>
    <row r="154" spans="1:12" s="35" customFormat="1" ht="16.5" thickBot="1" x14ac:dyDescent="0.3">
      <c r="A154" s="193" t="s">
        <v>169</v>
      </c>
      <c r="B154" s="194"/>
      <c r="C154" s="195">
        <f>C147+C153</f>
        <v>782</v>
      </c>
      <c r="D154" s="195"/>
      <c r="E154" s="196">
        <f>E147+E153</f>
        <v>504943.11503999995</v>
      </c>
      <c r="F154" s="196"/>
      <c r="G154" s="194">
        <f>G147+G153</f>
        <v>782661.82831200003</v>
      </c>
      <c r="H154" s="197"/>
    </row>
    <row r="155" spans="1:12" s="34" customFormat="1" x14ac:dyDescent="0.25">
      <c r="A155" s="141" t="s">
        <v>56</v>
      </c>
      <c r="B155" s="141"/>
      <c r="C155" s="141"/>
      <c r="D155" s="141"/>
      <c r="E155" s="141"/>
      <c r="F155" s="141"/>
      <c r="G155" s="141"/>
      <c r="H155" s="141"/>
      <c r="I155" s="65" t="s">
        <v>236</v>
      </c>
    </row>
    <row r="156" spans="1:12" x14ac:dyDescent="0.25">
      <c r="A156" s="176" t="s">
        <v>57</v>
      </c>
      <c r="B156" s="176"/>
      <c r="C156" s="176"/>
      <c r="D156" s="176"/>
      <c r="E156" s="176"/>
      <c r="F156" s="176"/>
      <c r="G156" s="176"/>
      <c r="H156" s="176"/>
      <c r="I156" s="65" t="s">
        <v>235</v>
      </c>
    </row>
    <row r="157" spans="1:12" ht="47.25" customHeight="1" x14ac:dyDescent="0.25">
      <c r="A157" s="129" t="s">
        <v>123</v>
      </c>
      <c r="B157" s="129" t="s">
        <v>122</v>
      </c>
      <c r="C157" s="129" t="s">
        <v>58</v>
      </c>
      <c r="D157" s="129" t="s">
        <v>59</v>
      </c>
      <c r="E157" s="151" t="s">
        <v>160</v>
      </c>
      <c r="F157" s="43" t="s">
        <v>153</v>
      </c>
      <c r="G157" s="143" t="s">
        <v>61</v>
      </c>
      <c r="H157" s="153"/>
    </row>
    <row r="158" spans="1:12" s="37" customFormat="1" x14ac:dyDescent="0.25">
      <c r="A158" s="130"/>
      <c r="B158" s="130"/>
      <c r="C158" s="130"/>
      <c r="D158" s="130"/>
      <c r="E158" s="152"/>
      <c r="F158" s="13">
        <v>0.55000000000000004</v>
      </c>
      <c r="G158" s="144"/>
      <c r="H158" s="154"/>
    </row>
    <row r="159" spans="1:12" s="57" customFormat="1" x14ac:dyDescent="0.25">
      <c r="A159" s="82" t="s">
        <v>219</v>
      </c>
      <c r="B159" s="83"/>
      <c r="C159" s="83"/>
      <c r="D159" s="83"/>
      <c r="E159" s="83"/>
      <c r="F159" s="83"/>
      <c r="G159" s="83"/>
      <c r="H159" s="84"/>
      <c r="J159" s="36"/>
    </row>
    <row r="160" spans="1:12" s="37" customFormat="1" x14ac:dyDescent="0.25">
      <c r="A160" s="82" t="s">
        <v>180</v>
      </c>
      <c r="B160" s="83"/>
      <c r="C160" s="83"/>
      <c r="D160" s="83"/>
      <c r="E160" s="83"/>
      <c r="F160" s="83"/>
      <c r="G160" s="83"/>
      <c r="H160" s="84"/>
      <c r="J160" s="36"/>
    </row>
    <row r="161" spans="1:14" s="37" customFormat="1" x14ac:dyDescent="0.25">
      <c r="A161" s="86">
        <v>1</v>
      </c>
      <c r="B161" s="88"/>
      <c r="C161" s="42" t="s">
        <v>181</v>
      </c>
      <c r="D161" s="61">
        <f>(166.29)*(10.764)</f>
        <v>1789.9455599999999</v>
      </c>
      <c r="E161" s="42">
        <v>0</v>
      </c>
      <c r="F161" s="42">
        <f>(D161+E161)*(($F$158)+1)</f>
        <v>2774.415618</v>
      </c>
      <c r="G161" s="86" t="str">
        <f>A160</f>
        <v>Ground Floor For Commercial</v>
      </c>
      <c r="H161" s="88"/>
      <c r="I161" s="36">
        <f>15.88*3.3+2.46*1+5.2*7.1+1.5*2.65+0.5*(4.5*7.1)+0.5*(13.43*8.1)</f>
        <v>166.12549999999999</v>
      </c>
      <c r="J161" s="61">
        <f>10.764</f>
        <v>10.763999999999999</v>
      </c>
      <c r="L161" s="85"/>
      <c r="M161" s="85"/>
      <c r="N161" s="36"/>
    </row>
    <row r="162" spans="1:14" s="57" customFormat="1" x14ac:dyDescent="0.25">
      <c r="A162" s="82" t="s">
        <v>182</v>
      </c>
      <c r="B162" s="83"/>
      <c r="C162" s="83"/>
      <c r="D162" s="83"/>
      <c r="E162" s="83"/>
      <c r="F162" s="83"/>
      <c r="G162" s="83"/>
      <c r="H162" s="84"/>
      <c r="J162" s="36"/>
    </row>
    <row r="163" spans="1:14" s="57" customFormat="1" x14ac:dyDescent="0.25">
      <c r="A163" s="86">
        <v>1</v>
      </c>
      <c r="B163" s="88"/>
      <c r="C163" s="56" t="s">
        <v>181</v>
      </c>
      <c r="D163" s="61">
        <f>(166.29)*(10.764)</f>
        <v>1789.9455599999999</v>
      </c>
      <c r="E163" s="56">
        <v>0</v>
      </c>
      <c r="F163" s="56">
        <f>(D163+E163)*(($F$158)+1)</f>
        <v>2774.415618</v>
      </c>
      <c r="G163" s="86" t="str">
        <f>A162</f>
        <v>1st to 6th Floor</v>
      </c>
      <c r="H163" s="88"/>
      <c r="I163" s="36"/>
      <c r="L163" s="85"/>
      <c r="M163" s="85"/>
      <c r="N163" s="36"/>
    </row>
    <row r="164" spans="1:14" s="57" customFormat="1" x14ac:dyDescent="0.25">
      <c r="A164" s="82" t="s">
        <v>220</v>
      </c>
      <c r="B164" s="83"/>
      <c r="C164" s="83"/>
      <c r="D164" s="83"/>
      <c r="E164" s="83"/>
      <c r="F164" s="83"/>
      <c r="G164" s="83"/>
      <c r="H164" s="84"/>
      <c r="J164" s="36"/>
    </row>
    <row r="165" spans="1:14" s="57" customFormat="1" x14ac:dyDescent="0.25">
      <c r="A165" s="82" t="s">
        <v>180</v>
      </c>
      <c r="B165" s="83"/>
      <c r="C165" s="83"/>
      <c r="D165" s="83"/>
      <c r="E165" s="83"/>
      <c r="F165" s="83"/>
      <c r="G165" s="83"/>
      <c r="H165" s="84"/>
      <c r="J165" s="36"/>
    </row>
    <row r="166" spans="1:14" s="57" customFormat="1" ht="45.75" customHeight="1" x14ac:dyDescent="0.25">
      <c r="A166" s="86">
        <v>1</v>
      </c>
      <c r="B166" s="88"/>
      <c r="C166" s="56" t="s">
        <v>253</v>
      </c>
      <c r="D166" s="61">
        <f>(131.01+131.01)*(10.764)</f>
        <v>2820.3832799999996</v>
      </c>
      <c r="E166" s="56">
        <v>0</v>
      </c>
      <c r="F166" s="56">
        <f>(D166+E166)*(($F$158)+1)</f>
        <v>4371.5940839999994</v>
      </c>
      <c r="G166" s="100" t="str">
        <f>A165</f>
        <v>Ground Floor For Commercial</v>
      </c>
      <c r="H166" s="101"/>
      <c r="I166" s="36"/>
      <c r="L166" s="85"/>
      <c r="M166" s="85"/>
      <c r="N166" s="36"/>
    </row>
    <row r="167" spans="1:14" s="57" customFormat="1" ht="44.25" customHeight="1" x14ac:dyDescent="0.25">
      <c r="A167" s="86">
        <f t="shared" ref="A167:A172" si="5">A166+1</f>
        <v>2</v>
      </c>
      <c r="B167" s="88"/>
      <c r="C167" s="68" t="s">
        <v>253</v>
      </c>
      <c r="D167" s="61">
        <f>(131.01+131.01)*(10.764)</f>
        <v>2820.3832799999996</v>
      </c>
      <c r="E167" s="56">
        <v>0</v>
      </c>
      <c r="F167" s="56">
        <f t="shared" ref="F167:F169" si="6">(D167+E167)*(($F$158)+1)</f>
        <v>4371.5940839999994</v>
      </c>
      <c r="G167" s="102"/>
      <c r="H167" s="103"/>
      <c r="L167" s="85"/>
      <c r="M167" s="85"/>
      <c r="N167" s="36"/>
    </row>
    <row r="168" spans="1:14" s="57" customFormat="1" ht="47.25" customHeight="1" x14ac:dyDescent="0.25">
      <c r="A168" s="86">
        <f t="shared" si="5"/>
        <v>3</v>
      </c>
      <c r="B168" s="88"/>
      <c r="C168" s="68" t="s">
        <v>253</v>
      </c>
      <c r="D168" s="61">
        <f>(131.01+131.01)*(10.764)</f>
        <v>2820.3832799999996</v>
      </c>
      <c r="E168" s="56">
        <v>0</v>
      </c>
      <c r="F168" s="56">
        <f t="shared" si="6"/>
        <v>4371.5940839999994</v>
      </c>
      <c r="G168" s="102"/>
      <c r="H168" s="103"/>
      <c r="I168" s="36"/>
      <c r="L168" s="85"/>
      <c r="M168" s="85"/>
      <c r="N168" s="36"/>
    </row>
    <row r="169" spans="1:14" s="57" customFormat="1" ht="45" customHeight="1" x14ac:dyDescent="0.25">
      <c r="A169" s="86">
        <f t="shared" si="5"/>
        <v>4</v>
      </c>
      <c r="B169" s="88"/>
      <c r="C169" s="68" t="s">
        <v>253</v>
      </c>
      <c r="D169" s="61">
        <f>(131.01+131.01)*(10.764)</f>
        <v>2820.3832799999996</v>
      </c>
      <c r="E169" s="56">
        <v>0</v>
      </c>
      <c r="F169" s="56">
        <f t="shared" si="6"/>
        <v>4371.5940839999994</v>
      </c>
      <c r="G169" s="102"/>
      <c r="H169" s="103"/>
      <c r="I169" s="36"/>
      <c r="L169" s="85"/>
      <c r="M169" s="85"/>
      <c r="N169" s="36"/>
    </row>
    <row r="170" spans="1:14" s="57" customFormat="1" ht="49.5" customHeight="1" x14ac:dyDescent="0.25">
      <c r="A170" s="86">
        <f t="shared" si="5"/>
        <v>5</v>
      </c>
      <c r="B170" s="88"/>
      <c r="C170" s="68" t="s">
        <v>253</v>
      </c>
      <c r="D170" s="61">
        <f>(131.01+131.01)*(10.764)</f>
        <v>2820.3832799999996</v>
      </c>
      <c r="E170" s="56">
        <v>0</v>
      </c>
      <c r="F170" s="56">
        <f t="shared" ref="F170:F172" si="7">(D170+E170)*(($F$158)+1)</f>
        <v>4371.5940839999994</v>
      </c>
      <c r="G170" s="102"/>
      <c r="H170" s="103"/>
      <c r="I170" s="36"/>
      <c r="L170" s="85"/>
      <c r="M170" s="85"/>
      <c r="N170" s="36"/>
    </row>
    <row r="171" spans="1:14" s="57" customFormat="1" ht="42.75" customHeight="1" x14ac:dyDescent="0.25">
      <c r="A171" s="86">
        <f t="shared" si="5"/>
        <v>6</v>
      </c>
      <c r="B171" s="88"/>
      <c r="C171" s="68" t="s">
        <v>253</v>
      </c>
      <c r="D171" s="61">
        <f>(99.67+99.67)*(10.764)</f>
        <v>2145.6957600000001</v>
      </c>
      <c r="E171" s="56">
        <v>0</v>
      </c>
      <c r="F171" s="56">
        <f t="shared" si="7"/>
        <v>3325.8284280000003</v>
      </c>
      <c r="G171" s="102"/>
      <c r="H171" s="103"/>
      <c r="I171" s="36">
        <f>5.75*17.2</f>
        <v>98.899999999999991</v>
      </c>
      <c r="L171" s="85"/>
      <c r="M171" s="85"/>
      <c r="N171" s="36"/>
    </row>
    <row r="172" spans="1:14" s="57" customFormat="1" ht="42.75" customHeight="1" x14ac:dyDescent="0.25">
      <c r="A172" s="86">
        <f t="shared" si="5"/>
        <v>7</v>
      </c>
      <c r="B172" s="88"/>
      <c r="C172" s="68" t="s">
        <v>253</v>
      </c>
      <c r="D172" s="61">
        <f>(35.77+35.77)*(10.764)</f>
        <v>770.05655999999999</v>
      </c>
      <c r="E172" s="56">
        <v>0</v>
      </c>
      <c r="F172" s="56">
        <f t="shared" si="7"/>
        <v>1193.5876680000001</v>
      </c>
      <c r="G172" s="104"/>
      <c r="H172" s="105"/>
      <c r="I172" s="36">
        <f>4.75*7.4</f>
        <v>35.15</v>
      </c>
      <c r="L172" s="85"/>
      <c r="M172" s="85"/>
      <c r="N172" s="36"/>
    </row>
    <row r="173" spans="1:14" s="69" customFormat="1" x14ac:dyDescent="0.25">
      <c r="A173" s="82" t="s">
        <v>254</v>
      </c>
      <c r="B173" s="83"/>
      <c r="C173" s="83"/>
      <c r="D173" s="83"/>
      <c r="E173" s="83"/>
      <c r="F173" s="83"/>
      <c r="G173" s="83"/>
      <c r="H173" s="84"/>
      <c r="J173" s="36"/>
    </row>
    <row r="174" spans="1:14" s="57" customFormat="1" x14ac:dyDescent="0.25">
      <c r="A174" s="82" t="s">
        <v>185</v>
      </c>
      <c r="B174" s="83"/>
      <c r="C174" s="83"/>
      <c r="D174" s="83"/>
      <c r="E174" s="83"/>
      <c r="F174" s="83"/>
      <c r="G174" s="83"/>
      <c r="H174" s="84"/>
      <c r="J174" s="36"/>
    </row>
    <row r="175" spans="1:14" s="57" customFormat="1" x14ac:dyDescent="0.25">
      <c r="A175" s="82" t="s">
        <v>186</v>
      </c>
      <c r="B175" s="83"/>
      <c r="C175" s="83"/>
      <c r="D175" s="83"/>
      <c r="E175" s="83"/>
      <c r="F175" s="83"/>
      <c r="G175" s="83"/>
      <c r="H175" s="84"/>
      <c r="J175" s="36"/>
    </row>
    <row r="176" spans="1:14" s="57" customFormat="1" ht="15.75" customHeight="1" x14ac:dyDescent="0.25">
      <c r="A176" s="86">
        <v>1</v>
      </c>
      <c r="B176" s="88"/>
      <c r="C176" s="56" t="s">
        <v>187</v>
      </c>
      <c r="D176" s="61">
        <f>(56.39)*(10.764)</f>
        <v>606.98195999999996</v>
      </c>
      <c r="E176" s="56">
        <v>0</v>
      </c>
      <c r="F176" s="56">
        <f>(D176+E176)*(($F$158)+1)</f>
        <v>940.82203799999991</v>
      </c>
      <c r="G176" s="100" t="str">
        <f>A175</f>
        <v>4th, 5th, 7th to 10th, 12th to 15th Floor For Commercial</v>
      </c>
      <c r="H176" s="101"/>
      <c r="I176" s="36">
        <f>6.4*6.85+1.65*0.75+1.65*2.45+1.8*3.2</f>
        <v>54.88</v>
      </c>
      <c r="L176" s="85"/>
      <c r="M176" s="85"/>
      <c r="N176" s="36"/>
    </row>
    <row r="177" spans="1:14" s="57" customFormat="1" ht="15.75" customHeight="1" x14ac:dyDescent="0.25">
      <c r="A177" s="86">
        <f t="shared" ref="A177:A192" si="8">A176+1</f>
        <v>2</v>
      </c>
      <c r="B177" s="88"/>
      <c r="C177" s="56" t="s">
        <v>187</v>
      </c>
      <c r="D177" s="61">
        <f>(51.26)*(10.764)</f>
        <v>551.76263999999992</v>
      </c>
      <c r="E177" s="56">
        <v>0</v>
      </c>
      <c r="F177" s="56">
        <f t="shared" ref="F177:F182" si="9">(D177+E177)*(($F$158)+1)</f>
        <v>855.23209199999985</v>
      </c>
      <c r="G177" s="102"/>
      <c r="H177" s="103"/>
      <c r="L177" s="85"/>
      <c r="M177" s="85"/>
      <c r="N177" s="36"/>
    </row>
    <row r="178" spans="1:14" s="57" customFormat="1" ht="15.75" customHeight="1" x14ac:dyDescent="0.25">
      <c r="A178" s="86">
        <f t="shared" si="8"/>
        <v>3</v>
      </c>
      <c r="B178" s="88"/>
      <c r="C178" s="56" t="s">
        <v>187</v>
      </c>
      <c r="D178" s="61">
        <f>(51.26)*(10.764)</f>
        <v>551.76263999999992</v>
      </c>
      <c r="E178" s="56">
        <v>0</v>
      </c>
      <c r="F178" s="56">
        <f t="shared" si="9"/>
        <v>855.23209199999985</v>
      </c>
      <c r="G178" s="102"/>
      <c r="H178" s="103"/>
      <c r="I178" s="36"/>
      <c r="L178" s="85"/>
      <c r="M178" s="85"/>
      <c r="N178" s="36"/>
    </row>
    <row r="179" spans="1:14" s="57" customFormat="1" ht="15.75" customHeight="1" x14ac:dyDescent="0.25">
      <c r="A179" s="86">
        <f t="shared" si="8"/>
        <v>4</v>
      </c>
      <c r="B179" s="88"/>
      <c r="C179" s="56" t="s">
        <v>187</v>
      </c>
      <c r="D179" s="61">
        <f>(51.26)*(10.764)</f>
        <v>551.76263999999992</v>
      </c>
      <c r="E179" s="56">
        <v>0</v>
      </c>
      <c r="F179" s="56">
        <f t="shared" si="9"/>
        <v>855.23209199999985</v>
      </c>
      <c r="G179" s="102"/>
      <c r="H179" s="103"/>
      <c r="I179" s="36"/>
      <c r="L179" s="85"/>
      <c r="M179" s="85"/>
      <c r="N179" s="36"/>
    </row>
    <row r="180" spans="1:14" s="57" customFormat="1" ht="15.75" customHeight="1" x14ac:dyDescent="0.25">
      <c r="A180" s="86">
        <f t="shared" si="8"/>
        <v>5</v>
      </c>
      <c r="B180" s="88"/>
      <c r="C180" s="56" t="s">
        <v>187</v>
      </c>
      <c r="D180" s="61">
        <f>(92.16)*(10.764)</f>
        <v>992.01023999999995</v>
      </c>
      <c r="E180" s="56">
        <v>0</v>
      </c>
      <c r="F180" s="56">
        <f t="shared" si="9"/>
        <v>1537.6158720000001</v>
      </c>
      <c r="G180" s="102"/>
      <c r="H180" s="103"/>
      <c r="I180" s="36"/>
      <c r="L180" s="85"/>
      <c r="M180" s="85"/>
      <c r="N180" s="36"/>
    </row>
    <row r="181" spans="1:14" s="57" customFormat="1" ht="15.75" customHeight="1" x14ac:dyDescent="0.25">
      <c r="A181" s="86">
        <f t="shared" si="8"/>
        <v>6</v>
      </c>
      <c r="B181" s="88"/>
      <c r="C181" s="56" t="s">
        <v>187</v>
      </c>
      <c r="D181" s="61">
        <f>(79.8)*(10.764)</f>
        <v>858.96719999999993</v>
      </c>
      <c r="E181" s="56">
        <v>0</v>
      </c>
      <c r="F181" s="56">
        <f t="shared" si="9"/>
        <v>1331.3991599999999</v>
      </c>
      <c r="G181" s="102"/>
      <c r="H181" s="103"/>
      <c r="I181" s="36"/>
      <c r="L181" s="85"/>
      <c r="M181" s="85"/>
      <c r="N181" s="36"/>
    </row>
    <row r="182" spans="1:14" s="57" customFormat="1" ht="15.75" customHeight="1" x14ac:dyDescent="0.25">
      <c r="A182" s="86">
        <f t="shared" si="8"/>
        <v>7</v>
      </c>
      <c r="B182" s="88"/>
      <c r="C182" s="56" t="s">
        <v>187</v>
      </c>
      <c r="D182" s="61">
        <f>(61.22)*(10.764)</f>
        <v>658.97207999999989</v>
      </c>
      <c r="E182" s="56">
        <v>0</v>
      </c>
      <c r="F182" s="56">
        <f t="shared" si="9"/>
        <v>1021.4067239999998</v>
      </c>
      <c r="G182" s="102"/>
      <c r="H182" s="103"/>
      <c r="I182" s="36"/>
      <c r="L182" s="85"/>
      <c r="M182" s="85"/>
      <c r="N182" s="36"/>
    </row>
    <row r="183" spans="1:14" s="57" customFormat="1" ht="15.75" customHeight="1" x14ac:dyDescent="0.25">
      <c r="A183" s="86">
        <f t="shared" si="8"/>
        <v>8</v>
      </c>
      <c r="B183" s="88"/>
      <c r="C183" s="56" t="s">
        <v>187</v>
      </c>
      <c r="D183" s="61">
        <f>(72.85)*(10.764)</f>
        <v>784.15739999999994</v>
      </c>
      <c r="E183" s="56">
        <v>0</v>
      </c>
      <c r="F183" s="56">
        <f>(D183+E183)*(($F$158)+1)</f>
        <v>1215.44397</v>
      </c>
      <c r="G183" s="102"/>
      <c r="H183" s="103"/>
      <c r="I183" s="36"/>
      <c r="L183" s="85"/>
      <c r="M183" s="85"/>
      <c r="N183" s="36"/>
    </row>
    <row r="184" spans="1:14" s="57" customFormat="1" ht="15.75" customHeight="1" x14ac:dyDescent="0.25">
      <c r="A184" s="86">
        <f t="shared" si="8"/>
        <v>9</v>
      </c>
      <c r="B184" s="88"/>
      <c r="C184" s="56" t="s">
        <v>187</v>
      </c>
      <c r="D184" s="61">
        <f>(66.43)*(10.764)</f>
        <v>715.05252000000007</v>
      </c>
      <c r="E184" s="56">
        <v>0</v>
      </c>
      <c r="F184" s="56">
        <f t="shared" ref="F184:F189" si="10">(D184+E184)*(($F$158)+1)</f>
        <v>1108.3314060000002</v>
      </c>
      <c r="G184" s="102"/>
      <c r="H184" s="103"/>
      <c r="L184" s="85"/>
      <c r="M184" s="85"/>
      <c r="N184" s="36"/>
    </row>
    <row r="185" spans="1:14" s="57" customFormat="1" ht="15.75" customHeight="1" x14ac:dyDescent="0.25">
      <c r="A185" s="86">
        <f t="shared" si="8"/>
        <v>10</v>
      </c>
      <c r="B185" s="88"/>
      <c r="C185" s="56" t="s">
        <v>187</v>
      </c>
      <c r="D185" s="61">
        <f>(54.78)*(10.764)</f>
        <v>589.65192000000002</v>
      </c>
      <c r="E185" s="56">
        <v>0</v>
      </c>
      <c r="F185" s="56">
        <f t="shared" si="10"/>
        <v>913.96047600000009</v>
      </c>
      <c r="G185" s="102"/>
      <c r="H185" s="103"/>
      <c r="I185" s="36"/>
      <c r="L185" s="85"/>
      <c r="M185" s="85"/>
      <c r="N185" s="36"/>
    </row>
    <row r="186" spans="1:14" s="57" customFormat="1" ht="15.75" customHeight="1" x14ac:dyDescent="0.25">
      <c r="A186" s="86">
        <f t="shared" si="8"/>
        <v>11</v>
      </c>
      <c r="B186" s="88"/>
      <c r="C186" s="56" t="s">
        <v>187</v>
      </c>
      <c r="D186" s="61">
        <f>(51.52)*(10.764)</f>
        <v>554.56128000000001</v>
      </c>
      <c r="E186" s="56">
        <v>0</v>
      </c>
      <c r="F186" s="56">
        <f t="shared" si="10"/>
        <v>859.56998400000009</v>
      </c>
      <c r="G186" s="102"/>
      <c r="H186" s="103"/>
      <c r="I186" s="36"/>
      <c r="L186" s="85"/>
      <c r="M186" s="85"/>
      <c r="N186" s="36"/>
    </row>
    <row r="187" spans="1:14" s="57" customFormat="1" ht="15.75" customHeight="1" x14ac:dyDescent="0.25">
      <c r="A187" s="86">
        <f t="shared" si="8"/>
        <v>12</v>
      </c>
      <c r="B187" s="88"/>
      <c r="C187" s="56" t="s">
        <v>187</v>
      </c>
      <c r="D187" s="61">
        <f>(110.08)*(10.764)</f>
        <v>1184.90112</v>
      </c>
      <c r="E187" s="56">
        <v>0</v>
      </c>
      <c r="F187" s="56">
        <f t="shared" si="10"/>
        <v>1836.596736</v>
      </c>
      <c r="G187" s="102"/>
      <c r="H187" s="103"/>
      <c r="I187" s="36"/>
      <c r="L187" s="85"/>
      <c r="M187" s="85"/>
      <c r="N187" s="36"/>
    </row>
    <row r="188" spans="1:14" s="57" customFormat="1" ht="15.75" customHeight="1" x14ac:dyDescent="0.25">
      <c r="A188" s="86">
        <f t="shared" si="8"/>
        <v>13</v>
      </c>
      <c r="B188" s="88"/>
      <c r="C188" s="56" t="s">
        <v>187</v>
      </c>
      <c r="D188" s="61">
        <f>(89.76)*(10.764)</f>
        <v>966.17664000000002</v>
      </c>
      <c r="E188" s="56">
        <v>0</v>
      </c>
      <c r="F188" s="56">
        <f t="shared" si="10"/>
        <v>1497.5737920000001</v>
      </c>
      <c r="G188" s="102"/>
      <c r="H188" s="103"/>
      <c r="I188" s="36"/>
      <c r="L188" s="85"/>
      <c r="M188" s="85"/>
      <c r="N188" s="36"/>
    </row>
    <row r="189" spans="1:14" s="57" customFormat="1" ht="15.75" customHeight="1" x14ac:dyDescent="0.25">
      <c r="A189" s="86">
        <f t="shared" si="8"/>
        <v>14</v>
      </c>
      <c r="B189" s="88"/>
      <c r="C189" s="56" t="s">
        <v>187</v>
      </c>
      <c r="D189" s="61">
        <f>(53.49)*(10.764)</f>
        <v>575.76635999999996</v>
      </c>
      <c r="E189" s="56">
        <v>0</v>
      </c>
      <c r="F189" s="56">
        <f t="shared" si="10"/>
        <v>892.43785800000001</v>
      </c>
      <c r="G189" s="102"/>
      <c r="H189" s="103"/>
      <c r="I189" s="36"/>
      <c r="L189" s="85"/>
      <c r="M189" s="85"/>
      <c r="N189" s="36"/>
    </row>
    <row r="190" spans="1:14" s="57" customFormat="1" ht="15.75" customHeight="1" x14ac:dyDescent="0.25">
      <c r="A190" s="86">
        <f t="shared" si="8"/>
        <v>15</v>
      </c>
      <c r="B190" s="88"/>
      <c r="C190" s="56" t="s">
        <v>187</v>
      </c>
      <c r="D190" s="61">
        <f>(53.49)*(10.764)</f>
        <v>575.76635999999996</v>
      </c>
      <c r="E190" s="56">
        <v>0</v>
      </c>
      <c r="F190" s="56">
        <f t="shared" ref="F190:F192" si="11">(D190+E190)*(($F$158)+1)</f>
        <v>892.43785800000001</v>
      </c>
      <c r="G190" s="102"/>
      <c r="H190" s="103"/>
      <c r="I190" s="36"/>
      <c r="L190" s="85"/>
      <c r="M190" s="85"/>
      <c r="N190" s="36"/>
    </row>
    <row r="191" spans="1:14" s="57" customFormat="1" ht="15.75" customHeight="1" x14ac:dyDescent="0.25">
      <c r="A191" s="86">
        <f t="shared" si="8"/>
        <v>16</v>
      </c>
      <c r="B191" s="88"/>
      <c r="C191" s="56" t="s">
        <v>187</v>
      </c>
      <c r="D191" s="61">
        <f>(53.49)*(10.764)</f>
        <v>575.76635999999996</v>
      </c>
      <c r="E191" s="56">
        <v>0</v>
      </c>
      <c r="F191" s="56">
        <f t="shared" si="11"/>
        <v>892.43785800000001</v>
      </c>
      <c r="G191" s="102"/>
      <c r="H191" s="103"/>
      <c r="I191" s="36"/>
      <c r="L191" s="85"/>
      <c r="M191" s="85"/>
      <c r="N191" s="36"/>
    </row>
    <row r="192" spans="1:14" s="57" customFormat="1" ht="15.75" customHeight="1" x14ac:dyDescent="0.25">
      <c r="A192" s="86">
        <f t="shared" si="8"/>
        <v>17</v>
      </c>
      <c r="B192" s="88"/>
      <c r="C192" s="56" t="s">
        <v>187</v>
      </c>
      <c r="D192" s="61">
        <f>(58.85)*(10.764)</f>
        <v>633.46140000000003</v>
      </c>
      <c r="E192" s="56">
        <v>0</v>
      </c>
      <c r="F192" s="56">
        <f t="shared" si="11"/>
        <v>981.86517000000003</v>
      </c>
      <c r="G192" s="104"/>
      <c r="H192" s="105"/>
      <c r="I192" s="36"/>
      <c r="L192" s="85"/>
      <c r="M192" s="85"/>
      <c r="N192" s="36"/>
    </row>
    <row r="193" spans="1:14" s="57" customFormat="1" x14ac:dyDescent="0.25">
      <c r="A193" s="82" t="s">
        <v>188</v>
      </c>
      <c r="B193" s="83"/>
      <c r="C193" s="83"/>
      <c r="D193" s="83"/>
      <c r="E193" s="83"/>
      <c r="F193" s="83"/>
      <c r="G193" s="83"/>
      <c r="H193" s="84"/>
      <c r="J193" s="36"/>
    </row>
    <row r="194" spans="1:14" s="57" customFormat="1" ht="15.75" customHeight="1" x14ac:dyDescent="0.25">
      <c r="A194" s="86">
        <v>1</v>
      </c>
      <c r="B194" s="88"/>
      <c r="C194" s="56" t="s">
        <v>187</v>
      </c>
      <c r="D194" s="61">
        <f>(56.39)*(10.764)</f>
        <v>606.98195999999996</v>
      </c>
      <c r="E194" s="56">
        <v>0</v>
      </c>
      <c r="F194" s="56">
        <f>(D194+E194)*(($F$158)+1)</f>
        <v>940.82203799999991</v>
      </c>
      <c r="G194" s="100" t="str">
        <f>A193</f>
        <v>6th, 11th &amp; 16th (Part Refuge Area)</v>
      </c>
      <c r="H194" s="101"/>
      <c r="I194" s="36"/>
      <c r="L194" s="85"/>
      <c r="M194" s="85"/>
      <c r="N194" s="36"/>
    </row>
    <row r="195" spans="1:14" s="57" customFormat="1" ht="15.75" customHeight="1" x14ac:dyDescent="0.25">
      <c r="A195" s="86">
        <f t="shared" ref="A195:A210" si="12">A194+1</f>
        <v>2</v>
      </c>
      <c r="B195" s="88"/>
      <c r="C195" s="56" t="s">
        <v>187</v>
      </c>
      <c r="D195" s="61">
        <f>(51.26)*(10.764)</f>
        <v>551.76263999999992</v>
      </c>
      <c r="E195" s="56">
        <v>0</v>
      </c>
      <c r="F195" s="56">
        <f t="shared" ref="F195:F200" si="13">(D195+E195)*(($F$158)+1)</f>
        <v>855.23209199999985</v>
      </c>
      <c r="G195" s="102"/>
      <c r="H195" s="103"/>
      <c r="L195" s="85"/>
      <c r="M195" s="85"/>
      <c r="N195" s="36"/>
    </row>
    <row r="196" spans="1:14" s="57" customFormat="1" ht="15.75" customHeight="1" x14ac:dyDescent="0.25">
      <c r="A196" s="86">
        <f t="shared" si="12"/>
        <v>3</v>
      </c>
      <c r="B196" s="88"/>
      <c r="C196" s="56" t="s">
        <v>187</v>
      </c>
      <c r="D196" s="61">
        <f>(51.26)*(10.764)</f>
        <v>551.76263999999992</v>
      </c>
      <c r="E196" s="56">
        <v>0</v>
      </c>
      <c r="F196" s="56">
        <f t="shared" si="13"/>
        <v>855.23209199999985</v>
      </c>
      <c r="G196" s="102"/>
      <c r="H196" s="103"/>
      <c r="I196" s="36"/>
      <c r="L196" s="85"/>
      <c r="M196" s="85"/>
      <c r="N196" s="36"/>
    </row>
    <row r="197" spans="1:14" s="57" customFormat="1" ht="15.75" customHeight="1" x14ac:dyDescent="0.25">
      <c r="A197" s="86">
        <f t="shared" si="12"/>
        <v>4</v>
      </c>
      <c r="B197" s="88"/>
      <c r="C197" s="56" t="s">
        <v>187</v>
      </c>
      <c r="D197" s="61">
        <f>(51.26)*(10.764)</f>
        <v>551.76263999999992</v>
      </c>
      <c r="E197" s="56">
        <v>0</v>
      </c>
      <c r="F197" s="56">
        <f t="shared" si="13"/>
        <v>855.23209199999985</v>
      </c>
      <c r="G197" s="102"/>
      <c r="H197" s="103"/>
      <c r="I197" s="36"/>
      <c r="L197" s="85"/>
      <c r="M197" s="85"/>
      <c r="N197" s="36"/>
    </row>
    <row r="198" spans="1:14" s="57" customFormat="1" ht="15.75" customHeight="1" x14ac:dyDescent="0.25">
      <c r="A198" s="86">
        <f t="shared" si="12"/>
        <v>5</v>
      </c>
      <c r="B198" s="88"/>
      <c r="C198" s="86" t="s">
        <v>189</v>
      </c>
      <c r="D198" s="87"/>
      <c r="E198" s="87"/>
      <c r="F198" s="88"/>
      <c r="G198" s="102"/>
      <c r="H198" s="103"/>
      <c r="I198" s="36"/>
      <c r="L198" s="85"/>
      <c r="M198" s="85"/>
      <c r="N198" s="36"/>
    </row>
    <row r="199" spans="1:14" s="57" customFormat="1" ht="15.75" customHeight="1" x14ac:dyDescent="0.25">
      <c r="A199" s="86">
        <f t="shared" si="12"/>
        <v>6</v>
      </c>
      <c r="B199" s="88"/>
      <c r="C199" s="56" t="s">
        <v>187</v>
      </c>
      <c r="D199" s="61">
        <f>(79.8)*(10.764)</f>
        <v>858.96719999999993</v>
      </c>
      <c r="E199" s="56">
        <v>0</v>
      </c>
      <c r="F199" s="56">
        <f t="shared" si="13"/>
        <v>1331.3991599999999</v>
      </c>
      <c r="G199" s="102"/>
      <c r="H199" s="103"/>
      <c r="I199" s="36"/>
      <c r="L199" s="85"/>
      <c r="M199" s="85"/>
      <c r="N199" s="36"/>
    </row>
    <row r="200" spans="1:14" s="57" customFormat="1" ht="15.75" customHeight="1" x14ac:dyDescent="0.25">
      <c r="A200" s="86">
        <f t="shared" si="12"/>
        <v>7</v>
      </c>
      <c r="B200" s="88"/>
      <c r="C200" s="56" t="s">
        <v>187</v>
      </c>
      <c r="D200" s="61">
        <f>(61.22)*(10.764)</f>
        <v>658.97207999999989</v>
      </c>
      <c r="E200" s="56">
        <v>0</v>
      </c>
      <c r="F200" s="56">
        <f t="shared" si="13"/>
        <v>1021.4067239999998</v>
      </c>
      <c r="G200" s="102"/>
      <c r="H200" s="103"/>
      <c r="I200" s="36"/>
      <c r="L200" s="85"/>
      <c r="M200" s="85"/>
      <c r="N200" s="36"/>
    </row>
    <row r="201" spans="1:14" s="57" customFormat="1" ht="15.75" customHeight="1" x14ac:dyDescent="0.25">
      <c r="A201" s="86">
        <f t="shared" si="12"/>
        <v>8</v>
      </c>
      <c r="B201" s="88"/>
      <c r="C201" s="56" t="s">
        <v>187</v>
      </c>
      <c r="D201" s="61">
        <f>(72.85)*(10.764)</f>
        <v>784.15739999999994</v>
      </c>
      <c r="E201" s="56">
        <v>0</v>
      </c>
      <c r="F201" s="56">
        <f>(D201+E201)*(($F$158)+1)</f>
        <v>1215.44397</v>
      </c>
      <c r="G201" s="102"/>
      <c r="H201" s="103"/>
      <c r="I201" s="36"/>
      <c r="L201" s="85"/>
      <c r="M201" s="85"/>
      <c r="N201" s="36"/>
    </row>
    <row r="202" spans="1:14" s="57" customFormat="1" ht="15.75" customHeight="1" x14ac:dyDescent="0.25">
      <c r="A202" s="86">
        <f t="shared" si="12"/>
        <v>9</v>
      </c>
      <c r="B202" s="88"/>
      <c r="C202" s="56" t="s">
        <v>187</v>
      </c>
      <c r="D202" s="61">
        <f>(66.43)*(10.764)</f>
        <v>715.05252000000007</v>
      </c>
      <c r="E202" s="56">
        <v>0</v>
      </c>
      <c r="F202" s="56">
        <f t="shared" ref="F202:F207" si="14">(D202+E202)*(($F$158)+1)</f>
        <v>1108.3314060000002</v>
      </c>
      <c r="G202" s="102"/>
      <c r="H202" s="103"/>
      <c r="L202" s="85"/>
      <c r="M202" s="85"/>
      <c r="N202" s="36"/>
    </row>
    <row r="203" spans="1:14" s="57" customFormat="1" ht="15.75" customHeight="1" x14ac:dyDescent="0.25">
      <c r="A203" s="86">
        <f t="shared" si="12"/>
        <v>10</v>
      </c>
      <c r="B203" s="88"/>
      <c r="C203" s="56" t="s">
        <v>187</v>
      </c>
      <c r="D203" s="61">
        <f>(54.78)*(10.764)</f>
        <v>589.65192000000002</v>
      </c>
      <c r="E203" s="56">
        <v>0</v>
      </c>
      <c r="F203" s="56">
        <f t="shared" si="14"/>
        <v>913.96047600000009</v>
      </c>
      <c r="G203" s="102"/>
      <c r="H203" s="103"/>
      <c r="I203" s="36"/>
      <c r="L203" s="85"/>
      <c r="M203" s="85"/>
      <c r="N203" s="36"/>
    </row>
    <row r="204" spans="1:14" s="57" customFormat="1" ht="15.75" customHeight="1" x14ac:dyDescent="0.25">
      <c r="A204" s="86">
        <f t="shared" si="12"/>
        <v>11</v>
      </c>
      <c r="B204" s="88"/>
      <c r="C204" s="56" t="s">
        <v>187</v>
      </c>
      <c r="D204" s="61">
        <f>(51.22)*(10.764)</f>
        <v>551.33207999999991</v>
      </c>
      <c r="E204" s="56">
        <v>0</v>
      </c>
      <c r="F204" s="56">
        <f t="shared" si="14"/>
        <v>854.56472399999984</v>
      </c>
      <c r="G204" s="102"/>
      <c r="H204" s="103"/>
      <c r="I204" s="36"/>
      <c r="L204" s="85"/>
      <c r="M204" s="85"/>
      <c r="N204" s="36"/>
    </row>
    <row r="205" spans="1:14" s="57" customFormat="1" ht="15.75" customHeight="1" x14ac:dyDescent="0.25">
      <c r="A205" s="86">
        <f t="shared" si="12"/>
        <v>12</v>
      </c>
      <c r="B205" s="88"/>
      <c r="C205" s="56" t="s">
        <v>187</v>
      </c>
      <c r="D205" s="61">
        <f>(110.08)*(10.764)</f>
        <v>1184.90112</v>
      </c>
      <c r="E205" s="56">
        <v>0</v>
      </c>
      <c r="F205" s="56">
        <f t="shared" si="14"/>
        <v>1836.596736</v>
      </c>
      <c r="G205" s="102"/>
      <c r="H205" s="103"/>
      <c r="I205" s="36"/>
      <c r="J205" t="s">
        <v>216</v>
      </c>
      <c r="L205" s="85"/>
      <c r="M205" s="85"/>
      <c r="N205" s="36"/>
    </row>
    <row r="206" spans="1:14" s="57" customFormat="1" ht="15.75" customHeight="1" x14ac:dyDescent="0.25">
      <c r="A206" s="86">
        <f t="shared" si="12"/>
        <v>13</v>
      </c>
      <c r="B206" s="88"/>
      <c r="C206" s="56" t="s">
        <v>187</v>
      </c>
      <c r="D206" s="61">
        <f>(89.76)*(10.764)</f>
        <v>966.17664000000002</v>
      </c>
      <c r="E206" s="56">
        <v>0</v>
      </c>
      <c r="F206" s="56">
        <f t="shared" si="14"/>
        <v>1497.5737920000001</v>
      </c>
      <c r="G206" s="102"/>
      <c r="H206" s="103"/>
      <c r="I206" s="36"/>
      <c r="J206" s="57" t="str">
        <f>PROPER(J205)</f>
        <v>Reyansh Ventura</v>
      </c>
      <c r="L206" s="85"/>
      <c r="M206" s="85"/>
      <c r="N206" s="36"/>
    </row>
    <row r="207" spans="1:14" s="57" customFormat="1" ht="15.75" customHeight="1" x14ac:dyDescent="0.25">
      <c r="A207" s="86">
        <f t="shared" si="12"/>
        <v>14</v>
      </c>
      <c r="B207" s="88"/>
      <c r="C207" s="56" t="s">
        <v>187</v>
      </c>
      <c r="D207" s="61">
        <f>(53.49)*(10.764)</f>
        <v>575.76635999999996</v>
      </c>
      <c r="E207" s="56">
        <v>0</v>
      </c>
      <c r="F207" s="56">
        <f t="shared" si="14"/>
        <v>892.43785800000001</v>
      </c>
      <c r="G207" s="102"/>
      <c r="H207" s="103"/>
      <c r="I207" s="36"/>
      <c r="J207" s="57" t="s">
        <v>217</v>
      </c>
      <c r="L207" s="85"/>
      <c r="M207" s="85"/>
      <c r="N207" s="36"/>
    </row>
    <row r="208" spans="1:14" s="57" customFormat="1" ht="15.75" customHeight="1" x14ac:dyDescent="0.25">
      <c r="A208" s="86">
        <f t="shared" si="12"/>
        <v>15</v>
      </c>
      <c r="B208" s="88"/>
      <c r="C208" s="56" t="s">
        <v>187</v>
      </c>
      <c r="D208" s="61">
        <f>(53.49)*(10.764)</f>
        <v>575.76635999999996</v>
      </c>
      <c r="E208" s="56">
        <v>0</v>
      </c>
      <c r="F208" s="56">
        <f t="shared" ref="F208:F210" si="15">(D208+E208)*(($F$158)+1)</f>
        <v>892.43785800000001</v>
      </c>
      <c r="G208" s="102"/>
      <c r="H208" s="103"/>
      <c r="I208" s="36"/>
      <c r="L208" s="85"/>
      <c r="M208" s="85"/>
      <c r="N208" s="36"/>
    </row>
    <row r="209" spans="1:14" s="57" customFormat="1" ht="15.75" customHeight="1" x14ac:dyDescent="0.25">
      <c r="A209" s="86">
        <f t="shared" si="12"/>
        <v>16</v>
      </c>
      <c r="B209" s="88"/>
      <c r="C209" s="56" t="s">
        <v>187</v>
      </c>
      <c r="D209" s="61">
        <f>(53.49)*(10.764)</f>
        <v>575.76635999999996</v>
      </c>
      <c r="E209" s="56">
        <v>0</v>
      </c>
      <c r="F209" s="56">
        <f t="shared" si="15"/>
        <v>892.43785800000001</v>
      </c>
      <c r="G209" s="102"/>
      <c r="H209" s="103"/>
      <c r="I209" s="36"/>
      <c r="L209" s="85"/>
      <c r="M209" s="85"/>
      <c r="N209" s="36"/>
    </row>
    <row r="210" spans="1:14" s="57" customFormat="1" ht="15.75" customHeight="1" x14ac:dyDescent="0.25">
      <c r="A210" s="86">
        <f t="shared" si="12"/>
        <v>17</v>
      </c>
      <c r="B210" s="88"/>
      <c r="C210" s="56" t="s">
        <v>187</v>
      </c>
      <c r="D210" s="61">
        <f>(58.85)*(10.764)</f>
        <v>633.46140000000003</v>
      </c>
      <c r="E210" s="56">
        <v>0</v>
      </c>
      <c r="F210" s="56">
        <f t="shared" si="15"/>
        <v>981.86517000000003</v>
      </c>
      <c r="G210" s="104"/>
      <c r="H210" s="105"/>
      <c r="I210" s="36"/>
      <c r="J210" s="62" t="str">
        <f>PROPER(J209)</f>
        <v/>
      </c>
      <c r="L210" s="85"/>
      <c r="M210" s="85"/>
      <c r="N210" s="36"/>
    </row>
    <row r="211" spans="1:14" s="57" customFormat="1" x14ac:dyDescent="0.25">
      <c r="A211" s="106" t="s">
        <v>200</v>
      </c>
      <c r="B211" s="106"/>
      <c r="C211" s="106"/>
      <c r="D211" s="106"/>
      <c r="E211" s="106"/>
      <c r="F211" s="106"/>
      <c r="G211" s="106"/>
      <c r="H211" s="106"/>
      <c r="J211" s="36"/>
    </row>
    <row r="212" spans="1:14" s="57" customFormat="1" x14ac:dyDescent="0.25">
      <c r="A212" s="106" t="s">
        <v>190</v>
      </c>
      <c r="B212" s="106"/>
      <c r="C212" s="106"/>
      <c r="D212" s="106"/>
      <c r="E212" s="106"/>
      <c r="F212" s="106"/>
      <c r="G212" s="106"/>
      <c r="H212" s="106"/>
      <c r="J212" s="36"/>
    </row>
    <row r="213" spans="1:14" s="57" customFormat="1" x14ac:dyDescent="0.25">
      <c r="A213" s="106" t="s">
        <v>213</v>
      </c>
      <c r="B213" s="106"/>
      <c r="C213" s="106"/>
      <c r="D213" s="106"/>
      <c r="E213" s="106"/>
      <c r="F213" s="106"/>
      <c r="G213" s="106"/>
      <c r="H213" s="106"/>
      <c r="J213" s="36"/>
    </row>
    <row r="214" spans="1:14" s="57" customFormat="1" ht="15.75" customHeight="1" x14ac:dyDescent="0.25">
      <c r="A214" s="107">
        <v>1</v>
      </c>
      <c r="B214" s="107"/>
      <c r="C214" s="73" t="s">
        <v>191</v>
      </c>
      <c r="D214" s="61">
        <f>(29.74)*(10.764)</f>
        <v>320.12135999999998</v>
      </c>
      <c r="E214" s="73">
        <v>0</v>
      </c>
      <c r="F214" s="73">
        <f>(D214+E214)*(($F$158)+1)</f>
        <v>496.188108</v>
      </c>
      <c r="G214" s="107" t="str">
        <f>A213</f>
        <v>19th Floor For Swimming Pool &amp; Commercial</v>
      </c>
      <c r="H214" s="107"/>
      <c r="I214" s="36"/>
      <c r="L214" s="85"/>
      <c r="M214" s="85"/>
      <c r="N214" s="36"/>
    </row>
    <row r="215" spans="1:14" s="57" customFormat="1" ht="15.75" customHeight="1" x14ac:dyDescent="0.25">
      <c r="A215" s="107">
        <f t="shared" ref="A215:A238" si="16">A214+1</f>
        <v>2</v>
      </c>
      <c r="B215" s="107"/>
      <c r="C215" s="73" t="s">
        <v>191</v>
      </c>
      <c r="D215" s="61">
        <f t="shared" ref="D215:D223" si="17">(24.6)*(10.764)</f>
        <v>264.7944</v>
      </c>
      <c r="E215" s="73">
        <v>0</v>
      </c>
      <c r="F215" s="73">
        <f t="shared" ref="F215:F219" si="18">(D215+E215)*(($F$158)+1)</f>
        <v>410.43132000000003</v>
      </c>
      <c r="G215" s="107"/>
      <c r="H215" s="107"/>
      <c r="L215" s="85"/>
      <c r="M215" s="85"/>
      <c r="N215" s="36"/>
    </row>
    <row r="216" spans="1:14" s="57" customFormat="1" ht="15.75" customHeight="1" x14ac:dyDescent="0.25">
      <c r="A216" s="107">
        <f t="shared" si="16"/>
        <v>3</v>
      </c>
      <c r="B216" s="107"/>
      <c r="C216" s="73" t="s">
        <v>191</v>
      </c>
      <c r="D216" s="61">
        <f t="shared" si="17"/>
        <v>264.7944</v>
      </c>
      <c r="E216" s="73">
        <v>0</v>
      </c>
      <c r="F216" s="73">
        <f t="shared" si="18"/>
        <v>410.43132000000003</v>
      </c>
      <c r="G216" s="107"/>
      <c r="H216" s="107"/>
      <c r="I216" s="61">
        <f>10.764</f>
        <v>10.763999999999999</v>
      </c>
      <c r="L216" s="85"/>
      <c r="M216" s="85"/>
      <c r="N216" s="36"/>
    </row>
    <row r="217" spans="1:14" s="57" customFormat="1" ht="15.75" customHeight="1" x14ac:dyDescent="0.25">
      <c r="A217" s="107">
        <f t="shared" si="16"/>
        <v>4</v>
      </c>
      <c r="B217" s="107"/>
      <c r="C217" s="73" t="s">
        <v>191</v>
      </c>
      <c r="D217" s="61">
        <f t="shared" si="17"/>
        <v>264.7944</v>
      </c>
      <c r="E217" s="73">
        <v>0</v>
      </c>
      <c r="F217" s="73">
        <f t="shared" si="18"/>
        <v>410.43132000000003</v>
      </c>
      <c r="G217" s="107"/>
      <c r="H217" s="107"/>
      <c r="I217" s="36"/>
      <c r="L217" s="85"/>
      <c r="M217" s="85"/>
      <c r="N217" s="36"/>
    </row>
    <row r="218" spans="1:14" s="57" customFormat="1" ht="15.75" customHeight="1" x14ac:dyDescent="0.25">
      <c r="A218" s="107">
        <f t="shared" si="16"/>
        <v>5</v>
      </c>
      <c r="B218" s="107"/>
      <c r="C218" s="73" t="s">
        <v>191</v>
      </c>
      <c r="D218" s="61">
        <f t="shared" si="17"/>
        <v>264.7944</v>
      </c>
      <c r="E218" s="73">
        <v>0</v>
      </c>
      <c r="F218" s="73">
        <f t="shared" si="18"/>
        <v>410.43132000000003</v>
      </c>
      <c r="G218" s="107"/>
      <c r="H218" s="107"/>
      <c r="I218" s="36"/>
      <c r="L218" s="85"/>
      <c r="M218" s="85"/>
      <c r="N218" s="36"/>
    </row>
    <row r="219" spans="1:14" s="57" customFormat="1" ht="15.75" customHeight="1" x14ac:dyDescent="0.25">
      <c r="A219" s="107">
        <f t="shared" si="16"/>
        <v>6</v>
      </c>
      <c r="B219" s="107"/>
      <c r="C219" s="73" t="s">
        <v>191</v>
      </c>
      <c r="D219" s="61">
        <f t="shared" si="17"/>
        <v>264.7944</v>
      </c>
      <c r="E219" s="73">
        <v>0</v>
      </c>
      <c r="F219" s="73">
        <f t="shared" si="18"/>
        <v>410.43132000000003</v>
      </c>
      <c r="G219" s="107"/>
      <c r="H219" s="107"/>
      <c r="I219" s="36"/>
      <c r="L219" s="85"/>
      <c r="M219" s="85"/>
      <c r="N219" s="36"/>
    </row>
    <row r="220" spans="1:14" s="57" customFormat="1" ht="15.75" customHeight="1" x14ac:dyDescent="0.25">
      <c r="A220" s="107">
        <f t="shared" si="16"/>
        <v>7</v>
      </c>
      <c r="B220" s="107"/>
      <c r="C220" s="73" t="s">
        <v>191</v>
      </c>
      <c r="D220" s="61">
        <f t="shared" si="17"/>
        <v>264.7944</v>
      </c>
      <c r="E220" s="73">
        <v>0</v>
      </c>
      <c r="F220" s="73">
        <f>(D220+E220)*(($F$158)+1)</f>
        <v>410.43132000000003</v>
      </c>
      <c r="G220" s="107"/>
      <c r="H220" s="107"/>
      <c r="I220" s="36"/>
      <c r="L220" s="85"/>
      <c r="M220" s="85"/>
      <c r="N220" s="36"/>
    </row>
    <row r="221" spans="1:14" s="57" customFormat="1" ht="15.75" customHeight="1" x14ac:dyDescent="0.25">
      <c r="A221" s="107">
        <f t="shared" si="16"/>
        <v>8</v>
      </c>
      <c r="B221" s="107"/>
      <c r="C221" s="73" t="s">
        <v>191</v>
      </c>
      <c r="D221" s="61">
        <f t="shared" si="17"/>
        <v>264.7944</v>
      </c>
      <c r="E221" s="73">
        <v>0</v>
      </c>
      <c r="F221" s="73">
        <f t="shared" ref="F221:F225" si="19">(D221+E221)*(($F$158)+1)</f>
        <v>410.43132000000003</v>
      </c>
      <c r="G221" s="107"/>
      <c r="H221" s="107"/>
      <c r="L221" s="85"/>
      <c r="M221" s="85"/>
      <c r="N221" s="36"/>
    </row>
    <row r="222" spans="1:14" s="57" customFormat="1" ht="15.75" customHeight="1" x14ac:dyDescent="0.25">
      <c r="A222" s="107">
        <f t="shared" si="16"/>
        <v>9</v>
      </c>
      <c r="B222" s="107"/>
      <c r="C222" s="73" t="s">
        <v>191</v>
      </c>
      <c r="D222" s="61">
        <f t="shared" si="17"/>
        <v>264.7944</v>
      </c>
      <c r="E222" s="73">
        <v>0</v>
      </c>
      <c r="F222" s="73">
        <f t="shared" si="19"/>
        <v>410.43132000000003</v>
      </c>
      <c r="G222" s="107"/>
      <c r="H222" s="107"/>
      <c r="I222" s="36"/>
      <c r="L222" s="85"/>
      <c r="M222" s="85"/>
      <c r="N222" s="36"/>
    </row>
    <row r="223" spans="1:14" s="57" customFormat="1" ht="15.75" customHeight="1" x14ac:dyDescent="0.25">
      <c r="A223" s="107">
        <f t="shared" si="16"/>
        <v>10</v>
      </c>
      <c r="B223" s="107"/>
      <c r="C223" s="73" t="s">
        <v>191</v>
      </c>
      <c r="D223" s="61">
        <f t="shared" si="17"/>
        <v>264.7944</v>
      </c>
      <c r="E223" s="73">
        <v>0</v>
      </c>
      <c r="F223" s="73">
        <f t="shared" si="19"/>
        <v>410.43132000000003</v>
      </c>
      <c r="G223" s="107"/>
      <c r="H223" s="107"/>
      <c r="I223" s="36"/>
      <c r="L223" s="85"/>
      <c r="M223" s="85"/>
      <c r="N223" s="36"/>
    </row>
    <row r="224" spans="1:14" s="57" customFormat="1" ht="15.75" customHeight="1" x14ac:dyDescent="0.25">
      <c r="A224" s="107">
        <f t="shared" si="16"/>
        <v>11</v>
      </c>
      <c r="B224" s="107"/>
      <c r="C224" s="60" t="s">
        <v>198</v>
      </c>
      <c r="D224" s="61">
        <f>(48.82)*(10.764)</f>
        <v>525.49847999999997</v>
      </c>
      <c r="E224" s="73">
        <v>0</v>
      </c>
      <c r="F224" s="73">
        <f t="shared" si="19"/>
        <v>814.52264400000001</v>
      </c>
      <c r="G224" s="107"/>
      <c r="H224" s="107"/>
      <c r="I224" s="36"/>
      <c r="L224" s="85"/>
      <c r="M224" s="85"/>
      <c r="N224" s="36"/>
    </row>
    <row r="225" spans="1:14" s="57" customFormat="1" ht="15.75" customHeight="1" x14ac:dyDescent="0.25">
      <c r="A225" s="107">
        <f t="shared" si="16"/>
        <v>12</v>
      </c>
      <c r="B225" s="107"/>
      <c r="C225" s="60" t="s">
        <v>198</v>
      </c>
      <c r="D225" s="61">
        <f>(50.72)*(10.764)</f>
        <v>545.95007999999996</v>
      </c>
      <c r="E225" s="73">
        <v>0</v>
      </c>
      <c r="F225" s="73">
        <f t="shared" si="19"/>
        <v>846.222624</v>
      </c>
      <c r="G225" s="107"/>
      <c r="H225" s="107"/>
      <c r="I225" s="36"/>
      <c r="L225" s="85"/>
      <c r="M225" s="85"/>
      <c r="N225" s="36"/>
    </row>
    <row r="226" spans="1:14" s="57" customFormat="1" ht="15.75" customHeight="1" x14ac:dyDescent="0.25">
      <c r="A226" s="107">
        <f t="shared" si="16"/>
        <v>13</v>
      </c>
      <c r="B226" s="107"/>
      <c r="C226" s="73" t="s">
        <v>191</v>
      </c>
      <c r="D226" s="61">
        <f>(24.6)*(10.764)</f>
        <v>264.7944</v>
      </c>
      <c r="E226" s="73">
        <v>0</v>
      </c>
      <c r="F226" s="73">
        <f>(D226+E226)*(($F$158)+1)</f>
        <v>410.43132000000003</v>
      </c>
      <c r="G226" s="107"/>
      <c r="H226" s="107"/>
      <c r="I226" s="36"/>
      <c r="L226" s="85"/>
      <c r="M226" s="85"/>
      <c r="N226" s="36"/>
    </row>
    <row r="227" spans="1:14" s="57" customFormat="1" ht="15.75" customHeight="1" x14ac:dyDescent="0.25">
      <c r="A227" s="107">
        <f t="shared" si="16"/>
        <v>14</v>
      </c>
      <c r="B227" s="107"/>
      <c r="C227" s="73" t="s">
        <v>191</v>
      </c>
      <c r="D227" s="61">
        <f>(24.6)*(10.764)</f>
        <v>264.7944</v>
      </c>
      <c r="E227" s="73">
        <v>0</v>
      </c>
      <c r="F227" s="73">
        <f t="shared" ref="F227:F231" si="20">(D227+E227)*(($F$158)+1)</f>
        <v>410.43132000000003</v>
      </c>
      <c r="G227" s="107"/>
      <c r="H227" s="107"/>
      <c r="L227" s="85"/>
      <c r="M227" s="85"/>
      <c r="N227" s="36"/>
    </row>
    <row r="228" spans="1:14" s="57" customFormat="1" ht="15.75" customHeight="1" x14ac:dyDescent="0.25">
      <c r="A228" s="107">
        <f t="shared" si="16"/>
        <v>15</v>
      </c>
      <c r="B228" s="107"/>
      <c r="C228" s="73" t="s">
        <v>191</v>
      </c>
      <c r="D228" s="61">
        <f>(24.6)*(10.764)</f>
        <v>264.7944</v>
      </c>
      <c r="E228" s="73">
        <v>0</v>
      </c>
      <c r="F228" s="73">
        <f t="shared" si="20"/>
        <v>410.43132000000003</v>
      </c>
      <c r="G228" s="107"/>
      <c r="H228" s="107"/>
      <c r="I228" s="36"/>
      <c r="L228" s="85"/>
      <c r="M228" s="85"/>
      <c r="N228" s="36"/>
    </row>
    <row r="229" spans="1:14" s="57" customFormat="1" ht="15.75" customHeight="1" x14ac:dyDescent="0.25">
      <c r="A229" s="107">
        <f t="shared" si="16"/>
        <v>16</v>
      </c>
      <c r="B229" s="107"/>
      <c r="C229" s="73" t="s">
        <v>191</v>
      </c>
      <c r="D229" s="61">
        <f>(24.6)*(10.764)</f>
        <v>264.7944</v>
      </c>
      <c r="E229" s="73">
        <v>0</v>
      </c>
      <c r="F229" s="73">
        <f t="shared" si="20"/>
        <v>410.43132000000003</v>
      </c>
      <c r="G229" s="107"/>
      <c r="H229" s="107"/>
      <c r="I229" s="36"/>
      <c r="L229" s="85"/>
      <c r="M229" s="85"/>
      <c r="N229" s="36"/>
    </row>
    <row r="230" spans="1:14" s="57" customFormat="1" ht="15.75" customHeight="1" x14ac:dyDescent="0.25">
      <c r="A230" s="107">
        <f t="shared" si="16"/>
        <v>17</v>
      </c>
      <c r="B230" s="107"/>
      <c r="C230" s="73" t="s">
        <v>191</v>
      </c>
      <c r="D230" s="61">
        <f>(23.61)*(10.764)</f>
        <v>254.13803999999999</v>
      </c>
      <c r="E230" s="73">
        <v>0</v>
      </c>
      <c r="F230" s="73">
        <f t="shared" si="20"/>
        <v>393.91396199999997</v>
      </c>
      <c r="G230" s="107"/>
      <c r="H230" s="107"/>
      <c r="I230" s="36"/>
      <c r="L230" s="85"/>
      <c r="M230" s="85"/>
      <c r="N230" s="36"/>
    </row>
    <row r="231" spans="1:14" s="57" customFormat="1" ht="15.75" customHeight="1" x14ac:dyDescent="0.25">
      <c r="A231" s="107">
        <f t="shared" si="16"/>
        <v>18</v>
      </c>
      <c r="B231" s="107"/>
      <c r="C231" s="73" t="s">
        <v>191</v>
      </c>
      <c r="D231" s="61">
        <f t="shared" ref="D231:D237" si="21">(25.67)*(10.764)</f>
        <v>276.31187999999997</v>
      </c>
      <c r="E231" s="73">
        <v>0</v>
      </c>
      <c r="F231" s="73">
        <f t="shared" si="20"/>
        <v>428.28341399999999</v>
      </c>
      <c r="G231" s="107"/>
      <c r="H231" s="107"/>
      <c r="I231" s="36"/>
      <c r="L231" s="85"/>
      <c r="M231" s="85"/>
      <c r="N231" s="36"/>
    </row>
    <row r="232" spans="1:14" s="57" customFormat="1" ht="15.75" customHeight="1" x14ac:dyDescent="0.25">
      <c r="A232" s="107">
        <f t="shared" si="16"/>
        <v>19</v>
      </c>
      <c r="B232" s="107"/>
      <c r="C232" s="73" t="s">
        <v>191</v>
      </c>
      <c r="D232" s="61">
        <f t="shared" si="21"/>
        <v>276.31187999999997</v>
      </c>
      <c r="E232" s="73">
        <v>0</v>
      </c>
      <c r="F232" s="73">
        <f>(D232+E232)*(($F$158)+1)</f>
        <v>428.28341399999999</v>
      </c>
      <c r="G232" s="107"/>
      <c r="H232" s="107"/>
      <c r="I232" s="36"/>
      <c r="L232" s="85"/>
      <c r="M232" s="85"/>
      <c r="N232" s="36"/>
    </row>
    <row r="233" spans="1:14" s="57" customFormat="1" ht="15.75" customHeight="1" x14ac:dyDescent="0.25">
      <c r="A233" s="107">
        <f t="shared" si="16"/>
        <v>20</v>
      </c>
      <c r="B233" s="107"/>
      <c r="C233" s="73" t="s">
        <v>191</v>
      </c>
      <c r="D233" s="61">
        <f t="shared" si="21"/>
        <v>276.31187999999997</v>
      </c>
      <c r="E233" s="73">
        <v>0</v>
      </c>
      <c r="F233" s="73">
        <f t="shared" ref="F233:F237" si="22">(D233+E233)*(($F$158)+1)</f>
        <v>428.28341399999999</v>
      </c>
      <c r="G233" s="107"/>
      <c r="H233" s="107"/>
      <c r="L233" s="85"/>
      <c r="M233" s="85"/>
      <c r="N233" s="36"/>
    </row>
    <row r="234" spans="1:14" s="57" customFormat="1" ht="15.75" customHeight="1" x14ac:dyDescent="0.25">
      <c r="A234" s="107">
        <f t="shared" si="16"/>
        <v>21</v>
      </c>
      <c r="B234" s="107"/>
      <c r="C234" s="73" t="s">
        <v>191</v>
      </c>
      <c r="D234" s="61">
        <f t="shared" si="21"/>
        <v>276.31187999999997</v>
      </c>
      <c r="E234" s="73">
        <v>0</v>
      </c>
      <c r="F234" s="73">
        <f t="shared" si="22"/>
        <v>428.28341399999999</v>
      </c>
      <c r="G234" s="107"/>
      <c r="H234" s="107"/>
      <c r="I234" s="36"/>
      <c r="L234" s="85"/>
      <c r="M234" s="85"/>
      <c r="N234" s="36"/>
    </row>
    <row r="235" spans="1:14" s="57" customFormat="1" ht="15.75" customHeight="1" x14ac:dyDescent="0.25">
      <c r="A235" s="107">
        <f t="shared" si="16"/>
        <v>22</v>
      </c>
      <c r="B235" s="107"/>
      <c r="C235" s="73" t="s">
        <v>191</v>
      </c>
      <c r="D235" s="61">
        <f t="shared" si="21"/>
        <v>276.31187999999997</v>
      </c>
      <c r="E235" s="73">
        <v>0</v>
      </c>
      <c r="F235" s="73">
        <f t="shared" si="22"/>
        <v>428.28341399999999</v>
      </c>
      <c r="G235" s="107"/>
      <c r="H235" s="107"/>
      <c r="I235" s="36"/>
      <c r="L235" s="85"/>
      <c r="M235" s="85"/>
      <c r="N235" s="36"/>
    </row>
    <row r="236" spans="1:14" s="57" customFormat="1" ht="15.75" customHeight="1" x14ac:dyDescent="0.25">
      <c r="A236" s="107">
        <f t="shared" si="16"/>
        <v>23</v>
      </c>
      <c r="B236" s="107"/>
      <c r="C236" s="73" t="s">
        <v>191</v>
      </c>
      <c r="D236" s="61">
        <f t="shared" si="21"/>
        <v>276.31187999999997</v>
      </c>
      <c r="E236" s="73">
        <v>0</v>
      </c>
      <c r="F236" s="73">
        <f t="shared" si="22"/>
        <v>428.28341399999999</v>
      </c>
      <c r="G236" s="107"/>
      <c r="H236" s="107"/>
      <c r="I236" s="36"/>
      <c r="L236" s="85"/>
      <c r="M236" s="85"/>
      <c r="N236" s="36"/>
    </row>
    <row r="237" spans="1:14" s="57" customFormat="1" ht="15.75" customHeight="1" x14ac:dyDescent="0.25">
      <c r="A237" s="107">
        <f t="shared" si="16"/>
        <v>24</v>
      </c>
      <c r="B237" s="107"/>
      <c r="C237" s="73" t="s">
        <v>191</v>
      </c>
      <c r="D237" s="61">
        <f t="shared" si="21"/>
        <v>276.31187999999997</v>
      </c>
      <c r="E237" s="73">
        <v>0</v>
      </c>
      <c r="F237" s="73">
        <f t="shared" si="22"/>
        <v>428.28341399999999</v>
      </c>
      <c r="G237" s="107"/>
      <c r="H237" s="107"/>
      <c r="I237" s="36"/>
      <c r="L237" s="85"/>
      <c r="M237" s="85"/>
      <c r="N237" s="36"/>
    </row>
    <row r="238" spans="1:14" s="57" customFormat="1" ht="15.75" customHeight="1" x14ac:dyDescent="0.25">
      <c r="A238" s="107">
        <f t="shared" si="16"/>
        <v>25</v>
      </c>
      <c r="B238" s="107"/>
      <c r="C238" s="73" t="s">
        <v>191</v>
      </c>
      <c r="D238" s="61">
        <f>(29.74)*(10.764)</f>
        <v>320.12135999999998</v>
      </c>
      <c r="E238" s="73">
        <v>0</v>
      </c>
      <c r="F238" s="73">
        <f t="shared" ref="F238" si="23">(D238+E238)*(($F$158)+1)</f>
        <v>496.188108</v>
      </c>
      <c r="G238" s="107"/>
      <c r="H238" s="107"/>
      <c r="I238" s="36"/>
      <c r="L238" s="85"/>
      <c r="M238" s="85"/>
      <c r="N238" s="36"/>
    </row>
    <row r="239" spans="1:14" s="57" customFormat="1" x14ac:dyDescent="0.25">
      <c r="A239" s="82" t="s">
        <v>214</v>
      </c>
      <c r="B239" s="83"/>
      <c r="C239" s="83"/>
      <c r="D239" s="83"/>
      <c r="E239" s="83"/>
      <c r="F239" s="83"/>
      <c r="G239" s="83"/>
      <c r="H239" s="84"/>
      <c r="J239" s="36"/>
    </row>
    <row r="240" spans="1:14" s="57" customFormat="1" ht="15.75" customHeight="1" x14ac:dyDescent="0.25">
      <c r="A240" s="107">
        <v>1</v>
      </c>
      <c r="B240" s="107"/>
      <c r="C240" s="73" t="s">
        <v>191</v>
      </c>
      <c r="D240" s="61">
        <f>(29.74)*(10.764)</f>
        <v>320.12135999999998</v>
      </c>
      <c r="E240" s="73">
        <v>0</v>
      </c>
      <c r="F240" s="73">
        <f>(D240+E240)*(($F$158)+1)</f>
        <v>496.188108</v>
      </c>
      <c r="G240" s="107" t="str">
        <f>A239</f>
        <v>20th Floor For Spa, Salon, Gym, Cardio &amp; Commercial</v>
      </c>
      <c r="H240" s="107"/>
      <c r="I240" s="36"/>
      <c r="L240" s="85"/>
      <c r="M240" s="85"/>
      <c r="N240" s="36"/>
    </row>
    <row r="241" spans="1:14" s="57" customFormat="1" ht="15.75" customHeight="1" x14ac:dyDescent="0.25">
      <c r="A241" s="107">
        <f t="shared" ref="A241:A264" si="24">A240+1</f>
        <v>2</v>
      </c>
      <c r="B241" s="107"/>
      <c r="C241" s="73" t="s">
        <v>191</v>
      </c>
      <c r="D241" s="61">
        <f t="shared" ref="D241:D249" si="25">(24.6)*(10.764)</f>
        <v>264.7944</v>
      </c>
      <c r="E241" s="73">
        <v>0</v>
      </c>
      <c r="F241" s="73">
        <f t="shared" ref="F241:F245" si="26">(D241+E241)*(($F$158)+1)</f>
        <v>410.43132000000003</v>
      </c>
      <c r="G241" s="107"/>
      <c r="H241" s="107"/>
      <c r="L241" s="85"/>
      <c r="M241" s="85"/>
      <c r="N241" s="36"/>
    </row>
    <row r="242" spans="1:14" s="57" customFormat="1" ht="15.75" customHeight="1" x14ac:dyDescent="0.25">
      <c r="A242" s="107">
        <f t="shared" si="24"/>
        <v>3</v>
      </c>
      <c r="B242" s="107"/>
      <c r="C242" s="73" t="s">
        <v>191</v>
      </c>
      <c r="D242" s="61">
        <f t="shared" si="25"/>
        <v>264.7944</v>
      </c>
      <c r="E242" s="73">
        <v>0</v>
      </c>
      <c r="F242" s="73">
        <f t="shared" si="26"/>
        <v>410.43132000000003</v>
      </c>
      <c r="G242" s="107"/>
      <c r="H242" s="107"/>
      <c r="I242" s="36"/>
      <c r="L242" s="85"/>
      <c r="M242" s="85"/>
      <c r="N242" s="36"/>
    </row>
    <row r="243" spans="1:14" s="57" customFormat="1" ht="15.75" customHeight="1" x14ac:dyDescent="0.25">
      <c r="A243" s="107">
        <f t="shared" si="24"/>
        <v>4</v>
      </c>
      <c r="B243" s="107"/>
      <c r="C243" s="73" t="s">
        <v>191</v>
      </c>
      <c r="D243" s="61">
        <f t="shared" si="25"/>
        <v>264.7944</v>
      </c>
      <c r="E243" s="73">
        <v>0</v>
      </c>
      <c r="F243" s="73">
        <f t="shared" si="26"/>
        <v>410.43132000000003</v>
      </c>
      <c r="G243" s="107"/>
      <c r="H243" s="107"/>
      <c r="I243" s="36"/>
      <c r="L243" s="85"/>
      <c r="M243" s="85"/>
      <c r="N243" s="36"/>
    </row>
    <row r="244" spans="1:14" s="57" customFormat="1" ht="15.75" customHeight="1" x14ac:dyDescent="0.25">
      <c r="A244" s="107">
        <f t="shared" si="24"/>
        <v>5</v>
      </c>
      <c r="B244" s="107"/>
      <c r="C244" s="73" t="s">
        <v>191</v>
      </c>
      <c r="D244" s="61">
        <f t="shared" si="25"/>
        <v>264.7944</v>
      </c>
      <c r="E244" s="73">
        <v>0</v>
      </c>
      <c r="F244" s="73">
        <f t="shared" si="26"/>
        <v>410.43132000000003</v>
      </c>
      <c r="G244" s="107"/>
      <c r="H244" s="107"/>
      <c r="I244" s="36"/>
      <c r="L244" s="85"/>
      <c r="M244" s="85"/>
      <c r="N244" s="36"/>
    </row>
    <row r="245" spans="1:14" s="57" customFormat="1" ht="15.75" customHeight="1" x14ac:dyDescent="0.25">
      <c r="A245" s="107">
        <f t="shared" si="24"/>
        <v>6</v>
      </c>
      <c r="B245" s="107"/>
      <c r="C245" s="73" t="s">
        <v>191</v>
      </c>
      <c r="D245" s="61">
        <f t="shared" si="25"/>
        <v>264.7944</v>
      </c>
      <c r="E245" s="73">
        <v>0</v>
      </c>
      <c r="F245" s="73">
        <f t="shared" si="26"/>
        <v>410.43132000000003</v>
      </c>
      <c r="G245" s="107"/>
      <c r="H245" s="107"/>
      <c r="I245" s="36"/>
      <c r="L245" s="85"/>
      <c r="M245" s="85"/>
      <c r="N245" s="36"/>
    </row>
    <row r="246" spans="1:14" s="57" customFormat="1" ht="15.75" customHeight="1" x14ac:dyDescent="0.25">
      <c r="A246" s="107">
        <f t="shared" si="24"/>
        <v>7</v>
      </c>
      <c r="B246" s="107"/>
      <c r="C246" s="73" t="s">
        <v>191</v>
      </c>
      <c r="D246" s="61">
        <f t="shared" si="25"/>
        <v>264.7944</v>
      </c>
      <c r="E246" s="73">
        <v>0</v>
      </c>
      <c r="F246" s="73">
        <f>(D246+E246)*(($F$158)+1)</f>
        <v>410.43132000000003</v>
      </c>
      <c r="G246" s="107"/>
      <c r="H246" s="107"/>
      <c r="I246" s="36"/>
      <c r="L246" s="85"/>
      <c r="M246" s="85"/>
      <c r="N246" s="36"/>
    </row>
    <row r="247" spans="1:14" s="57" customFormat="1" ht="15.75" customHeight="1" x14ac:dyDescent="0.25">
      <c r="A247" s="107">
        <f t="shared" si="24"/>
        <v>8</v>
      </c>
      <c r="B247" s="107"/>
      <c r="C247" s="73" t="s">
        <v>191</v>
      </c>
      <c r="D247" s="61">
        <f t="shared" si="25"/>
        <v>264.7944</v>
      </c>
      <c r="E247" s="73">
        <v>0</v>
      </c>
      <c r="F247" s="73">
        <f t="shared" ref="F247:F251" si="27">(D247+E247)*(($F$158)+1)</f>
        <v>410.43132000000003</v>
      </c>
      <c r="G247" s="107"/>
      <c r="H247" s="107"/>
      <c r="L247" s="85"/>
      <c r="M247" s="85"/>
      <c r="N247" s="36"/>
    </row>
    <row r="248" spans="1:14" s="57" customFormat="1" ht="15.75" customHeight="1" x14ac:dyDescent="0.25">
      <c r="A248" s="107">
        <f t="shared" si="24"/>
        <v>9</v>
      </c>
      <c r="B248" s="107"/>
      <c r="C248" s="73" t="s">
        <v>191</v>
      </c>
      <c r="D248" s="61">
        <f t="shared" si="25"/>
        <v>264.7944</v>
      </c>
      <c r="E248" s="73">
        <v>0</v>
      </c>
      <c r="F248" s="73">
        <f t="shared" si="27"/>
        <v>410.43132000000003</v>
      </c>
      <c r="G248" s="107"/>
      <c r="H248" s="107"/>
      <c r="I248" s="36"/>
      <c r="L248" s="85"/>
      <c r="M248" s="85"/>
      <c r="N248" s="36"/>
    </row>
    <row r="249" spans="1:14" s="57" customFormat="1" ht="15.75" customHeight="1" x14ac:dyDescent="0.25">
      <c r="A249" s="107">
        <f t="shared" si="24"/>
        <v>10</v>
      </c>
      <c r="B249" s="107"/>
      <c r="C249" s="73" t="s">
        <v>191</v>
      </c>
      <c r="D249" s="61">
        <f t="shared" si="25"/>
        <v>264.7944</v>
      </c>
      <c r="E249" s="73">
        <v>0</v>
      </c>
      <c r="F249" s="73">
        <f t="shared" si="27"/>
        <v>410.43132000000003</v>
      </c>
      <c r="G249" s="107"/>
      <c r="H249" s="107"/>
      <c r="I249" s="36"/>
      <c r="L249" s="85"/>
      <c r="M249" s="85"/>
      <c r="N249" s="36"/>
    </row>
    <row r="250" spans="1:14" s="57" customFormat="1" ht="15.75" customHeight="1" x14ac:dyDescent="0.25">
      <c r="A250" s="107">
        <f t="shared" si="24"/>
        <v>11</v>
      </c>
      <c r="B250" s="107"/>
      <c r="C250" s="60" t="s">
        <v>198</v>
      </c>
      <c r="D250" s="61">
        <f>(48.82)*(10.764)</f>
        <v>525.49847999999997</v>
      </c>
      <c r="E250" s="73">
        <v>0</v>
      </c>
      <c r="F250" s="73">
        <f t="shared" si="27"/>
        <v>814.52264400000001</v>
      </c>
      <c r="G250" s="107"/>
      <c r="H250" s="107"/>
      <c r="I250" s="36"/>
      <c r="L250" s="85"/>
      <c r="M250" s="85"/>
      <c r="N250" s="36"/>
    </row>
    <row r="251" spans="1:14" s="57" customFormat="1" ht="15.75" customHeight="1" x14ac:dyDescent="0.25">
      <c r="A251" s="107">
        <f t="shared" si="24"/>
        <v>12</v>
      </c>
      <c r="B251" s="107"/>
      <c r="C251" s="60" t="s">
        <v>198</v>
      </c>
      <c r="D251" s="61">
        <f>(50.72)*(10.764)</f>
        <v>545.95007999999996</v>
      </c>
      <c r="E251" s="73">
        <v>0</v>
      </c>
      <c r="F251" s="73">
        <f t="shared" si="27"/>
        <v>846.222624</v>
      </c>
      <c r="G251" s="107"/>
      <c r="H251" s="107"/>
      <c r="I251" s="36"/>
      <c r="L251" s="85"/>
      <c r="M251" s="85"/>
      <c r="N251" s="36"/>
    </row>
    <row r="252" spans="1:14" s="57" customFormat="1" ht="15.75" customHeight="1" x14ac:dyDescent="0.25">
      <c r="A252" s="107">
        <f t="shared" si="24"/>
        <v>13</v>
      </c>
      <c r="B252" s="107"/>
      <c r="C252" s="73" t="s">
        <v>191</v>
      </c>
      <c r="D252" s="61">
        <f>(24.6)*(10.764)</f>
        <v>264.7944</v>
      </c>
      <c r="E252" s="73">
        <v>0</v>
      </c>
      <c r="F252" s="73">
        <f>(D252+E252)*(($F$158)+1)</f>
        <v>410.43132000000003</v>
      </c>
      <c r="G252" s="107"/>
      <c r="H252" s="107"/>
      <c r="I252" s="36"/>
      <c r="L252" s="85"/>
      <c r="M252" s="85"/>
      <c r="N252" s="36"/>
    </row>
    <row r="253" spans="1:14" s="57" customFormat="1" ht="15.75" customHeight="1" x14ac:dyDescent="0.25">
      <c r="A253" s="107">
        <f t="shared" si="24"/>
        <v>14</v>
      </c>
      <c r="B253" s="107"/>
      <c r="C253" s="73" t="s">
        <v>191</v>
      </c>
      <c r="D253" s="61">
        <f>(24.6)*(10.764)</f>
        <v>264.7944</v>
      </c>
      <c r="E253" s="73">
        <v>0</v>
      </c>
      <c r="F253" s="73">
        <f t="shared" ref="F253:F257" si="28">(D253+E253)*(($F$158)+1)</f>
        <v>410.43132000000003</v>
      </c>
      <c r="G253" s="107"/>
      <c r="H253" s="107"/>
      <c r="L253" s="85"/>
      <c r="M253" s="85"/>
      <c r="N253" s="36"/>
    </row>
    <row r="254" spans="1:14" s="57" customFormat="1" ht="15.75" customHeight="1" x14ac:dyDescent="0.25">
      <c r="A254" s="107">
        <f t="shared" si="24"/>
        <v>15</v>
      </c>
      <c r="B254" s="107"/>
      <c r="C254" s="73" t="s">
        <v>191</v>
      </c>
      <c r="D254" s="61">
        <f>(24.6)*(10.764)</f>
        <v>264.7944</v>
      </c>
      <c r="E254" s="73">
        <v>0</v>
      </c>
      <c r="F254" s="73">
        <f t="shared" si="28"/>
        <v>410.43132000000003</v>
      </c>
      <c r="G254" s="107"/>
      <c r="H254" s="107"/>
      <c r="I254" s="36"/>
      <c r="L254" s="85"/>
      <c r="M254" s="85"/>
      <c r="N254" s="36"/>
    </row>
    <row r="255" spans="1:14" s="57" customFormat="1" ht="15.75" customHeight="1" x14ac:dyDescent="0.25">
      <c r="A255" s="107">
        <f t="shared" si="24"/>
        <v>16</v>
      </c>
      <c r="B255" s="107"/>
      <c r="C255" s="73" t="s">
        <v>191</v>
      </c>
      <c r="D255" s="61">
        <f>(24.6)*(10.764)</f>
        <v>264.7944</v>
      </c>
      <c r="E255" s="73">
        <v>0</v>
      </c>
      <c r="F255" s="73">
        <f t="shared" si="28"/>
        <v>410.43132000000003</v>
      </c>
      <c r="G255" s="107"/>
      <c r="H255" s="107"/>
      <c r="I255" s="36"/>
      <c r="L255" s="85"/>
      <c r="M255" s="85"/>
      <c r="N255" s="36"/>
    </row>
    <row r="256" spans="1:14" s="57" customFormat="1" ht="15.75" customHeight="1" x14ac:dyDescent="0.25">
      <c r="A256" s="107">
        <f t="shared" si="24"/>
        <v>17</v>
      </c>
      <c r="B256" s="107"/>
      <c r="C256" s="73" t="s">
        <v>191</v>
      </c>
      <c r="D256" s="61">
        <f>(23.61)*(10.764)</f>
        <v>254.13803999999999</v>
      </c>
      <c r="E256" s="73">
        <v>0</v>
      </c>
      <c r="F256" s="73">
        <f t="shared" si="28"/>
        <v>393.91396199999997</v>
      </c>
      <c r="G256" s="107"/>
      <c r="H256" s="107"/>
      <c r="I256" s="36"/>
      <c r="L256" s="85"/>
      <c r="M256" s="85"/>
      <c r="N256" s="36"/>
    </row>
    <row r="257" spans="1:14" s="57" customFormat="1" ht="15.75" customHeight="1" x14ac:dyDescent="0.25">
      <c r="A257" s="107">
        <f t="shared" si="24"/>
        <v>18</v>
      </c>
      <c r="B257" s="107"/>
      <c r="C257" s="73" t="s">
        <v>191</v>
      </c>
      <c r="D257" s="61">
        <f t="shared" ref="D257:D263" si="29">(25.67)*(10.764)</f>
        <v>276.31187999999997</v>
      </c>
      <c r="E257" s="73">
        <v>0</v>
      </c>
      <c r="F257" s="73">
        <f t="shared" si="28"/>
        <v>428.28341399999999</v>
      </c>
      <c r="G257" s="107"/>
      <c r="H257" s="107"/>
      <c r="I257" s="36"/>
      <c r="L257" s="85"/>
      <c r="M257" s="85"/>
      <c r="N257" s="36"/>
    </row>
    <row r="258" spans="1:14" s="57" customFormat="1" ht="15.75" customHeight="1" x14ac:dyDescent="0.25">
      <c r="A258" s="107">
        <f t="shared" si="24"/>
        <v>19</v>
      </c>
      <c r="B258" s="107"/>
      <c r="C258" s="73" t="s">
        <v>191</v>
      </c>
      <c r="D258" s="61">
        <f t="shared" si="29"/>
        <v>276.31187999999997</v>
      </c>
      <c r="E258" s="73">
        <v>0</v>
      </c>
      <c r="F258" s="73">
        <f>(D258+E258)*(($F$158)+1)</f>
        <v>428.28341399999999</v>
      </c>
      <c r="G258" s="107"/>
      <c r="H258" s="107"/>
      <c r="I258" s="36"/>
      <c r="L258" s="85"/>
      <c r="M258" s="85"/>
      <c r="N258" s="36"/>
    </row>
    <row r="259" spans="1:14" s="57" customFormat="1" ht="15.75" customHeight="1" x14ac:dyDescent="0.25">
      <c r="A259" s="107">
        <f t="shared" si="24"/>
        <v>20</v>
      </c>
      <c r="B259" s="107"/>
      <c r="C259" s="73" t="s">
        <v>191</v>
      </c>
      <c r="D259" s="61">
        <f t="shared" si="29"/>
        <v>276.31187999999997</v>
      </c>
      <c r="E259" s="73">
        <v>0</v>
      </c>
      <c r="F259" s="73">
        <f t="shared" ref="F259:F264" si="30">(D259+E259)*(($F$158)+1)</f>
        <v>428.28341399999999</v>
      </c>
      <c r="G259" s="107"/>
      <c r="H259" s="107"/>
      <c r="L259" s="85"/>
      <c r="M259" s="85"/>
      <c r="N259" s="36"/>
    </row>
    <row r="260" spans="1:14" s="57" customFormat="1" ht="15.75" customHeight="1" x14ac:dyDescent="0.25">
      <c r="A260" s="107">
        <f t="shared" si="24"/>
        <v>21</v>
      </c>
      <c r="B260" s="107"/>
      <c r="C260" s="73" t="s">
        <v>191</v>
      </c>
      <c r="D260" s="61">
        <f t="shared" si="29"/>
        <v>276.31187999999997</v>
      </c>
      <c r="E260" s="73">
        <v>0</v>
      </c>
      <c r="F260" s="73">
        <f t="shared" si="30"/>
        <v>428.28341399999999</v>
      </c>
      <c r="G260" s="107"/>
      <c r="H260" s="107"/>
      <c r="I260" s="36"/>
      <c r="L260" s="85"/>
      <c r="M260" s="85"/>
      <c r="N260" s="36"/>
    </row>
    <row r="261" spans="1:14" s="57" customFormat="1" ht="15.75" customHeight="1" x14ac:dyDescent="0.25">
      <c r="A261" s="107">
        <f t="shared" si="24"/>
        <v>22</v>
      </c>
      <c r="B261" s="107"/>
      <c r="C261" s="73" t="s">
        <v>191</v>
      </c>
      <c r="D261" s="61">
        <f t="shared" si="29"/>
        <v>276.31187999999997</v>
      </c>
      <c r="E261" s="73">
        <v>0</v>
      </c>
      <c r="F261" s="73">
        <f t="shared" si="30"/>
        <v>428.28341399999999</v>
      </c>
      <c r="G261" s="107"/>
      <c r="H261" s="107"/>
      <c r="I261" s="36"/>
      <c r="L261" s="85"/>
      <c r="M261" s="85"/>
      <c r="N261" s="36"/>
    </row>
    <row r="262" spans="1:14" s="57" customFormat="1" ht="15.75" customHeight="1" x14ac:dyDescent="0.25">
      <c r="A262" s="107">
        <f t="shared" si="24"/>
        <v>23</v>
      </c>
      <c r="B262" s="107"/>
      <c r="C262" s="73" t="s">
        <v>191</v>
      </c>
      <c r="D262" s="61">
        <f t="shared" si="29"/>
        <v>276.31187999999997</v>
      </c>
      <c r="E262" s="73">
        <v>0</v>
      </c>
      <c r="F262" s="73">
        <f t="shared" si="30"/>
        <v>428.28341399999999</v>
      </c>
      <c r="G262" s="107"/>
      <c r="H262" s="107"/>
      <c r="I262" s="36"/>
      <c r="L262" s="85"/>
      <c r="M262" s="85"/>
      <c r="N262" s="36"/>
    </row>
    <row r="263" spans="1:14" s="57" customFormat="1" ht="15.75" customHeight="1" x14ac:dyDescent="0.25">
      <c r="A263" s="107">
        <f t="shared" si="24"/>
        <v>24</v>
      </c>
      <c r="B263" s="107"/>
      <c r="C263" s="73" t="s">
        <v>191</v>
      </c>
      <c r="D263" s="61">
        <f t="shared" si="29"/>
        <v>276.31187999999997</v>
      </c>
      <c r="E263" s="73">
        <v>0</v>
      </c>
      <c r="F263" s="73">
        <f t="shared" si="30"/>
        <v>428.28341399999999</v>
      </c>
      <c r="G263" s="107"/>
      <c r="H263" s="107"/>
      <c r="I263" s="36"/>
      <c r="L263" s="85"/>
      <c r="M263" s="85"/>
      <c r="N263" s="36"/>
    </row>
    <row r="264" spans="1:14" s="57" customFormat="1" ht="15.75" customHeight="1" x14ac:dyDescent="0.25">
      <c r="A264" s="107">
        <f t="shared" si="24"/>
        <v>25</v>
      </c>
      <c r="B264" s="107"/>
      <c r="C264" s="73" t="s">
        <v>191</v>
      </c>
      <c r="D264" s="61">
        <f>(29.74)*(10.764)</f>
        <v>320.12135999999998</v>
      </c>
      <c r="E264" s="73">
        <v>0</v>
      </c>
      <c r="F264" s="73">
        <f t="shared" si="30"/>
        <v>496.188108</v>
      </c>
      <c r="G264" s="107"/>
      <c r="H264" s="107"/>
      <c r="I264" s="36"/>
      <c r="L264" s="85"/>
      <c r="M264" s="85"/>
      <c r="N264" s="36"/>
    </row>
    <row r="265" spans="1:14" s="57" customFormat="1" x14ac:dyDescent="0.25">
      <c r="A265" s="82" t="s">
        <v>201</v>
      </c>
      <c r="B265" s="83"/>
      <c r="C265" s="83"/>
      <c r="D265" s="83"/>
      <c r="E265" s="83"/>
      <c r="F265" s="83"/>
      <c r="G265" s="83"/>
      <c r="H265" s="84"/>
      <c r="J265" s="36"/>
    </row>
    <row r="266" spans="1:14" s="37" customFormat="1" x14ac:dyDescent="0.25">
      <c r="A266" s="86"/>
      <c r="B266" s="87"/>
      <c r="C266" s="87"/>
      <c r="D266" s="87"/>
      <c r="E266" s="87"/>
      <c r="F266" s="87"/>
      <c r="G266" s="87"/>
      <c r="H266" s="88"/>
      <c r="I266" s="36"/>
      <c r="N266" s="36"/>
    </row>
    <row r="267" spans="1:14" ht="47.25" customHeight="1" x14ac:dyDescent="0.25">
      <c r="A267" s="143" t="s">
        <v>124</v>
      </c>
      <c r="B267" s="143" t="s">
        <v>125</v>
      </c>
      <c r="C267" s="129" t="s">
        <v>58</v>
      </c>
      <c r="D267" s="129" t="s">
        <v>59</v>
      </c>
      <c r="E267" s="151" t="s">
        <v>60</v>
      </c>
      <c r="F267" s="43" t="s">
        <v>153</v>
      </c>
      <c r="G267" s="143" t="s">
        <v>61</v>
      </c>
      <c r="H267" s="153"/>
      <c r="I267" s="36"/>
    </row>
    <row r="268" spans="1:14" s="37" customFormat="1" x14ac:dyDescent="0.25">
      <c r="A268" s="144"/>
      <c r="B268" s="144"/>
      <c r="C268" s="130"/>
      <c r="D268" s="130"/>
      <c r="E268" s="152"/>
      <c r="F268" s="13">
        <v>0.55000000000000004</v>
      </c>
      <c r="G268" s="144"/>
      <c r="H268" s="154"/>
      <c r="I268" s="36"/>
    </row>
    <row r="269" spans="1:14" s="57" customFormat="1" x14ac:dyDescent="0.25">
      <c r="A269" s="82" t="s">
        <v>221</v>
      </c>
      <c r="B269" s="83"/>
      <c r="C269" s="83"/>
      <c r="D269" s="83"/>
      <c r="E269" s="83"/>
      <c r="F269" s="83"/>
      <c r="G269" s="83"/>
      <c r="H269" s="84"/>
      <c r="J269" s="36"/>
    </row>
    <row r="270" spans="1:14" s="57" customFormat="1" x14ac:dyDescent="0.25">
      <c r="A270" s="82" t="s">
        <v>197</v>
      </c>
      <c r="B270" s="83"/>
      <c r="C270" s="83"/>
      <c r="D270" s="83"/>
      <c r="E270" s="83"/>
      <c r="F270" s="83"/>
      <c r="G270" s="83"/>
      <c r="H270" s="84"/>
      <c r="J270" s="36"/>
    </row>
    <row r="271" spans="1:14" s="57" customFormat="1" x14ac:dyDescent="0.25">
      <c r="A271" s="82" t="s">
        <v>194</v>
      </c>
      <c r="B271" s="83"/>
      <c r="C271" s="83"/>
      <c r="D271" s="83"/>
      <c r="E271" s="83"/>
      <c r="F271" s="83"/>
      <c r="G271" s="83"/>
      <c r="H271" s="84"/>
      <c r="J271" s="36"/>
    </row>
    <row r="272" spans="1:14" s="57" customFormat="1" x14ac:dyDescent="0.25">
      <c r="A272" s="82" t="s">
        <v>195</v>
      </c>
      <c r="B272" s="83"/>
      <c r="C272" s="83"/>
      <c r="D272" s="83"/>
      <c r="E272" s="83"/>
      <c r="F272" s="83"/>
      <c r="G272" s="83"/>
      <c r="H272" s="84"/>
      <c r="J272" s="36"/>
    </row>
    <row r="273" spans="1:14" s="57" customFormat="1" x14ac:dyDescent="0.25">
      <c r="A273" s="82" t="s">
        <v>196</v>
      </c>
      <c r="B273" s="83"/>
      <c r="C273" s="83"/>
      <c r="D273" s="83"/>
      <c r="E273" s="83"/>
      <c r="F273" s="83"/>
      <c r="G273" s="83"/>
      <c r="H273" s="84"/>
      <c r="J273" s="36"/>
    </row>
    <row r="274" spans="1:14" s="37" customFormat="1" x14ac:dyDescent="0.25">
      <c r="A274" s="82" t="s">
        <v>193</v>
      </c>
      <c r="B274" s="83"/>
      <c r="C274" s="83"/>
      <c r="D274" s="83"/>
      <c r="E274" s="83"/>
      <c r="F274" s="83"/>
      <c r="G274" s="83"/>
      <c r="H274" s="84"/>
      <c r="J274" s="36"/>
    </row>
    <row r="275" spans="1:14" s="57" customFormat="1" x14ac:dyDescent="0.25">
      <c r="A275" s="82" t="s">
        <v>202</v>
      </c>
      <c r="B275" s="83"/>
      <c r="C275" s="83"/>
      <c r="D275" s="83"/>
      <c r="E275" s="83"/>
      <c r="F275" s="83"/>
      <c r="G275" s="83"/>
      <c r="H275" s="84"/>
      <c r="J275" s="36"/>
    </row>
    <row r="276" spans="1:14" s="37" customFormat="1" ht="15.75" customHeight="1" x14ac:dyDescent="0.25">
      <c r="A276" s="86">
        <v>1</v>
      </c>
      <c r="B276" s="88"/>
      <c r="C276" s="42" t="s">
        <v>198</v>
      </c>
      <c r="D276" s="61">
        <f>(39.36+0.75*(2.9+2.3+2.75))*(10.764)</f>
        <v>487.85138999999992</v>
      </c>
      <c r="E276" s="42">
        <v>0</v>
      </c>
      <c r="F276" s="42">
        <f t="shared" ref="F276:F283" si="31">D276*(($F$268)+1)+(IF(E276&lt;101,E276,IF(E276&lt;201,E276/2,IF(E276&lt;=301,E276/3,E276/4))))</f>
        <v>756.16965449999987</v>
      </c>
      <c r="G276" s="100" t="str">
        <f>A275</f>
        <v>5th, 6th, 8th to 11th, 13th to 16th For Residential</v>
      </c>
      <c r="H276" s="101"/>
      <c r="I276" s="36">
        <f>2.9*4.4+2.75*2.3+2.1*1.35+3.2*2.75+0.9*1.35+1.75*1.35+2.1*1.2</f>
        <v>36.817500000000003</v>
      </c>
      <c r="L276" s="85"/>
      <c r="M276" s="85"/>
      <c r="N276" s="36"/>
    </row>
    <row r="277" spans="1:14" s="37" customFormat="1" ht="15.75" customHeight="1" x14ac:dyDescent="0.25">
      <c r="A277" s="86">
        <f t="shared" ref="A277:A283" si="32">A276+1</f>
        <v>2</v>
      </c>
      <c r="B277" s="88"/>
      <c r="C277" s="56" t="s">
        <v>198</v>
      </c>
      <c r="D277" s="61">
        <f>(39.56+0.75*(2.9+2.3+2.75))*(10.764)</f>
        <v>490.00418999999999</v>
      </c>
      <c r="E277" s="42">
        <v>0</v>
      </c>
      <c r="F277" s="42">
        <f t="shared" si="31"/>
        <v>759.50649450000003</v>
      </c>
      <c r="G277" s="102"/>
      <c r="H277" s="103"/>
      <c r="I277" s="36"/>
      <c r="L277" s="85"/>
      <c r="M277" s="85"/>
      <c r="N277" s="36"/>
    </row>
    <row r="278" spans="1:14" s="37" customFormat="1" ht="15.75" customHeight="1" x14ac:dyDescent="0.25">
      <c r="A278" s="86">
        <f t="shared" si="32"/>
        <v>3</v>
      </c>
      <c r="B278" s="88"/>
      <c r="C278" s="42" t="s">
        <v>199</v>
      </c>
      <c r="D278" s="61">
        <f>(59.87+0.75*(2.9+2.3+2.75+2.9))*(10.764)</f>
        <v>732.0327299999999</v>
      </c>
      <c r="E278" s="42">
        <v>0</v>
      </c>
      <c r="F278" s="42">
        <f t="shared" si="31"/>
        <v>1134.6507314999999</v>
      </c>
      <c r="G278" s="102"/>
      <c r="H278" s="103"/>
      <c r="I278" s="36"/>
      <c r="J278" s="63" t="s">
        <v>215</v>
      </c>
      <c r="L278" s="85"/>
      <c r="M278" s="85"/>
      <c r="N278" s="36"/>
    </row>
    <row r="279" spans="1:14" s="37" customFormat="1" ht="15.75" customHeight="1" x14ac:dyDescent="0.25">
      <c r="A279" s="86">
        <f t="shared" si="32"/>
        <v>4</v>
      </c>
      <c r="B279" s="88"/>
      <c r="C279" s="56" t="s">
        <v>199</v>
      </c>
      <c r="D279" s="61">
        <f>(57.56+0.75*(2.9+2.3+2.75+2.9))*(10.764)</f>
        <v>707.16789000000006</v>
      </c>
      <c r="E279" s="42">
        <v>0</v>
      </c>
      <c r="F279" s="42">
        <f t="shared" si="31"/>
        <v>1096.1102295000001</v>
      </c>
      <c r="G279" s="102"/>
      <c r="H279" s="103"/>
      <c r="I279" s="36"/>
      <c r="J279" s="36">
        <f>9300000/F279</f>
        <v>8484.5481318446164</v>
      </c>
      <c r="K279" s="36"/>
      <c r="L279" s="85"/>
      <c r="M279" s="85"/>
      <c r="N279" s="36"/>
    </row>
    <row r="280" spans="1:14" s="57" customFormat="1" x14ac:dyDescent="0.25">
      <c r="A280" s="86">
        <f t="shared" si="32"/>
        <v>5</v>
      </c>
      <c r="B280" s="88"/>
      <c r="C280" s="56" t="s">
        <v>198</v>
      </c>
      <c r="D280" s="61">
        <f>(39.95+0.75*(2.9+2.3+2.75))*(10.764)</f>
        <v>494.20214999999996</v>
      </c>
      <c r="E280" s="56">
        <v>0</v>
      </c>
      <c r="F280" s="56">
        <f t="shared" si="31"/>
        <v>766.01333249999993</v>
      </c>
      <c r="G280" s="102"/>
      <c r="H280" s="103"/>
      <c r="I280" s="36"/>
      <c r="J280" s="36">
        <f>6300000/F281</f>
        <v>8224.3999323601856</v>
      </c>
      <c r="L280" s="85"/>
      <c r="M280" s="85"/>
      <c r="N280" s="36"/>
    </row>
    <row r="281" spans="1:14" s="57" customFormat="1" x14ac:dyDescent="0.25">
      <c r="A281" s="86">
        <f t="shared" si="32"/>
        <v>6</v>
      </c>
      <c r="B281" s="88"/>
      <c r="C281" s="56" t="s">
        <v>198</v>
      </c>
      <c r="D281" s="61">
        <f>(39.95+0.75*(2.9+2.3+2.75))*(10.764)</f>
        <v>494.20214999999996</v>
      </c>
      <c r="E281" s="56">
        <v>0</v>
      </c>
      <c r="F281" s="56">
        <f t="shared" si="31"/>
        <v>766.01333249999993</v>
      </c>
      <c r="G281" s="102"/>
      <c r="H281" s="103"/>
      <c r="I281" s="36"/>
      <c r="J281" s="64">
        <f>AVERAGE(J279:J280)</f>
        <v>8354.4740321024001</v>
      </c>
      <c r="L281" s="85"/>
      <c r="M281" s="85"/>
      <c r="N281" s="36"/>
    </row>
    <row r="282" spans="1:14" s="57" customFormat="1" x14ac:dyDescent="0.25">
      <c r="A282" s="86">
        <f t="shared" si="32"/>
        <v>7</v>
      </c>
      <c r="B282" s="88"/>
      <c r="C282" s="56" t="s">
        <v>199</v>
      </c>
      <c r="D282" s="61">
        <f>(57.56+0.75*(2.9+2.3+2.75+2.9))*(10.764)</f>
        <v>707.16789000000006</v>
      </c>
      <c r="E282" s="56">
        <v>0</v>
      </c>
      <c r="F282" s="56">
        <f t="shared" si="31"/>
        <v>1096.1102295000001</v>
      </c>
      <c r="G282" s="102"/>
      <c r="H282" s="103"/>
      <c r="I282" s="36"/>
      <c r="L282" s="85"/>
      <c r="M282" s="85"/>
      <c r="N282" s="36"/>
    </row>
    <row r="283" spans="1:14" s="57" customFormat="1" x14ac:dyDescent="0.25">
      <c r="A283" s="86">
        <f t="shared" si="32"/>
        <v>8</v>
      </c>
      <c r="B283" s="88"/>
      <c r="C283" s="56" t="s">
        <v>199</v>
      </c>
      <c r="D283" s="61">
        <f>(59.87+0.75*(2.3+2.75+2.9))*(10.764)</f>
        <v>708.62102999999991</v>
      </c>
      <c r="E283" s="56">
        <v>0</v>
      </c>
      <c r="F283" s="56">
        <f t="shared" si="31"/>
        <v>1098.3625964999999</v>
      </c>
      <c r="G283" s="104"/>
      <c r="H283" s="105"/>
      <c r="I283" s="36"/>
      <c r="L283" s="85"/>
      <c r="M283" s="85"/>
      <c r="N283" s="36"/>
    </row>
    <row r="284" spans="1:14" s="57" customFormat="1" x14ac:dyDescent="0.25">
      <c r="A284" s="106" t="s">
        <v>203</v>
      </c>
      <c r="B284" s="106"/>
      <c r="C284" s="106"/>
      <c r="D284" s="106"/>
      <c r="E284" s="106"/>
      <c r="F284" s="106"/>
      <c r="G284" s="106"/>
      <c r="H284" s="106"/>
      <c r="I284" s="36"/>
      <c r="L284" s="85"/>
      <c r="M284" s="85"/>
    </row>
    <row r="285" spans="1:14" s="57" customFormat="1" ht="15.75" customHeight="1" x14ac:dyDescent="0.25">
      <c r="A285" s="107">
        <v>1</v>
      </c>
      <c r="B285" s="107"/>
      <c r="C285" s="56" t="s">
        <v>198</v>
      </c>
      <c r="D285" s="61">
        <f>(39.36+0.75*(2.9+2.3+2.75))*(10.764)</f>
        <v>487.85138999999992</v>
      </c>
      <c r="E285" s="56">
        <v>0</v>
      </c>
      <c r="F285" s="56">
        <f t="shared" ref="F285:F286" si="33">D285*(($F$268)+1)+(IF(E285&lt;101,E285,IF(E285&lt;201,E285/2,IF(E285&lt;=301,E285/3,E285/4))))</f>
        <v>756.16965449999987</v>
      </c>
      <c r="G285" s="100" t="str">
        <f>A284</f>
        <v>7th, 12th, 17th Floor (Part Refuge Area)</v>
      </c>
      <c r="H285" s="101"/>
      <c r="I285" s="36"/>
      <c r="N285" s="36"/>
    </row>
    <row r="286" spans="1:14" s="57" customFormat="1" ht="15.75" customHeight="1" x14ac:dyDescent="0.25">
      <c r="A286" s="107">
        <f t="shared" ref="A286:A292" si="34">A285+1</f>
        <v>2</v>
      </c>
      <c r="B286" s="107"/>
      <c r="C286" s="56" t="s">
        <v>198</v>
      </c>
      <c r="D286" s="61">
        <f>(39.56+0.75*(2.9+2.3+2.75))*(10.764)</f>
        <v>490.00418999999999</v>
      </c>
      <c r="E286" s="56">
        <v>0</v>
      </c>
      <c r="F286" s="56">
        <f t="shared" si="33"/>
        <v>759.50649450000003</v>
      </c>
      <c r="G286" s="102"/>
      <c r="H286" s="103"/>
      <c r="I286" s="36"/>
      <c r="N286" s="36"/>
    </row>
    <row r="287" spans="1:14" s="57" customFormat="1" ht="15.75" customHeight="1" x14ac:dyDescent="0.25">
      <c r="A287" s="107">
        <f t="shared" si="34"/>
        <v>3</v>
      </c>
      <c r="B287" s="107"/>
      <c r="C287" s="56" t="s">
        <v>199</v>
      </c>
      <c r="D287" s="61">
        <f>(59.87+0.75*(2.9+2.3+2.75+2.9))*(10.764)</f>
        <v>732.0327299999999</v>
      </c>
      <c r="E287" s="56">
        <v>0</v>
      </c>
      <c r="F287" s="56">
        <f>D287*(($F$268)+1)+(IF(E287&lt;101,E287,IF(E287&lt;201,E287/2,IF(E287&lt;=301,E287/3,E287/4))))</f>
        <v>1134.6507314999999</v>
      </c>
      <c r="G287" s="102"/>
      <c r="H287" s="103"/>
      <c r="I287" s="36"/>
      <c r="N287" s="36"/>
    </row>
    <row r="288" spans="1:14" s="57" customFormat="1" ht="15.75" customHeight="1" x14ac:dyDescent="0.25">
      <c r="A288" s="107">
        <f t="shared" si="34"/>
        <v>4</v>
      </c>
      <c r="B288" s="107"/>
      <c r="C288" s="56" t="s">
        <v>199</v>
      </c>
      <c r="D288" s="61">
        <f>(57.56+0.75*(2.9+2.3+2.75+2.9))*(10.764)</f>
        <v>707.16789000000006</v>
      </c>
      <c r="E288" s="56">
        <v>0</v>
      </c>
      <c r="F288" s="56">
        <f>D288*(($F$268)+1)+(IF(E288&lt;101,E288,IF(E288&lt;201,E288/2,IF(E288&lt;=301,E288/3,E288/4))))</f>
        <v>1096.1102295000001</v>
      </c>
      <c r="G288" s="102"/>
      <c r="H288" s="103"/>
      <c r="I288" s="36"/>
      <c r="N288" s="36"/>
    </row>
    <row r="289" spans="1:14" s="57" customFormat="1" ht="15.75" customHeight="1" x14ac:dyDescent="0.25">
      <c r="A289" s="107">
        <f t="shared" si="34"/>
        <v>5</v>
      </c>
      <c r="B289" s="107"/>
      <c r="C289" s="56" t="s">
        <v>198</v>
      </c>
      <c r="D289" s="61">
        <f>(39.95+0.75*(2.9+2.3+2.75))*(10.764)</f>
        <v>494.20214999999996</v>
      </c>
      <c r="E289" s="56">
        <v>0</v>
      </c>
      <c r="F289" s="56">
        <f>D289*(($F$268)+1)+(IF(E289&lt;101,E289,IF(E289&lt;201,E289/2,IF(E289&lt;=301,E289/3,E289/4))))</f>
        <v>766.01333249999993</v>
      </c>
      <c r="G289" s="102"/>
      <c r="H289" s="103"/>
      <c r="I289" s="36"/>
      <c r="N289" s="36"/>
    </row>
    <row r="290" spans="1:14" s="57" customFormat="1" ht="15.75" customHeight="1" x14ac:dyDescent="0.25">
      <c r="A290" s="107">
        <f t="shared" si="34"/>
        <v>6</v>
      </c>
      <c r="B290" s="107"/>
      <c r="C290" s="86" t="s">
        <v>189</v>
      </c>
      <c r="D290" s="87"/>
      <c r="E290" s="87"/>
      <c r="F290" s="88"/>
      <c r="G290" s="102"/>
      <c r="H290" s="103"/>
      <c r="I290" s="36"/>
      <c r="N290" s="36"/>
    </row>
    <row r="291" spans="1:14" s="57" customFormat="1" ht="15.75" customHeight="1" x14ac:dyDescent="0.25">
      <c r="A291" s="107">
        <f t="shared" si="34"/>
        <v>7</v>
      </c>
      <c r="B291" s="107"/>
      <c r="C291" s="56" t="s">
        <v>199</v>
      </c>
      <c r="D291" s="61">
        <f>(57.56+0.75*(2.9+2.3+2.75+2.9))*(10.764)</f>
        <v>707.16789000000006</v>
      </c>
      <c r="E291" s="56">
        <v>0</v>
      </c>
      <c r="F291" s="56">
        <f>D291*(($F$268)+1)+(IF(E291&lt;101,E291,IF(E291&lt;201,E291/2,IF(E291&lt;=301,E291/3,E291/4))))</f>
        <v>1096.1102295000001</v>
      </c>
      <c r="G291" s="102"/>
      <c r="H291" s="103"/>
      <c r="I291" s="36"/>
      <c r="N291" s="36"/>
    </row>
    <row r="292" spans="1:14" s="57" customFormat="1" ht="15.75" customHeight="1" x14ac:dyDescent="0.25">
      <c r="A292" s="107">
        <f t="shared" si="34"/>
        <v>8</v>
      </c>
      <c r="B292" s="107"/>
      <c r="C292" s="56" t="s">
        <v>199</v>
      </c>
      <c r="D292" s="61">
        <f>(60.3+0.75*(2.9+2.3+2.75+2.9))*(10.764)</f>
        <v>736.66125</v>
      </c>
      <c r="E292" s="56">
        <v>0</v>
      </c>
      <c r="F292" s="56">
        <f>D292*(($F$268)+1)+(IF(E292&lt;101,E292,IF(E292&lt;201,E292/2,IF(E292&lt;=301,E292/3,E292/4))))</f>
        <v>1141.8249375</v>
      </c>
      <c r="G292" s="104"/>
      <c r="H292" s="105"/>
      <c r="I292" s="36"/>
      <c r="N292" s="36"/>
    </row>
    <row r="293" spans="1:14" s="37" customFormat="1" x14ac:dyDescent="0.25">
      <c r="A293" s="106" t="s">
        <v>205</v>
      </c>
      <c r="B293" s="106"/>
      <c r="C293" s="106"/>
      <c r="D293" s="106"/>
      <c r="E293" s="106"/>
      <c r="F293" s="106"/>
      <c r="G293" s="106"/>
      <c r="H293" s="106"/>
      <c r="I293" s="36"/>
      <c r="L293" s="85"/>
      <c r="M293" s="85"/>
    </row>
    <row r="294" spans="1:14" s="37" customFormat="1" ht="15.75" customHeight="1" x14ac:dyDescent="0.25">
      <c r="A294" s="107">
        <v>1</v>
      </c>
      <c r="B294" s="107"/>
      <c r="C294" s="73" t="s">
        <v>198</v>
      </c>
      <c r="D294" s="61">
        <f>(39.36+0.75*(2.9+2.3+2.75))*(10.764)</f>
        <v>487.85138999999992</v>
      </c>
      <c r="E294" s="73">
        <v>0</v>
      </c>
      <c r="F294" s="73">
        <f t="shared" ref="F294:F295" si="35">D294*(($F$268)+1)+(IF(E294&lt;101,E294,IF(E294&lt;201,E294/2,IF(E294&lt;=301,E294/3,E294/4))))</f>
        <v>756.16965449999987</v>
      </c>
      <c r="G294" s="107" t="str">
        <f>A293</f>
        <v>18th to 21st, 23rd to 26th, 28th to 31st, 33th to 35th Floor</v>
      </c>
      <c r="H294" s="107"/>
      <c r="I294" s="36"/>
      <c r="N294" s="36"/>
    </row>
    <row r="295" spans="1:14" s="37" customFormat="1" ht="15.75" customHeight="1" x14ac:dyDescent="0.25">
      <c r="A295" s="107">
        <f t="shared" ref="A295:A301" si="36">A294+1</f>
        <v>2</v>
      </c>
      <c r="B295" s="107"/>
      <c r="C295" s="73" t="s">
        <v>198</v>
      </c>
      <c r="D295" s="61">
        <f>(39.56+0.75*(2.9+2.3+2.75))*(10.764)</f>
        <v>490.00418999999999</v>
      </c>
      <c r="E295" s="73">
        <v>0</v>
      </c>
      <c r="F295" s="73">
        <f t="shared" si="35"/>
        <v>759.50649450000003</v>
      </c>
      <c r="G295" s="107"/>
      <c r="H295" s="107"/>
      <c r="I295" s="36"/>
      <c r="N295" s="36"/>
    </row>
    <row r="296" spans="1:14" s="37" customFormat="1" ht="15.75" customHeight="1" x14ac:dyDescent="0.25">
      <c r="A296" s="107">
        <f t="shared" si="36"/>
        <v>3</v>
      </c>
      <c r="B296" s="107"/>
      <c r="C296" s="73" t="s">
        <v>199</v>
      </c>
      <c r="D296" s="61">
        <f>(60.3+3.19+0.75*(2.3+2.75+2.9))*(10.764)</f>
        <v>747.58670999999993</v>
      </c>
      <c r="E296" s="73">
        <v>0</v>
      </c>
      <c r="F296" s="73">
        <f t="shared" ref="F296:F301" si="37">D296*(($F$268)+1)+(IF(E296&lt;101,E296,IF(E296&lt;201,E296/2,IF(E296&lt;=301,E296/3,E296/4))))</f>
        <v>1158.7594004999999</v>
      </c>
      <c r="G296" s="107"/>
      <c r="H296" s="107"/>
      <c r="I296" s="36"/>
      <c r="N296" s="36"/>
    </row>
    <row r="297" spans="1:14" s="37" customFormat="1" ht="15.75" customHeight="1" x14ac:dyDescent="0.25">
      <c r="A297" s="107">
        <f t="shared" si="36"/>
        <v>4</v>
      </c>
      <c r="B297" s="107"/>
      <c r="C297" s="73" t="s">
        <v>199</v>
      </c>
      <c r="D297" s="61">
        <f>(57.56+0.75*(2.9+2.3+2.75+2.9))*(10.764)</f>
        <v>707.16789000000006</v>
      </c>
      <c r="E297" s="73">
        <v>0</v>
      </c>
      <c r="F297" s="73">
        <f t="shared" si="37"/>
        <v>1096.1102295000001</v>
      </c>
      <c r="G297" s="107"/>
      <c r="H297" s="107"/>
      <c r="I297" s="36"/>
      <c r="N297" s="36"/>
    </row>
    <row r="298" spans="1:14" s="37" customFormat="1" ht="15.75" customHeight="1" x14ac:dyDescent="0.25">
      <c r="A298" s="107">
        <f t="shared" si="36"/>
        <v>5</v>
      </c>
      <c r="B298" s="107"/>
      <c r="C298" s="73" t="s">
        <v>198</v>
      </c>
      <c r="D298" s="61">
        <f>(39.95+0.75*(2.9+2.3+2.75))*(10.764)</f>
        <v>494.20214999999996</v>
      </c>
      <c r="E298" s="73">
        <v>0</v>
      </c>
      <c r="F298" s="73">
        <f t="shared" si="37"/>
        <v>766.01333249999993</v>
      </c>
      <c r="G298" s="107"/>
      <c r="H298" s="107"/>
      <c r="I298" s="36"/>
      <c r="N298" s="36"/>
    </row>
    <row r="299" spans="1:14" s="57" customFormat="1" ht="15.75" customHeight="1" x14ac:dyDescent="0.25">
      <c r="A299" s="107">
        <f t="shared" si="36"/>
        <v>6</v>
      </c>
      <c r="B299" s="107"/>
      <c r="C299" s="73" t="s">
        <v>198</v>
      </c>
      <c r="D299" s="61">
        <f>(39.95+0.75*(2.9+2.3+2.75))*(10.764)</f>
        <v>494.20214999999996</v>
      </c>
      <c r="E299" s="73">
        <v>0</v>
      </c>
      <c r="F299" s="73">
        <f t="shared" si="37"/>
        <v>766.01333249999993</v>
      </c>
      <c r="G299" s="107"/>
      <c r="H299" s="107"/>
      <c r="I299" s="36"/>
      <c r="N299" s="36"/>
    </row>
    <row r="300" spans="1:14" s="57" customFormat="1" ht="15.75" customHeight="1" x14ac:dyDescent="0.25">
      <c r="A300" s="107">
        <f t="shared" si="36"/>
        <v>7</v>
      </c>
      <c r="B300" s="107"/>
      <c r="C300" s="73" t="s">
        <v>199</v>
      </c>
      <c r="D300" s="61">
        <f>(57.56+0.75*(2.9+2.3+2.75+2.9))*(10.764)</f>
        <v>707.16789000000006</v>
      </c>
      <c r="E300" s="73">
        <v>0</v>
      </c>
      <c r="F300" s="73">
        <f t="shared" si="37"/>
        <v>1096.1102295000001</v>
      </c>
      <c r="G300" s="107"/>
      <c r="H300" s="107"/>
      <c r="I300" s="36"/>
      <c r="N300" s="36"/>
    </row>
    <row r="301" spans="1:14" s="57" customFormat="1" ht="15.75" customHeight="1" x14ac:dyDescent="0.25">
      <c r="A301" s="107">
        <f t="shared" si="36"/>
        <v>8</v>
      </c>
      <c r="B301" s="107"/>
      <c r="C301" s="73" t="s">
        <v>199</v>
      </c>
      <c r="D301" s="61">
        <f>(60.3+3.19+0.75*(2.3+2.75+2.9))*(10.764)</f>
        <v>747.58670999999993</v>
      </c>
      <c r="E301" s="73">
        <v>0</v>
      </c>
      <c r="F301" s="73">
        <f t="shared" si="37"/>
        <v>1158.7594004999999</v>
      </c>
      <c r="G301" s="107"/>
      <c r="H301" s="107"/>
      <c r="I301" s="36"/>
      <c r="N301" s="36"/>
    </row>
    <row r="302" spans="1:14" s="57" customFormat="1" x14ac:dyDescent="0.25">
      <c r="A302" s="106" t="s">
        <v>204</v>
      </c>
      <c r="B302" s="106"/>
      <c r="C302" s="106"/>
      <c r="D302" s="106"/>
      <c r="E302" s="106"/>
      <c r="F302" s="106"/>
      <c r="G302" s="106"/>
      <c r="H302" s="106"/>
      <c r="I302" s="36"/>
      <c r="L302" s="85"/>
      <c r="M302" s="85"/>
    </row>
    <row r="303" spans="1:14" s="57" customFormat="1" ht="15.75" customHeight="1" x14ac:dyDescent="0.25">
      <c r="A303" s="107">
        <v>1</v>
      </c>
      <c r="B303" s="107"/>
      <c r="C303" s="56" t="s">
        <v>198</v>
      </c>
      <c r="D303" s="61">
        <f>(39.36+0.75*(2.9+2.3+2.75))*(10.764)</f>
        <v>487.85138999999992</v>
      </c>
      <c r="E303" s="56">
        <v>0</v>
      </c>
      <c r="F303" s="56">
        <f t="shared" ref="F303:F304" si="38">D303*(($F$268)+1)+(IF(E303&lt;101,E303,IF(E303&lt;201,E303/2,IF(E303&lt;=301,E303/3,E303/4))))</f>
        <v>756.16965449999987</v>
      </c>
      <c r="G303" s="100" t="str">
        <f>A302</f>
        <v>22nd, 27th, 32nd Floor (Part Refuge Area)</v>
      </c>
      <c r="H303" s="101"/>
      <c r="I303" s="36"/>
      <c r="N303" s="36"/>
    </row>
    <row r="304" spans="1:14" s="57" customFormat="1" ht="15.75" customHeight="1" x14ac:dyDescent="0.25">
      <c r="A304" s="107">
        <f t="shared" ref="A304:A310" si="39">A303+1</f>
        <v>2</v>
      </c>
      <c r="B304" s="107"/>
      <c r="C304" s="56" t="s">
        <v>198</v>
      </c>
      <c r="D304" s="61">
        <f>(39.56+0.75*(2.9+2.3+2.75))*(10.764)</f>
        <v>490.00418999999999</v>
      </c>
      <c r="E304" s="56">
        <v>0</v>
      </c>
      <c r="F304" s="56">
        <f t="shared" si="38"/>
        <v>759.50649450000003</v>
      </c>
      <c r="G304" s="102"/>
      <c r="H304" s="103"/>
      <c r="I304" s="36"/>
      <c r="N304" s="36"/>
    </row>
    <row r="305" spans="1:14" s="57" customFormat="1" ht="15.75" customHeight="1" x14ac:dyDescent="0.25">
      <c r="A305" s="107">
        <f t="shared" si="39"/>
        <v>3</v>
      </c>
      <c r="B305" s="107"/>
      <c r="C305" s="56" t="s">
        <v>199</v>
      </c>
      <c r="D305" s="61">
        <f>(60.3+3.19+0.75*(2.3+2.75+2.9))*(10.764)</f>
        <v>747.58670999999993</v>
      </c>
      <c r="E305" s="56">
        <v>0</v>
      </c>
      <c r="F305" s="56">
        <f t="shared" ref="F305:F310" si="40">D305*(($F$268)+1)+(IF(E305&lt;101,E305,IF(E305&lt;201,E305/2,IF(E305&lt;=301,E305/3,E305/4))))</f>
        <v>1158.7594004999999</v>
      </c>
      <c r="G305" s="102"/>
      <c r="H305" s="103"/>
      <c r="I305" s="36"/>
      <c r="N305" s="36"/>
    </row>
    <row r="306" spans="1:14" s="57" customFormat="1" ht="15.75" customHeight="1" x14ac:dyDescent="0.25">
      <c r="A306" s="107">
        <f t="shared" si="39"/>
        <v>4</v>
      </c>
      <c r="B306" s="107"/>
      <c r="C306" s="56" t="s">
        <v>199</v>
      </c>
      <c r="D306" s="61">
        <f>(57.56+0.75*(2.9+2.3+2.75+2.9))*(10.764)</f>
        <v>707.16789000000006</v>
      </c>
      <c r="E306" s="56">
        <v>0</v>
      </c>
      <c r="F306" s="56">
        <f t="shared" si="40"/>
        <v>1096.1102295000001</v>
      </c>
      <c r="G306" s="102"/>
      <c r="H306" s="103"/>
      <c r="I306" s="36"/>
      <c r="N306" s="36"/>
    </row>
    <row r="307" spans="1:14" s="57" customFormat="1" ht="15.75" customHeight="1" x14ac:dyDescent="0.25">
      <c r="A307" s="107">
        <f t="shared" si="39"/>
        <v>5</v>
      </c>
      <c r="B307" s="107"/>
      <c r="C307" s="56" t="s">
        <v>198</v>
      </c>
      <c r="D307" s="61">
        <f>(39.95+0.75*(2.9+2.3+2.75))*(10.764)</f>
        <v>494.20214999999996</v>
      </c>
      <c r="E307" s="56">
        <v>0</v>
      </c>
      <c r="F307" s="56">
        <f t="shared" si="40"/>
        <v>766.01333249999993</v>
      </c>
      <c r="G307" s="102"/>
      <c r="H307" s="103"/>
      <c r="I307" s="36"/>
      <c r="N307" s="36"/>
    </row>
    <row r="308" spans="1:14" s="57" customFormat="1" ht="15.75" customHeight="1" x14ac:dyDescent="0.25">
      <c r="A308" s="107">
        <f t="shared" si="39"/>
        <v>6</v>
      </c>
      <c r="B308" s="107"/>
      <c r="C308" s="86" t="s">
        <v>189</v>
      </c>
      <c r="D308" s="87"/>
      <c r="E308" s="87">
        <v>0</v>
      </c>
      <c r="F308" s="88">
        <f t="shared" si="40"/>
        <v>0</v>
      </c>
      <c r="G308" s="102"/>
      <c r="H308" s="103"/>
      <c r="I308" s="36"/>
      <c r="N308" s="36"/>
    </row>
    <row r="309" spans="1:14" s="57" customFormat="1" ht="15.75" customHeight="1" x14ac:dyDescent="0.25">
      <c r="A309" s="107">
        <f t="shared" si="39"/>
        <v>7</v>
      </c>
      <c r="B309" s="107"/>
      <c r="C309" s="56" t="s">
        <v>199</v>
      </c>
      <c r="D309" s="61">
        <f>(57.56+0.75*(2.9+2.3+2.75+2.9))*(10.764)</f>
        <v>707.16789000000006</v>
      </c>
      <c r="E309" s="56">
        <v>0</v>
      </c>
      <c r="F309" s="56">
        <f t="shared" si="40"/>
        <v>1096.1102295000001</v>
      </c>
      <c r="G309" s="102"/>
      <c r="H309" s="103"/>
      <c r="I309" s="36"/>
      <c r="N309" s="36"/>
    </row>
    <row r="310" spans="1:14" s="57" customFormat="1" ht="15.75" customHeight="1" x14ac:dyDescent="0.25">
      <c r="A310" s="107">
        <f t="shared" si="39"/>
        <v>8</v>
      </c>
      <c r="B310" s="107"/>
      <c r="C310" s="56" t="s">
        <v>199</v>
      </c>
      <c r="D310" s="61">
        <f>(60.3+3.19+0.75*(2.3+2.75+2.9))*(10.764)</f>
        <v>747.58670999999993</v>
      </c>
      <c r="E310" s="56">
        <v>0</v>
      </c>
      <c r="F310" s="56">
        <f t="shared" si="40"/>
        <v>1158.7594004999999</v>
      </c>
      <c r="G310" s="104"/>
      <c r="H310" s="105"/>
      <c r="I310" s="36"/>
      <c r="N310" s="36"/>
    </row>
    <row r="311" spans="1:14" s="57" customFormat="1" x14ac:dyDescent="0.25">
      <c r="A311" s="106" t="s">
        <v>252</v>
      </c>
      <c r="B311" s="106"/>
      <c r="C311" s="106"/>
      <c r="D311" s="106"/>
      <c r="E311" s="106"/>
      <c r="F311" s="106"/>
      <c r="G311" s="106"/>
      <c r="H311" s="106"/>
      <c r="I311" s="36"/>
      <c r="L311" s="85"/>
      <c r="M311" s="85"/>
    </row>
    <row r="312" spans="1:14" s="57" customFormat="1" ht="15.75" customHeight="1" x14ac:dyDescent="0.25">
      <c r="A312" s="107">
        <v>1</v>
      </c>
      <c r="B312" s="107"/>
      <c r="C312" s="56" t="s">
        <v>198</v>
      </c>
      <c r="D312" s="61">
        <f>(39.36+0.75*(2.9+2.3+2.75))*(10.764)</f>
        <v>487.85138999999992</v>
      </c>
      <c r="E312" s="56">
        <v>0</v>
      </c>
      <c r="F312" s="56">
        <f t="shared" ref="F312:F313" si="41">D312*(($F$268)+1)+(IF(E312&lt;101,E312,IF(E312&lt;201,E312/2,IF(E312&lt;=301,E312/3,E312/4))))</f>
        <v>756.16965449999987</v>
      </c>
      <c r="G312" s="100" t="str">
        <f>A311</f>
        <v>36th Floor For Residential</v>
      </c>
      <c r="H312" s="101"/>
      <c r="I312" s="36"/>
      <c r="N312" s="36"/>
    </row>
    <row r="313" spans="1:14" s="57" customFormat="1" ht="15.75" customHeight="1" x14ac:dyDescent="0.25">
      <c r="A313" s="107">
        <f t="shared" ref="A313:A319" si="42">A312+1</f>
        <v>2</v>
      </c>
      <c r="B313" s="107"/>
      <c r="C313" s="56" t="s">
        <v>198</v>
      </c>
      <c r="D313" s="61">
        <f>(39.56+0.75*(2.9+2.3+2.75))*(10.764)</f>
        <v>490.00418999999999</v>
      </c>
      <c r="E313" s="56">
        <v>0</v>
      </c>
      <c r="F313" s="56">
        <f t="shared" si="41"/>
        <v>759.50649450000003</v>
      </c>
      <c r="G313" s="102"/>
      <c r="H313" s="103"/>
      <c r="I313" s="36"/>
      <c r="N313" s="36"/>
    </row>
    <row r="314" spans="1:14" s="57" customFormat="1" ht="48" customHeight="1" x14ac:dyDescent="0.25">
      <c r="A314" s="107">
        <f t="shared" si="42"/>
        <v>3</v>
      </c>
      <c r="B314" s="107"/>
      <c r="C314" s="56" t="s">
        <v>206</v>
      </c>
      <c r="D314" s="61">
        <f>(148.12+0.75*(2.75+2.9+2.75+2.9))*(10.764)</f>
        <v>1685.5885799999999</v>
      </c>
      <c r="E314" s="56">
        <v>0</v>
      </c>
      <c r="F314" s="56">
        <f t="shared" ref="F314:F319" si="43">D314*(($F$268)+1)+(IF(E314&lt;101,E314,IF(E314&lt;201,E314/2,IF(E314&lt;=301,E314/3,E314/4))))</f>
        <v>2612.6622990000001</v>
      </c>
      <c r="G314" s="102"/>
      <c r="H314" s="103"/>
      <c r="I314" s="36"/>
      <c r="N314" s="36"/>
    </row>
    <row r="315" spans="1:14" s="57" customFormat="1" ht="15.75" customHeight="1" x14ac:dyDescent="0.25">
      <c r="A315" s="107">
        <f t="shared" si="42"/>
        <v>4</v>
      </c>
      <c r="B315" s="107"/>
      <c r="C315" s="56" t="s">
        <v>199</v>
      </c>
      <c r="D315" s="61">
        <f>(57.56+0.75*(2.9+2.3+2.75+2.9))*(10.764)</f>
        <v>707.16789000000006</v>
      </c>
      <c r="E315" s="56">
        <v>0</v>
      </c>
      <c r="F315" s="56">
        <f t="shared" si="43"/>
        <v>1096.1102295000001</v>
      </c>
      <c r="G315" s="102"/>
      <c r="H315" s="103"/>
      <c r="I315" s="36"/>
      <c r="N315" s="36"/>
    </row>
    <row r="316" spans="1:14" s="57" customFormat="1" ht="15.75" customHeight="1" x14ac:dyDescent="0.25">
      <c r="A316" s="107">
        <f t="shared" si="42"/>
        <v>5</v>
      </c>
      <c r="B316" s="107"/>
      <c r="C316" s="56" t="s">
        <v>198</v>
      </c>
      <c r="D316" s="61">
        <f>(39.95+0.75*(2.9+2.3+2.75))*(10.764)</f>
        <v>494.20214999999996</v>
      </c>
      <c r="E316" s="56">
        <v>0</v>
      </c>
      <c r="F316" s="56">
        <f t="shared" si="43"/>
        <v>766.01333249999993</v>
      </c>
      <c r="G316" s="102"/>
      <c r="H316" s="103"/>
      <c r="I316" s="36"/>
      <c r="N316" s="36"/>
    </row>
    <row r="317" spans="1:14" s="57" customFormat="1" ht="15.75" customHeight="1" x14ac:dyDescent="0.25">
      <c r="A317" s="107">
        <f t="shared" si="42"/>
        <v>6</v>
      </c>
      <c r="B317" s="107"/>
      <c r="C317" s="56" t="s">
        <v>198</v>
      </c>
      <c r="D317" s="61">
        <f>(39.95+0.75*(2.9+2.3+2.75))*(10.764)</f>
        <v>494.20214999999996</v>
      </c>
      <c r="E317" s="56">
        <v>0</v>
      </c>
      <c r="F317" s="56">
        <f t="shared" si="43"/>
        <v>766.01333249999993</v>
      </c>
      <c r="G317" s="102"/>
      <c r="H317" s="103"/>
      <c r="I317" s="36"/>
      <c r="N317" s="36"/>
    </row>
    <row r="318" spans="1:14" s="57" customFormat="1" ht="15.75" customHeight="1" x14ac:dyDescent="0.25">
      <c r="A318" s="107">
        <f t="shared" si="42"/>
        <v>7</v>
      </c>
      <c r="B318" s="107"/>
      <c r="C318" s="56" t="s">
        <v>199</v>
      </c>
      <c r="D318" s="61">
        <f>(57.56+0.75*(2.9+2.3+2.75+2.9))*(10.764)</f>
        <v>707.16789000000006</v>
      </c>
      <c r="E318" s="56">
        <v>0</v>
      </c>
      <c r="F318" s="56">
        <f t="shared" si="43"/>
        <v>1096.1102295000001</v>
      </c>
      <c r="G318" s="102"/>
      <c r="H318" s="103"/>
      <c r="I318" s="36"/>
      <c r="N318" s="36"/>
    </row>
    <row r="319" spans="1:14" s="57" customFormat="1" ht="48" customHeight="1" x14ac:dyDescent="0.25">
      <c r="A319" s="107">
        <f t="shared" si="42"/>
        <v>8</v>
      </c>
      <c r="B319" s="107"/>
      <c r="C319" s="56" t="s">
        <v>206</v>
      </c>
      <c r="D319" s="61">
        <f>(148.12+0.75*(2.75+2.9+2.75+2.9))*(10.764)</f>
        <v>1685.5885799999999</v>
      </c>
      <c r="E319" s="56">
        <v>0</v>
      </c>
      <c r="F319" s="56">
        <f t="shared" si="43"/>
        <v>2612.6622990000001</v>
      </c>
      <c r="G319" s="104"/>
      <c r="H319" s="105"/>
      <c r="I319" s="36"/>
      <c r="N319" s="36"/>
    </row>
    <row r="320" spans="1:14" s="57" customFormat="1" x14ac:dyDescent="0.25">
      <c r="A320" s="106" t="s">
        <v>207</v>
      </c>
      <c r="B320" s="106"/>
      <c r="C320" s="106"/>
      <c r="D320" s="106"/>
      <c r="E320" s="106"/>
      <c r="F320" s="106"/>
      <c r="G320" s="106"/>
      <c r="H320" s="106"/>
      <c r="I320" s="36"/>
      <c r="L320" s="85"/>
      <c r="M320" s="85"/>
    </row>
    <row r="321" spans="1:14" s="57" customFormat="1" x14ac:dyDescent="0.25">
      <c r="A321" s="106" t="s">
        <v>208</v>
      </c>
      <c r="B321" s="106"/>
      <c r="C321" s="106"/>
      <c r="D321" s="106"/>
      <c r="E321" s="106"/>
      <c r="F321" s="106"/>
      <c r="G321" s="106"/>
      <c r="H321" s="106"/>
      <c r="I321" s="36"/>
      <c r="L321" s="85"/>
      <c r="M321" s="85"/>
    </row>
    <row r="322" spans="1:14" s="57" customFormat="1" x14ac:dyDescent="0.25">
      <c r="A322" s="82" t="s">
        <v>202</v>
      </c>
      <c r="B322" s="83"/>
      <c r="C322" s="83"/>
      <c r="D322" s="83"/>
      <c r="E322" s="83"/>
      <c r="F322" s="83"/>
      <c r="G322" s="83"/>
      <c r="H322" s="84"/>
      <c r="J322" s="36"/>
    </row>
    <row r="323" spans="1:14" s="57" customFormat="1" ht="15.75" customHeight="1" x14ac:dyDescent="0.25">
      <c r="A323" s="86">
        <v>1</v>
      </c>
      <c r="B323" s="88"/>
      <c r="C323" s="56" t="s">
        <v>198</v>
      </c>
      <c r="D323" s="61">
        <f>(39.36+0.75*(2.9+2.3+2.75))*(10.764)</f>
        <v>487.85138999999992</v>
      </c>
      <c r="E323" s="56">
        <v>0</v>
      </c>
      <c r="F323" s="56">
        <f t="shared" ref="F323:F330" si="44">D323*(($F$268)+1)+(IF(E323&lt;101,E323,IF(E323&lt;201,E323/2,IF(E323&lt;=301,E323/3,E323/4))))</f>
        <v>756.16965449999987</v>
      </c>
      <c r="G323" s="100" t="str">
        <f>A322</f>
        <v>5th, 6th, 8th to 11th, 13th to 16th For Residential</v>
      </c>
      <c r="H323" s="101"/>
      <c r="I323" s="36">
        <f>2.9*4.4+2.75*2.3+2.1*1.35+3.2*2.75+0.9*1.35+1.75*1.35+2.1*1.2</f>
        <v>36.817500000000003</v>
      </c>
      <c r="L323" s="85"/>
      <c r="M323" s="85"/>
      <c r="N323" s="36"/>
    </row>
    <row r="324" spans="1:14" s="57" customFormat="1" ht="15.75" customHeight="1" x14ac:dyDescent="0.25">
      <c r="A324" s="86">
        <f t="shared" ref="A324:A330" si="45">A323+1</f>
        <v>2</v>
      </c>
      <c r="B324" s="88"/>
      <c r="C324" s="56" t="s">
        <v>198</v>
      </c>
      <c r="D324" s="61">
        <f>(39.56+0.75*(2.9+2.3+2.75))*(10.764)</f>
        <v>490.00418999999999</v>
      </c>
      <c r="E324" s="56">
        <v>0</v>
      </c>
      <c r="F324" s="56">
        <f t="shared" si="44"/>
        <v>759.50649450000003</v>
      </c>
      <c r="G324" s="102"/>
      <c r="H324" s="103"/>
      <c r="I324" s="36"/>
      <c r="L324" s="85"/>
      <c r="M324" s="85"/>
      <c r="N324" s="36"/>
    </row>
    <row r="325" spans="1:14" s="57" customFormat="1" ht="15.75" customHeight="1" x14ac:dyDescent="0.25">
      <c r="A325" s="86">
        <f t="shared" si="45"/>
        <v>3</v>
      </c>
      <c r="B325" s="88"/>
      <c r="C325" s="56" t="s">
        <v>199</v>
      </c>
      <c r="D325" s="61">
        <f>(59.87+0.75*(2.9+2.3+2.75+2.9))*(10.764)</f>
        <v>732.0327299999999</v>
      </c>
      <c r="E325" s="56">
        <v>0</v>
      </c>
      <c r="F325" s="56">
        <f t="shared" si="44"/>
        <v>1134.6507314999999</v>
      </c>
      <c r="G325" s="102"/>
      <c r="H325" s="103"/>
      <c r="I325" s="36"/>
      <c r="J325" s="57">
        <f>37-5</f>
        <v>32</v>
      </c>
      <c r="L325" s="85"/>
      <c r="M325" s="85"/>
      <c r="N325" s="36"/>
    </row>
    <row r="326" spans="1:14" s="57" customFormat="1" ht="15.75" customHeight="1" x14ac:dyDescent="0.25">
      <c r="A326" s="86">
        <f t="shared" si="45"/>
        <v>4</v>
      </c>
      <c r="B326" s="88"/>
      <c r="C326" s="56" t="s">
        <v>199</v>
      </c>
      <c r="D326" s="61">
        <f>(57.56+0.75*(2.9+2.3+2.75+2.9))*(10.764)</f>
        <v>707.16789000000006</v>
      </c>
      <c r="E326" s="56">
        <v>0</v>
      </c>
      <c r="F326" s="56">
        <f t="shared" si="44"/>
        <v>1096.1102295000001</v>
      </c>
      <c r="G326" s="102"/>
      <c r="H326" s="103"/>
      <c r="I326" s="36"/>
      <c r="J326" s="57">
        <f>32*8-6</f>
        <v>250</v>
      </c>
      <c r="L326" s="85"/>
      <c r="M326" s="85"/>
      <c r="N326" s="36"/>
    </row>
    <row r="327" spans="1:14" s="57" customFormat="1" x14ac:dyDescent="0.25">
      <c r="A327" s="86">
        <f t="shared" si="45"/>
        <v>5</v>
      </c>
      <c r="B327" s="88"/>
      <c r="C327" s="56" t="s">
        <v>198</v>
      </c>
      <c r="D327" s="61">
        <f>(39.95+0.75*(2.9+2.3+2.75))*(10.764)</f>
        <v>494.20214999999996</v>
      </c>
      <c r="E327" s="56">
        <v>0</v>
      </c>
      <c r="F327" s="56">
        <f t="shared" si="44"/>
        <v>766.01333249999993</v>
      </c>
      <c r="G327" s="102"/>
      <c r="H327" s="103"/>
      <c r="I327" s="36"/>
      <c r="L327" s="85"/>
      <c r="M327" s="85"/>
      <c r="N327" s="36"/>
    </row>
    <row r="328" spans="1:14" s="57" customFormat="1" x14ac:dyDescent="0.25">
      <c r="A328" s="86">
        <f t="shared" si="45"/>
        <v>6</v>
      </c>
      <c r="B328" s="88"/>
      <c r="C328" s="56" t="s">
        <v>198</v>
      </c>
      <c r="D328" s="61">
        <f>(39.95+0.75*(2.9+2.3+2.75))*(10.764)</f>
        <v>494.20214999999996</v>
      </c>
      <c r="E328" s="56">
        <v>0</v>
      </c>
      <c r="F328" s="56">
        <f t="shared" si="44"/>
        <v>766.01333249999993</v>
      </c>
      <c r="G328" s="102"/>
      <c r="H328" s="103"/>
      <c r="I328" s="36"/>
      <c r="L328" s="85"/>
      <c r="M328" s="85"/>
      <c r="N328" s="36"/>
    </row>
    <row r="329" spans="1:14" s="57" customFormat="1" x14ac:dyDescent="0.25">
      <c r="A329" s="86">
        <f t="shared" si="45"/>
        <v>7</v>
      </c>
      <c r="B329" s="88"/>
      <c r="C329" s="56" t="s">
        <v>199</v>
      </c>
      <c r="D329" s="61">
        <f>(57.56+0.75*(2.9+2.3+2.75+2.9))*(10.764)</f>
        <v>707.16789000000006</v>
      </c>
      <c r="E329" s="56">
        <v>0</v>
      </c>
      <c r="F329" s="56">
        <f t="shared" si="44"/>
        <v>1096.1102295000001</v>
      </c>
      <c r="G329" s="102"/>
      <c r="H329" s="103"/>
      <c r="I329" s="36"/>
      <c r="L329" s="85"/>
      <c r="M329" s="85"/>
      <c r="N329" s="36"/>
    </row>
    <row r="330" spans="1:14" s="57" customFormat="1" x14ac:dyDescent="0.25">
      <c r="A330" s="86">
        <f t="shared" si="45"/>
        <v>8</v>
      </c>
      <c r="B330" s="88"/>
      <c r="C330" s="56" t="s">
        <v>199</v>
      </c>
      <c r="D330" s="61">
        <f>(59.87+0.75*(2.3+2.75+2.9))*(10.764)</f>
        <v>708.62102999999991</v>
      </c>
      <c r="E330" s="56">
        <v>0</v>
      </c>
      <c r="F330" s="56">
        <f t="shared" si="44"/>
        <v>1098.3625964999999</v>
      </c>
      <c r="G330" s="104"/>
      <c r="H330" s="105"/>
      <c r="I330" s="36"/>
      <c r="L330" s="85"/>
      <c r="M330" s="85"/>
      <c r="N330" s="36"/>
    </row>
    <row r="331" spans="1:14" s="57" customFormat="1" x14ac:dyDescent="0.25">
      <c r="A331" s="106" t="s">
        <v>203</v>
      </c>
      <c r="B331" s="106"/>
      <c r="C331" s="106"/>
      <c r="D331" s="106"/>
      <c r="E331" s="106"/>
      <c r="F331" s="106"/>
      <c r="G331" s="106"/>
      <c r="H331" s="106"/>
      <c r="I331" s="36"/>
      <c r="L331" s="85"/>
      <c r="M331" s="85"/>
    </row>
    <row r="332" spans="1:14" s="57" customFormat="1" ht="15.75" customHeight="1" x14ac:dyDescent="0.25">
      <c r="A332" s="107">
        <v>1</v>
      </c>
      <c r="B332" s="107"/>
      <c r="C332" s="73" t="s">
        <v>198</v>
      </c>
      <c r="D332" s="61">
        <f>(39.36+0.75*(2.9+2.3+2.75))*(10.764)</f>
        <v>487.85138999999992</v>
      </c>
      <c r="E332" s="73">
        <v>0</v>
      </c>
      <c r="F332" s="73">
        <f t="shared" ref="F332:F333" si="46">D332*(($F$268)+1)+(IF(E332&lt;101,E332,IF(E332&lt;201,E332/2,IF(E332&lt;=301,E332/3,E332/4))))</f>
        <v>756.16965449999987</v>
      </c>
      <c r="G332" s="107" t="str">
        <f>A331</f>
        <v>7th, 12th, 17th Floor (Part Refuge Area)</v>
      </c>
      <c r="H332" s="107"/>
      <c r="I332" s="36"/>
      <c r="N332" s="36"/>
    </row>
    <row r="333" spans="1:14" s="57" customFormat="1" ht="15.75" customHeight="1" x14ac:dyDescent="0.25">
      <c r="A333" s="107">
        <f t="shared" ref="A333:A339" si="47">A332+1</f>
        <v>2</v>
      </c>
      <c r="B333" s="107"/>
      <c r="C333" s="73" t="s">
        <v>198</v>
      </c>
      <c r="D333" s="61">
        <f>(39.56+0.75*(2.9+2.3+2.75))*(10.764)</f>
        <v>490.00418999999999</v>
      </c>
      <c r="E333" s="73">
        <v>0</v>
      </c>
      <c r="F333" s="73">
        <f t="shared" si="46"/>
        <v>759.50649450000003</v>
      </c>
      <c r="G333" s="107"/>
      <c r="H333" s="107"/>
      <c r="I333" s="36"/>
      <c r="N333" s="36"/>
    </row>
    <row r="334" spans="1:14" s="57" customFormat="1" ht="15.75" customHeight="1" x14ac:dyDescent="0.25">
      <c r="A334" s="107">
        <f t="shared" si="47"/>
        <v>3</v>
      </c>
      <c r="B334" s="107"/>
      <c r="C334" s="73" t="s">
        <v>199</v>
      </c>
      <c r="D334" s="61">
        <f>(59.87+0.75*(2.9+2.3+2.75+2.9))*(10.764)</f>
        <v>732.0327299999999</v>
      </c>
      <c r="E334" s="73">
        <v>0</v>
      </c>
      <c r="F334" s="73">
        <f>D334*(($F$268)+1)+(IF(E334&lt;101,E334,IF(E334&lt;201,E334/2,IF(E334&lt;=301,E334/3,E334/4))))</f>
        <v>1134.6507314999999</v>
      </c>
      <c r="G334" s="107"/>
      <c r="H334" s="107"/>
      <c r="I334" s="36"/>
      <c r="N334" s="36"/>
    </row>
    <row r="335" spans="1:14" s="57" customFormat="1" ht="15.75" customHeight="1" x14ac:dyDescent="0.25">
      <c r="A335" s="107">
        <f t="shared" si="47"/>
        <v>4</v>
      </c>
      <c r="B335" s="107"/>
      <c r="C335" s="73" t="s">
        <v>199</v>
      </c>
      <c r="D335" s="61">
        <f>(57.56+0.75*(2.9+2.3+2.75+2.9))*(10.764)</f>
        <v>707.16789000000006</v>
      </c>
      <c r="E335" s="73">
        <v>0</v>
      </c>
      <c r="F335" s="73">
        <f>D335*(($F$268)+1)+(IF(E335&lt;101,E335,IF(E335&lt;201,E335/2,IF(E335&lt;=301,E335/3,E335/4))))</f>
        <v>1096.1102295000001</v>
      </c>
      <c r="G335" s="107"/>
      <c r="H335" s="107"/>
      <c r="I335" s="36"/>
      <c r="N335" s="36"/>
    </row>
    <row r="336" spans="1:14" s="57" customFormat="1" ht="15.75" customHeight="1" x14ac:dyDescent="0.25">
      <c r="A336" s="107">
        <f t="shared" si="47"/>
        <v>5</v>
      </c>
      <c r="B336" s="107"/>
      <c r="C336" s="107" t="s">
        <v>189</v>
      </c>
      <c r="D336" s="107"/>
      <c r="E336" s="107"/>
      <c r="F336" s="107"/>
      <c r="G336" s="107"/>
      <c r="H336" s="107"/>
      <c r="I336" s="36"/>
      <c r="N336" s="36"/>
    </row>
    <row r="337" spans="1:14" s="57" customFormat="1" ht="15.75" customHeight="1" x14ac:dyDescent="0.25">
      <c r="A337" s="107">
        <f t="shared" si="47"/>
        <v>6</v>
      </c>
      <c r="B337" s="107"/>
      <c r="C337" s="73" t="s">
        <v>198</v>
      </c>
      <c r="D337" s="61">
        <f>(39.95+0.75*(2.9+2.3+2.75))*(10.764)</f>
        <v>494.20214999999996</v>
      </c>
      <c r="E337" s="73">
        <v>0</v>
      </c>
      <c r="F337" s="73">
        <f t="shared" ref="F337:F339" si="48">D337*(($F$268)+1)+(IF(E337&lt;101,E337,IF(E337&lt;201,E337/2,IF(E337&lt;=301,E337/3,E337/4))))</f>
        <v>766.01333249999993</v>
      </c>
      <c r="G337" s="107"/>
      <c r="H337" s="107"/>
      <c r="I337" s="36"/>
      <c r="N337" s="36"/>
    </row>
    <row r="338" spans="1:14" s="57" customFormat="1" ht="15.75" customHeight="1" x14ac:dyDescent="0.25">
      <c r="A338" s="107">
        <f t="shared" si="47"/>
        <v>7</v>
      </c>
      <c r="B338" s="107"/>
      <c r="C338" s="73" t="s">
        <v>199</v>
      </c>
      <c r="D338" s="61">
        <f>(57.56+0.75*(2.9+2.3+2.75+2.9))*(10.764)</f>
        <v>707.16789000000006</v>
      </c>
      <c r="E338" s="73">
        <v>0</v>
      </c>
      <c r="F338" s="73">
        <f t="shared" si="48"/>
        <v>1096.1102295000001</v>
      </c>
      <c r="G338" s="107"/>
      <c r="H338" s="107"/>
      <c r="I338" s="36"/>
      <c r="N338" s="36"/>
    </row>
    <row r="339" spans="1:14" s="57" customFormat="1" ht="15.75" customHeight="1" x14ac:dyDescent="0.25">
      <c r="A339" s="107">
        <f t="shared" si="47"/>
        <v>8</v>
      </c>
      <c r="B339" s="107"/>
      <c r="C339" s="73" t="s">
        <v>199</v>
      </c>
      <c r="D339" s="61">
        <f>(60.3+0.75*(2.9+2.3+2.75+2.9))*(10.764)</f>
        <v>736.66125</v>
      </c>
      <c r="E339" s="73">
        <v>0</v>
      </c>
      <c r="F339" s="73">
        <f t="shared" si="48"/>
        <v>1141.8249375</v>
      </c>
      <c r="G339" s="107"/>
      <c r="H339" s="107"/>
      <c r="I339" s="36"/>
      <c r="N339" s="36"/>
    </row>
    <row r="340" spans="1:14" s="57" customFormat="1" ht="15.75" customHeight="1" x14ac:dyDescent="0.25">
      <c r="A340" s="82" t="s">
        <v>205</v>
      </c>
      <c r="B340" s="83"/>
      <c r="C340" s="83"/>
      <c r="D340" s="83"/>
      <c r="E340" s="83"/>
      <c r="F340" s="83"/>
      <c r="G340" s="83"/>
      <c r="H340" s="84"/>
      <c r="I340" s="36"/>
      <c r="L340" s="85"/>
      <c r="M340" s="85"/>
    </row>
    <row r="341" spans="1:14" s="57" customFormat="1" ht="15.75" customHeight="1" x14ac:dyDescent="0.25">
      <c r="A341" s="86">
        <v>1</v>
      </c>
      <c r="B341" s="88"/>
      <c r="C341" s="56" t="s">
        <v>198</v>
      </c>
      <c r="D341" s="61">
        <f>(39.36+0.75*(2.9+2.3+2.75))*(10.764)</f>
        <v>487.85138999999992</v>
      </c>
      <c r="E341" s="56">
        <v>0</v>
      </c>
      <c r="F341" s="56">
        <f t="shared" ref="F341:F342" si="49">D341*(($F$268)+1)+(IF(E341&lt;101,E341,IF(E341&lt;201,E341/2,IF(E341&lt;=301,E341/3,E341/4))))</f>
        <v>756.16965449999987</v>
      </c>
      <c r="G341" s="100" t="str">
        <f>A340</f>
        <v>18th to 21st, 23rd to 26th, 28th to 31st, 33th to 35th Floor</v>
      </c>
      <c r="H341" s="101"/>
      <c r="I341" s="36"/>
      <c r="N341" s="36"/>
    </row>
    <row r="342" spans="1:14" s="57" customFormat="1" ht="15.75" customHeight="1" x14ac:dyDescent="0.25">
      <c r="A342" s="86">
        <f t="shared" ref="A342:A348" si="50">A341+1</f>
        <v>2</v>
      </c>
      <c r="B342" s="88"/>
      <c r="C342" s="56" t="s">
        <v>198</v>
      </c>
      <c r="D342" s="61">
        <f>(39.56+0.75*(2.9+2.3+2.75))*(10.764)</f>
        <v>490.00418999999999</v>
      </c>
      <c r="E342" s="56">
        <v>0</v>
      </c>
      <c r="F342" s="56">
        <f t="shared" si="49"/>
        <v>759.50649450000003</v>
      </c>
      <c r="G342" s="102"/>
      <c r="H342" s="103"/>
      <c r="I342" s="36"/>
      <c r="N342" s="36"/>
    </row>
    <row r="343" spans="1:14" s="57" customFormat="1" ht="15.75" customHeight="1" x14ac:dyDescent="0.25">
      <c r="A343" s="86">
        <f t="shared" si="50"/>
        <v>3</v>
      </c>
      <c r="B343" s="88"/>
      <c r="C343" s="56" t="s">
        <v>199</v>
      </c>
      <c r="D343" s="61">
        <f>(60.3+3.19+0.75*(2.3+2.75+2.9))*(10.764)</f>
        <v>747.58670999999993</v>
      </c>
      <c r="E343" s="56">
        <v>0</v>
      </c>
      <c r="F343" s="56">
        <f t="shared" ref="F343:F348" si="51">D343*(($F$268)+1)+(IF(E343&lt;101,E343,IF(E343&lt;201,E343/2,IF(E343&lt;=301,E343/3,E343/4))))</f>
        <v>1158.7594004999999</v>
      </c>
      <c r="G343" s="102"/>
      <c r="H343" s="103"/>
      <c r="I343" s="36"/>
      <c r="N343" s="36"/>
    </row>
    <row r="344" spans="1:14" s="57" customFormat="1" ht="15.75" customHeight="1" x14ac:dyDescent="0.25">
      <c r="A344" s="86">
        <f t="shared" si="50"/>
        <v>4</v>
      </c>
      <c r="B344" s="88"/>
      <c r="C344" s="56" t="s">
        <v>199</v>
      </c>
      <c r="D344" s="61">
        <f>(57.56+0.75*(2.9+2.3+2.75+2.9))*(10.764)</f>
        <v>707.16789000000006</v>
      </c>
      <c r="E344" s="56">
        <v>0</v>
      </c>
      <c r="F344" s="56">
        <f t="shared" si="51"/>
        <v>1096.1102295000001</v>
      </c>
      <c r="G344" s="102"/>
      <c r="H344" s="103"/>
      <c r="I344" s="36"/>
      <c r="N344" s="36"/>
    </row>
    <row r="345" spans="1:14" s="57" customFormat="1" ht="15.75" customHeight="1" x14ac:dyDescent="0.25">
      <c r="A345" s="86">
        <f t="shared" si="50"/>
        <v>5</v>
      </c>
      <c r="B345" s="88"/>
      <c r="C345" s="56" t="s">
        <v>198</v>
      </c>
      <c r="D345" s="61">
        <f>(39.95+0.75*(2.9+2.3+2.75))*(10.764)</f>
        <v>494.20214999999996</v>
      </c>
      <c r="E345" s="56">
        <v>0</v>
      </c>
      <c r="F345" s="56">
        <f t="shared" si="51"/>
        <v>766.01333249999993</v>
      </c>
      <c r="G345" s="102"/>
      <c r="H345" s="103"/>
      <c r="I345" s="36"/>
      <c r="N345" s="36"/>
    </row>
    <row r="346" spans="1:14" s="57" customFormat="1" ht="15.75" customHeight="1" x14ac:dyDescent="0.25">
      <c r="A346" s="86">
        <f t="shared" si="50"/>
        <v>6</v>
      </c>
      <c r="B346" s="88"/>
      <c r="C346" s="56" t="s">
        <v>198</v>
      </c>
      <c r="D346" s="61">
        <f>(39.95+0.75*(2.9+2.3+2.75))*(10.764)</f>
        <v>494.20214999999996</v>
      </c>
      <c r="E346" s="56">
        <v>0</v>
      </c>
      <c r="F346" s="56">
        <f t="shared" si="51"/>
        <v>766.01333249999993</v>
      </c>
      <c r="G346" s="102"/>
      <c r="H346" s="103"/>
      <c r="I346" s="36"/>
      <c r="N346" s="36"/>
    </row>
    <row r="347" spans="1:14" s="57" customFormat="1" ht="15.75" customHeight="1" x14ac:dyDescent="0.25">
      <c r="A347" s="86">
        <f t="shared" si="50"/>
        <v>7</v>
      </c>
      <c r="B347" s="88"/>
      <c r="C347" s="56" t="s">
        <v>199</v>
      </c>
      <c r="D347" s="61">
        <f>(57.56+0.75*(2.9+2.3+2.75+2.9))*(10.764)</f>
        <v>707.16789000000006</v>
      </c>
      <c r="E347" s="56">
        <v>0</v>
      </c>
      <c r="F347" s="56">
        <f t="shared" si="51"/>
        <v>1096.1102295000001</v>
      </c>
      <c r="G347" s="102"/>
      <c r="H347" s="103"/>
      <c r="I347" s="36"/>
      <c r="N347" s="36"/>
    </row>
    <row r="348" spans="1:14" s="57" customFormat="1" ht="15.75" customHeight="1" x14ac:dyDescent="0.25">
      <c r="A348" s="86">
        <f t="shared" si="50"/>
        <v>8</v>
      </c>
      <c r="B348" s="88"/>
      <c r="C348" s="56" t="s">
        <v>199</v>
      </c>
      <c r="D348" s="61">
        <f>(60.3+3.19+0.75*(2.3+2.75+2.9))*(10.764)</f>
        <v>747.58670999999993</v>
      </c>
      <c r="E348" s="56">
        <v>0</v>
      </c>
      <c r="F348" s="56">
        <f t="shared" si="51"/>
        <v>1158.7594004999999</v>
      </c>
      <c r="G348" s="104"/>
      <c r="H348" s="105"/>
      <c r="I348" s="36"/>
      <c r="N348" s="36"/>
    </row>
    <row r="349" spans="1:14" s="57" customFormat="1" ht="15.75" customHeight="1" x14ac:dyDescent="0.25">
      <c r="A349" s="82" t="s">
        <v>204</v>
      </c>
      <c r="B349" s="83"/>
      <c r="C349" s="83"/>
      <c r="D349" s="83"/>
      <c r="E349" s="83"/>
      <c r="F349" s="83"/>
      <c r="G349" s="83"/>
      <c r="H349" s="84"/>
      <c r="I349" s="36"/>
      <c r="L349" s="85"/>
      <c r="M349" s="85"/>
    </row>
    <row r="350" spans="1:14" s="57" customFormat="1" ht="15.75" customHeight="1" x14ac:dyDescent="0.25">
      <c r="A350" s="86">
        <v>1</v>
      </c>
      <c r="B350" s="88"/>
      <c r="C350" s="56" t="s">
        <v>198</v>
      </c>
      <c r="D350" s="61">
        <f>(39.36+0.75*(2.9+2.3+2.75))*(10.764)</f>
        <v>487.85138999999992</v>
      </c>
      <c r="E350" s="56">
        <v>0</v>
      </c>
      <c r="F350" s="56">
        <f t="shared" ref="F350:F351" si="52">D350*(($F$268)+1)+(IF(E350&lt;101,E350,IF(E350&lt;201,E350/2,IF(E350&lt;=301,E350/3,E350/4))))</f>
        <v>756.16965449999987</v>
      </c>
      <c r="G350" s="100" t="str">
        <f>A349</f>
        <v>22nd, 27th, 32nd Floor (Part Refuge Area)</v>
      </c>
      <c r="H350" s="101"/>
      <c r="I350" s="36"/>
      <c r="N350" s="36"/>
    </row>
    <row r="351" spans="1:14" s="57" customFormat="1" ht="15.75" customHeight="1" x14ac:dyDescent="0.25">
      <c r="A351" s="86">
        <f t="shared" ref="A351:A357" si="53">A350+1</f>
        <v>2</v>
      </c>
      <c r="B351" s="88"/>
      <c r="C351" s="56" t="s">
        <v>198</v>
      </c>
      <c r="D351" s="61">
        <f>(39.56+0.75*(2.9+2.3+2.75))*(10.764)</f>
        <v>490.00418999999999</v>
      </c>
      <c r="E351" s="56">
        <v>0</v>
      </c>
      <c r="F351" s="56">
        <f t="shared" si="52"/>
        <v>759.50649450000003</v>
      </c>
      <c r="G351" s="102"/>
      <c r="H351" s="103"/>
      <c r="I351" s="36"/>
      <c r="N351" s="36"/>
    </row>
    <row r="352" spans="1:14" s="57" customFormat="1" ht="15.75" customHeight="1" x14ac:dyDescent="0.25">
      <c r="A352" s="86">
        <f t="shared" si="53"/>
        <v>3</v>
      </c>
      <c r="B352" s="88"/>
      <c r="C352" s="56" t="s">
        <v>199</v>
      </c>
      <c r="D352" s="61">
        <f>(60.3+3.19+0.75*(2.3+2.75+2.9))*(10.764)</f>
        <v>747.58670999999993</v>
      </c>
      <c r="E352" s="56">
        <v>0</v>
      </c>
      <c r="F352" s="56">
        <f>D352*(($F$268)+1)+(IF(E352&lt;101,E352,IF(E352&lt;201,E352/2,IF(E352&lt;=301,E352/3,E352/4))))</f>
        <v>1158.7594004999999</v>
      </c>
      <c r="G352" s="102"/>
      <c r="H352" s="103"/>
      <c r="I352" s="36"/>
      <c r="N352" s="36"/>
    </row>
    <row r="353" spans="1:14" s="57" customFormat="1" ht="15.75" customHeight="1" x14ac:dyDescent="0.25">
      <c r="A353" s="86">
        <f t="shared" si="53"/>
        <v>4</v>
      </c>
      <c r="B353" s="88"/>
      <c r="C353" s="56" t="s">
        <v>199</v>
      </c>
      <c r="D353" s="61">
        <f>(57.56+0.75*(2.9+2.3+2.75+2.9))*(10.764)</f>
        <v>707.16789000000006</v>
      </c>
      <c r="E353" s="56">
        <v>0</v>
      </c>
      <c r="F353" s="56">
        <f>D353*(($F$268)+1)+(IF(E353&lt;101,E353,IF(E353&lt;201,E353/2,IF(E353&lt;=301,E353/3,E353/4))))</f>
        <v>1096.1102295000001</v>
      </c>
      <c r="G353" s="102"/>
      <c r="H353" s="103"/>
      <c r="I353" s="36"/>
      <c r="N353" s="36"/>
    </row>
    <row r="354" spans="1:14" s="57" customFormat="1" ht="15.75" customHeight="1" x14ac:dyDescent="0.25">
      <c r="A354" s="86">
        <f t="shared" si="53"/>
        <v>5</v>
      </c>
      <c r="B354" s="88"/>
      <c r="C354" s="86" t="s">
        <v>189</v>
      </c>
      <c r="D354" s="87"/>
      <c r="E354" s="87"/>
      <c r="F354" s="88"/>
      <c r="G354" s="102"/>
      <c r="H354" s="103"/>
      <c r="I354" s="36"/>
      <c r="N354" s="36"/>
    </row>
    <row r="355" spans="1:14" s="57" customFormat="1" ht="15.75" customHeight="1" x14ac:dyDescent="0.25">
      <c r="A355" s="86">
        <f t="shared" si="53"/>
        <v>6</v>
      </c>
      <c r="B355" s="88"/>
      <c r="C355" s="56" t="s">
        <v>198</v>
      </c>
      <c r="D355" s="61">
        <f>(39.95+0.75*(2.9+2.3+2.75))*(10.764)</f>
        <v>494.20214999999996</v>
      </c>
      <c r="E355" s="56">
        <v>0</v>
      </c>
      <c r="F355" s="56">
        <f>D355*(($F$268)+1)+(IF(E355&lt;101,E355,IF(E355&lt;201,E355/2,IF(E355&lt;=301,E355/3,E355/4))))</f>
        <v>766.01333249999993</v>
      </c>
      <c r="G355" s="102"/>
      <c r="H355" s="103"/>
      <c r="I355" s="36"/>
      <c r="N355" s="36"/>
    </row>
    <row r="356" spans="1:14" s="57" customFormat="1" ht="15.75" customHeight="1" x14ac:dyDescent="0.25">
      <c r="A356" s="86">
        <f t="shared" si="53"/>
        <v>7</v>
      </c>
      <c r="B356" s="88"/>
      <c r="C356" s="56" t="s">
        <v>199</v>
      </c>
      <c r="D356" s="61">
        <f>(57.56+0.75*(2.9+2.3+2.75+2.9))*(10.764)</f>
        <v>707.16789000000006</v>
      </c>
      <c r="E356" s="56">
        <v>0</v>
      </c>
      <c r="F356" s="56">
        <f>D356*(($F$268)+1)+(IF(E356&lt;101,E356,IF(E356&lt;201,E356/2,IF(E356&lt;=301,E356/3,E356/4))))</f>
        <v>1096.1102295000001</v>
      </c>
      <c r="G356" s="102"/>
      <c r="H356" s="103"/>
      <c r="I356" s="36"/>
      <c r="N356" s="36"/>
    </row>
    <row r="357" spans="1:14" s="57" customFormat="1" ht="15.75" customHeight="1" x14ac:dyDescent="0.25">
      <c r="A357" s="86">
        <f t="shared" si="53"/>
        <v>8</v>
      </c>
      <c r="B357" s="88"/>
      <c r="C357" s="56" t="s">
        <v>199</v>
      </c>
      <c r="D357" s="61">
        <f>(60.3+3.19+0.75*(2.3+2.75+2.9))*(10.764)</f>
        <v>747.58670999999993</v>
      </c>
      <c r="E357" s="56">
        <v>0</v>
      </c>
      <c r="F357" s="56">
        <f>D357*(($F$268)+1)+(IF(E357&lt;101,E357,IF(E357&lt;201,E357/2,IF(E357&lt;=301,E357/3,E357/4))))</f>
        <v>1158.7594004999999</v>
      </c>
      <c r="G357" s="104"/>
      <c r="H357" s="105"/>
      <c r="I357" s="36"/>
      <c r="N357" s="36"/>
    </row>
    <row r="358" spans="1:14" s="57" customFormat="1" ht="15.75" customHeight="1" x14ac:dyDescent="0.25">
      <c r="A358" s="82" t="s">
        <v>252</v>
      </c>
      <c r="B358" s="83"/>
      <c r="C358" s="83"/>
      <c r="D358" s="83"/>
      <c r="E358" s="83"/>
      <c r="F358" s="83"/>
      <c r="G358" s="83"/>
      <c r="H358" s="84"/>
      <c r="I358" s="36"/>
      <c r="L358" s="85"/>
      <c r="M358" s="85"/>
    </row>
    <row r="359" spans="1:14" s="57" customFormat="1" ht="15.75" customHeight="1" x14ac:dyDescent="0.25">
      <c r="A359" s="86">
        <v>1</v>
      </c>
      <c r="B359" s="88"/>
      <c r="C359" s="56" t="s">
        <v>198</v>
      </c>
      <c r="D359" s="61">
        <f>(39.36+0.75*(2.9+2.3+2.75))*(10.764)</f>
        <v>487.85138999999992</v>
      </c>
      <c r="E359" s="56">
        <v>0</v>
      </c>
      <c r="F359" s="56">
        <f t="shared" ref="F359:F360" si="54">D359*(($F$268)+1)+(IF(E359&lt;101,E359,IF(E359&lt;201,E359/2,IF(E359&lt;=301,E359/3,E359/4))))</f>
        <v>756.16965449999987</v>
      </c>
      <c r="G359" s="100" t="str">
        <f>A358</f>
        <v>36th Floor For Residential</v>
      </c>
      <c r="H359" s="101"/>
      <c r="I359" s="36"/>
      <c r="N359" s="36"/>
    </row>
    <row r="360" spans="1:14" s="57" customFormat="1" ht="15.75" customHeight="1" x14ac:dyDescent="0.25">
      <c r="A360" s="86">
        <f t="shared" ref="A360:A366" si="55">A359+1</f>
        <v>2</v>
      </c>
      <c r="B360" s="88"/>
      <c r="C360" s="56" t="s">
        <v>198</v>
      </c>
      <c r="D360" s="61">
        <f>(39.56+0.75*(2.9+2.3+2.75))*(10.764)</f>
        <v>490.00418999999999</v>
      </c>
      <c r="E360" s="56">
        <v>0</v>
      </c>
      <c r="F360" s="56">
        <f t="shared" si="54"/>
        <v>759.50649450000003</v>
      </c>
      <c r="G360" s="102"/>
      <c r="H360" s="103"/>
      <c r="I360" s="36"/>
      <c r="N360" s="36"/>
    </row>
    <row r="361" spans="1:14" s="57" customFormat="1" ht="48" customHeight="1" x14ac:dyDescent="0.25">
      <c r="A361" s="86">
        <f t="shared" si="55"/>
        <v>3</v>
      </c>
      <c r="B361" s="88"/>
      <c r="C361" s="56" t="s">
        <v>206</v>
      </c>
      <c r="D361" s="61">
        <f>(148.96+0.75*(2.75+2.9+2.75+2.9))*(10.764)</f>
        <v>1694.6303399999999</v>
      </c>
      <c r="E361" s="56">
        <v>0</v>
      </c>
      <c r="F361" s="56">
        <f t="shared" ref="F361:F366" si="56">D361*(($F$268)+1)+(IF(E361&lt;101,E361,IF(E361&lt;201,E361/2,IF(E361&lt;=301,E361/3,E361/4))))</f>
        <v>2626.6770270000002</v>
      </c>
      <c r="G361" s="102"/>
      <c r="H361" s="103"/>
      <c r="I361" s="36"/>
      <c r="N361" s="36"/>
    </row>
    <row r="362" spans="1:14" s="57" customFormat="1" ht="15.75" customHeight="1" x14ac:dyDescent="0.25">
      <c r="A362" s="86">
        <f t="shared" si="55"/>
        <v>4</v>
      </c>
      <c r="B362" s="88"/>
      <c r="C362" s="56" t="s">
        <v>199</v>
      </c>
      <c r="D362" s="61">
        <f>(57.56+0.75*(2.9+2.3+2.75+2.9))*(10.764)</f>
        <v>707.16789000000006</v>
      </c>
      <c r="E362" s="56">
        <v>0</v>
      </c>
      <c r="F362" s="56">
        <f t="shared" si="56"/>
        <v>1096.1102295000001</v>
      </c>
      <c r="G362" s="102"/>
      <c r="H362" s="103"/>
      <c r="I362" s="36"/>
      <c r="N362" s="36"/>
    </row>
    <row r="363" spans="1:14" s="57" customFormat="1" ht="15.75" customHeight="1" x14ac:dyDescent="0.25">
      <c r="A363" s="86">
        <f t="shared" si="55"/>
        <v>5</v>
      </c>
      <c r="B363" s="88"/>
      <c r="C363" s="56" t="s">
        <v>198</v>
      </c>
      <c r="D363" s="61">
        <f>(39.95+0.75*(2.9+2.3+2.75))*(10.764)</f>
        <v>494.20214999999996</v>
      </c>
      <c r="E363" s="56">
        <v>0</v>
      </c>
      <c r="F363" s="56">
        <f t="shared" si="56"/>
        <v>766.01333249999993</v>
      </c>
      <c r="G363" s="102"/>
      <c r="H363" s="103"/>
      <c r="I363" s="36"/>
      <c r="N363" s="36"/>
    </row>
    <row r="364" spans="1:14" s="57" customFormat="1" ht="15.75" customHeight="1" x14ac:dyDescent="0.25">
      <c r="A364" s="86">
        <f t="shared" si="55"/>
        <v>6</v>
      </c>
      <c r="B364" s="88"/>
      <c r="C364" s="56" t="s">
        <v>198</v>
      </c>
      <c r="D364" s="61">
        <f>(39.95+0.75*(2.9+2.3+2.75))*(10.764)</f>
        <v>494.20214999999996</v>
      </c>
      <c r="E364" s="56">
        <v>0</v>
      </c>
      <c r="F364" s="56">
        <f t="shared" si="56"/>
        <v>766.01333249999993</v>
      </c>
      <c r="G364" s="102"/>
      <c r="H364" s="103"/>
      <c r="I364" s="36"/>
      <c r="N364" s="36"/>
    </row>
    <row r="365" spans="1:14" s="57" customFormat="1" ht="15.75" customHeight="1" x14ac:dyDescent="0.25">
      <c r="A365" s="86">
        <f t="shared" si="55"/>
        <v>7</v>
      </c>
      <c r="B365" s="88"/>
      <c r="C365" s="56" t="s">
        <v>199</v>
      </c>
      <c r="D365" s="61">
        <f>(57.56+0.75*(2.9+2.3+2.75+2.9))*(10.764)</f>
        <v>707.16789000000006</v>
      </c>
      <c r="E365" s="56">
        <v>0</v>
      </c>
      <c r="F365" s="56">
        <f t="shared" si="56"/>
        <v>1096.1102295000001</v>
      </c>
      <c r="G365" s="102"/>
      <c r="H365" s="103"/>
      <c r="I365" s="36"/>
      <c r="N365" s="36"/>
    </row>
    <row r="366" spans="1:14" s="57" customFormat="1" ht="48" customHeight="1" x14ac:dyDescent="0.25">
      <c r="A366" s="86">
        <f t="shared" si="55"/>
        <v>8</v>
      </c>
      <c r="B366" s="88"/>
      <c r="C366" s="56" t="s">
        <v>206</v>
      </c>
      <c r="D366" s="61">
        <f>(148.96+0.75*(2.75+2.9+2.75+2.9))*(10.764)</f>
        <v>1694.6303399999999</v>
      </c>
      <c r="E366" s="56">
        <v>0</v>
      </c>
      <c r="F366" s="56">
        <f t="shared" si="56"/>
        <v>2626.6770270000002</v>
      </c>
      <c r="G366" s="104"/>
      <c r="H366" s="105"/>
      <c r="I366" s="36"/>
      <c r="N366" s="36"/>
    </row>
    <row r="367" spans="1:14" s="57" customFormat="1" ht="15.75" customHeight="1" x14ac:dyDescent="0.25">
      <c r="A367" s="82" t="s">
        <v>207</v>
      </c>
      <c r="B367" s="83"/>
      <c r="C367" s="83"/>
      <c r="D367" s="83"/>
      <c r="E367" s="83"/>
      <c r="F367" s="83"/>
      <c r="G367" s="83"/>
      <c r="H367" s="84"/>
      <c r="I367" s="36"/>
      <c r="L367" s="85"/>
      <c r="M367" s="85"/>
    </row>
    <row r="368" spans="1:14" s="35" customFormat="1" x14ac:dyDescent="0.25">
      <c r="A368" s="142" t="s">
        <v>69</v>
      </c>
      <c r="B368" s="142"/>
      <c r="C368" s="142"/>
      <c r="D368" s="142"/>
      <c r="E368" s="142"/>
      <c r="F368" s="142"/>
      <c r="G368" s="142"/>
      <c r="H368" s="142"/>
    </row>
    <row r="369" spans="1:8" s="35" customFormat="1" ht="63.75" customHeight="1" x14ac:dyDescent="0.25">
      <c r="A369" s="47" t="s">
        <v>157</v>
      </c>
      <c r="B369" s="79" t="s">
        <v>273</v>
      </c>
      <c r="C369" s="80"/>
      <c r="D369" s="80"/>
      <c r="E369" s="80"/>
      <c r="F369" s="80"/>
      <c r="G369" s="80"/>
      <c r="H369" s="81"/>
    </row>
    <row r="370" spans="1:8" s="35" customFormat="1" x14ac:dyDescent="0.25">
      <c r="A370" s="47" t="s">
        <v>157</v>
      </c>
      <c r="B370" s="79" t="str">
        <f>(IF(F267="Saleable area Loading :","We have considered Saleable area of Flats as per our Calculation.","We considered Saleable area of Flat as per Builder area Sheet."))</f>
        <v>We have considered Saleable area of Flats as per our Calculation.</v>
      </c>
      <c r="C370" s="80"/>
      <c r="D370" s="80"/>
      <c r="E370" s="80"/>
      <c r="F370" s="80"/>
      <c r="G370" s="80"/>
      <c r="H370" s="81"/>
    </row>
    <row r="371" spans="1:8" s="35" customFormat="1" x14ac:dyDescent="0.25">
      <c r="A371" s="47" t="s">
        <v>157</v>
      </c>
      <c r="B371" s="79" t="str">
        <f>(IF(F157="Saleable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71" s="80"/>
      <c r="D371" s="80"/>
      <c r="E371" s="80"/>
      <c r="F371" s="80"/>
      <c r="G371" s="80"/>
      <c r="H371" s="81"/>
    </row>
    <row r="372" spans="1:8" s="35" customFormat="1" x14ac:dyDescent="0.25">
      <c r="A372" s="58" t="s">
        <v>157</v>
      </c>
      <c r="B372" s="108" t="s">
        <v>127</v>
      </c>
      <c r="C372" s="108"/>
      <c r="D372" s="108"/>
      <c r="E372" s="108"/>
      <c r="F372" s="108"/>
      <c r="G372" s="108"/>
      <c r="H372" s="108"/>
    </row>
    <row r="373" spans="1:8" s="35" customFormat="1" x14ac:dyDescent="0.25">
      <c r="A373" s="58" t="s">
        <v>157</v>
      </c>
      <c r="B373" s="108" t="s">
        <v>209</v>
      </c>
      <c r="C373" s="108"/>
      <c r="D373" s="108"/>
      <c r="E373" s="108"/>
      <c r="F373" s="108"/>
      <c r="G373" s="108"/>
      <c r="H373" s="108"/>
    </row>
    <row r="374" spans="1:8" s="35" customFormat="1" x14ac:dyDescent="0.25">
      <c r="A374" s="58" t="s">
        <v>157</v>
      </c>
      <c r="B374" s="108" t="s">
        <v>156</v>
      </c>
      <c r="C374" s="108"/>
      <c r="D374" s="108"/>
      <c r="E374" s="108"/>
      <c r="F374" s="108"/>
      <c r="G374" s="108"/>
      <c r="H374" s="108"/>
    </row>
    <row r="375" spans="1:8" s="35" customFormat="1" x14ac:dyDescent="0.25">
      <c r="A375" s="58" t="s">
        <v>157</v>
      </c>
      <c r="B375" s="108" t="s">
        <v>128</v>
      </c>
      <c r="C375" s="108"/>
      <c r="D375" s="108"/>
      <c r="E375" s="108"/>
      <c r="F375" s="108"/>
      <c r="G375" s="108"/>
      <c r="H375" s="108"/>
    </row>
    <row r="376" spans="1:8" s="35" customFormat="1" ht="34.5" customHeight="1" x14ac:dyDescent="0.25">
      <c r="A376" s="58" t="s">
        <v>157</v>
      </c>
      <c r="B376" s="108" t="s">
        <v>158</v>
      </c>
      <c r="C376" s="108"/>
      <c r="D376" s="108"/>
      <c r="E376" s="108"/>
      <c r="F376" s="108"/>
      <c r="G376" s="108"/>
      <c r="H376" s="108"/>
    </row>
    <row r="377" spans="1:8" s="35" customFormat="1" x14ac:dyDescent="0.25">
      <c r="A377" s="47" t="s">
        <v>157</v>
      </c>
      <c r="B377" s="190" t="s">
        <v>129</v>
      </c>
      <c r="C377" s="191"/>
      <c r="D377" s="191"/>
      <c r="E377" s="191"/>
      <c r="F377" s="191"/>
      <c r="G377" s="191"/>
      <c r="H377" s="192"/>
    </row>
    <row r="378" spans="1:8" s="35" customFormat="1" x14ac:dyDescent="0.25">
      <c r="A378" s="58" t="s">
        <v>157</v>
      </c>
      <c r="B378" s="79" t="s">
        <v>184</v>
      </c>
      <c r="C378" s="80"/>
      <c r="D378" s="80"/>
      <c r="E378" s="80"/>
      <c r="F378" s="80"/>
      <c r="G378" s="80"/>
      <c r="H378" s="81"/>
    </row>
    <row r="379" spans="1:8" s="35" customFormat="1" x14ac:dyDescent="0.25">
      <c r="A379" s="58" t="s">
        <v>157</v>
      </c>
      <c r="B379" s="79" t="s">
        <v>258</v>
      </c>
      <c r="C379" s="80"/>
      <c r="D379" s="80"/>
      <c r="E379" s="80"/>
      <c r="F379" s="80"/>
      <c r="G379" s="80"/>
      <c r="H379" s="81"/>
    </row>
    <row r="380" spans="1:8" x14ac:dyDescent="0.25">
      <c r="A380" s="188" t="s">
        <v>62</v>
      </c>
      <c r="B380" s="188"/>
      <c r="C380" s="188"/>
      <c r="D380" s="188"/>
      <c r="E380" s="188"/>
      <c r="F380" s="188"/>
      <c r="G380" s="188"/>
      <c r="H380" s="188"/>
    </row>
    <row r="381" spans="1:8" x14ac:dyDescent="0.25">
      <c r="A381" s="109" t="s">
        <v>63</v>
      </c>
      <c r="B381" s="109"/>
      <c r="C381" s="109"/>
      <c r="D381" s="109"/>
      <c r="E381" s="109"/>
      <c r="F381" s="109"/>
      <c r="G381" s="109"/>
      <c r="H381" s="109"/>
    </row>
    <row r="382" spans="1:8" ht="15.75" customHeight="1" x14ac:dyDescent="0.25">
      <c r="A382" s="223" t="s">
        <v>64</v>
      </c>
      <c r="B382" s="223"/>
      <c r="C382" s="223"/>
      <c r="D382" s="223"/>
      <c r="E382" s="223"/>
      <c r="F382" s="223"/>
      <c r="G382" s="223"/>
      <c r="H382" s="223"/>
    </row>
    <row r="383" spans="1:8" x14ac:dyDescent="0.25">
      <c r="A383" s="109" t="s">
        <v>65</v>
      </c>
      <c r="B383" s="109"/>
      <c r="C383" s="109"/>
      <c r="D383" s="109"/>
      <c r="E383" s="109"/>
      <c r="F383" s="109"/>
      <c r="G383" s="109"/>
      <c r="H383" s="109"/>
    </row>
    <row r="384" spans="1:8" x14ac:dyDescent="0.25">
      <c r="A384" s="109" t="s">
        <v>66</v>
      </c>
      <c r="B384" s="109"/>
      <c r="C384" s="109"/>
      <c r="D384" s="109"/>
      <c r="E384" s="109"/>
      <c r="F384" s="109"/>
      <c r="G384" s="109"/>
      <c r="H384" s="109"/>
    </row>
    <row r="385" spans="1:8" x14ac:dyDescent="0.25">
      <c r="A385" s="109" t="s">
        <v>130</v>
      </c>
      <c r="B385" s="109"/>
      <c r="C385" s="109"/>
      <c r="D385" s="109"/>
      <c r="E385" s="109"/>
      <c r="F385" s="109"/>
      <c r="G385" s="109"/>
      <c r="H385" s="109"/>
    </row>
    <row r="386" spans="1:8" x14ac:dyDescent="0.25">
      <c r="A386" s="173" t="s">
        <v>131</v>
      </c>
      <c r="B386" s="173"/>
      <c r="C386" s="173"/>
      <c r="D386" s="173"/>
      <c r="E386" s="173"/>
      <c r="F386" s="173"/>
      <c r="G386" s="173"/>
      <c r="H386" s="173"/>
    </row>
    <row r="387" spans="1:8" x14ac:dyDescent="0.25">
      <c r="A387" s="187" t="s">
        <v>79</v>
      </c>
      <c r="B387" s="187"/>
      <c r="C387" s="187" t="s">
        <v>272</v>
      </c>
      <c r="D387" s="187"/>
      <c r="E387" s="187" t="s">
        <v>109</v>
      </c>
      <c r="F387" s="187"/>
      <c r="G387" s="187" t="s">
        <v>271</v>
      </c>
      <c r="H387" s="187"/>
    </row>
    <row r="388" spans="1:8" x14ac:dyDescent="0.25">
      <c r="A388" s="186" t="s">
        <v>81</v>
      </c>
      <c r="B388" s="186"/>
      <c r="C388" s="186"/>
      <c r="D388" s="186"/>
      <c r="E388" s="186"/>
      <c r="F388" s="186"/>
      <c r="G388" s="186"/>
      <c r="H388" s="186"/>
    </row>
    <row r="389" spans="1:8" x14ac:dyDescent="0.25">
      <c r="A389" s="186"/>
      <c r="B389" s="186"/>
      <c r="C389" s="186"/>
      <c r="D389" s="186"/>
      <c r="E389" s="186"/>
      <c r="F389" s="186"/>
      <c r="G389" s="186"/>
      <c r="H389" s="186"/>
    </row>
    <row r="390" spans="1:8" x14ac:dyDescent="0.25">
      <c r="A390" s="186"/>
      <c r="B390" s="186"/>
      <c r="C390" s="186"/>
      <c r="D390" s="186"/>
      <c r="E390" s="186"/>
      <c r="F390" s="186"/>
      <c r="G390" s="186"/>
      <c r="H390" s="186"/>
    </row>
    <row r="391" spans="1:8" x14ac:dyDescent="0.25">
      <c r="A391" s="186"/>
      <c r="B391" s="186"/>
      <c r="C391" s="186"/>
      <c r="D391" s="186"/>
      <c r="E391" s="186"/>
      <c r="F391" s="186"/>
      <c r="G391" s="186"/>
      <c r="H391" s="186"/>
    </row>
    <row r="392" spans="1:8" x14ac:dyDescent="0.25">
      <c r="A392" s="38" t="s">
        <v>67</v>
      </c>
      <c r="B392" s="39"/>
      <c r="C392" s="39"/>
      <c r="D392" s="38" t="str">
        <f>E9</f>
        <v>Vihang Luxuria</v>
      </c>
      <c r="F392" s="39"/>
      <c r="G392" s="39"/>
      <c r="H392" s="39"/>
    </row>
    <row r="393" spans="1:8" x14ac:dyDescent="0.25">
      <c r="A393" s="39"/>
      <c r="B393" s="39"/>
      <c r="C393" s="39"/>
      <c r="D393" s="39"/>
      <c r="E393" s="39"/>
      <c r="F393" s="39"/>
      <c r="G393" s="39"/>
      <c r="H393" s="39"/>
    </row>
    <row r="394" spans="1:8" x14ac:dyDescent="0.25">
      <c r="A394" s="39"/>
      <c r="B394" s="39"/>
      <c r="C394" s="39"/>
      <c r="D394" s="39"/>
      <c r="E394" s="39"/>
      <c r="F394" s="39"/>
      <c r="G394" s="39"/>
      <c r="H394" s="39"/>
    </row>
    <row r="395" spans="1:8" ht="15" customHeight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spans="2:8" hidden="1" x14ac:dyDescent="0.25"/>
    <row r="434" spans="2:8" hidden="1" x14ac:dyDescent="0.25"/>
    <row r="435" spans="2:8" hidden="1" x14ac:dyDescent="0.25"/>
    <row r="436" spans="2:8" x14ac:dyDescent="0.25">
      <c r="B436" s="21"/>
      <c r="C436" s="21"/>
      <c r="D436" s="21"/>
      <c r="E436" s="21"/>
      <c r="F436" s="21"/>
      <c r="G436" s="21"/>
      <c r="H436" s="21"/>
    </row>
    <row r="450" spans="1:1" x14ac:dyDescent="0.25">
      <c r="A450" s="41" t="s">
        <v>167</v>
      </c>
    </row>
    <row r="479" spans="1:8" x14ac:dyDescent="0.25">
      <c r="A479" s="41"/>
      <c r="B479" s="21"/>
      <c r="C479" s="21"/>
      <c r="D479" s="21"/>
      <c r="E479" s="21"/>
      <c r="F479" s="21"/>
      <c r="G479" s="21"/>
      <c r="H479" s="21"/>
    </row>
    <row r="493" spans="1:1" x14ac:dyDescent="0.25">
      <c r="A493" s="41" t="s">
        <v>68</v>
      </c>
    </row>
  </sheetData>
  <mergeCells count="688">
    <mergeCell ref="C70:D70"/>
    <mergeCell ref="E70:F70"/>
    <mergeCell ref="G70:H70"/>
    <mergeCell ref="A111:B111"/>
    <mergeCell ref="C111:D111"/>
    <mergeCell ref="E111:F111"/>
    <mergeCell ref="G111:H111"/>
    <mergeCell ref="I11:L11"/>
    <mergeCell ref="A97:B97"/>
    <mergeCell ref="C97:H97"/>
    <mergeCell ref="A99:B99"/>
    <mergeCell ref="C99:H99"/>
    <mergeCell ref="A100:B100"/>
    <mergeCell ref="E100:F100"/>
    <mergeCell ref="G100:H100"/>
    <mergeCell ref="A101:B101"/>
    <mergeCell ref="E101:F110"/>
    <mergeCell ref="G101:H110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E42:H42"/>
    <mergeCell ref="A42:D42"/>
    <mergeCell ref="A385:H385"/>
    <mergeCell ref="A382:H382"/>
    <mergeCell ref="A294:B294"/>
    <mergeCell ref="A149:B149"/>
    <mergeCell ref="D267:D268"/>
    <mergeCell ref="E267:E268"/>
    <mergeCell ref="G267:H268"/>
    <mergeCell ref="A91:B91"/>
    <mergeCell ref="A92:B92"/>
    <mergeCell ref="A93:B93"/>
    <mergeCell ref="A83:B83"/>
    <mergeCell ref="C83:H83"/>
    <mergeCell ref="A122:B122"/>
    <mergeCell ref="A78:B78"/>
    <mergeCell ref="F127:H127"/>
    <mergeCell ref="G143:H143"/>
    <mergeCell ref="A125:B125"/>
    <mergeCell ref="A49:B49"/>
    <mergeCell ref="C49:E49"/>
    <mergeCell ref="G49:H49"/>
    <mergeCell ref="G51:H51"/>
    <mergeCell ref="D55:H55"/>
    <mergeCell ref="C51:E51"/>
    <mergeCell ref="A58:C60"/>
    <mergeCell ref="D58:H58"/>
    <mergeCell ref="D59:H59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D60:H60"/>
    <mergeCell ref="C52:H52"/>
    <mergeCell ref="A57:C57"/>
    <mergeCell ref="G50:H50"/>
    <mergeCell ref="A51:B52"/>
    <mergeCell ref="A156:H156"/>
    <mergeCell ref="G142:H142"/>
    <mergeCell ref="A137:E137"/>
    <mergeCell ref="C143:D143"/>
    <mergeCell ref="E143:F143"/>
    <mergeCell ref="B157:B158"/>
    <mergeCell ref="A157:A158"/>
    <mergeCell ref="C267:C268"/>
    <mergeCell ref="C153:D153"/>
    <mergeCell ref="F137:H137"/>
    <mergeCell ref="E142:F142"/>
    <mergeCell ref="A142:B142"/>
    <mergeCell ref="A154:B154"/>
    <mergeCell ref="C154:D154"/>
    <mergeCell ref="E154:F154"/>
    <mergeCell ref="G154:H154"/>
    <mergeCell ref="A153:B153"/>
    <mergeCell ref="A173:H173"/>
    <mergeCell ref="A214:B214"/>
    <mergeCell ref="A234:B234"/>
    <mergeCell ref="A240:B240"/>
    <mergeCell ref="G240:H264"/>
    <mergeCell ref="A245:B245"/>
    <mergeCell ref="A250:B250"/>
    <mergeCell ref="A388:H391"/>
    <mergeCell ref="A387:B387"/>
    <mergeCell ref="E387:F387"/>
    <mergeCell ref="C387:D387"/>
    <mergeCell ref="G387:H387"/>
    <mergeCell ref="A141:H141"/>
    <mergeCell ref="A139:E139"/>
    <mergeCell ref="F139:H139"/>
    <mergeCell ref="A140:E140"/>
    <mergeCell ref="F140:H140"/>
    <mergeCell ref="A293:H293"/>
    <mergeCell ref="A383:H383"/>
    <mergeCell ref="A148:H148"/>
    <mergeCell ref="A386:H386"/>
    <mergeCell ref="A384:H384"/>
    <mergeCell ref="A380:H380"/>
    <mergeCell ref="A381:H381"/>
    <mergeCell ref="E149:F149"/>
    <mergeCell ref="B377:H377"/>
    <mergeCell ref="G163:H163"/>
    <mergeCell ref="G161:H161"/>
    <mergeCell ref="B375:H375"/>
    <mergeCell ref="B371:H371"/>
    <mergeCell ref="A155:H155"/>
    <mergeCell ref="A79:B79"/>
    <mergeCell ref="A72:B72"/>
    <mergeCell ref="A75:B75"/>
    <mergeCell ref="A71:B71"/>
    <mergeCell ref="A68:B68"/>
    <mergeCell ref="C68:H68"/>
    <mergeCell ref="A77:B77"/>
    <mergeCell ref="A63:C63"/>
    <mergeCell ref="D63:H63"/>
    <mergeCell ref="C71:H71"/>
    <mergeCell ref="A74:B74"/>
    <mergeCell ref="A76:B76"/>
    <mergeCell ref="E72:F72"/>
    <mergeCell ref="A64:C64"/>
    <mergeCell ref="D64:H64"/>
    <mergeCell ref="A67:C67"/>
    <mergeCell ref="D67:H67"/>
    <mergeCell ref="A65:C65"/>
    <mergeCell ref="D65:H65"/>
    <mergeCell ref="A66:C66"/>
    <mergeCell ref="D66:H66"/>
    <mergeCell ref="A73:B73"/>
    <mergeCell ref="G72:H72"/>
    <mergeCell ref="A70:B70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G116:H125"/>
    <mergeCell ref="A41:D41"/>
    <mergeCell ref="E41:H41"/>
    <mergeCell ref="F33:H33"/>
    <mergeCell ref="F34:H34"/>
    <mergeCell ref="A40:H40"/>
    <mergeCell ref="A61:C61"/>
    <mergeCell ref="A62:C62"/>
    <mergeCell ref="D61:H61"/>
    <mergeCell ref="E73:F82"/>
    <mergeCell ref="G73:H82"/>
    <mergeCell ref="A81:B81"/>
    <mergeCell ref="A82:B82"/>
    <mergeCell ref="D62:H62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L161:M161"/>
    <mergeCell ref="A80:B80"/>
    <mergeCell ref="C150:D150"/>
    <mergeCell ref="E150:F150"/>
    <mergeCell ref="G150:H150"/>
    <mergeCell ref="F134:H134"/>
    <mergeCell ref="A127:E127"/>
    <mergeCell ref="A112:B112"/>
    <mergeCell ref="C112:H112"/>
    <mergeCell ref="A160:H160"/>
    <mergeCell ref="E157:E158"/>
    <mergeCell ref="G157:H158"/>
    <mergeCell ref="A87:B87"/>
    <mergeCell ref="E87:F96"/>
    <mergeCell ref="A94:B94"/>
    <mergeCell ref="A95:B95"/>
    <mergeCell ref="A96:B96"/>
    <mergeCell ref="A116:B116"/>
    <mergeCell ref="A46:D46"/>
    <mergeCell ref="A47:H47"/>
    <mergeCell ref="D57:H57"/>
    <mergeCell ref="B373:H373"/>
    <mergeCell ref="A368:H368"/>
    <mergeCell ref="C157:C158"/>
    <mergeCell ref="B267:B268"/>
    <mergeCell ref="A279:B279"/>
    <mergeCell ref="A276:B276"/>
    <mergeCell ref="A297:B297"/>
    <mergeCell ref="A277:B277"/>
    <mergeCell ref="A278:B278"/>
    <mergeCell ref="A266:H266"/>
    <mergeCell ref="A267:A268"/>
    <mergeCell ref="A298:B298"/>
    <mergeCell ref="A295:B295"/>
    <mergeCell ref="A296:B296"/>
    <mergeCell ref="B369:H369"/>
    <mergeCell ref="B370:H370"/>
    <mergeCell ref="A274:H274"/>
    <mergeCell ref="A201:B201"/>
    <mergeCell ref="A211:H211"/>
    <mergeCell ref="A208:B208"/>
    <mergeCell ref="A223:B223"/>
    <mergeCell ref="A212:H212"/>
    <mergeCell ref="A213:H213"/>
    <mergeCell ref="A171:B171"/>
    <mergeCell ref="G86:H86"/>
    <mergeCell ref="A133:E133"/>
    <mergeCell ref="F129:H129"/>
    <mergeCell ref="A135:E135"/>
    <mergeCell ref="A119:B119"/>
    <mergeCell ref="A120:B120"/>
    <mergeCell ref="A121:B121"/>
    <mergeCell ref="A123:B123"/>
    <mergeCell ref="A124:B124"/>
    <mergeCell ref="A129:E129"/>
    <mergeCell ref="A126:E126"/>
    <mergeCell ref="F130:H130"/>
    <mergeCell ref="A131:E131"/>
    <mergeCell ref="F133:H133"/>
    <mergeCell ref="A134:E134"/>
    <mergeCell ref="G115:H115"/>
    <mergeCell ref="A114:B114"/>
    <mergeCell ref="C114:H114"/>
    <mergeCell ref="A115:B115"/>
    <mergeCell ref="E115:F115"/>
    <mergeCell ref="E116:F125"/>
    <mergeCell ref="F126:H126"/>
    <mergeCell ref="F131:H131"/>
    <mergeCell ref="F135:H135"/>
    <mergeCell ref="A132:E132"/>
    <mergeCell ref="F132:H132"/>
    <mergeCell ref="A39:B39"/>
    <mergeCell ref="C39:H39"/>
    <mergeCell ref="B376:H376"/>
    <mergeCell ref="A48:B48"/>
    <mergeCell ref="C48:H48"/>
    <mergeCell ref="B374:H374"/>
    <mergeCell ref="A117:B117"/>
    <mergeCell ref="A118:B118"/>
    <mergeCell ref="G87:H96"/>
    <mergeCell ref="A88:B88"/>
    <mergeCell ref="A89:B89"/>
    <mergeCell ref="A90:B90"/>
    <mergeCell ref="F128:H128"/>
    <mergeCell ref="A128:E128"/>
    <mergeCell ref="D157:D158"/>
    <mergeCell ref="A130:E130"/>
    <mergeCell ref="A161:B161"/>
    <mergeCell ref="A163:B163"/>
    <mergeCell ref="A85:B85"/>
    <mergeCell ref="C85:H85"/>
    <mergeCell ref="A86:B86"/>
    <mergeCell ref="E86:F86"/>
    <mergeCell ref="A136:E136"/>
    <mergeCell ref="C144:D144"/>
    <mergeCell ref="E144:F144"/>
    <mergeCell ref="G144:H144"/>
    <mergeCell ref="A147:B147"/>
    <mergeCell ref="C147:D147"/>
    <mergeCell ref="E147:F147"/>
    <mergeCell ref="G147:H147"/>
    <mergeCell ref="C151:D151"/>
    <mergeCell ref="E151:F151"/>
    <mergeCell ref="G151:H151"/>
    <mergeCell ref="C149:D149"/>
    <mergeCell ref="G149:H149"/>
    <mergeCell ref="A138:E138"/>
    <mergeCell ref="C142:D142"/>
    <mergeCell ref="F138:H138"/>
    <mergeCell ref="F136:H136"/>
    <mergeCell ref="L171:M171"/>
    <mergeCell ref="A172:B172"/>
    <mergeCell ref="L172:M172"/>
    <mergeCell ref="G166:H172"/>
    <mergeCell ref="A167:B167"/>
    <mergeCell ref="L167:M167"/>
    <mergeCell ref="A168:B168"/>
    <mergeCell ref="L168:M168"/>
    <mergeCell ref="A169:B169"/>
    <mergeCell ref="L169:M169"/>
    <mergeCell ref="A159:H159"/>
    <mergeCell ref="L163:M163"/>
    <mergeCell ref="A164:H164"/>
    <mergeCell ref="A165:H165"/>
    <mergeCell ref="A166:B166"/>
    <mergeCell ref="L166:M166"/>
    <mergeCell ref="A162:H162"/>
    <mergeCell ref="A170:B170"/>
    <mergeCell ref="L170:M170"/>
    <mergeCell ref="A191:B191"/>
    <mergeCell ref="B379:H379"/>
    <mergeCell ref="A174:H174"/>
    <mergeCell ref="A175:H175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A181:B181"/>
    <mergeCell ref="L181:M181"/>
    <mergeCell ref="A182:B182"/>
    <mergeCell ref="L182:M182"/>
    <mergeCell ref="A193:H193"/>
    <mergeCell ref="A194:B194"/>
    <mergeCell ref="L194:M194"/>
    <mergeCell ref="A195:B195"/>
    <mergeCell ref="L195:M195"/>
    <mergeCell ref="B372:H372"/>
    <mergeCell ref="A188:B188"/>
    <mergeCell ref="L188:M188"/>
    <mergeCell ref="A189:B189"/>
    <mergeCell ref="L189:M189"/>
    <mergeCell ref="A196:B196"/>
    <mergeCell ref="A198:B198"/>
    <mergeCell ref="L198:M198"/>
    <mergeCell ref="A199:B199"/>
    <mergeCell ref="L199:M199"/>
    <mergeCell ref="A190:B190"/>
    <mergeCell ref="L190:M190"/>
    <mergeCell ref="L191:M191"/>
    <mergeCell ref="A192:B192"/>
    <mergeCell ref="L192:M192"/>
    <mergeCell ref="G176:H19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L208:M208"/>
    <mergeCell ref="A209:B209"/>
    <mergeCell ref="L209:M209"/>
    <mergeCell ref="A210:B210"/>
    <mergeCell ref="L210:M210"/>
    <mergeCell ref="C198:F198"/>
    <mergeCell ref="G194:H210"/>
    <mergeCell ref="A202:B202"/>
    <mergeCell ref="L202:M202"/>
    <mergeCell ref="A203:B203"/>
    <mergeCell ref="L203:M203"/>
    <mergeCell ref="A204:B204"/>
    <mergeCell ref="L204:M204"/>
    <mergeCell ref="A205:B205"/>
    <mergeCell ref="L205:M205"/>
    <mergeCell ref="A206:B206"/>
    <mergeCell ref="L206:M206"/>
    <mergeCell ref="A207:B207"/>
    <mergeCell ref="L207:M207"/>
    <mergeCell ref="L196:M196"/>
    <mergeCell ref="A197:B197"/>
    <mergeCell ref="L197:M197"/>
    <mergeCell ref="L201:M201"/>
    <mergeCell ref="A200:B200"/>
    <mergeCell ref="L223:M223"/>
    <mergeCell ref="A224:B224"/>
    <mergeCell ref="L224:M224"/>
    <mergeCell ref="A225:B225"/>
    <mergeCell ref="L225:M225"/>
    <mergeCell ref="L216:M216"/>
    <mergeCell ref="A217:B217"/>
    <mergeCell ref="L217:M217"/>
    <mergeCell ref="A218:B218"/>
    <mergeCell ref="L218:M218"/>
    <mergeCell ref="A219:B219"/>
    <mergeCell ref="L219:M219"/>
    <mergeCell ref="A221:B221"/>
    <mergeCell ref="L221:M221"/>
    <mergeCell ref="A222:B222"/>
    <mergeCell ref="L222:M222"/>
    <mergeCell ref="L200:M200"/>
    <mergeCell ref="L229:M229"/>
    <mergeCell ref="A230:B230"/>
    <mergeCell ref="L230:M230"/>
    <mergeCell ref="A231:B231"/>
    <mergeCell ref="L231:M231"/>
    <mergeCell ref="A232:B232"/>
    <mergeCell ref="L232:M232"/>
    <mergeCell ref="A233:B233"/>
    <mergeCell ref="L233:M233"/>
    <mergeCell ref="L234:M234"/>
    <mergeCell ref="A235:B235"/>
    <mergeCell ref="L235:M235"/>
    <mergeCell ref="A236:B236"/>
    <mergeCell ref="L236:M236"/>
    <mergeCell ref="A238:B238"/>
    <mergeCell ref="L238:M238"/>
    <mergeCell ref="G214:H238"/>
    <mergeCell ref="A239:H239"/>
    <mergeCell ref="L214:M214"/>
    <mergeCell ref="A215:B215"/>
    <mergeCell ref="L215:M215"/>
    <mergeCell ref="A216:B216"/>
    <mergeCell ref="A220:B220"/>
    <mergeCell ref="L220:M220"/>
    <mergeCell ref="A237:B237"/>
    <mergeCell ref="L237:M237"/>
    <mergeCell ref="A226:B226"/>
    <mergeCell ref="L226:M226"/>
    <mergeCell ref="A227:B227"/>
    <mergeCell ref="L227:M227"/>
    <mergeCell ref="A228:B228"/>
    <mergeCell ref="L228:M228"/>
    <mergeCell ref="A229:B229"/>
    <mergeCell ref="L240:M240"/>
    <mergeCell ref="A241:B241"/>
    <mergeCell ref="L241:M241"/>
    <mergeCell ref="A242:B242"/>
    <mergeCell ref="L242:M242"/>
    <mergeCell ref="A243:B243"/>
    <mergeCell ref="L243:M243"/>
    <mergeCell ref="A244:B244"/>
    <mergeCell ref="L244:M244"/>
    <mergeCell ref="L245:M245"/>
    <mergeCell ref="A246:B246"/>
    <mergeCell ref="L246:M246"/>
    <mergeCell ref="A247:B247"/>
    <mergeCell ref="L247:M247"/>
    <mergeCell ref="A248:B248"/>
    <mergeCell ref="L248:M248"/>
    <mergeCell ref="A249:B249"/>
    <mergeCell ref="L249:M249"/>
    <mergeCell ref="L250:M250"/>
    <mergeCell ref="A251:B251"/>
    <mergeCell ref="L251:M251"/>
    <mergeCell ref="A252:B252"/>
    <mergeCell ref="L252:M252"/>
    <mergeCell ref="A253:B253"/>
    <mergeCell ref="L253:M253"/>
    <mergeCell ref="A254:B254"/>
    <mergeCell ref="L254:M254"/>
    <mergeCell ref="A255:B255"/>
    <mergeCell ref="L255:M255"/>
    <mergeCell ref="A256:B256"/>
    <mergeCell ref="L256:M256"/>
    <mergeCell ref="A257:B257"/>
    <mergeCell ref="L257:M257"/>
    <mergeCell ref="A258:B258"/>
    <mergeCell ref="L258:M258"/>
    <mergeCell ref="A259:B259"/>
    <mergeCell ref="L259:M259"/>
    <mergeCell ref="A264:B264"/>
    <mergeCell ref="L264:M264"/>
    <mergeCell ref="A265:H265"/>
    <mergeCell ref="L279:M279"/>
    <mergeCell ref="L276:M276"/>
    <mergeCell ref="L277:M277"/>
    <mergeCell ref="L278:M278"/>
    <mergeCell ref="A260:B260"/>
    <mergeCell ref="L260:M260"/>
    <mergeCell ref="A261:B261"/>
    <mergeCell ref="L261:M261"/>
    <mergeCell ref="A262:B262"/>
    <mergeCell ref="L262:M262"/>
    <mergeCell ref="A263:B263"/>
    <mergeCell ref="L263:M263"/>
    <mergeCell ref="A269:H269"/>
    <mergeCell ref="A282:B282"/>
    <mergeCell ref="L282:M282"/>
    <mergeCell ref="A283:B283"/>
    <mergeCell ref="L283:M283"/>
    <mergeCell ref="G276:H283"/>
    <mergeCell ref="A299:B299"/>
    <mergeCell ref="A300:B300"/>
    <mergeCell ref="A271:H271"/>
    <mergeCell ref="A270:H270"/>
    <mergeCell ref="L293:M293"/>
    <mergeCell ref="A273:H273"/>
    <mergeCell ref="A275:H275"/>
    <mergeCell ref="A280:B280"/>
    <mergeCell ref="L280:M280"/>
    <mergeCell ref="A281:B281"/>
    <mergeCell ref="L281:M281"/>
    <mergeCell ref="A272:H272"/>
    <mergeCell ref="A301:B301"/>
    <mergeCell ref="G294:H301"/>
    <mergeCell ref="A284:H284"/>
    <mergeCell ref="L284:M284"/>
    <mergeCell ref="A285:B285"/>
    <mergeCell ref="G285:H292"/>
    <mergeCell ref="A286:B286"/>
    <mergeCell ref="A287:B287"/>
    <mergeCell ref="A288:B288"/>
    <mergeCell ref="A289:B289"/>
    <mergeCell ref="A290:B290"/>
    <mergeCell ref="A291:B291"/>
    <mergeCell ref="A292:B292"/>
    <mergeCell ref="C290:F290"/>
    <mergeCell ref="A302:H302"/>
    <mergeCell ref="L302:M302"/>
    <mergeCell ref="A303:B303"/>
    <mergeCell ref="G303:H310"/>
    <mergeCell ref="A304:B304"/>
    <mergeCell ref="A305:B305"/>
    <mergeCell ref="A306:B306"/>
    <mergeCell ref="A307:B307"/>
    <mergeCell ref="A308:B308"/>
    <mergeCell ref="A309:B309"/>
    <mergeCell ref="A310:B310"/>
    <mergeCell ref="C308:F308"/>
    <mergeCell ref="A311:H311"/>
    <mergeCell ref="L311:M311"/>
    <mergeCell ref="A312:B312"/>
    <mergeCell ref="G312:H319"/>
    <mergeCell ref="A313:B313"/>
    <mergeCell ref="A314:B314"/>
    <mergeCell ref="A315:B315"/>
    <mergeCell ref="A316:B316"/>
    <mergeCell ref="A317:B317"/>
    <mergeCell ref="A318:B318"/>
    <mergeCell ref="A319:B319"/>
    <mergeCell ref="A320:H320"/>
    <mergeCell ref="L320:M320"/>
    <mergeCell ref="A321:H321"/>
    <mergeCell ref="L321:M321"/>
    <mergeCell ref="A322:H322"/>
    <mergeCell ref="A323:B323"/>
    <mergeCell ref="G323:H330"/>
    <mergeCell ref="L323:M323"/>
    <mergeCell ref="A324:B324"/>
    <mergeCell ref="L324:M324"/>
    <mergeCell ref="A325:B325"/>
    <mergeCell ref="L325:M325"/>
    <mergeCell ref="A326:B326"/>
    <mergeCell ref="L326:M326"/>
    <mergeCell ref="A327:B327"/>
    <mergeCell ref="L327:M327"/>
    <mergeCell ref="A328:B328"/>
    <mergeCell ref="L328:M328"/>
    <mergeCell ref="A329:B329"/>
    <mergeCell ref="L329:M329"/>
    <mergeCell ref="A330:B330"/>
    <mergeCell ref="L330:M330"/>
    <mergeCell ref="A331:H331"/>
    <mergeCell ref="L331:M331"/>
    <mergeCell ref="A332:B332"/>
    <mergeCell ref="G332:H339"/>
    <mergeCell ref="A333:B333"/>
    <mergeCell ref="A334:B334"/>
    <mergeCell ref="A335:B335"/>
    <mergeCell ref="A336:B336"/>
    <mergeCell ref="A337:B337"/>
    <mergeCell ref="A338:B338"/>
    <mergeCell ref="A339:B339"/>
    <mergeCell ref="C336:F336"/>
    <mergeCell ref="A340:H340"/>
    <mergeCell ref="L340:M340"/>
    <mergeCell ref="A341:B341"/>
    <mergeCell ref="G341:H348"/>
    <mergeCell ref="A342:B342"/>
    <mergeCell ref="A343:B343"/>
    <mergeCell ref="A344:B344"/>
    <mergeCell ref="A345:B345"/>
    <mergeCell ref="A346:B346"/>
    <mergeCell ref="A347:B347"/>
    <mergeCell ref="A348:B348"/>
    <mergeCell ref="A362:B362"/>
    <mergeCell ref="A363:B363"/>
    <mergeCell ref="A364:B364"/>
    <mergeCell ref="A365:B365"/>
    <mergeCell ref="A366:B366"/>
    <mergeCell ref="A349:H349"/>
    <mergeCell ref="L349:M349"/>
    <mergeCell ref="A350:B350"/>
    <mergeCell ref="G350:H357"/>
    <mergeCell ref="A351:B351"/>
    <mergeCell ref="A352:B352"/>
    <mergeCell ref="A353:B353"/>
    <mergeCell ref="A354:B354"/>
    <mergeCell ref="A355:B355"/>
    <mergeCell ref="A356:B356"/>
    <mergeCell ref="A357:B357"/>
    <mergeCell ref="B378:H378"/>
    <mergeCell ref="A367:H367"/>
    <mergeCell ref="L367:M367"/>
    <mergeCell ref="C354:F354"/>
    <mergeCell ref="C145:D145"/>
    <mergeCell ref="E145:F145"/>
    <mergeCell ref="G145:H145"/>
    <mergeCell ref="C146:D146"/>
    <mergeCell ref="E146:F146"/>
    <mergeCell ref="G146:H146"/>
    <mergeCell ref="A150:A151"/>
    <mergeCell ref="A144:A146"/>
    <mergeCell ref="C152:D152"/>
    <mergeCell ref="E152:F152"/>
    <mergeCell ref="G152:H152"/>
    <mergeCell ref="E153:F153"/>
    <mergeCell ref="G153:H153"/>
    <mergeCell ref="A152:B152"/>
    <mergeCell ref="A358:H358"/>
    <mergeCell ref="L358:M358"/>
    <mergeCell ref="A359:B359"/>
    <mergeCell ref="G359:H366"/>
    <mergeCell ref="A360:B360"/>
    <mergeCell ref="A361:B361"/>
  </mergeCells>
  <hyperlinks>
    <hyperlink ref="C39" r:id="rId1" xr:uid="{00000000-0004-0000-0000-000000000000}"/>
    <hyperlink ref="I156" r:id="rId2" xr:uid="{00000000-0004-0000-0000-000001000000}"/>
    <hyperlink ref="I155" r:id="rId3" xr:uid="{00000000-0004-0000-0000-000002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4"/>
  <headerFooter>
    <oddHeader>&amp;C&amp;G</oddHeader>
    <oddFooter>&amp;L&amp;"Times New Roman,Bold"&amp;12Ref No: &amp;F&amp;C&amp;G&amp;R&amp;"Times New Roman,Bold"&amp;12&amp;P</oddFooter>
  </headerFooter>
  <rowBreaks count="6" manualBreakCount="6">
    <brk id="67" max="16383" man="1"/>
    <brk id="111" max="16383" man="1"/>
    <brk id="147" max="7" man="1"/>
    <brk id="391" max="16383" man="1"/>
    <brk id="449" max="7" man="1"/>
    <brk id="492" max="7" man="1"/>
  </rowBreaks>
  <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3" t="s">
        <v>110</v>
      </c>
      <c r="C3" s="233"/>
      <c r="D3" s="233"/>
      <c r="E3" s="233"/>
      <c r="F3" s="233"/>
      <c r="G3" s="233"/>
      <c r="H3" s="233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Q26" sqref="Q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2025-07-16T06:20:59Z</cp:lastPrinted>
  <dcterms:created xsi:type="dcterms:W3CDTF">2019-07-16T09:29:46Z</dcterms:created>
  <dcterms:modified xsi:type="dcterms:W3CDTF">2025-07-16T06:21:00Z</dcterms:modified>
</cp:coreProperties>
</file>