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DC5626D2-6EA4-4A30-AF20-D4C927285789}" xr6:coauthVersionLast="36" xr6:coauthVersionMax="36"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3" i="1" l="1"/>
  <c r="C76" i="1"/>
  <c r="E8" i="1" l="1"/>
  <c r="E173" i="1"/>
  <c r="E172" i="1"/>
  <c r="E176" i="1"/>
  <c r="E175" i="1"/>
  <c r="E171" i="1"/>
  <c r="E170" i="1"/>
  <c r="E168" i="1"/>
  <c r="E167" i="1"/>
  <c r="E166" i="1"/>
  <c r="E165" i="1"/>
  <c r="E163" i="1"/>
  <c r="E162" i="1"/>
  <c r="E161" i="1"/>
  <c r="E160" i="1"/>
  <c r="I159" i="1"/>
  <c r="E44" i="1"/>
  <c r="E45" i="1" s="1"/>
  <c r="E46" i="1" l="1"/>
  <c r="D176" i="1"/>
  <c r="D175" i="1"/>
  <c r="D173" i="1"/>
  <c r="D172" i="1"/>
  <c r="D171" i="1"/>
  <c r="D170" i="1"/>
  <c r="D168" i="1"/>
  <c r="D167" i="1"/>
  <c r="D166" i="1"/>
  <c r="D165" i="1"/>
  <c r="D163" i="1"/>
  <c r="D162" i="1"/>
  <c r="D161" i="1"/>
  <c r="D160" i="1"/>
  <c r="C138" i="1" s="1"/>
  <c r="D152" i="1"/>
  <c r="D151" i="1"/>
  <c r="D150" i="1"/>
  <c r="D149" i="1"/>
  <c r="D148" i="1"/>
  <c r="C133" i="1" l="1"/>
  <c r="C141" i="1" s="1"/>
  <c r="F173" i="1"/>
  <c r="H173" i="1" s="1"/>
  <c r="F176" i="1"/>
  <c r="H176" i="1" s="1"/>
  <c r="A176" i="1"/>
  <c r="A177" i="1" s="1"/>
  <c r="A178" i="1" s="1"/>
  <c r="F171" i="1"/>
  <c r="H171" i="1" s="1"/>
  <c r="A171" i="1"/>
  <c r="A172" i="1" s="1"/>
  <c r="A173" i="1" s="1"/>
  <c r="F170" i="1"/>
  <c r="H170" i="1" s="1"/>
  <c r="F168" i="1"/>
  <c r="H168" i="1" s="1"/>
  <c r="A166" i="1"/>
  <c r="A167" i="1" s="1"/>
  <c r="A168" i="1" s="1"/>
  <c r="J152" i="1"/>
  <c r="J149" i="1"/>
  <c r="J148" i="1"/>
  <c r="F152" i="1"/>
  <c r="H152" i="1" s="1"/>
  <c r="F165" i="1" l="1"/>
  <c r="H165" i="1" s="1"/>
  <c r="F175" i="1"/>
  <c r="H175" i="1" s="1"/>
  <c r="F172" i="1"/>
  <c r="H172" i="1" s="1"/>
  <c r="F166" i="1"/>
  <c r="H166" i="1" s="1"/>
  <c r="F167" i="1"/>
  <c r="H167" i="1" s="1"/>
  <c r="C104" i="1" l="1"/>
  <c r="C90" i="1"/>
  <c r="F148" i="1" l="1"/>
  <c r="H148" i="1" l="1"/>
  <c r="E31" i="1"/>
  <c r="E26" i="1"/>
  <c r="F160" i="1" l="1"/>
  <c r="H160"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L42" i="7"/>
  <c r="K42" i="7" s="1"/>
  <c r="I42" i="7"/>
  <c r="H42" i="7" s="1"/>
  <c r="J160" i="1"/>
  <c r="K160" i="1"/>
  <c r="D44" i="7" l="1"/>
  <c r="E44" i="7"/>
  <c r="B181" i="1"/>
  <c r="F149" i="1" l="1"/>
  <c r="F150" i="1"/>
  <c r="H150" i="1" s="1"/>
  <c r="F151" i="1"/>
  <c r="H151" i="1" s="1"/>
  <c r="H149" i="1" l="1"/>
  <c r="G133" i="1" s="1"/>
  <c r="E133" i="1"/>
  <c r="G59" i="1"/>
  <c r="C59" i="1"/>
  <c r="G57" i="1"/>
  <c r="C57" i="1"/>
  <c r="C55" i="1"/>
  <c r="S33" i="1" l="1"/>
  <c r="F11" i="5" l="1"/>
  <c r="G11" i="5" s="1"/>
  <c r="F10" i="5"/>
  <c r="G10" i="5" s="1"/>
  <c r="F9" i="5"/>
  <c r="G9" i="5" s="1"/>
  <c r="F8" i="5"/>
  <c r="G8" i="5" s="1"/>
  <c r="F7" i="5"/>
  <c r="G7" i="5" s="1"/>
  <c r="F6" i="5"/>
  <c r="G6" i="5" s="1"/>
  <c r="F5" i="5"/>
  <c r="G5" i="5" s="1"/>
  <c r="D203" i="1"/>
  <c r="B182" i="1"/>
  <c r="F163" i="1"/>
  <c r="H163" i="1" s="1"/>
  <c r="F162" i="1"/>
  <c r="H162" i="1" s="1"/>
  <c r="F161" i="1"/>
  <c r="A161" i="1"/>
  <c r="A162" i="1" s="1"/>
  <c r="A163" i="1" s="1"/>
  <c r="A149" i="1"/>
  <c r="A150" i="1" s="1"/>
  <c r="A151" i="1" s="1"/>
  <c r="A152" i="1" s="1"/>
  <c r="F130" i="1"/>
  <c r="B77" i="1"/>
  <c r="D63" i="1"/>
  <c r="G52" i="1"/>
  <c r="G53" i="1" s="1"/>
  <c r="C52" i="1"/>
  <c r="E28" i="1"/>
  <c r="C16" i="1"/>
  <c r="I15" i="1"/>
  <c r="Z13" i="1"/>
  <c r="E3" i="1"/>
  <c r="D70" i="1" s="1"/>
  <c r="H77" i="1"/>
  <c r="K162" i="1" l="1"/>
  <c r="J162" i="1"/>
  <c r="J163" i="1"/>
  <c r="K163" i="1"/>
  <c r="G12" i="5"/>
  <c r="J119" i="1"/>
  <c r="H161" i="1"/>
  <c r="E138" i="1"/>
  <c r="E141" i="1" s="1"/>
  <c r="J76" i="1"/>
  <c r="J78" i="1" s="1"/>
  <c r="J79" i="1"/>
  <c r="J80" i="1"/>
  <c r="J81" i="1"/>
  <c r="C80" i="1" s="1"/>
  <c r="D84" i="1"/>
  <c r="D86" i="1"/>
  <c r="D85" i="1"/>
  <c r="D89" i="1"/>
  <c r="D83" i="1"/>
  <c r="D88" i="1"/>
  <c r="D82" i="1"/>
  <c r="D87" i="1"/>
  <c r="J82" i="1"/>
  <c r="G138" i="1" l="1"/>
  <c r="G141" i="1" s="1"/>
  <c r="J161" i="1"/>
  <c r="K161" i="1"/>
  <c r="D80" i="1"/>
  <c r="J86" i="1"/>
  <c r="J84" i="1"/>
  <c r="J85" i="1"/>
  <c r="J83" i="1"/>
  <c r="J88" i="1" s="1"/>
  <c r="J89" i="1" s="1"/>
  <c r="C81" i="1" s="1"/>
  <c r="J87" i="1"/>
  <c r="B91" i="1" l="1"/>
  <c r="J77" i="1"/>
  <c r="E80" i="1"/>
  <c r="D81" i="1"/>
  <c r="G80" i="1"/>
  <c r="D74" i="1" s="1"/>
  <c r="H91" i="1"/>
  <c r="I77" i="1" l="1"/>
  <c r="I78" i="1" s="1"/>
  <c r="I76" i="1" s="1"/>
  <c r="C78" i="1" s="1"/>
  <c r="J93" i="1"/>
  <c r="D103" i="1"/>
  <c r="D97" i="1"/>
  <c r="J95" i="1"/>
  <c r="C94" i="1" s="1"/>
  <c r="D101" i="1"/>
  <c r="J90" i="1"/>
  <c r="J92" i="1" s="1"/>
  <c r="D98" i="1"/>
  <c r="D102" i="1"/>
  <c r="D96" i="1"/>
  <c r="D100" i="1"/>
  <c r="J94" i="1"/>
  <c r="D99" i="1"/>
  <c r="J96" i="1"/>
  <c r="J97" i="1" s="1"/>
  <c r="J102" i="1" s="1"/>
  <c r="J103" i="1" s="1"/>
  <c r="C95" i="1" s="1"/>
  <c r="J101" i="1"/>
  <c r="J100" i="1"/>
  <c r="J99" i="1"/>
  <c r="J98" i="1"/>
  <c r="F75" i="1"/>
  <c r="D75" i="1"/>
  <c r="B105" i="1" l="1"/>
  <c r="E94" i="1"/>
  <c r="D95" i="1"/>
  <c r="G94" i="1"/>
  <c r="D94" i="1"/>
  <c r="H105" i="1"/>
  <c r="J107" i="1" l="1"/>
  <c r="D116" i="1"/>
  <c r="J109" i="1"/>
  <c r="C108" i="1" s="1"/>
  <c r="D108" i="1" s="1"/>
  <c r="D115" i="1"/>
  <c r="D114" i="1"/>
  <c r="J108" i="1"/>
  <c r="J104" i="1"/>
  <c r="J106" i="1" s="1"/>
  <c r="D112" i="1"/>
  <c r="D117" i="1"/>
  <c r="D111" i="1"/>
  <c r="D110" i="1"/>
  <c r="D113" i="1"/>
  <c r="I91" i="1"/>
  <c r="I92" i="1" s="1"/>
  <c r="J114" i="1"/>
  <c r="J112" i="1"/>
  <c r="J110" i="1"/>
  <c r="J111" i="1" s="1"/>
  <c r="J116" i="1" s="1"/>
  <c r="J117" i="1" s="1"/>
  <c r="C109" i="1" s="1"/>
  <c r="J115" i="1"/>
  <c r="J113" i="1"/>
  <c r="J91" i="1"/>
  <c r="I90" i="1" l="1"/>
  <c r="C92" i="1" s="1"/>
  <c r="E108" i="1"/>
  <c r="D109" i="1"/>
  <c r="I105" i="1" s="1"/>
  <c r="I106" i="1" s="1"/>
  <c r="J105" i="1"/>
  <c r="G108" i="1"/>
  <c r="I104" i="1" l="1"/>
  <c r="C1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<sst xmlns="http://schemas.openxmlformats.org/spreadsheetml/2006/main" count="690" uniqueCount="406">
  <si>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</si>
  <si>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</si>
  <si>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</si>
  <si>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</si>
  <si>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</si>
  <si>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</si>
  <si>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</si>
  <si>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</si>
  <si>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</si>
  <si>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</si>
  <si>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</si>
  <si>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</si>
  <si>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</si>
  <si>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</si>
  <si>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</si>
  <si>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</si>
  <si>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</si>
  <si>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</si>
  <si>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</si>
  <si>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</si>
  <si>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</si>
  <si>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</si>
  <si>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</si>
  <si>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</si>
  <si>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</si>
  <si>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</si>
  <si>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</si>
  <si>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</si>
  <si>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</si>
  <si>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</si>
  <si>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</si>
  <si>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</si>
  <si>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</si>
  <si>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</si>
  <si>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</si>
  <si>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</si>
  <si>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</si>
  <si>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</si>
  <si>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</si>
  <si>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</si>
  <si>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</si>
  <si>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</si>
  <si>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</si>
  <si>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</si>
  <si>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</si>
  <si>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</si>
  <si>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</si>
  <si>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</si>
  <si>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</si>
  <si>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</si>
  <si>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</si>
  <si>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</si>
  <si>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</si>
  <si>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</si>
  <si>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</si>
  <si>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</si>
  <si>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</si>
  <si>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</si>
  <si>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</si>
  <si>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</si>
  <si>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</si>
  <si>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</si>
  <si>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</si>
  <si>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</si>
  <si>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</si>
  <si>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</si>
  <si>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</si>
  <si>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</si>
  <si>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</si>
  <si>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</si>
  <si>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</si>
  <si>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</si>
  <si>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</si>
  <si>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</si>
  <si>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</si>
  <si>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</si>
  <si>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</si>
  <si>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</si>
  <si>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</si>
  <si>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</si>
  <si>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</si>
  <si>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</si>
  <si>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</si>
  <si>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</si>
  <si>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</si>
  <si>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</si>
  <si>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</si>
  <si>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</si>
  <si>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</si>
  <si>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</si>
  <si>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</si>
  <si>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</si>
  <si>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</si>
  <si>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</si>
  <si>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</si>
  <si>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</si>
  <si>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</si>
  <si>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</si>
  <si>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</si>
  <si>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</si>
  <si>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</si>
  <si>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</si>
  <si>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</si>
  <si>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</si>
  <si>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</si>
  <si>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</si>
  <si>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</si>
  <si>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</si>
  <si>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</si>
  <si>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</si>
  <si>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</si>
  <si>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</si>
  <si>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</si>
  <si>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</si>
  <si>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</si>
  <si>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</si>
  <si>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</si>
  <si>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</si>
  <si>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</si>
  <si>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</si>
  <si>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</si>
  <si>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</si>
  <si>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</si>
  <si>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</si>
  <si>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</si>
  <si>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</si>
  <si>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</si>
  <si>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</si>
  <si>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</si>
  <si>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</si>
  <si>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</si>
  <si>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</si>
  <si>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</si>
  <si>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</si>
  <si>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</si>
  <si>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</si>
  <si>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</si>
  <si>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</si>
  <si>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</si>
  <si>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</si>
  <si>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</si>
  <si>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</si>
  <si>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</si>
  <si>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</si>
  <si>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</si>
  <si>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</si>
  <si>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</si>
  <si>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</si>
  <si>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</si>
  <si>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</si>
  <si>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</si>
  <si>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</si>
  <si>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</si>
  <si>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</si>
  <si>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</si>
  <si>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</si>
  <si>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</si>
  <si>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</si>
  <si>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</si>
  <si>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</si>
  <si>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</si>
  <si>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</si>
  <si>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</si>
  <si>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</si>
  <si>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</si>
  <si>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</si>
  <si>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</si>
  <si>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</si>
  <si>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</si>
  <si>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</si>
  <si>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</si>
  <si>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</si>
  <si>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</si>
  <si>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</si>
  <si>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</si>
  <si>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</si>
  <si>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</si>
  <si>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</si>
  <si>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</si>
  <si>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</si>
  <si>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</si>
  <si>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</si>
  <si>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</si>
  <si>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</si>
  <si>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</si>
  <si>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</si>
  <si>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</si>
  <si>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</si>
  <si>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</si>
  <si>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</si>
  <si>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</si>
  <si>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</si>
  <si>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</si>
  <si>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</si>
  <si>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</si>
  <si>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</si>
  <si>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</si>
  <si>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</si>
  <si>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</si>
  <si>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</si>
  <si>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</si>
  <si>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</si>
  <si>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</si>
  <si>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</si>
  <si>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</si>
  <si>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</si>
  <si>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</si>
  <si>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</si>
  <si>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</si>
  <si>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</si>
  <si>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</si>
  <si>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</si>
  <si>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</si>
  <si>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</si>
  <si>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</si>
  <si>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</si>
  <si>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</si>
  <si>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</si>
  <si>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</si>
  <si>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</si>
  <si>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</si>
  <si>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</si>
  <si>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</si>
  <si>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</si>
  <si>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</si>
  <si>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</si>
  <si>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</si>
  <si>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</si>
  <si>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</si>
  <si>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</si>
  <si>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</si>
  <si>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</si>
  <si>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</si>
  <si>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</si>
  <si>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</si>
  <si>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</si>
  <si>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</si>
  <si>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</si>
  <si>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</si>
  <si>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</si>
  <si>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</si>
  <si>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</si>
  <si>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</si>
  <si>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</si>
  <si>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</si>
  <si>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</si>
  <si>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</si>
  <si>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</si>
  <si>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</si>
  <si>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</si>
  <si>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</si>
  <si>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</si>
  <si>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</si>
  <si>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</si>
  <si>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</si>
  <si>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</si>
  <si>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</si>
  <si>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</si>
  <si>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</si>
  <si>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</si>
  <si>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</si>
  <si>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</si>
  <si>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</si>
  <si>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</si>
  <si>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</si>
  <si>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</si>
  <si>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</si>
  <si>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</si>
  <si>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</si>
  <si>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</si>
  <si>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</si>
  <si>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</si>
  <si>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</si>
  <si>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</si>
  <si>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</si>
  <si>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</si>
  <si>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</si>
  <si>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</si>
  <si>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</si>
  <si>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</si>
  <si>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</si>
  <si>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</si>
  <si>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</si>
  <si>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</si>
  <si>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</si>
  <si>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</si>
  <si>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</si>
  <si>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</si>
  <si>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</si>
  <si>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</si>
  <si>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</si>
  <si>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</si>
  <si>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</si>
  <si>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</si>
  <si>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</si>
  <si>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</si>
  <si>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</si>
  <si>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</si>
  <si>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</si>
  <si>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</si>
  <si>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</si>
  <si>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</si>
  <si>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</si>
  <si>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</si>
  <si>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</si>
  <si>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</si>
  <si>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</si>
  <si>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</si>
  <si>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</si>
  <si>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</si>
  <si>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</si>
  <si>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</si>
  <si>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</si>
  <si>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</si>
  <si>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</si>
  <si>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</si>
  <si>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</si>
  <si>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</si>
  <si>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</si>
  <si>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</si>
  <si>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</si>
  <si>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</si>
  <si>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</si>
  <si>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</si>
  <si>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</si>
  <si>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</si>
  <si>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</si>
  <si>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</si>
  <si>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</si>
  <si>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</si>
  <si>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</si>
  <si>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</si>
  <si>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</si>
  <si>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</si>
  <si>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</si>
  <si>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</si>
  <si>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</si>
  <si>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</si>
  <si>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</si>
  <si>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</si>
  <si>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</si>
  <si>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</si>
  <si>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</si>
  <si>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</si>
  <si>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</si>
  <si>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</si>
  <si>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</si>
  <si>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</si>
  <si>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</si>
  <si>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</si>
  <si>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</si>
  <si>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Salasar Realtors</t>
  </si>
  <si>
    <t>Salasar Kasturi Solitaire</t>
  </si>
  <si>
    <t>Building No. 05</t>
  </si>
  <si>
    <t>Approved Plans, CC.</t>
  </si>
  <si>
    <t>P51700048347</t>
  </si>
  <si>
    <t>Survey No</t>
  </si>
  <si>
    <t>Bhayandar</t>
  </si>
  <si>
    <t>670(253), 671(261) H.No. 2 &amp; 3, 671(261) H.No. 1B/6</t>
  </si>
  <si>
    <t>19.296637,72.845964</t>
  </si>
  <si>
    <t>https://maps.app.goo.gl/TfJ6WNxC24kgkhfD7</t>
  </si>
  <si>
    <t>Mira Bhayandar</t>
  </si>
  <si>
    <t>Swami Satyanand Maharaj Road</t>
  </si>
  <si>
    <t>Bhayandar West</t>
  </si>
  <si>
    <t>Sunrise Building</t>
  </si>
  <si>
    <t>18.00 M. Wide Road</t>
  </si>
  <si>
    <t>12.00 M. Wide Road</t>
  </si>
  <si>
    <t>10.00 M. Wide Road</t>
  </si>
  <si>
    <t>Other Plot/Building No. 04</t>
  </si>
  <si>
    <t>Internal Road</t>
  </si>
  <si>
    <t>Balance R Zone plot of S.No. 671/2 &amp; 3</t>
  </si>
  <si>
    <t>MBMNP/NR/2335/2022-23</t>
  </si>
  <si>
    <t>MNP/NR/2335/2022-2023</t>
  </si>
  <si>
    <t>Building Type 5 = Ground (Part) + 1st to 3rd Podium + 4th to 28th Floor</t>
  </si>
  <si>
    <r>
      <t xml:space="preserve">Proposed Amenities :                                                                                                                                                                                                                         </t>
    </r>
    <r>
      <rPr>
        <b/>
        <sz val="12"/>
        <rFont val="Times New Roman"/>
        <family val="1"/>
      </rPr>
      <t xml:space="preserve">                                               </t>
    </r>
  </si>
  <si>
    <t>Swimming Pool, Deck Area, Fitness Centre, Cricket Pitch, Open play area, Jogging Track, Garden.</t>
  </si>
  <si>
    <t>Approved plan</t>
  </si>
  <si>
    <t>As per RERA - 31/12/2028</t>
  </si>
  <si>
    <t>Ground Floor For Commercial, Entrance Lobby, Society Office &amp; Parking</t>
  </si>
  <si>
    <t>Shop</t>
  </si>
  <si>
    <t>Building No. 5</t>
  </si>
  <si>
    <t>1st &amp; 2nd Floor For Parking</t>
  </si>
  <si>
    <t>3rd Floor (E-Deck Podium) for Swimming Pool, Deck Area, Fitness Centre, 
Cricket Pitch, Open play area, Jogging Track, Garden.</t>
  </si>
  <si>
    <t>2BHK</t>
  </si>
  <si>
    <t>2.5BHK</t>
  </si>
  <si>
    <t>Balcony Area + Service Slab</t>
  </si>
  <si>
    <t>7th, 12th, 17th &amp; 22nd Floor (Refuge Area Near Staircase)</t>
  </si>
  <si>
    <t>4th to 6th, 8th to 11th, 13th to 16th, 18th to 21st &amp; 23rd to 26th Floor For Residential</t>
  </si>
  <si>
    <t>27th Floor</t>
  </si>
  <si>
    <t>28th Floor</t>
  </si>
  <si>
    <t>4.5BHK (Duplex with 28th Floor)</t>
  </si>
  <si>
    <t>Flat Duplex with 27th Floor</t>
  </si>
  <si>
    <t>2.40KM from Bhayandar Railway Station</t>
  </si>
  <si>
    <t>We considered Gross carpet area = Net carpet + Balcony Area + Service Slab.</t>
  </si>
  <si>
    <r>
      <t xml:space="preserve">Shop No.
</t>
    </r>
    <r>
      <rPr>
        <b/>
        <sz val="11"/>
        <rFont val="Times New Roman"/>
        <family val="1"/>
      </rPr>
      <t>(Approved Plan)</t>
    </r>
  </si>
  <si>
    <t>Shops</t>
  </si>
  <si>
    <t>Flats</t>
  </si>
  <si>
    <t>Flats - 98, Shops - 05</t>
  </si>
  <si>
    <t xml:space="preserve">only SS attached to toilet not considered </t>
  </si>
  <si>
    <t>Mr. Chandi Shah : 7710010776</t>
  </si>
  <si>
    <t>Mr. Mahesh Soni 983391714</t>
  </si>
  <si>
    <t>Building No. 05 = Gr + 1st to 3rd Pod + 4th to 28th Floor</t>
  </si>
  <si>
    <t>Building No. 05 = Gr + 1st to 3rd Pod + 4th to 33rd Floor</t>
  </si>
  <si>
    <t>Construction work is in process at the time of Visit.</t>
  </si>
  <si>
    <t>Gaurav Panchal</t>
  </si>
  <si>
    <t>Ranjan Sharma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</si>
</sst>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58">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6" fillId="0" borderId="1" xfId="1" applyFont="1" applyBorder="1" applyAlignment="1" applyProtection="1">
      <alignment horizontal="center" vertical="top"/>
      <protection locked="0"/>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6"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3" fillId="0" borderId="1" xfId="1" applyFont="1" applyBorder="1"/>
    <xf numFmtId="0" fontId="8" fillId="0" borderId="1" xfId="1" applyFont="1" applyBorder="1"/>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2" fontId="8" fillId="0" borderId="0" xfId="1" applyNumberFormat="1" applyFont="1" applyAlignment="1">
      <alignment horizontal="center" vertical="center"/>
    </xf>
    <xf numFmtId="0" fontId="8" fillId="0" borderId="0" xfId="1" applyFont="1" applyAlignment="1">
      <alignment horizontal="center" vertical="center"/>
    </xf>
    <xf numFmtId="1" fontId="14" fillId="0" borderId="3"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7" xfId="8" applyFont="1" applyFill="1" applyBorder="1" applyAlignment="1" applyProtection="1">
      <alignment horizontal="center" vertical="top" wrapText="1"/>
      <protection locked="0"/>
    </xf>
    <xf numFmtId="9" fontId="14" fillId="0" borderId="16" xfId="8" applyFont="1" applyFill="1" applyBorder="1" applyAlignment="1" applyProtection="1">
      <alignment horizontal="center" vertical="top" wrapText="1"/>
      <protection locked="0"/>
    </xf>
    <xf numFmtId="0" fontId="18" fillId="0" borderId="0" xfId="1" applyFont="1" applyAlignment="1">
      <alignment horizontal="center" vertical="center"/>
    </xf>
    <xf numFmtId="0" fontId="18" fillId="0" borderId="0" xfId="1" applyFont="1" applyAlignment="1">
      <alignment horizontal="left" vertical="center"/>
    </xf>
    <xf numFmtId="0" fontId="1" fillId="0" borderId="1" xfId="5" applyFont="1" applyBorder="1" applyAlignment="1">
      <alignment horizontal="center" vertical="center"/>
    </xf>
    <xf numFmtId="0" fontId="26" fillId="2" borderId="15" xfId="0" applyFont="1" applyFill="1" applyBorder="1"/>
    <xf numFmtId="1" fontId="9" fillId="0" borderId="1" xfId="1" applyNumberFormat="1" applyFont="1" applyBorder="1" applyAlignment="1" applyProtection="1">
      <alignment horizontal="center" vertical="top" wrapText="1"/>
      <protection locked="0"/>
    </xf>
    <xf numFmtId="9" fontId="14" fillId="0" borderId="1" xfId="8" applyFont="1" applyFill="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2" fontId="13" fillId="0" borderId="1" xfId="1" applyNumberFormat="1" applyFont="1" applyBorder="1" applyAlignment="1" applyProtection="1">
      <alignment horizontal="left" vertical="top" wrapText="1"/>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14" fillId="0" borderId="3" xfId="1" applyNumberFormat="1" applyFont="1" applyBorder="1" applyAlignment="1" applyProtection="1">
      <alignment horizontal="center" vertical="top" wrapText="1"/>
      <protection locked="0"/>
    </xf>
    <xf numFmtId="1" fontId="14" fillId="0" borderId="16"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9" fontId="8" fillId="0" borderId="17" xfId="8" applyFont="1" applyFill="1" applyBorder="1" applyAlignment="1" applyProtection="1">
      <alignment horizontal="center" vertical="center" wrapText="1"/>
      <protection locked="0"/>
    </xf>
    <xf numFmtId="9" fontId="8" fillId="0" borderId="18"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9" fontId="8" fillId="0" borderId="27"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0" borderId="17" xfId="8" applyFont="1" applyFill="1" applyBorder="1" applyAlignment="1" applyProtection="1">
      <alignment horizontal="center" vertical="center" wrapText="1"/>
      <protection locked="0"/>
    </xf>
    <xf numFmtId="9" fontId="13" fillId="0" borderId="18"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9"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10" xfId="8" applyFont="1" applyFill="1" applyBorder="1" applyAlignment="1" applyProtection="1">
      <alignment horizontal="center" vertical="center" wrapText="1"/>
      <protection locked="0"/>
    </xf>
    <xf numFmtId="9" fontId="13" fillId="0" borderId="12" xfId="8" applyFont="1" applyFill="1" applyBorder="1" applyAlignment="1" applyProtection="1">
      <alignment horizontal="center" vertical="center" wrapText="1"/>
      <protection locked="0"/>
    </xf>
    <xf numFmtId="0" fontId="9" fillId="0" borderId="16" xfId="1" applyFont="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28"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1" fontId="9"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left" vertical="top" wrapText="1"/>
      <protection locked="0"/>
    </xf>
    <xf numFmtId="164" fontId="13" fillId="0" borderId="1" xfId="1" applyNumberFormat="1" applyFont="1" applyBorder="1" applyAlignment="1" applyProtection="1">
      <alignment horizontal="left" vertical="top"/>
      <protection locked="0"/>
    </xf>
    <xf numFmtId="2" fontId="13"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6" fillId="0" borderId="25" xfId="1" applyFont="1" applyBorder="1" applyAlignment="1" applyProtection="1">
      <alignment horizontal="left" vertical="top"/>
      <protection locked="0"/>
    </xf>
    <xf numFmtId="0" fontId="16" fillId="0" borderId="0" xfId="1" applyFont="1" applyAlignment="1" applyProtection="1">
      <alignment horizontal="left" vertical="top"/>
      <protection locked="0"/>
    </xf>
    <xf numFmtId="0" fontId="16" fillId="0" borderId="26"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Fill="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3" fillId="0" borderId="1" xfId="1" applyFont="1" applyBorder="1" applyAlignment="1" applyProtection="1">
      <alignment horizontal="left"/>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Fill="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1" fontId="9" fillId="0" borderId="32"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14" fillId="0" borderId="1" xfId="1" applyNumberFormat="1" applyFont="1" applyBorder="1" applyAlignment="1" applyProtection="1">
      <alignment horizontal="center" vertical="top" wrapText="1"/>
      <protection locked="0"/>
    </xf>
    <xf numFmtId="0" fontId="8" fillId="0" borderId="25" xfId="1" applyFont="1" applyBorder="1" applyAlignment="1">
      <alignment horizontal="center"/>
    </xf>
    <xf numFmtId="0" fontId="8" fillId="0" borderId="0" xfId="1" applyFont="1" applyAlignment="1">
      <alignment horizontal="center"/>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14" fontId="9" fillId="0" borderId="8" xfId="1" applyNumberFormat="1" applyFont="1" applyBorder="1" applyAlignment="1" applyProtection="1">
      <alignment horizontal="left" vertical="top"/>
      <protection locked="0"/>
    </xf>
    <xf numFmtId="14" fontId="9" fillId="0" borderId="9" xfId="1" applyNumberFormat="1" applyFont="1" applyBorder="1" applyAlignment="1" applyProtection="1">
      <alignment horizontal="left" vertical="top"/>
      <protection locked="0"/>
    </xf>
    <xf numFmtId="0" fontId="16" fillId="0" borderId="19" xfId="1" applyFont="1" applyBorder="1" applyAlignment="1" applyProtection="1">
      <alignment horizontal="left" vertical="top"/>
      <protection locked="0"/>
    </xf>
    <xf numFmtId="0" fontId="16" fillId="0" borderId="2" xfId="1" applyFont="1" applyBorder="1" applyAlignment="1" applyProtection="1">
      <alignment horizontal="left" vertical="top"/>
      <protection locked="0"/>
    </xf>
    <xf numFmtId="0" fontId="16" fillId="0" borderId="20" xfId="1" applyFont="1" applyBorder="1" applyAlignment="1" applyProtection="1">
      <alignment horizontal="left" vertical="top"/>
      <protection locked="0"/>
    </xf>
    <xf numFmtId="1" fontId="9" fillId="0" borderId="1" xfId="0" applyNumberFormat="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0" fontId="11" fillId="0" borderId="3" xfId="0" applyFont="1" applyBorder="1" applyAlignment="1" applyProtection="1">
      <alignment horizontal="center" vertical="center"/>
      <protection locked="0"/>
    </xf>
    <xf numFmtId="0" fontId="8" fillId="0" borderId="0" xfId="1" applyFont="1" applyAlignment="1">
      <alignment horizontal="center" vertical="center"/>
    </xf>
    <xf numFmtId="1" fontId="9" fillId="0" borderId="1"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0" fontId="10" fillId="0" borderId="1" xfId="5" applyFont="1" applyBorder="1" applyAlignment="1">
      <alignment horizontal="left"/>
    </xf>
    <xf numFmtId="0" fontId="0" fillId="2" borderId="1" xfId="0" applyFill="1" applyBorder="1" applyAlignment="1">
      <alignment horizontal="center" vertical="center" wrapText="1"/>
    </xf>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476250</xdr:colOff>
      <xdr:row>14</xdr:row>
      <xdr:rowOff>57150</xdr:rowOff>
    </xdr:from>
    <xdr:to>
      <xdr:col>12</xdr:col>
      <xdr:colOff>761520</xdr:colOff>
      <xdr:row>16</xdr:row>
      <xdr:rowOff>152286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91325" y="3238500"/>
          <a:ext cx="3838095" cy="914286"/>
        </a:xfrm>
        <a:prstGeom prst="rect">
          <a:avLst/>
        </a:prstGeom>
      </xdr:spPr>
    </xdr:pic>
    <xdr:clientData/>
  </xdr:twoCellAnchor>
  <xdr:twoCellAnchor editAs="oneCell">
    <xdr:from>
      <xdr:col>8</xdr:col>
      <xdr:colOff>428625</xdr:colOff>
      <xdr:row>45</xdr:row>
      <xdr:rowOff>104775</xdr:rowOff>
    </xdr:from>
    <xdr:to>
      <xdr:col>12</xdr:col>
      <xdr:colOff>475800</xdr:colOff>
      <xdr:row>50</xdr:row>
      <xdr:rowOff>189794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743700" y="10506075"/>
          <a:ext cx="3600000" cy="1313744"/>
        </a:xfrm>
        <a:prstGeom prst="rect">
          <a:avLst/>
        </a:prstGeom>
        <a:ln>
          <a:solidFill>
            <a:sysClr val="windowText" lastClr="000000"/>
          </a:solidFill>
        </a:ln>
      </xdr:spPr>
    </xdr:pic>
    <xdr:clientData/>
  </xdr:twoCellAnchor>
  <xdr:twoCellAnchor editAs="oneCell">
    <xdr:from>
      <xdr:col>8</xdr:col>
      <xdr:colOff>419100</xdr:colOff>
      <xdr:row>51</xdr:row>
      <xdr:rowOff>57150</xdr:rowOff>
    </xdr:from>
    <xdr:to>
      <xdr:col>12</xdr:col>
      <xdr:colOff>466275</xdr:colOff>
      <xdr:row>64</xdr:row>
      <xdr:rowOff>154005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734175" y="11887200"/>
          <a:ext cx="3600000" cy="1497030"/>
        </a:xfrm>
        <a:prstGeom prst="rect">
          <a:avLst/>
        </a:prstGeom>
        <a:ln>
          <a:solidFill>
            <a:sysClr val="windowText" lastClr="000000"/>
          </a:solidFill>
        </a:ln>
      </xdr:spPr>
    </xdr:pic>
    <xdr:clientData/>
  </xdr:twoCellAnchor>
  <xdr:twoCellAnchor>
    <xdr:from>
      <xdr:col>0</xdr:col>
      <xdr:colOff>276225</xdr:colOff>
      <xdr:row>247</xdr:row>
      <xdr:rowOff>38101</xdr:rowOff>
    </xdr:from>
    <xdr:to>
      <xdr:col>7</xdr:col>
      <xdr:colOff>447675</xdr:colOff>
      <xdr:row>287</xdr:row>
      <xdr:rowOff>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276225" y="44148376"/>
          <a:ext cx="5753100" cy="7962900"/>
          <a:chOff x="535197" y="238484"/>
          <a:chExt cx="5753100" cy="8180448"/>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535197" y="4313657"/>
            <a:ext cx="5753100" cy="4105275"/>
          </a:xfrm>
          <a:prstGeom prst="rect">
            <a:avLst/>
          </a:prstGeom>
          <a:ln>
            <a:solidFill>
              <a:schemeClr val="tx1"/>
            </a:solidFill>
          </a:ln>
        </xdr:spPr>
      </xdr:pic>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1478172" y="238484"/>
            <a:ext cx="3867150" cy="3905250"/>
          </a:xfrm>
          <a:prstGeom prst="rect">
            <a:avLst/>
          </a:prstGeom>
          <a:ln>
            <a:solidFill>
              <a:schemeClr val="tx1"/>
            </a:solidFill>
          </a:ln>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2549525" y="5229225"/>
            <a:ext cx="1073150" cy="793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4">
            <a:extLst>
              <a:ext uri="{FF2B5EF4-FFF2-40B4-BE49-F238E27FC236}">
                <a16:creationId xmlns:a16="http://schemas.microsoft.com/office/drawing/2014/main" id="{00000000-0008-0000-0000-00000A000000}"/>
              </a:ext>
            </a:extLst>
          </xdr:cNvPr>
          <xdr:cNvSpPr txBox="1"/>
        </xdr:nvSpPr>
        <xdr:spPr>
          <a:xfrm>
            <a:off x="3622675" y="5472211"/>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5</a:t>
            </a:r>
          </a:p>
        </xdr:txBody>
      </xdr:sp>
      <xdr:sp macro="" textlink="">
        <xdr:nvSpPr>
          <xdr:cNvPr id="11" name="TextBox 5">
            <a:extLst>
              <a:ext uri="{FF2B5EF4-FFF2-40B4-BE49-F238E27FC236}">
                <a16:creationId xmlns:a16="http://schemas.microsoft.com/office/drawing/2014/main" id="{00000000-0008-0000-0000-00000B000000}"/>
              </a:ext>
            </a:extLst>
          </xdr:cNvPr>
          <xdr:cNvSpPr txBox="1"/>
        </xdr:nvSpPr>
        <xdr:spPr>
          <a:xfrm>
            <a:off x="1590675" y="1883332"/>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5</a:t>
            </a:r>
          </a:p>
        </xdr:txBody>
      </xdr:sp>
    </xdr:grpSp>
    <xdr:clientData/>
  </xdr:twoCellAnchor>
  <xdr:twoCellAnchor>
    <xdr:from>
      <xdr:col>0</xdr:col>
      <xdr:colOff>590550</xdr:colOff>
      <xdr:row>290</xdr:row>
      <xdr:rowOff>19050</xdr:rowOff>
    </xdr:from>
    <xdr:to>
      <xdr:col>7</xdr:col>
      <xdr:colOff>202003</xdr:colOff>
      <xdr:row>327</xdr:row>
      <xdr:rowOff>71347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590550" y="52730400"/>
          <a:ext cx="5193103" cy="7453222"/>
          <a:chOff x="897145" y="241540"/>
          <a:chExt cx="5193103" cy="7453222"/>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086927" y="241540"/>
            <a:ext cx="4813540" cy="3623094"/>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897145" y="4019909"/>
            <a:ext cx="5193103" cy="3674853"/>
            <a:chOff x="897145" y="4019909"/>
            <a:chExt cx="5193103" cy="3674853"/>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897145" y="4019909"/>
              <a:ext cx="5193103" cy="3674853"/>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21443464">
              <a:off x="2549393" y="5128116"/>
              <a:ext cx="1380227" cy="119044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606425</xdr:colOff>
      <xdr:row>202</xdr:row>
      <xdr:rowOff>111125</xdr:rowOff>
    </xdr:from>
    <xdr:to>
      <xdr:col>15</xdr:col>
      <xdr:colOff>96816</xdr:colOff>
      <xdr:row>236</xdr:row>
      <xdr:rowOff>29575</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6921500" y="35229800"/>
          <a:ext cx="5481616" cy="6709775"/>
          <a:chOff x="425450" y="34798000"/>
          <a:chExt cx="5754666" cy="660500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25450" y="34798000"/>
            <a:ext cx="5754666" cy="432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222556" y="39243000"/>
            <a:ext cx="161831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86042" y="39243000"/>
            <a:ext cx="1618313"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454299" y="39243000"/>
            <a:ext cx="1618313" cy="2160000"/>
          </a:xfrm>
          <a:prstGeom prst="rect">
            <a:avLst/>
          </a:prstGeom>
          <a:ln>
            <a:solidFill>
              <a:schemeClr val="tx1"/>
            </a:solidFill>
          </a:ln>
        </xdr:spPr>
      </xdr:pic>
    </xdr:grpSp>
    <xdr:clientData/>
  </xdr:twoCellAnchor>
  <xdr:twoCellAnchor>
    <xdr:from>
      <xdr:col>0</xdr:col>
      <xdr:colOff>419100</xdr:colOff>
      <xdr:row>203</xdr:row>
      <xdr:rowOff>142875</xdr:rowOff>
    </xdr:from>
    <xdr:to>
      <xdr:col>7</xdr:col>
      <xdr:colOff>433049</xdr:colOff>
      <xdr:row>243</xdr:row>
      <xdr:rowOff>67802</xdr:rowOff>
    </xdr:to>
    <xdr:grpSp>
      <xdr:nvGrpSpPr>
        <xdr:cNvPr id="21" name="Group 20">
          <a:extLst>
            <a:ext uri="{FF2B5EF4-FFF2-40B4-BE49-F238E27FC236}">
              <a16:creationId xmlns:a16="http://schemas.microsoft.com/office/drawing/2014/main" id="{C6B50100-D22D-4521-8F9D-2B615214C295}"/>
            </a:ext>
          </a:extLst>
        </xdr:cNvPr>
        <xdr:cNvGrpSpPr/>
      </xdr:nvGrpSpPr>
      <xdr:grpSpPr>
        <a:xfrm>
          <a:off x="419100" y="35461575"/>
          <a:ext cx="5595599" cy="7916402"/>
          <a:chOff x="729000" y="342900"/>
          <a:chExt cx="5595599" cy="7916402"/>
        </a:xfrm>
      </xdr:grpSpPr>
      <xdr:pic>
        <xdr:nvPicPr>
          <xdr:cNvPr id="25" name="Picture 24">
            <a:extLst>
              <a:ext uri="{FF2B5EF4-FFF2-40B4-BE49-F238E27FC236}">
                <a16:creationId xmlns:a16="http://schemas.microsoft.com/office/drawing/2014/main" id="{2CF806EA-CBDB-4B1E-B296-5BD5C190B90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rot="5400000">
            <a:off x="3174599" y="792900"/>
            <a:ext cx="3600000" cy="2700000"/>
          </a:xfrm>
          <a:prstGeom prst="rect">
            <a:avLst/>
          </a:prstGeom>
          <a:ln>
            <a:solidFill>
              <a:schemeClr val="tx1"/>
            </a:solidFill>
          </a:ln>
        </xdr:spPr>
      </xdr:pic>
      <xdr:pic>
        <xdr:nvPicPr>
          <xdr:cNvPr id="26" name="Picture 25">
            <a:extLst>
              <a:ext uri="{FF2B5EF4-FFF2-40B4-BE49-F238E27FC236}">
                <a16:creationId xmlns:a16="http://schemas.microsoft.com/office/drawing/2014/main" id="{6A5570FD-B4F2-4938-84BD-D145EC80B2DB}"/>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rot="5400000">
            <a:off x="279000" y="792900"/>
            <a:ext cx="3600000" cy="2700000"/>
          </a:xfrm>
          <a:prstGeom prst="rect">
            <a:avLst/>
          </a:prstGeom>
          <a:ln>
            <a:solidFill>
              <a:schemeClr val="tx1"/>
            </a:solidFill>
          </a:ln>
        </xdr:spPr>
      </xdr:pic>
      <xdr:pic>
        <xdr:nvPicPr>
          <xdr:cNvPr id="27" name="Picture 26">
            <a:extLst>
              <a:ext uri="{FF2B5EF4-FFF2-40B4-BE49-F238E27FC236}">
                <a16:creationId xmlns:a16="http://schemas.microsoft.com/office/drawing/2014/main" id="{419D0940-2A56-43AD-AEEB-59BCE530DC1E}"/>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rot="5400000">
            <a:off x="621052" y="4391101"/>
            <a:ext cx="2160000" cy="1620000"/>
          </a:xfrm>
          <a:prstGeom prst="rect">
            <a:avLst/>
          </a:prstGeom>
          <a:ln>
            <a:solidFill>
              <a:schemeClr val="tx1"/>
            </a:solidFill>
          </a:ln>
        </xdr:spPr>
      </xdr:pic>
      <xdr:pic>
        <xdr:nvPicPr>
          <xdr:cNvPr id="28" name="Picture 27">
            <a:extLst>
              <a:ext uri="{FF2B5EF4-FFF2-40B4-BE49-F238E27FC236}">
                <a16:creationId xmlns:a16="http://schemas.microsoft.com/office/drawing/2014/main" id="{BAE45EA7-9A1E-4D4D-A615-C4132AB8164A}"/>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rot="5400000">
            <a:off x="2404899" y="4391101"/>
            <a:ext cx="2160000" cy="1620000"/>
          </a:xfrm>
          <a:prstGeom prst="rect">
            <a:avLst/>
          </a:prstGeom>
          <a:ln>
            <a:solidFill>
              <a:schemeClr val="tx1"/>
            </a:solidFill>
          </a:ln>
        </xdr:spPr>
      </xdr:pic>
      <xdr:pic>
        <xdr:nvPicPr>
          <xdr:cNvPr id="29" name="Picture 28">
            <a:extLst>
              <a:ext uri="{FF2B5EF4-FFF2-40B4-BE49-F238E27FC236}">
                <a16:creationId xmlns:a16="http://schemas.microsoft.com/office/drawing/2014/main" id="{8052F22D-D8FD-491D-A840-CC540ABB355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rot="5400000">
            <a:off x="4188746" y="4391101"/>
            <a:ext cx="2160000" cy="1620000"/>
          </a:xfrm>
          <a:prstGeom prst="rect">
            <a:avLst/>
          </a:prstGeom>
          <a:ln>
            <a:solidFill>
              <a:schemeClr val="tx1"/>
            </a:solidFill>
          </a:ln>
        </xdr:spPr>
      </xdr:pic>
      <xdr:pic>
        <xdr:nvPicPr>
          <xdr:cNvPr id="31" name="Picture 30">
            <a:extLst>
              <a:ext uri="{FF2B5EF4-FFF2-40B4-BE49-F238E27FC236}">
                <a16:creationId xmlns:a16="http://schemas.microsoft.com/office/drawing/2014/main" id="{41227564-4B66-427D-B114-1A150B369C2B}"/>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rot="16200000">
            <a:off x="1854000" y="6684302"/>
            <a:ext cx="1800000" cy="1350000"/>
          </a:xfrm>
          <a:prstGeom prst="rect">
            <a:avLst/>
          </a:prstGeom>
          <a:ln>
            <a:solidFill>
              <a:schemeClr val="tx1"/>
            </a:solidFill>
          </a:ln>
        </xdr:spPr>
      </xdr:pic>
      <xdr:pic>
        <xdr:nvPicPr>
          <xdr:cNvPr id="32" name="Picture 31">
            <a:extLst>
              <a:ext uri="{FF2B5EF4-FFF2-40B4-BE49-F238E27FC236}">
                <a16:creationId xmlns:a16="http://schemas.microsoft.com/office/drawing/2014/main" id="{1F977B39-CE9B-421F-8F30-319E7E6FB41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rot="5400000">
            <a:off x="3399599" y="6684302"/>
            <a:ext cx="1800000" cy="135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728381</xdr:colOff>
      <xdr:row>16</xdr:row>
      <xdr:rowOff>89647</xdr:rowOff>
    </xdr:from>
    <xdr:to>
      <xdr:col>5</xdr:col>
      <xdr:colOff>659911</xdr:colOff>
      <xdr:row>24</xdr:row>
      <xdr:rowOff>129264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11087" y="3148853"/>
          <a:ext cx="5400000" cy="1563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fJ6WNxC24kgkhfD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89"/>
  <sheetViews>
    <sheetView tabSelected="1" view="pageBreakPreview" zoomScaleNormal="100" zoomScaleSheetLayoutView="100" zoomScalePageLayoutView="85" workbookViewId="0">
      <selection activeCell="I6" sqref="I6"/>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22" t="s">
        <v>162</v>
      </c>
      <c r="B1" s="222"/>
      <c r="C1" s="222"/>
      <c r="D1" s="222"/>
      <c r="E1" s="222"/>
      <c r="F1" s="222"/>
      <c r="G1" s="222"/>
      <c r="H1" s="222"/>
    </row>
    <row r="2" spans="1:26" ht="16.5" customHeight="1" x14ac:dyDescent="0.25">
      <c r="A2" s="223" t="s">
        <v>0</v>
      </c>
      <c r="B2" s="223"/>
      <c r="C2" s="223"/>
      <c r="D2" s="223"/>
      <c r="E2" s="223"/>
      <c r="F2" s="223"/>
      <c r="G2" s="223"/>
      <c r="H2" s="223"/>
    </row>
    <row r="3" spans="1:26" x14ac:dyDescent="0.25">
      <c r="A3" s="188" t="s">
        <v>1</v>
      </c>
      <c r="B3" s="188"/>
      <c r="C3" s="188"/>
      <c r="D3" s="188"/>
      <c r="E3" s="188" t="str">
        <f ca="1">TEXT(TODAY(),"DD/MM/YYYY")</f>
        <v>16/07/2025</v>
      </c>
      <c r="F3" s="188"/>
      <c r="G3" s="188"/>
      <c r="H3" s="188"/>
      <c r="K3" s="56" t="s">
        <v>236</v>
      </c>
      <c r="L3" s="53" t="s">
        <v>234</v>
      </c>
      <c r="M3" s="53" t="s">
        <v>239</v>
      </c>
      <c r="N3" s="53" t="s">
        <v>237</v>
      </c>
      <c r="O3" s="53" t="s">
        <v>343</v>
      </c>
      <c r="P3" s="53" t="s">
        <v>240</v>
      </c>
    </row>
    <row r="4" spans="1:26" ht="15" customHeight="1" x14ac:dyDescent="0.25">
      <c r="A4" s="188" t="s">
        <v>233</v>
      </c>
      <c r="B4" s="188"/>
      <c r="C4" s="188"/>
      <c r="D4" s="188"/>
      <c r="E4" s="188" t="s">
        <v>234</v>
      </c>
      <c r="F4" s="188"/>
      <c r="G4" s="188"/>
      <c r="H4" s="188"/>
      <c r="K4" s="52" t="s">
        <v>235</v>
      </c>
      <c r="L4" s="53" t="s">
        <v>169</v>
      </c>
      <c r="M4" s="53" t="s">
        <v>244</v>
      </c>
      <c r="N4" s="53" t="s">
        <v>246</v>
      </c>
      <c r="O4" s="53" t="s">
        <v>344</v>
      </c>
      <c r="P4" s="53"/>
    </row>
    <row r="5" spans="1:26" ht="15" customHeight="1" x14ac:dyDescent="0.25">
      <c r="A5" s="188" t="s">
        <v>2</v>
      </c>
      <c r="B5" s="188"/>
      <c r="C5" s="188"/>
      <c r="D5" s="188"/>
      <c r="E5" s="188" t="s">
        <v>169</v>
      </c>
      <c r="F5" s="188"/>
      <c r="G5" s="188"/>
      <c r="H5" s="188"/>
      <c r="K5" s="52"/>
      <c r="L5" s="53" t="s">
        <v>241</v>
      </c>
      <c r="M5" s="53" t="s">
        <v>245</v>
      </c>
      <c r="N5" s="53" t="s">
        <v>247</v>
      </c>
      <c r="O5" s="53" t="s">
        <v>345</v>
      </c>
      <c r="P5" s="53"/>
    </row>
    <row r="6" spans="1:26" x14ac:dyDescent="0.25">
      <c r="A6" s="188" t="s">
        <v>3</v>
      </c>
      <c r="B6" s="188"/>
      <c r="C6" s="188"/>
      <c r="D6" s="188"/>
      <c r="E6" s="224">
        <v>45848</v>
      </c>
      <c r="F6" s="214"/>
      <c r="G6" s="214"/>
      <c r="H6" s="214"/>
      <c r="K6" s="52"/>
      <c r="L6" s="53" t="s">
        <v>242</v>
      </c>
      <c r="M6" s="53"/>
      <c r="N6" s="53"/>
      <c r="O6" s="53" t="s">
        <v>346</v>
      </c>
      <c r="P6" s="53"/>
    </row>
    <row r="7" spans="1:26" ht="16.5" customHeight="1" x14ac:dyDescent="0.25">
      <c r="A7" s="188" t="s">
        <v>4</v>
      </c>
      <c r="B7" s="188"/>
      <c r="C7" s="188"/>
      <c r="D7" s="188"/>
      <c r="E7" s="188" t="s">
        <v>351</v>
      </c>
      <c r="F7" s="188"/>
      <c r="G7" s="188"/>
      <c r="H7" s="188"/>
      <c r="K7" s="52"/>
      <c r="L7" s="53" t="s">
        <v>243</v>
      </c>
      <c r="M7" s="53"/>
      <c r="N7" s="53"/>
      <c r="O7" s="53" t="s">
        <v>346</v>
      </c>
      <c r="P7" s="53"/>
    </row>
    <row r="8" spans="1:26" ht="15" customHeight="1" x14ac:dyDescent="0.25">
      <c r="A8" s="188" t="s">
        <v>5</v>
      </c>
      <c r="B8" s="188"/>
      <c r="C8" s="188"/>
      <c r="D8" s="188"/>
      <c r="E8" s="188" t="str">
        <f>E7</f>
        <v>Salasar Realtors</v>
      </c>
      <c r="F8" s="188"/>
      <c r="G8" s="188"/>
      <c r="H8" s="188"/>
      <c r="K8" s="52"/>
      <c r="L8" s="53"/>
      <c r="M8" s="53"/>
      <c r="N8" s="53"/>
      <c r="O8" s="53" t="s">
        <v>347</v>
      </c>
      <c r="P8" s="53"/>
    </row>
    <row r="9" spans="1:26" x14ac:dyDescent="0.25">
      <c r="A9" s="188" t="s">
        <v>6</v>
      </c>
      <c r="B9" s="188"/>
      <c r="C9" s="188"/>
      <c r="D9" s="188"/>
      <c r="E9" s="125" t="s">
        <v>352</v>
      </c>
      <c r="F9" s="125"/>
      <c r="G9" s="125"/>
      <c r="H9" s="125"/>
      <c r="K9" s="52"/>
      <c r="L9" s="53"/>
      <c r="M9" s="53"/>
      <c r="N9" s="53"/>
      <c r="O9" s="53" t="s">
        <v>348</v>
      </c>
      <c r="P9" s="53"/>
    </row>
    <row r="10" spans="1:26" x14ac:dyDescent="0.25">
      <c r="A10" s="188" t="s">
        <v>165</v>
      </c>
      <c r="B10" s="188"/>
      <c r="C10" s="188"/>
      <c r="D10" s="188"/>
      <c r="E10" s="188">
        <v>8692814999</v>
      </c>
      <c r="F10" s="188"/>
      <c r="G10" s="188"/>
      <c r="H10" s="188"/>
      <c r="K10" s="52"/>
      <c r="L10" s="53"/>
      <c r="M10" s="53"/>
      <c r="N10" s="53"/>
      <c r="O10" s="53" t="s">
        <v>349</v>
      </c>
      <c r="P10" s="53"/>
    </row>
    <row r="11" spans="1:26" x14ac:dyDescent="0.25">
      <c r="A11" s="188" t="s">
        <v>166</v>
      </c>
      <c r="B11" s="188"/>
      <c r="C11" s="188"/>
      <c r="D11" s="188"/>
      <c r="E11" s="214" t="s">
        <v>400</v>
      </c>
      <c r="F11" s="214"/>
      <c r="G11" s="214"/>
      <c r="H11" s="214"/>
      <c r="I11" s="214" t="s">
        <v>399</v>
      </c>
      <c r="J11" s="214"/>
      <c r="K11" s="214"/>
      <c r="L11" s="214"/>
      <c r="O11" s="53" t="s">
        <v>350</v>
      </c>
    </row>
    <row r="12" spans="1:26" x14ac:dyDescent="0.25">
      <c r="A12" s="188" t="s">
        <v>7</v>
      </c>
      <c r="B12" s="188"/>
      <c r="C12" s="188"/>
      <c r="D12" s="188"/>
      <c r="E12" s="188" t="s">
        <v>353</v>
      </c>
      <c r="F12" s="188"/>
      <c r="G12" s="188"/>
      <c r="H12" s="188"/>
    </row>
    <row r="13" spans="1:26" x14ac:dyDescent="0.25">
      <c r="A13" s="188" t="s">
        <v>170</v>
      </c>
      <c r="B13" s="188"/>
      <c r="C13" s="188"/>
      <c r="D13" s="188"/>
      <c r="E13" s="188" t="s">
        <v>28</v>
      </c>
      <c r="F13" s="188"/>
      <c r="G13" s="188"/>
      <c r="H13" s="188"/>
      <c r="S13" s="53" t="s">
        <v>179</v>
      </c>
      <c r="T13" s="53" t="s">
        <v>188</v>
      </c>
      <c r="U13" s="53" t="s">
        <v>171</v>
      </c>
      <c r="V13" s="53" t="s">
        <v>193</v>
      </c>
      <c r="W13" s="53" t="s">
        <v>211</v>
      </c>
      <c r="X13"/>
      <c r="Y13" t="s">
        <v>193</v>
      </c>
      <c r="Z13" t="e">
        <f ca="1">OFFSET($S$13,1,MATCH($G20,$S$13:$W$13,0)-1,15,1)</f>
        <v>#VALUE!</v>
      </c>
    </row>
    <row r="14" spans="1:26" x14ac:dyDescent="0.25">
      <c r="A14" s="101" t="s">
        <v>279</v>
      </c>
      <c r="B14" s="101"/>
      <c r="C14" s="101"/>
      <c r="D14" s="101"/>
      <c r="E14" s="150" t="s">
        <v>354</v>
      </c>
      <c r="F14" s="150"/>
      <c r="G14" s="150"/>
      <c r="H14" s="150"/>
      <c r="S14" s="53" t="s">
        <v>179</v>
      </c>
      <c r="T14" s="53" t="s">
        <v>186</v>
      </c>
      <c r="U14" s="53" t="s">
        <v>208</v>
      </c>
      <c r="V14" s="53" t="s">
        <v>194</v>
      </c>
      <c r="W14" s="53" t="s">
        <v>212</v>
      </c>
      <c r="X14"/>
      <c r="Y14"/>
      <c r="Z14"/>
    </row>
    <row r="15" spans="1:26" x14ac:dyDescent="0.25">
      <c r="A15" s="101" t="s">
        <v>8</v>
      </c>
      <c r="B15" s="101"/>
      <c r="C15" s="101"/>
      <c r="D15" s="101"/>
      <c r="E15" s="150" t="s">
        <v>355</v>
      </c>
      <c r="F15" s="215"/>
      <c r="G15" s="215"/>
      <c r="H15" s="215"/>
      <c r="I15" s="235" t="e">
        <f ca="1">OFFSET($D$5,1,MATCH($J13,$D$5:$H$5,0)-1,15,1)</f>
        <v>#N/A</v>
      </c>
      <c r="J15" s="236"/>
      <c r="K15" s="236"/>
      <c r="L15" s="236"/>
      <c r="M15" s="236"/>
      <c r="N15" s="236"/>
      <c r="O15" s="236"/>
      <c r="P15" s="236"/>
      <c r="S15" s="53" t="s">
        <v>180</v>
      </c>
      <c r="T15" s="53" t="s">
        <v>187</v>
      </c>
      <c r="U15" s="53" t="s">
        <v>209</v>
      </c>
      <c r="V15" s="53" t="s">
        <v>195</v>
      </c>
      <c r="W15" s="53" t="s">
        <v>225</v>
      </c>
      <c r="X15"/>
      <c r="Y15"/>
      <c r="Z15"/>
    </row>
    <row r="16" spans="1:26" ht="48.75" customHeight="1" x14ac:dyDescent="0.25">
      <c r="A16" s="211" t="s">
        <v>9</v>
      </c>
      <c r="B16" s="211"/>
      <c r="C16" s="211" t="str">
        <f>CONCATENATE((IF(OR(E9="",E9="NA"),"",E9)),", ",(IF(OR(A17="",A17="NA"),"",A17)),".",(IF(OR(C17="",C17="NA"),"",C17)),", near ",(IF(OR(C22="",C22="NA"),"",C22)),", ",(IF(OR(C19="",C19="NA"),"",C19)),", ",(IF(OR(C18="",C18="NA"),"",C18)),", ",(IF(OR(G19="",G19="NA"),"",G19)),", ",(IF(OR(C20="",C20="NA"),"",C20)),", ",(IF(OR(C21="",C21="NA"),"",C21)),", ",(IF(OR(G20="",G20="NA"),"",G20))," - ",(IF(OR(G21="",G21="NA"),"",G21)),".")</f>
        <v>Salasar Kasturi Solitaire, Survey No.670(253), 671(261) H.No. 2 &amp; 3, 671(261) H.No. 1B/6, near Sunrise Building, Swami Satyanand Maharaj Road, Mira Bhayandar, Bhayandar, Bhayandar West, Thane, Thane - 401101.</v>
      </c>
      <c r="D16" s="211"/>
      <c r="E16" s="211"/>
      <c r="F16" s="211"/>
      <c r="G16" s="211"/>
      <c r="H16" s="211"/>
      <c r="S16" s="53" t="s">
        <v>181</v>
      </c>
      <c r="T16" s="53" t="s">
        <v>189</v>
      </c>
      <c r="U16" s="53" t="s">
        <v>210</v>
      </c>
      <c r="V16" s="53" t="s">
        <v>196</v>
      </c>
      <c r="W16" s="53" t="s">
        <v>213</v>
      </c>
      <c r="X16"/>
      <c r="Y16"/>
      <c r="Z16"/>
    </row>
    <row r="17" spans="1:26" x14ac:dyDescent="0.25">
      <c r="A17" s="150" t="s">
        <v>356</v>
      </c>
      <c r="B17" s="150"/>
      <c r="C17" s="150" t="s">
        <v>358</v>
      </c>
      <c r="D17" s="150"/>
      <c r="E17" s="150"/>
      <c r="F17" s="150"/>
      <c r="G17" s="150"/>
      <c r="H17" s="150"/>
      <c r="S17" s="53" t="s">
        <v>182</v>
      </c>
      <c r="T17" s="53" t="s">
        <v>190</v>
      </c>
      <c r="U17" s="53" t="s">
        <v>171</v>
      </c>
      <c r="V17" s="53" t="s">
        <v>197</v>
      </c>
      <c r="W17" s="53" t="s">
        <v>214</v>
      </c>
      <c r="X17"/>
      <c r="Y17"/>
      <c r="Z17"/>
    </row>
    <row r="18" spans="1:26" ht="15.75" customHeight="1" x14ac:dyDescent="0.25">
      <c r="A18" s="150" t="s">
        <v>160</v>
      </c>
      <c r="B18" s="150"/>
      <c r="C18" s="150" t="s">
        <v>361</v>
      </c>
      <c r="D18" s="150"/>
      <c r="E18" s="150"/>
      <c r="F18" s="150"/>
      <c r="G18" s="150"/>
      <c r="H18" s="150"/>
      <c r="S18" s="53" t="s">
        <v>183</v>
      </c>
      <c r="T18" s="53" t="s">
        <v>188</v>
      </c>
      <c r="U18" s="53"/>
      <c r="V18" s="53" t="s">
        <v>198</v>
      </c>
      <c r="W18" s="53" t="s">
        <v>215</v>
      </c>
      <c r="X18"/>
      <c r="Y18"/>
      <c r="Z18"/>
    </row>
    <row r="19" spans="1:26" ht="32.25" customHeight="1" x14ac:dyDescent="0.25">
      <c r="A19" s="211" t="s">
        <v>10</v>
      </c>
      <c r="B19" s="211"/>
      <c r="C19" s="150" t="s">
        <v>362</v>
      </c>
      <c r="D19" s="150"/>
      <c r="E19" s="211" t="s">
        <v>70</v>
      </c>
      <c r="F19" s="211"/>
      <c r="G19" s="150" t="s">
        <v>357</v>
      </c>
      <c r="H19" s="150"/>
      <c r="S19" s="53" t="s">
        <v>184</v>
      </c>
      <c r="T19" s="53" t="s">
        <v>191</v>
      </c>
      <c r="U19" s="53"/>
      <c r="V19" s="53" t="s">
        <v>199</v>
      </c>
      <c r="W19" s="53" t="s">
        <v>216</v>
      </c>
      <c r="X19"/>
      <c r="Y19"/>
      <c r="Z19"/>
    </row>
    <row r="20" spans="1:26" x14ac:dyDescent="0.25">
      <c r="A20" s="101" t="s">
        <v>12</v>
      </c>
      <c r="B20" s="101"/>
      <c r="C20" s="150" t="s">
        <v>363</v>
      </c>
      <c r="D20" s="150"/>
      <c r="E20" s="150" t="s">
        <v>11</v>
      </c>
      <c r="F20" s="150"/>
      <c r="G20" s="216" t="s">
        <v>179</v>
      </c>
      <c r="H20" s="216"/>
      <c r="S20" s="53" t="s">
        <v>185</v>
      </c>
      <c r="T20" s="53" t="s">
        <v>192</v>
      </c>
      <c r="U20" s="53"/>
      <c r="V20" s="53" t="s">
        <v>200</v>
      </c>
      <c r="W20" s="53" t="s">
        <v>217</v>
      </c>
      <c r="X20"/>
      <c r="Y20"/>
      <c r="Z20"/>
    </row>
    <row r="21" spans="1:26" x14ac:dyDescent="0.25">
      <c r="A21" s="101" t="s">
        <v>71</v>
      </c>
      <c r="B21" s="101"/>
      <c r="C21" s="150" t="s">
        <v>179</v>
      </c>
      <c r="D21" s="150"/>
      <c r="E21" s="150" t="s">
        <v>13</v>
      </c>
      <c r="F21" s="150"/>
      <c r="G21" s="150">
        <v>401101</v>
      </c>
      <c r="H21" s="150"/>
      <c r="S21" s="53"/>
      <c r="T21" s="53"/>
      <c r="U21" s="53"/>
      <c r="V21" s="53" t="s">
        <v>201</v>
      </c>
      <c r="W21" s="53" t="s">
        <v>218</v>
      </c>
      <c r="X21"/>
      <c r="Y21"/>
      <c r="Z21"/>
    </row>
    <row r="22" spans="1:26" ht="46.5" customHeight="1" x14ac:dyDescent="0.25">
      <c r="A22" s="101" t="s">
        <v>119</v>
      </c>
      <c r="B22" s="101"/>
      <c r="C22" s="150" t="s">
        <v>364</v>
      </c>
      <c r="D22" s="150"/>
      <c r="E22" s="150" t="s">
        <v>14</v>
      </c>
      <c r="F22" s="150"/>
      <c r="G22" s="150" t="s">
        <v>392</v>
      </c>
      <c r="H22" s="150"/>
      <c r="S22" s="53"/>
      <c r="T22" s="53"/>
      <c r="U22" s="53"/>
      <c r="V22" s="53" t="s">
        <v>202</v>
      </c>
      <c r="W22" s="53" t="s">
        <v>219</v>
      </c>
      <c r="X22"/>
      <c r="Y22"/>
      <c r="Z22"/>
    </row>
    <row r="23" spans="1:26" ht="15" customHeight="1" x14ac:dyDescent="0.25">
      <c r="A23" s="211" t="s">
        <v>73</v>
      </c>
      <c r="B23" s="211"/>
      <c r="C23" s="211"/>
      <c r="D23" s="211"/>
      <c r="E23" s="188" t="s">
        <v>15</v>
      </c>
      <c r="F23" s="188"/>
      <c r="G23" s="188"/>
      <c r="H23" s="188"/>
      <c r="S23" s="53"/>
      <c r="T23" s="53"/>
      <c r="U23" s="53"/>
      <c r="V23" s="53" t="s">
        <v>203</v>
      </c>
      <c r="W23" s="53" t="s">
        <v>220</v>
      </c>
      <c r="X23"/>
      <c r="Y23"/>
      <c r="Z23"/>
    </row>
    <row r="24" spans="1:26" ht="18.75" customHeight="1" x14ac:dyDescent="0.25">
      <c r="A24" s="211"/>
      <c r="B24" s="211"/>
      <c r="C24" s="211"/>
      <c r="D24" s="211"/>
      <c r="E24" s="188"/>
      <c r="F24" s="188"/>
      <c r="G24" s="188"/>
      <c r="H24" s="188"/>
      <c r="S24" s="53"/>
      <c r="T24" s="53"/>
      <c r="U24" s="53"/>
      <c r="V24" s="53" t="s">
        <v>204</v>
      </c>
      <c r="W24" s="53" t="s">
        <v>221</v>
      </c>
      <c r="X24"/>
      <c r="Y24"/>
      <c r="Z24"/>
    </row>
    <row r="25" spans="1:26" ht="15" customHeight="1" x14ac:dyDescent="0.25">
      <c r="A25" s="211" t="s">
        <v>16</v>
      </c>
      <c r="B25" s="211"/>
      <c r="C25" s="211"/>
      <c r="D25" s="211"/>
      <c r="E25" s="150" t="s">
        <v>17</v>
      </c>
      <c r="F25" s="150"/>
      <c r="G25" s="150"/>
      <c r="H25" s="150"/>
      <c r="S25" s="53"/>
      <c r="T25" s="53"/>
      <c r="U25" s="53"/>
      <c r="V25" s="53" t="s">
        <v>205</v>
      </c>
      <c r="W25" s="53" t="s">
        <v>222</v>
      </c>
      <c r="X25"/>
      <c r="Y25"/>
      <c r="Z25"/>
    </row>
    <row r="26" spans="1:26" ht="15" customHeight="1" x14ac:dyDescent="0.25">
      <c r="A26" s="101" t="s">
        <v>18</v>
      </c>
      <c r="B26" s="101"/>
      <c r="C26" s="101"/>
      <c r="D26" s="101"/>
      <c r="E26" s="150" t="str">
        <f>IF(AND(G20="Mumbai"),"Upper Class","Middle Class")</f>
        <v>Middle Class</v>
      </c>
      <c r="F26" s="150"/>
      <c r="G26" s="150"/>
      <c r="H26" s="150"/>
      <c r="S26" s="53"/>
      <c r="T26" s="53"/>
      <c r="U26" s="53"/>
      <c r="V26" s="53" t="s">
        <v>206</v>
      </c>
      <c r="W26" s="53" t="s">
        <v>223</v>
      </c>
      <c r="X26"/>
      <c r="Y26"/>
      <c r="Z26"/>
    </row>
    <row r="27" spans="1:26" x14ac:dyDescent="0.25">
      <c r="A27" s="101" t="s">
        <v>19</v>
      </c>
      <c r="B27" s="101"/>
      <c r="C27" s="101"/>
      <c r="D27" s="101"/>
      <c r="E27" s="150" t="s">
        <v>20</v>
      </c>
      <c r="F27" s="150"/>
      <c r="G27" s="150"/>
      <c r="H27" s="150"/>
      <c r="S27" s="53"/>
      <c r="T27" s="53"/>
      <c r="U27" s="53"/>
      <c r="V27" s="53" t="s">
        <v>207</v>
      </c>
      <c r="W27" s="53" t="s">
        <v>224</v>
      </c>
      <c r="X27"/>
      <c r="Y27"/>
      <c r="Z27"/>
    </row>
    <row r="28" spans="1:26" ht="15.75" customHeight="1" x14ac:dyDescent="0.25">
      <c r="A28" s="101" t="s">
        <v>21</v>
      </c>
      <c r="B28" s="101"/>
      <c r="C28" s="101"/>
      <c r="D28" s="101"/>
      <c r="E28" s="150" t="str">
        <f>IF(AND(G20="Mumbai"),"Developed","Developing")</f>
        <v>Developing</v>
      </c>
      <c r="F28" s="150"/>
      <c r="G28" s="150"/>
      <c r="H28" s="150"/>
    </row>
    <row r="29" spans="1:26" x14ac:dyDescent="0.25">
      <c r="A29" s="101" t="s">
        <v>22</v>
      </c>
      <c r="B29" s="101"/>
      <c r="C29" s="101"/>
      <c r="D29" s="101"/>
      <c r="E29" s="150" t="s">
        <v>23</v>
      </c>
      <c r="F29" s="150"/>
      <c r="G29" s="150"/>
      <c r="H29" s="150"/>
    </row>
    <row r="30" spans="1:26" ht="15.75" customHeight="1" x14ac:dyDescent="0.25">
      <c r="A30" s="101" t="s">
        <v>78</v>
      </c>
      <c r="B30" s="101"/>
      <c r="C30" s="101"/>
      <c r="D30" s="101"/>
      <c r="E30" s="150" t="s">
        <v>79</v>
      </c>
      <c r="F30" s="150"/>
      <c r="G30" s="150"/>
      <c r="H30" s="150"/>
    </row>
    <row r="31" spans="1:26" ht="15" customHeight="1" x14ac:dyDescent="0.25">
      <c r="A31" s="101" t="s">
        <v>30</v>
      </c>
      <c r="B31" s="101"/>
      <c r="C31" s="101"/>
      <c r="D31" s="101"/>
      <c r="E31" s="150"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50"/>
      <c r="G31" s="150"/>
      <c r="H31" s="150"/>
    </row>
    <row r="32" spans="1:26" ht="15.75" customHeight="1" x14ac:dyDescent="0.25">
      <c r="A32" s="101" t="s">
        <v>90</v>
      </c>
      <c r="B32" s="101"/>
      <c r="C32" s="101"/>
      <c r="D32" s="101"/>
      <c r="E32" s="150" t="s">
        <v>31</v>
      </c>
      <c r="F32" s="150"/>
      <c r="G32" s="150"/>
      <c r="H32" s="150"/>
    </row>
    <row r="33" spans="1:19" s="22" customFormat="1" x14ac:dyDescent="0.25">
      <c r="A33" s="213" t="s">
        <v>91</v>
      </c>
      <c r="B33" s="213"/>
      <c r="C33" s="212" t="s">
        <v>172</v>
      </c>
      <c r="D33" s="212"/>
      <c r="E33" s="212"/>
      <c r="F33" s="212" t="s">
        <v>29</v>
      </c>
      <c r="G33" s="212"/>
      <c r="H33" s="212"/>
      <c r="S33" s="22" t="e">
        <f ca="1">OFFSET($S$13,1,MATCH($G20,$S$13:$W$13,0)-1,15,1)</f>
        <v>#VALUE!</v>
      </c>
    </row>
    <row r="34" spans="1:19" s="22" customFormat="1" x14ac:dyDescent="0.25">
      <c r="A34" s="171" t="s">
        <v>24</v>
      </c>
      <c r="B34" s="171" t="s">
        <v>28</v>
      </c>
      <c r="C34" s="172" t="s">
        <v>366</v>
      </c>
      <c r="D34" s="172"/>
      <c r="E34" s="172"/>
      <c r="F34" s="172" t="s">
        <v>369</v>
      </c>
      <c r="G34" s="172"/>
      <c r="H34" s="172"/>
    </row>
    <row r="35" spans="1:19" x14ac:dyDescent="0.25">
      <c r="A35" s="171" t="s">
        <v>25</v>
      </c>
      <c r="B35" s="171" t="s">
        <v>28</v>
      </c>
      <c r="C35" s="172" t="s">
        <v>368</v>
      </c>
      <c r="D35" s="172"/>
      <c r="E35" s="172"/>
      <c r="F35" s="172" t="s">
        <v>364</v>
      </c>
      <c r="G35" s="172"/>
      <c r="H35" s="172"/>
    </row>
    <row r="36" spans="1:19" s="22" customFormat="1" x14ac:dyDescent="0.25">
      <c r="A36" s="171" t="s">
        <v>27</v>
      </c>
      <c r="B36" s="171" t="s">
        <v>28</v>
      </c>
      <c r="C36" s="172" t="s">
        <v>365</v>
      </c>
      <c r="D36" s="172"/>
      <c r="E36" s="172"/>
      <c r="F36" s="172" t="s">
        <v>362</v>
      </c>
      <c r="G36" s="172"/>
      <c r="H36" s="172"/>
    </row>
    <row r="37" spans="1:19" x14ac:dyDescent="0.25">
      <c r="A37" s="171" t="s">
        <v>26</v>
      </c>
      <c r="B37" s="171" t="s">
        <v>28</v>
      </c>
      <c r="C37" s="172" t="s">
        <v>367</v>
      </c>
      <c r="D37" s="172"/>
      <c r="E37" s="172"/>
      <c r="F37" s="172" t="s">
        <v>369</v>
      </c>
      <c r="G37" s="172"/>
      <c r="H37" s="172"/>
    </row>
    <row r="38" spans="1:19" x14ac:dyDescent="0.25">
      <c r="A38" s="101" t="s">
        <v>280</v>
      </c>
      <c r="B38" s="101"/>
      <c r="C38" s="101"/>
      <c r="D38" s="101"/>
      <c r="E38" s="101"/>
      <c r="F38" s="101"/>
      <c r="G38" s="101"/>
      <c r="H38" s="101"/>
    </row>
    <row r="39" spans="1:19" ht="15.75" customHeight="1" x14ac:dyDescent="0.25">
      <c r="A39" s="101" t="s">
        <v>163</v>
      </c>
      <c r="B39" s="101"/>
      <c r="C39" s="174" t="s">
        <v>359</v>
      </c>
      <c r="D39" s="174"/>
      <c r="E39" s="174"/>
      <c r="F39" s="174"/>
      <c r="G39" s="174"/>
      <c r="H39" s="174"/>
    </row>
    <row r="40" spans="1:19" x14ac:dyDescent="0.25">
      <c r="A40" s="101" t="s">
        <v>159</v>
      </c>
      <c r="B40" s="101"/>
      <c r="C40" s="149" t="s">
        <v>360</v>
      </c>
      <c r="D40" s="150"/>
      <c r="E40" s="150"/>
      <c r="F40" s="150"/>
      <c r="G40" s="150"/>
      <c r="H40" s="150"/>
    </row>
    <row r="41" spans="1:19" x14ac:dyDescent="0.25">
      <c r="A41" s="174" t="s">
        <v>32</v>
      </c>
      <c r="B41" s="174"/>
      <c r="C41" s="174"/>
      <c r="D41" s="174"/>
      <c r="E41" s="174"/>
      <c r="F41" s="174"/>
      <c r="G41" s="174"/>
      <c r="H41" s="174"/>
    </row>
    <row r="42" spans="1:19" x14ac:dyDescent="0.25">
      <c r="A42" s="101" t="s">
        <v>33</v>
      </c>
      <c r="B42" s="101"/>
      <c r="C42" s="101"/>
      <c r="D42" s="101"/>
      <c r="E42" s="173">
        <v>13756.11</v>
      </c>
      <c r="F42" s="173"/>
      <c r="G42" s="173"/>
      <c r="H42" s="173"/>
    </row>
    <row r="43" spans="1:19" x14ac:dyDescent="0.25">
      <c r="A43" s="101" t="s">
        <v>370</v>
      </c>
      <c r="B43" s="101"/>
      <c r="C43" s="101"/>
      <c r="D43" s="101"/>
      <c r="E43" s="102">
        <v>2265.11</v>
      </c>
      <c r="F43" s="102"/>
      <c r="G43" s="102"/>
      <c r="H43" s="102"/>
    </row>
    <row r="44" spans="1:19" x14ac:dyDescent="0.25">
      <c r="A44" s="101" t="s">
        <v>34</v>
      </c>
      <c r="B44" s="101"/>
      <c r="C44" s="101"/>
      <c r="D44" s="101"/>
      <c r="E44" s="190">
        <f>2491.62/E43</f>
        <v>1.0999995585203366</v>
      </c>
      <c r="F44" s="190"/>
      <c r="G44" s="190"/>
      <c r="H44" s="190"/>
    </row>
    <row r="45" spans="1:19" x14ac:dyDescent="0.25">
      <c r="A45" s="101" t="s">
        <v>35</v>
      </c>
      <c r="B45" s="101"/>
      <c r="C45" s="101"/>
      <c r="D45" s="101"/>
      <c r="E45" s="190">
        <f>E47/E43-E44</f>
        <v>5.0806274308973958</v>
      </c>
      <c r="F45" s="190"/>
      <c r="G45" s="190"/>
      <c r="H45" s="190"/>
    </row>
    <row r="46" spans="1:19" x14ac:dyDescent="0.25">
      <c r="A46" s="101" t="s">
        <v>36</v>
      </c>
      <c r="B46" s="101"/>
      <c r="C46" s="101"/>
      <c r="D46" s="101"/>
      <c r="E46" s="190">
        <f>E44+E45</f>
        <v>6.1806269894177319</v>
      </c>
      <c r="F46" s="190"/>
      <c r="G46" s="190"/>
      <c r="H46" s="190"/>
    </row>
    <row r="47" spans="1:19" x14ac:dyDescent="0.25">
      <c r="A47" s="101" t="s">
        <v>89</v>
      </c>
      <c r="B47" s="101"/>
      <c r="C47" s="101"/>
      <c r="D47" s="101"/>
      <c r="E47" s="191">
        <v>13999.8</v>
      </c>
      <c r="F47" s="191"/>
      <c r="G47" s="191"/>
      <c r="H47" s="191"/>
    </row>
    <row r="48" spans="1:19" x14ac:dyDescent="0.25">
      <c r="A48" s="188" t="s">
        <v>37</v>
      </c>
      <c r="B48" s="188"/>
      <c r="C48" s="188"/>
      <c r="D48" s="188"/>
      <c r="E48" s="188" t="s">
        <v>118</v>
      </c>
      <c r="F48" s="188"/>
      <c r="G48" s="188"/>
      <c r="H48" s="188"/>
    </row>
    <row r="49" spans="1:24" x14ac:dyDescent="0.25">
      <c r="A49" s="174" t="s">
        <v>38</v>
      </c>
      <c r="B49" s="174"/>
      <c r="C49" s="174"/>
      <c r="D49" s="174"/>
      <c r="E49" s="174"/>
      <c r="F49" s="174"/>
      <c r="G49" s="174"/>
      <c r="H49" s="174"/>
    </row>
    <row r="50" spans="1:24" ht="33.75" customHeight="1" x14ac:dyDescent="0.25">
      <c r="A50" s="176" t="s">
        <v>148</v>
      </c>
      <c r="B50" s="178"/>
      <c r="C50" s="197" t="s">
        <v>278</v>
      </c>
      <c r="D50" s="198"/>
      <c r="E50" s="198"/>
      <c r="F50" s="198"/>
      <c r="G50" s="198"/>
      <c r="H50" s="199"/>
      <c r="R50" t="s">
        <v>253</v>
      </c>
      <c r="S50" s="57" t="s">
        <v>171</v>
      </c>
      <c r="T50" s="57" t="s">
        <v>179</v>
      </c>
      <c r="U50" s="57" t="s">
        <v>193</v>
      </c>
      <c r="V50" s="57" t="s">
        <v>188</v>
      </c>
    </row>
    <row r="51" spans="1:24" ht="15.75" customHeight="1" x14ac:dyDescent="0.25">
      <c r="A51" s="176" t="s">
        <v>39</v>
      </c>
      <c r="B51" s="178"/>
      <c r="C51" s="176" t="s">
        <v>371</v>
      </c>
      <c r="D51" s="177"/>
      <c r="E51" s="178"/>
      <c r="F51" s="18" t="s">
        <v>40</v>
      </c>
      <c r="G51" s="179">
        <v>44823</v>
      </c>
      <c r="H51" s="178"/>
      <c r="R51"/>
      <c r="S51" s="57" t="s">
        <v>254</v>
      </c>
      <c r="T51" s="57" t="s">
        <v>259</v>
      </c>
      <c r="U51" s="57" t="s">
        <v>270</v>
      </c>
      <c r="V51" s="57" t="s">
        <v>275</v>
      </c>
    </row>
    <row r="52" spans="1:24" x14ac:dyDescent="0.25">
      <c r="A52" s="176" t="s">
        <v>41</v>
      </c>
      <c r="B52" s="178"/>
      <c r="C52" s="176" t="str">
        <f>C51</f>
        <v>MBMNP/NR/2335/2022-23</v>
      </c>
      <c r="D52" s="177"/>
      <c r="E52" s="178"/>
      <c r="F52" s="18" t="s">
        <v>40</v>
      </c>
      <c r="G52" s="179">
        <f>G51</f>
        <v>44823</v>
      </c>
      <c r="H52" s="178"/>
      <c r="R52"/>
      <c r="S52" s="57" t="s">
        <v>255</v>
      </c>
      <c r="T52" s="57" t="s">
        <v>260</v>
      </c>
      <c r="U52" s="57" t="s">
        <v>268</v>
      </c>
      <c r="V52" s="57" t="s">
        <v>276</v>
      </c>
    </row>
    <row r="53" spans="1:24" s="23" customFormat="1" ht="15.75" customHeight="1" x14ac:dyDescent="0.25">
      <c r="A53" s="184" t="s">
        <v>152</v>
      </c>
      <c r="B53" s="185"/>
      <c r="C53" s="176" t="s">
        <v>372</v>
      </c>
      <c r="D53" s="177"/>
      <c r="E53" s="178"/>
      <c r="F53" s="18" t="s">
        <v>40</v>
      </c>
      <c r="G53" s="179">
        <f>G52</f>
        <v>44823</v>
      </c>
      <c r="H53" s="178"/>
      <c r="R53"/>
      <c r="S53" s="57" t="s">
        <v>256</v>
      </c>
      <c r="T53" s="57" t="s">
        <v>261</v>
      </c>
      <c r="U53" s="57" t="s">
        <v>258</v>
      </c>
      <c r="V53" s="57" t="s">
        <v>277</v>
      </c>
    </row>
    <row r="54" spans="1:24" s="23" customFormat="1" x14ac:dyDescent="0.25">
      <c r="A54" s="186"/>
      <c r="B54" s="187"/>
      <c r="C54" s="176" t="s">
        <v>373</v>
      </c>
      <c r="D54" s="177"/>
      <c r="E54" s="177"/>
      <c r="F54" s="177"/>
      <c r="G54" s="177"/>
      <c r="H54" s="178"/>
      <c r="R54"/>
      <c r="S54" s="57" t="s">
        <v>257</v>
      </c>
      <c r="T54" s="57" t="s">
        <v>264</v>
      </c>
      <c r="U54" s="57" t="s">
        <v>271</v>
      </c>
      <c r="V54" s="78"/>
    </row>
    <row r="55" spans="1:24" s="23" customFormat="1" hidden="1" x14ac:dyDescent="0.25">
      <c r="A55" s="180" t="s">
        <v>281</v>
      </c>
      <c r="B55" s="181"/>
      <c r="C55" s="176" t="str">
        <f>C54</f>
        <v>Building Type 5 = Ground (Part) + 1st to 3rd Podium + 4th to 28th Floor</v>
      </c>
      <c r="D55" s="177"/>
      <c r="E55" s="178"/>
      <c r="F55" s="18" t="s">
        <v>40</v>
      </c>
      <c r="G55" s="176"/>
      <c r="H55" s="178"/>
      <c r="R55"/>
      <c r="S55" s="57" t="s">
        <v>256</v>
      </c>
      <c r="T55" s="57" t="s">
        <v>261</v>
      </c>
      <c r="U55" s="57" t="s">
        <v>258</v>
      </c>
      <c r="V55" s="57" t="s">
        <v>277</v>
      </c>
    </row>
    <row r="56" spans="1:24" s="23" customFormat="1" ht="32.25" hidden="1" customHeight="1" x14ac:dyDescent="0.25">
      <c r="A56" s="182"/>
      <c r="B56" s="183"/>
      <c r="C56" s="156"/>
      <c r="D56" s="157"/>
      <c r="E56" s="157"/>
      <c r="F56" s="157"/>
      <c r="G56" s="157"/>
      <c r="H56" s="158"/>
      <c r="R56"/>
      <c r="S56" s="57" t="s">
        <v>258</v>
      </c>
      <c r="T56" s="57" t="s">
        <v>262</v>
      </c>
      <c r="U56" s="57" t="s">
        <v>272</v>
      </c>
      <c r="V56" s="79"/>
      <c r="W56" s="21"/>
      <c r="X56" s="21"/>
    </row>
    <row r="57" spans="1:24" s="23" customFormat="1" ht="34.5" hidden="1" customHeight="1" x14ac:dyDescent="0.25">
      <c r="A57" s="180" t="s">
        <v>282</v>
      </c>
      <c r="B57" s="181"/>
      <c r="C57" s="176">
        <f>C56</f>
        <v>0</v>
      </c>
      <c r="D57" s="177"/>
      <c r="E57" s="178"/>
      <c r="F57" s="18" t="s">
        <v>40</v>
      </c>
      <c r="G57" s="176">
        <f>G56</f>
        <v>0</v>
      </c>
      <c r="H57" s="178"/>
      <c r="R57"/>
      <c r="S57" s="79"/>
      <c r="T57" s="57" t="s">
        <v>263</v>
      </c>
      <c r="U57" s="57" t="s">
        <v>273</v>
      </c>
      <c r="V57" s="79"/>
      <c r="W57" s="21"/>
      <c r="X57" s="21"/>
    </row>
    <row r="58" spans="1:24" s="23" customFormat="1" ht="41.25" hidden="1" customHeight="1" x14ac:dyDescent="0.25">
      <c r="A58" s="182"/>
      <c r="B58" s="183"/>
      <c r="C58" s="176"/>
      <c r="D58" s="177"/>
      <c r="E58" s="177"/>
      <c r="F58" s="177"/>
      <c r="G58" s="177"/>
      <c r="H58" s="178"/>
      <c r="R58"/>
      <c r="S58" s="79"/>
      <c r="T58" s="57" t="s">
        <v>265</v>
      </c>
      <c r="U58" s="57" t="s">
        <v>274</v>
      </c>
      <c r="V58" s="79"/>
      <c r="W58" s="21"/>
      <c r="X58" s="21"/>
    </row>
    <row r="59" spans="1:24" s="23" customFormat="1" ht="15.75" hidden="1" customHeight="1" x14ac:dyDescent="0.25">
      <c r="A59" s="180" t="s">
        <v>283</v>
      </c>
      <c r="B59" s="181"/>
      <c r="C59" s="176">
        <f>C58</f>
        <v>0</v>
      </c>
      <c r="D59" s="177"/>
      <c r="E59" s="178"/>
      <c r="F59" s="18" t="s">
        <v>40</v>
      </c>
      <c r="G59" s="176">
        <f>G58</f>
        <v>0</v>
      </c>
      <c r="H59" s="178"/>
      <c r="R59"/>
      <c r="S59" s="79"/>
      <c r="T59" s="57" t="s">
        <v>266</v>
      </c>
      <c r="U59" s="79" t="s">
        <v>297</v>
      </c>
      <c r="V59" s="79"/>
      <c r="W59" s="21"/>
      <c r="X59" s="21"/>
    </row>
    <row r="60" spans="1:24" s="23" customFormat="1" ht="33.75" hidden="1" customHeight="1" x14ac:dyDescent="0.25">
      <c r="A60" s="182"/>
      <c r="B60" s="183"/>
      <c r="C60" s="176"/>
      <c r="D60" s="177"/>
      <c r="E60" s="177"/>
      <c r="F60" s="177"/>
      <c r="G60" s="177"/>
      <c r="H60" s="178"/>
      <c r="R60"/>
      <c r="S60" s="79"/>
      <c r="T60" s="57" t="s">
        <v>267</v>
      </c>
      <c r="U60" s="79"/>
      <c r="V60" s="79"/>
      <c r="W60" s="21"/>
      <c r="X60" s="21"/>
    </row>
    <row r="61" spans="1:24" x14ac:dyDescent="0.25">
      <c r="A61" s="237" t="s">
        <v>42</v>
      </c>
      <c r="B61" s="238"/>
      <c r="C61" s="237" t="s">
        <v>103</v>
      </c>
      <c r="D61" s="239"/>
      <c r="E61" s="238"/>
      <c r="F61" s="43" t="s">
        <v>40</v>
      </c>
      <c r="G61" s="240" t="s">
        <v>28</v>
      </c>
      <c r="H61" s="241"/>
      <c r="R61"/>
      <c r="S61" s="79"/>
      <c r="T61" s="57" t="s">
        <v>269</v>
      </c>
      <c r="U61" s="79"/>
      <c r="V61" s="79"/>
    </row>
    <row r="62" spans="1:24" x14ac:dyDescent="0.25">
      <c r="A62" s="210" t="s">
        <v>44</v>
      </c>
      <c r="B62" s="210"/>
      <c r="C62" s="210"/>
      <c r="D62" s="210"/>
      <c r="E62" s="210"/>
      <c r="F62" s="210"/>
      <c r="G62" s="210"/>
      <c r="H62" s="210"/>
      <c r="S62" s="79"/>
      <c r="T62" s="57" t="s">
        <v>278</v>
      </c>
      <c r="U62" s="79"/>
      <c r="V62" s="79"/>
    </row>
    <row r="63" spans="1:24" x14ac:dyDescent="0.25">
      <c r="A63" s="211" t="s">
        <v>88</v>
      </c>
      <c r="B63" s="211"/>
      <c r="C63" s="211"/>
      <c r="D63" s="101">
        <f>E47</f>
        <v>13999.8</v>
      </c>
      <c r="E63" s="101"/>
      <c r="F63" s="101"/>
      <c r="G63" s="101"/>
      <c r="H63" s="101"/>
      <c r="R63"/>
    </row>
    <row r="64" spans="1:24" x14ac:dyDescent="0.25">
      <c r="A64" s="150" t="s">
        <v>45</v>
      </c>
      <c r="B64" s="188"/>
      <c r="C64" s="188"/>
      <c r="D64" s="188" t="s">
        <v>397</v>
      </c>
      <c r="E64" s="188"/>
      <c r="F64" s="188"/>
      <c r="G64" s="188"/>
      <c r="H64" s="188"/>
      <c r="I64" s="24"/>
      <c r="R64"/>
    </row>
    <row r="65" spans="1:19" x14ac:dyDescent="0.25">
      <c r="A65" s="194" t="s">
        <v>46</v>
      </c>
      <c r="B65" s="195"/>
      <c r="C65" s="196"/>
      <c r="D65" s="192" t="s">
        <v>401</v>
      </c>
      <c r="E65" s="193"/>
      <c r="F65" s="193"/>
      <c r="G65" s="193"/>
      <c r="H65" s="193"/>
      <c r="R65"/>
    </row>
    <row r="66" spans="1:19" ht="15.75" customHeight="1" x14ac:dyDescent="0.25">
      <c r="A66" s="194" t="s">
        <v>86</v>
      </c>
      <c r="B66" s="195"/>
      <c r="C66" s="195"/>
      <c r="D66" s="204" t="s">
        <v>402</v>
      </c>
      <c r="E66" s="205"/>
      <c r="F66" s="205"/>
      <c r="G66" s="205"/>
      <c r="H66" s="206"/>
      <c r="R66"/>
    </row>
    <row r="67" spans="1:19" ht="15.75" hidden="1" customHeight="1" x14ac:dyDescent="0.25">
      <c r="A67" s="200"/>
      <c r="B67" s="201"/>
      <c r="C67" s="201"/>
      <c r="D67" s="207" t="s">
        <v>298</v>
      </c>
      <c r="E67" s="208"/>
      <c r="F67" s="208"/>
      <c r="G67" s="208"/>
      <c r="H67" s="209"/>
      <c r="R67"/>
    </row>
    <row r="68" spans="1:19" ht="15.75" hidden="1" customHeight="1" x14ac:dyDescent="0.25">
      <c r="A68" s="202"/>
      <c r="B68" s="203"/>
      <c r="C68" s="203"/>
      <c r="D68" s="242" t="s">
        <v>167</v>
      </c>
      <c r="E68" s="243"/>
      <c r="F68" s="243"/>
      <c r="G68" s="243"/>
      <c r="H68" s="244"/>
      <c r="S68"/>
    </row>
    <row r="69" spans="1:19" ht="15.75" customHeight="1" x14ac:dyDescent="0.25">
      <c r="A69" s="101" t="s">
        <v>43</v>
      </c>
      <c r="B69" s="101"/>
      <c r="C69" s="101"/>
      <c r="D69" s="175" t="s">
        <v>377</v>
      </c>
      <c r="E69" s="175"/>
      <c r="F69" s="175"/>
      <c r="G69" s="175"/>
      <c r="H69" s="175"/>
      <c r="J69" s="25"/>
      <c r="K69" s="24"/>
      <c r="N69" s="24"/>
      <c r="S69"/>
    </row>
    <row r="70" spans="1:19" ht="15.75" customHeight="1" x14ac:dyDescent="0.25">
      <c r="A70" s="101" t="s">
        <v>84</v>
      </c>
      <c r="B70" s="101"/>
      <c r="C70" s="101"/>
      <c r="D70" s="189" t="str">
        <f>(IF(G61="NA","60 Years After Completion",IF(G61&lt;&gt;"NA",""&amp;60-ROUNDDOWN((E3-G61)/360,0)&amp;" Years"," ")))</f>
        <v>60 Years After Completion</v>
      </c>
      <c r="E70" s="189"/>
      <c r="F70" s="189"/>
      <c r="G70" s="189"/>
      <c r="H70" s="189"/>
      <c r="N70" s="24"/>
      <c r="S70"/>
    </row>
    <row r="71" spans="1:19" ht="15.75" customHeight="1" x14ac:dyDescent="0.25">
      <c r="A71" s="101" t="s">
        <v>85</v>
      </c>
      <c r="B71" s="101"/>
      <c r="C71" s="101"/>
      <c r="D71" s="211" t="s">
        <v>23</v>
      </c>
      <c r="E71" s="211"/>
      <c r="F71" s="211"/>
      <c r="G71" s="211"/>
      <c r="H71" s="211"/>
      <c r="J71" s="26"/>
      <c r="K71" s="26"/>
      <c r="S71"/>
    </row>
    <row r="72" spans="1:19" ht="38.450000000000003" customHeight="1" x14ac:dyDescent="0.25">
      <c r="A72" s="188" t="s">
        <v>374</v>
      </c>
      <c r="B72" s="188"/>
      <c r="C72" s="188"/>
      <c r="D72" s="150" t="s">
        <v>375</v>
      </c>
      <c r="E72" s="211"/>
      <c r="F72" s="211"/>
      <c r="G72" s="211"/>
      <c r="H72" s="211"/>
      <c r="I72" s="21" t="s">
        <v>376</v>
      </c>
      <c r="S72"/>
    </row>
    <row r="73" spans="1:19" x14ac:dyDescent="0.25">
      <c r="A73" s="211" t="s">
        <v>145</v>
      </c>
      <c r="B73" s="211"/>
      <c r="C73" s="211"/>
      <c r="D73" s="211" t="s">
        <v>28</v>
      </c>
      <c r="E73" s="211"/>
      <c r="F73" s="211"/>
      <c r="G73" s="211"/>
      <c r="H73" s="211"/>
      <c r="I73" s="27"/>
      <c r="J73" s="27"/>
      <c r="K73" s="27"/>
      <c r="L73" s="27"/>
      <c r="M73" s="27"/>
      <c r="N73" s="27"/>
    </row>
    <row r="74" spans="1:19" ht="15.75" customHeight="1" x14ac:dyDescent="0.25">
      <c r="A74" s="101" t="s">
        <v>83</v>
      </c>
      <c r="B74" s="101"/>
      <c r="C74" s="101"/>
      <c r="D74" s="150" t="str">
        <f ca="1">(IF(G80&gt;95%,"Nothing",IF(G80&gt;0%,"Cement, Aggregate, Steel, etc",IF(G80=0%,"Work not yet Started"))))</f>
        <v>Cement, Aggregate, Steel, etc</v>
      </c>
      <c r="E74" s="150"/>
      <c r="F74" s="150"/>
      <c r="G74" s="150"/>
      <c r="H74" s="150"/>
      <c r="J74" s="26"/>
      <c r="S74"/>
    </row>
    <row r="75" spans="1:19" ht="33.75" customHeight="1" thickBot="1" x14ac:dyDescent="0.3">
      <c r="A75" s="211" t="s">
        <v>116</v>
      </c>
      <c r="B75" s="211"/>
      <c r="C75" s="211"/>
      <c r="D75" s="150" t="str">
        <f ca="1">(IF(D74="Nothing","Yes",IF(D74="Cement, Aggregate, Steel, etc","Under Construction",IF(D74="Work not yet Started","Work not yet Started"))))</f>
        <v>Under Construction</v>
      </c>
      <c r="E75" s="150"/>
      <c r="F75" s="150" t="str">
        <f ca="1">(IF(D74="Nothing","Yes",IF(D74="Cement, Aggregate, Steel, etc","Under Construction",IF(D74="Work not yet Started","Work not yet Started"))))</f>
        <v>Under Construction</v>
      </c>
      <c r="G75" s="150"/>
      <c r="H75" s="150"/>
      <c r="S75"/>
    </row>
    <row r="76" spans="1:19" ht="15.75" customHeight="1" x14ac:dyDescent="0.25">
      <c r="A76" s="126" t="s">
        <v>137</v>
      </c>
      <c r="B76" s="126"/>
      <c r="C76" s="126" t="str">
        <f>D66</f>
        <v>Building No. 05 = Gr + 1st to 3rd Pod + 4th to 33rd Floor</v>
      </c>
      <c r="D76" s="126"/>
      <c r="E76" s="126"/>
      <c r="F76" s="126"/>
      <c r="G76" s="126"/>
      <c r="H76" s="126"/>
      <c r="I76" s="98" t="str">
        <f ca="1">IF(D89=100%,"All work Completed. Possession granted to the Building.",IF(D88=100%,"All work Completed, Waiting for OC",I77&amp;""&amp;I78&amp;""&amp;J77&amp;""&amp;J76&amp;" "&amp;J78))</f>
        <v>Excavation, Plinth Completed, RCC upto 9 Slab, Brickwork upto 6 Floor Completed</v>
      </c>
      <c r="J76" s="47"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9 Slab, Brickwork upto 6 Floor</v>
      </c>
      <c r="S76"/>
    </row>
    <row r="77" spans="1:19" x14ac:dyDescent="0.25">
      <c r="A77" s="16" t="s">
        <v>139</v>
      </c>
      <c r="B77" s="50">
        <f>IF(AND(ISNUMBER(SEARCH("1B",C76))),1,IF(AND(ISNUMBER(SEARCH("2B",C76))),2,IF(AND(ISNUMBER(SEARCH("3B",C76))),3,IF(AND(ISNUMBER(SEARCH("4B",C76))),4,IF(ISNUMBER(SEARCH("5B",C76)),5,0)))))</f>
        <v>0</v>
      </c>
      <c r="C77" s="50" t="s">
        <v>69</v>
      </c>
      <c r="D77" s="50">
        <v>1</v>
      </c>
      <c r="E77" s="50" t="s">
        <v>68</v>
      </c>
      <c r="F77" s="50">
        <v>0</v>
      </c>
      <c r="G77" s="50" t="s">
        <v>77</v>
      </c>
      <c r="H77" s="17">
        <f ca="1">--TRIM(RIGHT(SUBSTITUTE(LEFT(C76,_xlfn.AGGREGATE(16,6,FIND({0,1,2,3,4,5,6,7,8,9},C76,ROW(INDIRECT("1:"&amp;LEN(C76)))),1))," ",REPT(" ",LEN(C76))),LEN(C76)))</f>
        <v>33</v>
      </c>
      <c r="I77" s="48" t="str">
        <f ca="1">IF(D80=100%,"Excavation","")&amp;IF(D81=100%,", Plinth","")&amp;IF(D82=100%,", RCC Slab","")&amp;IF(D83=100%,", Brickwork","")&amp;IF(D84=100%,", Internal Plaster","")&amp;IF(D85=100%,", External Plaster","")&amp;IF(D86=100%,", Flooring","")&amp;IF(D87=100%,", Painting","")&amp;IF(D88=100%,", Building common Amenities","")</f>
        <v>Excavation, Plinth</v>
      </c>
      <c r="J77" s="49"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2.25" customHeight="1" x14ac:dyDescent="0.25">
      <c r="A78" s="124" t="s">
        <v>87</v>
      </c>
      <c r="B78" s="125"/>
      <c r="C78" s="126" t="str">
        <f ca="1">I76</f>
        <v>Excavation, Plinth Completed, RCC upto 9 Slab, Brickwork upto 6 Floor Completed</v>
      </c>
      <c r="D78" s="126"/>
      <c r="E78" s="126"/>
      <c r="F78" s="126"/>
      <c r="G78" s="126"/>
      <c r="H78" s="127"/>
      <c r="I78" s="48" t="str">
        <f ca="1">IF(I77&lt;&gt;""," Completed","")</f>
        <v xml:space="preserve"> Completed</v>
      </c>
      <c r="J78" s="49" t="str">
        <f ca="1">IF(J76&lt;&gt;"","Completed","")</f>
        <v>Completed</v>
      </c>
      <c r="S78"/>
    </row>
    <row r="79" spans="1:19" ht="15.75" customHeight="1" x14ac:dyDescent="0.25">
      <c r="A79" s="134" t="s">
        <v>47</v>
      </c>
      <c r="B79" s="135"/>
      <c r="C79" s="90" t="s">
        <v>136</v>
      </c>
      <c r="D79" s="90" t="s">
        <v>80</v>
      </c>
      <c r="E79" s="135" t="s">
        <v>82</v>
      </c>
      <c r="F79" s="135"/>
      <c r="G79" s="135" t="s">
        <v>81</v>
      </c>
      <c r="H79" s="246"/>
      <c r="I79" s="13" t="s">
        <v>138</v>
      </c>
      <c r="J79" s="28">
        <f ca="1">H77*25%</f>
        <v>8.25</v>
      </c>
      <c r="S79"/>
    </row>
    <row r="80" spans="1:19" x14ac:dyDescent="0.25">
      <c r="A80" s="134" t="s">
        <v>125</v>
      </c>
      <c r="B80" s="135"/>
      <c r="C80" s="90">
        <f ca="1">J81</f>
        <v>33</v>
      </c>
      <c r="D80" s="91">
        <f ca="1">((100/H77)*C80)/100</f>
        <v>1</v>
      </c>
      <c r="E80" s="136">
        <f ca="1">(((C81/H77*10)+(40/(D77+F77+H77)*C82)+(7.5/(H77)*C83)+(7.5/(H77)*C84)+(10/H77*C85)+(10/H77*C86)+(5/H77*C87)+(5/H77*C88)+(5/H77*C89))/100)</f>
        <v>0.21951871657754007</v>
      </c>
      <c r="F80" s="137"/>
      <c r="G80" s="136">
        <f ca="1">((((C80/H77)*20)+((C81/H77)*25)+(30/(H77+F77+D77)*C82)+(5/H77*C83)+(5/H77*C84)+(5/H77*C85)+(5/H77*C86)+(0/H77*C87)+(0/H77*C88)+(5/H77*C89))/100)</f>
        <v>0.5385026737967914</v>
      </c>
      <c r="H80" s="142"/>
      <c r="I80" s="13" t="s">
        <v>98</v>
      </c>
      <c r="J80" s="29">
        <f ca="1">H77*50%</f>
        <v>16.5</v>
      </c>
    </row>
    <row r="81" spans="1:19" x14ac:dyDescent="0.25">
      <c r="A81" s="134" t="s">
        <v>48</v>
      </c>
      <c r="B81" s="135"/>
      <c r="C81" s="90">
        <f ca="1">J89</f>
        <v>33</v>
      </c>
      <c r="D81" s="91">
        <f ca="1">((100/H77)*C81)/100</f>
        <v>1</v>
      </c>
      <c r="E81" s="138"/>
      <c r="F81" s="139"/>
      <c r="G81" s="138"/>
      <c r="H81" s="143"/>
      <c r="I81" s="13" t="s">
        <v>99</v>
      </c>
      <c r="J81" s="29">
        <f ca="1">H77</f>
        <v>33</v>
      </c>
      <c r="S81"/>
    </row>
    <row r="82" spans="1:19" ht="15.75" customHeight="1" x14ac:dyDescent="0.25">
      <c r="A82" s="134" t="s">
        <v>126</v>
      </c>
      <c r="B82" s="135"/>
      <c r="C82" s="90">
        <v>9</v>
      </c>
      <c r="D82" s="91">
        <f ca="1">((100/(D77+F77+H77))*C82)/100</f>
        <v>0.26470588235294118</v>
      </c>
      <c r="E82" s="138"/>
      <c r="F82" s="139"/>
      <c r="G82" s="138"/>
      <c r="H82" s="143"/>
      <c r="I82" s="13" t="s">
        <v>100</v>
      </c>
      <c r="J82" s="30">
        <f ca="1">(IF(B77&gt;1,(H77/(B77+2)),H77/4))</f>
        <v>8.25</v>
      </c>
      <c r="S82"/>
    </row>
    <row r="83" spans="1:19" ht="15.75" customHeight="1" x14ac:dyDescent="0.25">
      <c r="A83" s="134" t="s">
        <v>133</v>
      </c>
      <c r="B83" s="135" t="s">
        <v>127</v>
      </c>
      <c r="C83" s="90">
        <f>C82-3</f>
        <v>6</v>
      </c>
      <c r="D83" s="91">
        <f ca="1">((100/H77)*C83)/100</f>
        <v>0.1818181818181818</v>
      </c>
      <c r="E83" s="138"/>
      <c r="F83" s="139"/>
      <c r="G83" s="138"/>
      <c r="H83" s="143"/>
      <c r="I83" s="13" t="s">
        <v>101</v>
      </c>
      <c r="J83" s="30">
        <f ca="1">(IF(B77&gt;1,(H77/(B77+2)+J82),H77/4+J82))</f>
        <v>16.5</v>
      </c>
    </row>
    <row r="84" spans="1:19" ht="15.75" customHeight="1" x14ac:dyDescent="0.25">
      <c r="A84" s="134" t="s">
        <v>134</v>
      </c>
      <c r="B84" s="135" t="s">
        <v>127</v>
      </c>
      <c r="C84" s="90">
        <v>0</v>
      </c>
      <c r="D84" s="91">
        <f ca="1">((100/H77)*C84)/100</f>
        <v>0</v>
      </c>
      <c r="E84" s="138"/>
      <c r="F84" s="139"/>
      <c r="G84" s="138"/>
      <c r="H84" s="143"/>
      <c r="I84" s="13" t="s">
        <v>143</v>
      </c>
      <c r="J84" s="30">
        <f>(IF(B77&gt;1,(H77/(B77+2)+J83),0))</f>
        <v>0</v>
      </c>
    </row>
    <row r="85" spans="1:19" ht="15" customHeight="1" x14ac:dyDescent="0.25">
      <c r="A85" s="134" t="s">
        <v>132</v>
      </c>
      <c r="B85" s="135" t="s">
        <v>129</v>
      </c>
      <c r="C85" s="90">
        <v>0</v>
      </c>
      <c r="D85" s="91">
        <f ca="1">((100/(H77))*C85)/100</f>
        <v>0</v>
      </c>
      <c r="E85" s="138"/>
      <c r="F85" s="139"/>
      <c r="G85" s="138"/>
      <c r="H85" s="143"/>
      <c r="I85" s="13" t="s">
        <v>140</v>
      </c>
      <c r="J85" s="30">
        <f>(IF(B77&gt;2,(H77/(B77+2)+J84),0))</f>
        <v>0</v>
      </c>
    </row>
    <row r="86" spans="1:19" ht="15.75" customHeight="1" x14ac:dyDescent="0.25">
      <c r="A86" s="134" t="s">
        <v>128</v>
      </c>
      <c r="B86" s="135" t="s">
        <v>128</v>
      </c>
      <c r="C86" s="90">
        <v>0</v>
      </c>
      <c r="D86" s="91">
        <f ca="1">((100/H77)*C86)/100</f>
        <v>0</v>
      </c>
      <c r="E86" s="138"/>
      <c r="F86" s="139"/>
      <c r="G86" s="138"/>
      <c r="H86" s="143"/>
      <c r="I86" s="13" t="s">
        <v>141</v>
      </c>
      <c r="J86" s="31">
        <f>(IF(B77&gt;3,(H77/(B77+2)+J85),0))</f>
        <v>0</v>
      </c>
    </row>
    <row r="87" spans="1:19" ht="15.75" customHeight="1" x14ac:dyDescent="0.25">
      <c r="A87" s="134" t="s">
        <v>135</v>
      </c>
      <c r="B87" s="135"/>
      <c r="C87" s="90">
        <v>0</v>
      </c>
      <c r="D87" s="91">
        <f ca="1">((100/H77)*C87)/100</f>
        <v>0</v>
      </c>
      <c r="E87" s="138"/>
      <c r="F87" s="139"/>
      <c r="G87" s="138"/>
      <c r="H87" s="143"/>
      <c r="I87" s="13" t="s">
        <v>142</v>
      </c>
      <c r="J87" s="30">
        <f>(IF(B77&gt;4,(H77/(B77+2)+J86),0))</f>
        <v>0</v>
      </c>
    </row>
    <row r="88" spans="1:19" ht="15.75" customHeight="1" x14ac:dyDescent="0.25">
      <c r="A88" s="134" t="s">
        <v>130</v>
      </c>
      <c r="B88" s="135" t="s">
        <v>130</v>
      </c>
      <c r="C88" s="90">
        <v>0</v>
      </c>
      <c r="D88" s="91">
        <f ca="1">((100/(H77))*C88)/100</f>
        <v>0</v>
      </c>
      <c r="E88" s="138"/>
      <c r="F88" s="139"/>
      <c r="G88" s="138"/>
      <c r="H88" s="143"/>
      <c r="I88" s="13" t="s">
        <v>144</v>
      </c>
      <c r="J88" s="30">
        <f ca="1">(IF(B77=1,(H77/(B77+3)+J83),IF(B77=0,(H77/4+J83),IF(B77&gt;1,0))))</f>
        <v>24.75</v>
      </c>
    </row>
    <row r="89" spans="1:19" ht="16.5" thickBot="1" x14ac:dyDescent="0.3">
      <c r="A89" s="247" t="s">
        <v>131</v>
      </c>
      <c r="B89" s="248"/>
      <c r="C89" s="92">
        <v>0</v>
      </c>
      <c r="D89" s="93">
        <f ca="1">((100/(H77))*C89)/100</f>
        <v>0</v>
      </c>
      <c r="E89" s="140"/>
      <c r="F89" s="141"/>
      <c r="G89" s="140"/>
      <c r="H89" s="144"/>
      <c r="I89" s="15" t="s">
        <v>102</v>
      </c>
      <c r="J89" s="32">
        <f ca="1">(IF(B77&gt;1.5,(H77/(B77+2)+J83+MAX(0,J84-J83)+MAX(0,J85-J84)+MAX(0,J86-J85)+MAX(0,J87-J86)+MAX(0,J88-J87)),IF(B77=1,(H77/(B77+3)+J88),IF(B77=0,H77/4+J88))))</f>
        <v>33</v>
      </c>
    </row>
    <row r="90" spans="1:19" ht="15.75" hidden="1" customHeight="1" x14ac:dyDescent="0.25">
      <c r="A90" s="119" t="s">
        <v>137</v>
      </c>
      <c r="B90" s="120"/>
      <c r="C90" s="121" t="str">
        <f>D67</f>
        <v>B Wing = 1B + G + 1st to 19th Floor</v>
      </c>
      <c r="D90" s="122"/>
      <c r="E90" s="122"/>
      <c r="F90" s="122"/>
      <c r="G90" s="122"/>
      <c r="H90" s="123"/>
      <c r="I90" s="46" t="str">
        <f ca="1">IF(D103=100%,"All work Completed. Possession granted to the Building.",IF(D102=100%,"All work Completed, Waiting for OC",I91&amp;""&amp;I92&amp;""&amp;J91&amp;""&amp;J90&amp;" "&amp;J92))</f>
        <v xml:space="preserve">Excavation, Plinth Completed </v>
      </c>
      <c r="J90" s="47"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139</v>
      </c>
      <c r="B91" s="50">
        <f>IF(AND(ISNUMBER(SEARCH("1B",C90))),1,IF(AND(ISNUMBER(SEARCH("2B",C90))),2,IF(AND(ISNUMBER(SEARCH("3B",C90))),3,IF(AND(ISNUMBER(SEARCH("4B",C90))),4,IF(ISNUMBER(SEARCH("5B",C90)),5,0)))))</f>
        <v>1</v>
      </c>
      <c r="C91" s="50" t="s">
        <v>69</v>
      </c>
      <c r="D91" s="50">
        <v>1</v>
      </c>
      <c r="E91" s="50" t="s">
        <v>68</v>
      </c>
      <c r="F91" s="14">
        <v>0</v>
      </c>
      <c r="G91" s="45" t="s">
        <v>77</v>
      </c>
      <c r="H91" s="17">
        <f ca="1">--TRIM(RIGHT(SUBSTITUTE(LEFT(C90,_xlfn.AGGREGATE(16,6,FIND({0,1,2,3,4,5,6,7,8,9},C90,ROW(INDIRECT("1:"&amp;LEN(C90)))),1))," ",REPT(" ",LEN(C90))),LEN(C90)))</f>
        <v>19</v>
      </c>
      <c r="I91" s="48" t="str">
        <f ca="1">IF(D94=100%,"Excavation","")&amp;IF(D95=100%,", Plinth","")&amp;IF(D96=100%,", RCC Slab","")&amp;IF(D97=100%,", Brickwork","")&amp;IF(D98=100%,", Internal Plaster","")&amp;IF(D99=100%,", External Plaster","")&amp;IF(D100=100%,", Flooring","")&amp;IF(D101=100%,", Painting","")&amp;IF(D102=100%,", Building common Amenities","")</f>
        <v>Excavation, Plinth</v>
      </c>
      <c r="J91" s="49"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124" t="s">
        <v>87</v>
      </c>
      <c r="B92" s="125"/>
      <c r="C92" s="126" t="str">
        <f ca="1">I90</f>
        <v xml:space="preserve">Excavation, Plinth Completed </v>
      </c>
      <c r="D92" s="126"/>
      <c r="E92" s="126"/>
      <c r="F92" s="126"/>
      <c r="G92" s="126"/>
      <c r="H92" s="127"/>
      <c r="I92" s="48" t="str">
        <f ca="1">IF(I91&lt;&gt;""," Completed","")</f>
        <v xml:space="preserve"> Completed</v>
      </c>
      <c r="J92" s="49" t="str">
        <f ca="1">IF(J90&lt;&gt;"","Completed","")</f>
        <v/>
      </c>
      <c r="S92"/>
    </row>
    <row r="93" spans="1:19" ht="15.75" hidden="1" customHeight="1" x14ac:dyDescent="0.25">
      <c r="A93" s="111" t="s">
        <v>47</v>
      </c>
      <c r="B93" s="112"/>
      <c r="C93" s="81" t="s">
        <v>136</v>
      </c>
      <c r="D93" s="81" t="s">
        <v>80</v>
      </c>
      <c r="E93" s="112" t="s">
        <v>82</v>
      </c>
      <c r="F93" s="112"/>
      <c r="G93" s="112" t="s">
        <v>81</v>
      </c>
      <c r="H93" s="128"/>
      <c r="I93" s="13" t="s">
        <v>138</v>
      </c>
      <c r="J93" s="28">
        <f ca="1">H91*25%</f>
        <v>4.75</v>
      </c>
      <c r="S93"/>
    </row>
    <row r="94" spans="1:19" hidden="1" x14ac:dyDescent="0.25">
      <c r="A94" s="111" t="s">
        <v>125</v>
      </c>
      <c r="B94" s="112"/>
      <c r="C94" s="61">
        <f ca="1">J95</f>
        <v>19</v>
      </c>
      <c r="D94" s="19">
        <f ca="1">((100/H91)*C94)/100</f>
        <v>1</v>
      </c>
      <c r="E94" s="113">
        <f ca="1">(((C95/H91*10)+(40/(D91+F91+H91)*C96)+(7.5/(H91)*C97)+(7.5/(H91)*C98)+(10/H91*C99)+(10/H91*C100)+(5/H91*C101)+(5/H91*C102)+(5/H91*C103))/100)</f>
        <v>0.1</v>
      </c>
      <c r="F94" s="114"/>
      <c r="G94" s="113">
        <f ca="1">((((C94/H91)*20)+((C95/H91)*25)+(30/(H91+F91+D91)*C96)+(5/H91*C97)+(5/H91*C98)+(5/H91*C99)+(5/H91*C100)+(0/H91*C101)+(0/H91*C102)+(5/H91*C103))/100)</f>
        <v>0.45</v>
      </c>
      <c r="H94" s="129"/>
      <c r="I94" s="13" t="s">
        <v>98</v>
      </c>
      <c r="J94" s="29">
        <f ca="1">H91*50%</f>
        <v>9.5</v>
      </c>
    </row>
    <row r="95" spans="1:19" hidden="1" x14ac:dyDescent="0.25">
      <c r="A95" s="111" t="s">
        <v>48</v>
      </c>
      <c r="B95" s="112"/>
      <c r="C95" s="81">
        <f ca="1">J103</f>
        <v>19</v>
      </c>
      <c r="D95" s="19">
        <f ca="1">((100/H91)*C95)/100</f>
        <v>1</v>
      </c>
      <c r="E95" s="115"/>
      <c r="F95" s="116"/>
      <c r="G95" s="115"/>
      <c r="H95" s="130"/>
      <c r="I95" s="13" t="s">
        <v>99</v>
      </c>
      <c r="J95" s="29">
        <f ca="1">H91</f>
        <v>19</v>
      </c>
      <c r="S95"/>
    </row>
    <row r="96" spans="1:19" ht="15.75" hidden="1" customHeight="1" x14ac:dyDescent="0.25">
      <c r="A96" s="111" t="s">
        <v>126</v>
      </c>
      <c r="B96" s="112"/>
      <c r="C96" s="81">
        <v>0</v>
      </c>
      <c r="D96" s="19">
        <f ca="1">((100/(D91+F91+H91))*C96)/100</f>
        <v>0</v>
      </c>
      <c r="E96" s="115"/>
      <c r="F96" s="116"/>
      <c r="G96" s="115"/>
      <c r="H96" s="130"/>
      <c r="I96" s="13" t="s">
        <v>100</v>
      </c>
      <c r="J96" s="30">
        <f ca="1">(IF(B91&gt;1,(H91/(B91+2)),H91/4))</f>
        <v>4.75</v>
      </c>
      <c r="S96"/>
    </row>
    <row r="97" spans="1:19" ht="15.75" hidden="1" customHeight="1" x14ac:dyDescent="0.25">
      <c r="A97" s="111" t="s">
        <v>133</v>
      </c>
      <c r="B97" s="112" t="s">
        <v>127</v>
      </c>
      <c r="C97" s="81">
        <v>0</v>
      </c>
      <c r="D97" s="19">
        <f ca="1">((100/H91)*C97)/100</f>
        <v>0</v>
      </c>
      <c r="E97" s="115"/>
      <c r="F97" s="116"/>
      <c r="G97" s="115"/>
      <c r="H97" s="130"/>
      <c r="I97" s="13" t="s">
        <v>101</v>
      </c>
      <c r="J97" s="30">
        <f ca="1">(IF(B91&gt;1,(H91/(B91+2)+J96),H91/4+J96))</f>
        <v>9.5</v>
      </c>
    </row>
    <row r="98" spans="1:19" ht="15.75" hidden="1" customHeight="1" x14ac:dyDescent="0.25">
      <c r="A98" s="111" t="s">
        <v>134</v>
      </c>
      <c r="B98" s="112" t="s">
        <v>127</v>
      </c>
      <c r="C98" s="81">
        <v>0</v>
      </c>
      <c r="D98" s="19">
        <f ca="1">((100/H91)*C98)/100</f>
        <v>0</v>
      </c>
      <c r="E98" s="115"/>
      <c r="F98" s="116"/>
      <c r="G98" s="115"/>
      <c r="H98" s="130"/>
      <c r="I98" s="13" t="s">
        <v>143</v>
      </c>
      <c r="J98" s="30">
        <f>(IF(B91&gt;1,(H91/(B91+2)+J97),0))</f>
        <v>0</v>
      </c>
    </row>
    <row r="99" spans="1:19" ht="15" hidden="1" customHeight="1" x14ac:dyDescent="0.25">
      <c r="A99" s="111" t="s">
        <v>132</v>
      </c>
      <c r="B99" s="112" t="s">
        <v>129</v>
      </c>
      <c r="C99" s="81">
        <v>0</v>
      </c>
      <c r="D99" s="19">
        <f ca="1">((100/(H91))*C99)/100</f>
        <v>0</v>
      </c>
      <c r="E99" s="115"/>
      <c r="F99" s="116"/>
      <c r="G99" s="115"/>
      <c r="H99" s="130"/>
      <c r="I99" s="13" t="s">
        <v>140</v>
      </c>
      <c r="J99" s="30">
        <f>(IF(B91&gt;2,(H91/(B91+2)+J98),0))</f>
        <v>0</v>
      </c>
    </row>
    <row r="100" spans="1:19" ht="15.75" hidden="1" customHeight="1" x14ac:dyDescent="0.25">
      <c r="A100" s="111" t="s">
        <v>128</v>
      </c>
      <c r="B100" s="112" t="s">
        <v>128</v>
      </c>
      <c r="C100" s="81">
        <v>0</v>
      </c>
      <c r="D100" s="19">
        <f ca="1">((100/H91)*C100)/100</f>
        <v>0</v>
      </c>
      <c r="E100" s="115"/>
      <c r="F100" s="116"/>
      <c r="G100" s="115"/>
      <c r="H100" s="130"/>
      <c r="I100" s="13" t="s">
        <v>141</v>
      </c>
      <c r="J100" s="31">
        <f>(IF(B91&gt;3,(H91/(B91+2)+J99),0))</f>
        <v>0</v>
      </c>
    </row>
    <row r="101" spans="1:19" ht="15.75" hidden="1" customHeight="1" x14ac:dyDescent="0.25">
      <c r="A101" s="111" t="s">
        <v>135</v>
      </c>
      <c r="B101" s="112"/>
      <c r="C101" s="81">
        <v>0</v>
      </c>
      <c r="D101" s="19">
        <f ca="1">((100/H91)*C101)/100</f>
        <v>0</v>
      </c>
      <c r="E101" s="115"/>
      <c r="F101" s="116"/>
      <c r="G101" s="115"/>
      <c r="H101" s="130"/>
      <c r="I101" s="13" t="s">
        <v>142</v>
      </c>
      <c r="J101" s="30">
        <f>(IF(B91&gt;4,(H91/(B91+2)+J100),0))</f>
        <v>0</v>
      </c>
    </row>
    <row r="102" spans="1:19" ht="15.75" hidden="1" customHeight="1" x14ac:dyDescent="0.25">
      <c r="A102" s="111" t="s">
        <v>130</v>
      </c>
      <c r="B102" s="112" t="s">
        <v>130</v>
      </c>
      <c r="C102" s="81">
        <v>0</v>
      </c>
      <c r="D102" s="19">
        <f ca="1">((100/(H91))*C102)/100</f>
        <v>0</v>
      </c>
      <c r="E102" s="115"/>
      <c r="F102" s="116"/>
      <c r="G102" s="115"/>
      <c r="H102" s="130"/>
      <c r="I102" s="13" t="s">
        <v>144</v>
      </c>
      <c r="J102" s="30">
        <f ca="1">(IF(B91=1,(H91/(B91+3)+J97),IF(B91=0,(H91/4+J97),IF(B91&gt;1,0))))</f>
        <v>14.25</v>
      </c>
    </row>
    <row r="103" spans="1:19" ht="16.5" hidden="1" thickBot="1" x14ac:dyDescent="0.3">
      <c r="A103" s="103" t="s">
        <v>131</v>
      </c>
      <c r="B103" s="104"/>
      <c r="C103" s="80">
        <v>0</v>
      </c>
      <c r="D103" s="20">
        <f ca="1">((100/(H91))*C103)/100</f>
        <v>0</v>
      </c>
      <c r="E103" s="117"/>
      <c r="F103" s="118"/>
      <c r="G103" s="117"/>
      <c r="H103" s="131"/>
      <c r="I103" s="15" t="s">
        <v>102</v>
      </c>
      <c r="J103" s="32">
        <f ca="1">(IF(B91&gt;1.5,(H91/(B91+2)+J97+MAX(0,J98-J97)+MAX(0,J99-J98)+MAX(0,J100-J99)+MAX(0,J101-J100)+MAX(0,J102-J101)),IF(B91=1,(H91/(B91+3)+J102),IF(B91=0,H91/4+J102))))</f>
        <v>19</v>
      </c>
    </row>
    <row r="104" spans="1:19" ht="15.75" hidden="1" customHeight="1" x14ac:dyDescent="0.25">
      <c r="A104" s="119" t="s">
        <v>137</v>
      </c>
      <c r="B104" s="120"/>
      <c r="C104" s="121" t="str">
        <f>D68</f>
        <v>C Wing = 1B + G + 1st to 20th Floor</v>
      </c>
      <c r="D104" s="122"/>
      <c r="E104" s="122"/>
      <c r="F104" s="122"/>
      <c r="G104" s="122"/>
      <c r="H104" s="123"/>
      <c r="I104" s="46" t="str">
        <f ca="1">IF(D117=100%,"All work Completed. Possession granted to the Building.",IF(D116=100%,"All work Completed, Waiting for OC",I105&amp;""&amp;I106&amp;""&amp;J105&amp;""&amp;J104&amp;" "&amp;J106))</f>
        <v xml:space="preserve">Excavation, Plinth Completed </v>
      </c>
      <c r="J104" s="47"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139</v>
      </c>
      <c r="B105" s="50">
        <f>IF(AND(ISNUMBER(SEARCH("1B",C104))),1,IF(AND(ISNUMBER(SEARCH("2B",C104))),2,IF(AND(ISNUMBER(SEARCH("3B",C104))),3,IF(AND(ISNUMBER(SEARCH("4B",C104))),4,IF(ISNUMBER(SEARCH("5B",C104)),5,0)))))</f>
        <v>1</v>
      </c>
      <c r="C105" s="50" t="s">
        <v>69</v>
      </c>
      <c r="D105" s="50">
        <v>1</v>
      </c>
      <c r="E105" s="50" t="s">
        <v>68</v>
      </c>
      <c r="F105" s="14">
        <v>0</v>
      </c>
      <c r="G105" s="45" t="s">
        <v>77</v>
      </c>
      <c r="H105" s="17">
        <f ca="1">--TRIM(RIGHT(SUBSTITUTE(LEFT(C104,_xlfn.AGGREGATE(16,6,FIND({0,1,2,3,4,5,6,7,8,9},C104,ROW(INDIRECT("1:"&amp;LEN(C104)))),1))," ",REPT(" ",LEN(C104))),LEN(C104)))</f>
        <v>20</v>
      </c>
      <c r="I105" s="48" t="str">
        <f ca="1">IF(D108=100%,"Excavation","")&amp;IF(D109=100%,", Plinth","")&amp;IF(D110=100%,", RCC Slab","")&amp;IF(D111=100%,", Brickwork","")&amp;IF(D112=100%,", Internal Plaster","")&amp;IF(D113=100%,", External Plaster","")&amp;IF(D114=100%,", Flooring","")&amp;IF(D115=100%,", Painting","")&amp;IF(D116=100%,", Building common Amenities","")</f>
        <v>Excavation, Plinth</v>
      </c>
      <c r="J105" s="49"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36.75" hidden="1" customHeight="1" x14ac:dyDescent="0.25">
      <c r="A106" s="124" t="s">
        <v>87</v>
      </c>
      <c r="B106" s="125"/>
      <c r="C106" s="126" t="str">
        <f ca="1">I104</f>
        <v xml:space="preserve">Excavation, Plinth Completed </v>
      </c>
      <c r="D106" s="126"/>
      <c r="E106" s="126"/>
      <c r="F106" s="126"/>
      <c r="G106" s="126"/>
      <c r="H106" s="127"/>
      <c r="I106" s="48" t="str">
        <f ca="1">IF(I105&lt;&gt;""," Completed","")</f>
        <v xml:space="preserve"> Completed</v>
      </c>
      <c r="J106" s="49" t="str">
        <f ca="1">IF(J104&lt;&gt;"","Completed","")</f>
        <v/>
      </c>
      <c r="S106"/>
    </row>
    <row r="107" spans="1:19" ht="15.75" hidden="1" customHeight="1" x14ac:dyDescent="0.25">
      <c r="A107" s="111" t="s">
        <v>47</v>
      </c>
      <c r="B107" s="112"/>
      <c r="C107" s="81" t="s">
        <v>136</v>
      </c>
      <c r="D107" s="81" t="s">
        <v>80</v>
      </c>
      <c r="E107" s="112" t="s">
        <v>82</v>
      </c>
      <c r="F107" s="112"/>
      <c r="G107" s="112" t="s">
        <v>81</v>
      </c>
      <c r="H107" s="128"/>
      <c r="I107" s="13" t="s">
        <v>138</v>
      </c>
      <c r="J107" s="28">
        <f ca="1">H105*25%</f>
        <v>5</v>
      </c>
      <c r="S107"/>
    </row>
    <row r="108" spans="1:19" hidden="1" x14ac:dyDescent="0.25">
      <c r="A108" s="111" t="s">
        <v>125</v>
      </c>
      <c r="B108" s="112"/>
      <c r="C108" s="61">
        <f ca="1">J109</f>
        <v>20</v>
      </c>
      <c r="D108" s="19">
        <f ca="1">((100/H105)*C108)/100</f>
        <v>1</v>
      </c>
      <c r="E108" s="113">
        <f ca="1">(((C109/H105*10)+(40/(D105+F105+H105)*C110)+(7.5/(H105)*C111)+(7.5/(H105)*C112)+(10/H105*C113)+(10/H105*C114)+(5/H105*C115)+(5/H105*C116)+(5/H105*C117))/100)</f>
        <v>0.1</v>
      </c>
      <c r="F108" s="114"/>
      <c r="G108" s="113">
        <f ca="1">((((C108/H105)*20)+((C109/H105)*25)+(30/(H105+F105+D105)*C110)+(5/H105*C111)+(5/H105*C112)+(5/H105*C113)+(5/H105*C114)+(0/H105*C115)+(0/H105*C116)+(5/H105*C117))/100)</f>
        <v>0.45</v>
      </c>
      <c r="H108" s="129"/>
      <c r="I108" s="13" t="s">
        <v>98</v>
      </c>
      <c r="J108" s="29">
        <f ca="1">H105*50%</f>
        <v>10</v>
      </c>
    </row>
    <row r="109" spans="1:19" hidden="1" x14ac:dyDescent="0.25">
      <c r="A109" s="111" t="s">
        <v>48</v>
      </c>
      <c r="B109" s="112"/>
      <c r="C109" s="81">
        <f ca="1">J117</f>
        <v>20</v>
      </c>
      <c r="D109" s="19">
        <f ca="1">((100/H105)*C109)/100</f>
        <v>1</v>
      </c>
      <c r="E109" s="115"/>
      <c r="F109" s="116"/>
      <c r="G109" s="115"/>
      <c r="H109" s="130"/>
      <c r="I109" s="13" t="s">
        <v>99</v>
      </c>
      <c r="J109" s="29">
        <f ca="1">H105</f>
        <v>20</v>
      </c>
      <c r="S109"/>
    </row>
    <row r="110" spans="1:19" ht="15.75" hidden="1" customHeight="1" x14ac:dyDescent="0.25">
      <c r="A110" s="111" t="s">
        <v>126</v>
      </c>
      <c r="B110" s="112"/>
      <c r="C110" s="81">
        <v>0</v>
      </c>
      <c r="D110" s="19">
        <f ca="1">((100/(D105+F105+H105))*C110)/100</f>
        <v>0</v>
      </c>
      <c r="E110" s="115"/>
      <c r="F110" s="116"/>
      <c r="G110" s="115"/>
      <c r="H110" s="130"/>
      <c r="I110" s="13" t="s">
        <v>100</v>
      </c>
      <c r="J110" s="30">
        <f ca="1">(IF(B105&gt;1,(H105/(B105+2)),H105/4))</f>
        <v>5</v>
      </c>
      <c r="S110"/>
    </row>
    <row r="111" spans="1:19" ht="15.75" hidden="1" customHeight="1" x14ac:dyDescent="0.25">
      <c r="A111" s="111" t="s">
        <v>133</v>
      </c>
      <c r="B111" s="112" t="s">
        <v>127</v>
      </c>
      <c r="C111" s="81">
        <v>0</v>
      </c>
      <c r="D111" s="19">
        <f ca="1">((100/H105)*C111)/100</f>
        <v>0</v>
      </c>
      <c r="E111" s="115"/>
      <c r="F111" s="116"/>
      <c r="G111" s="115"/>
      <c r="H111" s="130"/>
      <c r="I111" s="13" t="s">
        <v>101</v>
      </c>
      <c r="J111" s="30">
        <f ca="1">(IF(B105&gt;1,(H105/(B105+2)+J110),H105/4+J110))</f>
        <v>10</v>
      </c>
    </row>
    <row r="112" spans="1:19" ht="15.75" hidden="1" customHeight="1" x14ac:dyDescent="0.25">
      <c r="A112" s="111" t="s">
        <v>134</v>
      </c>
      <c r="B112" s="112" t="s">
        <v>127</v>
      </c>
      <c r="C112" s="81">
        <v>0</v>
      </c>
      <c r="D112" s="19">
        <f ca="1">((100/H105)*C112)/100</f>
        <v>0</v>
      </c>
      <c r="E112" s="115"/>
      <c r="F112" s="116"/>
      <c r="G112" s="115"/>
      <c r="H112" s="130"/>
      <c r="I112" s="13" t="s">
        <v>143</v>
      </c>
      <c r="J112" s="30">
        <f>(IF(B105&gt;1,(H105/(B105+2)+J111),0))</f>
        <v>0</v>
      </c>
    </row>
    <row r="113" spans="1:22" ht="15" hidden="1" customHeight="1" x14ac:dyDescent="0.25">
      <c r="A113" s="111" t="s">
        <v>132</v>
      </c>
      <c r="B113" s="112" t="s">
        <v>129</v>
      </c>
      <c r="C113" s="81">
        <v>0</v>
      </c>
      <c r="D113" s="19">
        <f ca="1">((100/(H105))*C113)/100</f>
        <v>0</v>
      </c>
      <c r="E113" s="115"/>
      <c r="F113" s="116"/>
      <c r="G113" s="115"/>
      <c r="H113" s="130"/>
      <c r="I113" s="13" t="s">
        <v>140</v>
      </c>
      <c r="J113" s="30">
        <f>(IF(B105&gt;2,(H105/(B105+2)+J112),0))</f>
        <v>0</v>
      </c>
    </row>
    <row r="114" spans="1:22" ht="15.75" hidden="1" customHeight="1" x14ac:dyDescent="0.25">
      <c r="A114" s="111" t="s">
        <v>128</v>
      </c>
      <c r="B114" s="112" t="s">
        <v>128</v>
      </c>
      <c r="C114" s="81">
        <v>0</v>
      </c>
      <c r="D114" s="19">
        <f ca="1">((100/H105)*C114)/100</f>
        <v>0</v>
      </c>
      <c r="E114" s="115"/>
      <c r="F114" s="116"/>
      <c r="G114" s="115"/>
      <c r="H114" s="130"/>
      <c r="I114" s="13" t="s">
        <v>141</v>
      </c>
      <c r="J114" s="31">
        <f>(IF(B105&gt;3,(H105/(B105+2)+J113),0))</f>
        <v>0</v>
      </c>
    </row>
    <row r="115" spans="1:22" ht="15.75" hidden="1" customHeight="1" x14ac:dyDescent="0.25">
      <c r="A115" s="111" t="s">
        <v>135</v>
      </c>
      <c r="B115" s="112"/>
      <c r="C115" s="81">
        <v>0</v>
      </c>
      <c r="D115" s="19">
        <f ca="1">((100/H105)*C115)/100</f>
        <v>0</v>
      </c>
      <c r="E115" s="115"/>
      <c r="F115" s="116"/>
      <c r="G115" s="115"/>
      <c r="H115" s="130"/>
      <c r="I115" s="13" t="s">
        <v>142</v>
      </c>
      <c r="J115" s="30">
        <f>(IF(B105&gt;4,(H105/(B105+2)+J114),0))</f>
        <v>0</v>
      </c>
    </row>
    <row r="116" spans="1:22" ht="15.75" hidden="1" customHeight="1" x14ac:dyDescent="0.25">
      <c r="A116" s="111" t="s">
        <v>130</v>
      </c>
      <c r="B116" s="112" t="s">
        <v>130</v>
      </c>
      <c r="C116" s="81">
        <v>0</v>
      </c>
      <c r="D116" s="19">
        <f ca="1">((100/(H105))*C116)/100</f>
        <v>0</v>
      </c>
      <c r="E116" s="115"/>
      <c r="F116" s="116"/>
      <c r="G116" s="115"/>
      <c r="H116" s="130"/>
      <c r="I116" s="13" t="s">
        <v>144</v>
      </c>
      <c r="J116" s="30">
        <f ca="1">(IF(B105=1,(H105/(B105+3)+J111),IF(B105=0,(H105/4+J111),IF(B105&gt;1,0))))</f>
        <v>15</v>
      </c>
    </row>
    <row r="117" spans="1:22" ht="16.5" hidden="1" thickBot="1" x14ac:dyDescent="0.3">
      <c r="A117" s="103" t="s">
        <v>131</v>
      </c>
      <c r="B117" s="104"/>
      <c r="C117" s="80">
        <v>0</v>
      </c>
      <c r="D117" s="20">
        <f ca="1">((100/(H105))*C117)/100</f>
        <v>0</v>
      </c>
      <c r="E117" s="117"/>
      <c r="F117" s="118"/>
      <c r="G117" s="117"/>
      <c r="H117" s="131"/>
      <c r="I117" s="15" t="s">
        <v>102</v>
      </c>
      <c r="J117" s="32">
        <f ca="1">(IF(B105&gt;1.5,(H105/(B105+2)+J111+MAX(0,J112-J111)+MAX(0,J113-J112)+MAX(0,J114-J113)+MAX(0,J115-J114)+MAX(0,J116-J115)),IF(B105=1,(H105/(B105+3)+J116),IF(B105=0,H105/4+J116))))</f>
        <v>20</v>
      </c>
    </row>
    <row r="118" spans="1:22" x14ac:dyDescent="0.25">
      <c r="A118" s="145" t="s">
        <v>154</v>
      </c>
      <c r="B118" s="145"/>
      <c r="C118" s="145"/>
      <c r="D118" s="145"/>
      <c r="E118" s="145"/>
      <c r="F118" s="147" t="s">
        <v>158</v>
      </c>
      <c r="G118" s="147"/>
      <c r="H118" s="147"/>
      <c r="R118" t="s">
        <v>253</v>
      </c>
      <c r="S118" t="s">
        <v>171</v>
      </c>
      <c r="T118" t="s">
        <v>179</v>
      </c>
      <c r="U118" t="s">
        <v>193</v>
      </c>
      <c r="V118" t="s">
        <v>188</v>
      </c>
    </row>
    <row r="119" spans="1:22" x14ac:dyDescent="0.25">
      <c r="A119" s="101" t="s">
        <v>156</v>
      </c>
      <c r="B119" s="101"/>
      <c r="C119" s="101"/>
      <c r="D119" s="101"/>
      <c r="E119" s="101"/>
      <c r="F119" s="146">
        <v>10000</v>
      </c>
      <c r="G119" s="146"/>
      <c r="H119" s="146"/>
      <c r="J119" s="24">
        <f>valuation!G5</f>
        <v>10653.40909090909</v>
      </c>
      <c r="R119"/>
      <c r="S119">
        <v>800000</v>
      </c>
      <c r="T119">
        <v>150000</v>
      </c>
      <c r="U119">
        <v>100000</v>
      </c>
      <c r="V119">
        <v>100000</v>
      </c>
    </row>
    <row r="120" spans="1:22" x14ac:dyDescent="0.25">
      <c r="A120" s="101" t="s">
        <v>155</v>
      </c>
      <c r="B120" s="101"/>
      <c r="C120" s="101"/>
      <c r="D120" s="101"/>
      <c r="E120" s="101"/>
      <c r="F120" s="146">
        <v>18000</v>
      </c>
      <c r="G120" s="146"/>
      <c r="H120" s="146"/>
      <c r="R120"/>
      <c r="S120">
        <v>900000</v>
      </c>
      <c r="T120">
        <v>200000</v>
      </c>
      <c r="U120">
        <v>150000</v>
      </c>
      <c r="V120">
        <v>150000</v>
      </c>
    </row>
    <row r="121" spans="1:22" hidden="1" x14ac:dyDescent="0.25">
      <c r="A121" s="101" t="s">
        <v>157</v>
      </c>
      <c r="B121" s="101"/>
      <c r="C121" s="101"/>
      <c r="D121" s="101"/>
      <c r="E121" s="101"/>
      <c r="F121" s="146"/>
      <c r="G121" s="146"/>
      <c r="H121" s="146"/>
      <c r="R121"/>
      <c r="S121">
        <v>1000000</v>
      </c>
      <c r="T121">
        <v>250000</v>
      </c>
      <c r="U121">
        <v>200000</v>
      </c>
      <c r="V121">
        <v>200000</v>
      </c>
    </row>
    <row r="122" spans="1:22" s="33" customFormat="1" hidden="1" x14ac:dyDescent="0.25">
      <c r="A122" s="101" t="s">
        <v>174</v>
      </c>
      <c r="B122" s="101"/>
      <c r="C122" s="101"/>
      <c r="D122" s="101"/>
      <c r="E122" s="101"/>
      <c r="F122" s="146"/>
      <c r="G122" s="146"/>
      <c r="H122" s="146"/>
      <c r="R122"/>
      <c r="S122">
        <v>1100000</v>
      </c>
      <c r="T122">
        <v>300000</v>
      </c>
      <c r="U122">
        <v>250000</v>
      </c>
      <c r="V122" s="23">
        <v>250000</v>
      </c>
    </row>
    <row r="123" spans="1:22" s="33" customFormat="1" hidden="1" x14ac:dyDescent="0.25">
      <c r="A123" s="101" t="s">
        <v>92</v>
      </c>
      <c r="B123" s="101"/>
      <c r="C123" s="101"/>
      <c r="D123" s="101"/>
      <c r="E123" s="101"/>
      <c r="F123" s="146"/>
      <c r="G123" s="146"/>
      <c r="H123" s="146"/>
      <c r="R123"/>
      <c r="S123">
        <v>1200000</v>
      </c>
      <c r="T123">
        <v>350000</v>
      </c>
      <c r="U123">
        <v>300000</v>
      </c>
      <c r="V123">
        <v>300000</v>
      </c>
    </row>
    <row r="124" spans="1:22" s="33" customFormat="1" hidden="1" x14ac:dyDescent="0.25">
      <c r="A124" s="101" t="s">
        <v>93</v>
      </c>
      <c r="B124" s="101"/>
      <c r="C124" s="101"/>
      <c r="D124" s="101"/>
      <c r="E124" s="101"/>
      <c r="F124" s="146"/>
      <c r="G124" s="146"/>
      <c r="H124" s="146"/>
      <c r="R124"/>
      <c r="S124">
        <v>1300000</v>
      </c>
      <c r="T124">
        <v>400000</v>
      </c>
      <c r="U124">
        <v>350000</v>
      </c>
      <c r="V124" s="23">
        <v>400000</v>
      </c>
    </row>
    <row r="125" spans="1:22" s="33" customFormat="1" hidden="1" x14ac:dyDescent="0.25">
      <c r="A125" s="101" t="s">
        <v>94</v>
      </c>
      <c r="B125" s="101"/>
      <c r="C125" s="101"/>
      <c r="D125" s="101"/>
      <c r="E125" s="101"/>
      <c r="F125" s="146"/>
      <c r="G125" s="146"/>
      <c r="H125" s="146"/>
      <c r="R125"/>
      <c r="S125">
        <v>1400000</v>
      </c>
      <c r="T125">
        <v>500000</v>
      </c>
      <c r="U125">
        <v>400000</v>
      </c>
      <c r="V125"/>
    </row>
    <row r="126" spans="1:22" s="33" customFormat="1" hidden="1" x14ac:dyDescent="0.25">
      <c r="A126" s="101" t="s">
        <v>95</v>
      </c>
      <c r="B126" s="101"/>
      <c r="C126" s="101"/>
      <c r="D126" s="101"/>
      <c r="E126" s="101"/>
      <c r="F126" s="146"/>
      <c r="G126" s="146"/>
      <c r="H126" s="146"/>
      <c r="R126"/>
      <c r="S126">
        <v>1500000</v>
      </c>
      <c r="T126">
        <v>600000</v>
      </c>
      <c r="U126">
        <v>500000</v>
      </c>
      <c r="V126" s="23"/>
    </row>
    <row r="127" spans="1:22" s="33" customFormat="1" hidden="1" x14ac:dyDescent="0.25">
      <c r="A127" s="101" t="s">
        <v>96</v>
      </c>
      <c r="B127" s="101"/>
      <c r="C127" s="101"/>
      <c r="D127" s="101"/>
      <c r="E127" s="101"/>
      <c r="F127" s="146"/>
      <c r="G127" s="146"/>
      <c r="H127" s="146"/>
      <c r="R127"/>
      <c r="S127">
        <v>1600000</v>
      </c>
      <c r="T127">
        <v>700000</v>
      </c>
      <c r="U127">
        <v>600000</v>
      </c>
      <c r="V127"/>
    </row>
    <row r="128" spans="1:22" s="33" customFormat="1" hidden="1" x14ac:dyDescent="0.25">
      <c r="A128" s="101" t="s">
        <v>97</v>
      </c>
      <c r="B128" s="101"/>
      <c r="C128" s="101"/>
      <c r="D128" s="101"/>
      <c r="E128" s="101"/>
      <c r="F128" s="146"/>
      <c r="G128" s="146"/>
      <c r="H128" s="146"/>
      <c r="R128"/>
      <c r="S128">
        <v>1700000</v>
      </c>
      <c r="T128">
        <v>800000</v>
      </c>
      <c r="U128"/>
      <c r="V128" s="23"/>
    </row>
    <row r="129" spans="1:22" x14ac:dyDescent="0.25">
      <c r="A129" s="101" t="s">
        <v>49</v>
      </c>
      <c r="B129" s="101"/>
      <c r="C129" s="101"/>
      <c r="D129" s="101"/>
      <c r="E129" s="101"/>
      <c r="F129" s="146">
        <v>500000</v>
      </c>
      <c r="G129" s="146"/>
      <c r="H129" s="146"/>
      <c r="R129"/>
      <c r="S129">
        <v>1800000</v>
      </c>
      <c r="T129">
        <v>900000</v>
      </c>
      <c r="U129"/>
    </row>
    <row r="130" spans="1:22" s="34" customFormat="1" x14ac:dyDescent="0.25">
      <c r="A130" s="174" t="s">
        <v>50</v>
      </c>
      <c r="B130" s="174"/>
      <c r="C130" s="174"/>
      <c r="D130" s="174"/>
      <c r="E130" s="174"/>
      <c r="F130" s="146">
        <f>F119*0.8</f>
        <v>8000</v>
      </c>
      <c r="G130" s="146"/>
      <c r="H130" s="146"/>
      <c r="R130" s="21"/>
      <c r="S130" s="21"/>
      <c r="T130">
        <v>1000000</v>
      </c>
      <c r="U130"/>
      <c r="V130" s="21"/>
    </row>
    <row r="131" spans="1:22" s="35" customFormat="1" ht="15.75" customHeight="1" x14ac:dyDescent="0.25">
      <c r="A131" s="164" t="s">
        <v>72</v>
      </c>
      <c r="B131" s="164"/>
      <c r="C131" s="164"/>
      <c r="D131" s="164"/>
      <c r="E131" s="164"/>
      <c r="F131" s="164"/>
      <c r="G131" s="164"/>
      <c r="H131" s="164"/>
      <c r="R131"/>
      <c r="S131" s="21"/>
      <c r="T131"/>
      <c r="U131"/>
      <c r="V131" s="21"/>
    </row>
    <row r="132" spans="1:22" s="35" customFormat="1" ht="15.75" customHeight="1" x14ac:dyDescent="0.25">
      <c r="A132" s="148" t="s">
        <v>51</v>
      </c>
      <c r="B132" s="148"/>
      <c r="C132" s="165" t="s">
        <v>75</v>
      </c>
      <c r="D132" s="165"/>
      <c r="E132" s="166" t="s">
        <v>52</v>
      </c>
      <c r="F132" s="166"/>
      <c r="G132" s="148" t="s">
        <v>53</v>
      </c>
      <c r="H132" s="148"/>
      <c r="R132"/>
      <c r="S132" s="21"/>
      <c r="T132"/>
      <c r="U132" s="21"/>
      <c r="V132" s="21"/>
    </row>
    <row r="133" spans="1:22" s="35" customFormat="1" x14ac:dyDescent="0.25">
      <c r="A133" s="170" t="s">
        <v>395</v>
      </c>
      <c r="B133" s="170"/>
      <c r="C133" s="151">
        <f>COUNT(D148:D152)</f>
        <v>5</v>
      </c>
      <c r="D133" s="152"/>
      <c r="E133" s="151">
        <f t="shared" ref="E133" si="0">SUM(F148:F152)</f>
        <v>2781.7405200000003</v>
      </c>
      <c r="F133" s="152"/>
      <c r="G133" s="151">
        <f t="shared" ref="G133" si="1">SUM(H148:H152)</f>
        <v>4450.7848319999994</v>
      </c>
      <c r="H133" s="152"/>
      <c r="R133"/>
      <c r="S133" s="21"/>
      <c r="T133"/>
      <c r="U133" s="21"/>
      <c r="V133" s="21"/>
    </row>
    <row r="134" spans="1:22" s="35" customFormat="1" hidden="1" x14ac:dyDescent="0.25">
      <c r="A134" s="170"/>
      <c r="B134" s="170"/>
      <c r="C134" s="152"/>
      <c r="D134" s="152"/>
      <c r="E134" s="162"/>
      <c r="F134" s="162"/>
      <c r="G134" s="163"/>
      <c r="H134" s="163"/>
      <c r="R134"/>
      <c r="S134" s="21"/>
      <c r="T134"/>
      <c r="U134" s="21"/>
      <c r="V134" s="21"/>
    </row>
    <row r="135" spans="1:22" s="35" customFormat="1" hidden="1" x14ac:dyDescent="0.25">
      <c r="A135" s="164" t="s">
        <v>147</v>
      </c>
      <c r="B135" s="164"/>
      <c r="C135" s="165"/>
      <c r="D135" s="165"/>
      <c r="E135" s="166"/>
      <c r="F135" s="166"/>
      <c r="G135" s="148"/>
      <c r="H135" s="148"/>
      <c r="R135"/>
      <c r="S135" s="21"/>
      <c r="T135"/>
      <c r="U135" s="21"/>
      <c r="V135" s="21"/>
    </row>
    <row r="136" spans="1:22" s="35" customFormat="1" x14ac:dyDescent="0.25">
      <c r="A136" s="164" t="s">
        <v>67</v>
      </c>
      <c r="B136" s="164"/>
      <c r="C136" s="164"/>
      <c r="D136" s="164"/>
      <c r="E136" s="164"/>
      <c r="F136" s="164"/>
      <c r="G136" s="164"/>
      <c r="H136" s="164"/>
      <c r="T136"/>
    </row>
    <row r="137" spans="1:22" s="35" customFormat="1" ht="15.75" customHeight="1" x14ac:dyDescent="0.25">
      <c r="A137" s="148" t="s">
        <v>51</v>
      </c>
      <c r="B137" s="148"/>
      <c r="C137" s="165" t="s">
        <v>75</v>
      </c>
      <c r="D137" s="165"/>
      <c r="E137" s="166" t="s">
        <v>52</v>
      </c>
      <c r="F137" s="166"/>
      <c r="G137" s="148" t="s">
        <v>53</v>
      </c>
      <c r="H137" s="148"/>
      <c r="T137"/>
    </row>
    <row r="138" spans="1:22" s="35" customFormat="1" ht="16.5" thickBot="1" x14ac:dyDescent="0.3">
      <c r="A138" s="170" t="s">
        <v>396</v>
      </c>
      <c r="B138" s="170"/>
      <c r="C138" s="151">
        <f>COUNT(D160:D163)*19+COUNT(D165:D168)*4+COUNT(D170:D173)+COUNT(D175:D176)</f>
        <v>98</v>
      </c>
      <c r="D138" s="151"/>
      <c r="E138" s="151">
        <f t="shared" ref="E138" si="2">SUM(F160:F163)*19+SUM(F165:F168)*4+SUM(F170:F173)+SUM(F175:F176)</f>
        <v>106684.80263999998</v>
      </c>
      <c r="F138" s="151"/>
      <c r="G138" s="151">
        <f t="shared" ref="G138" si="3">SUM(H160:H163)*19+SUM(H165:H168)*4+SUM(H170:H173)+SUM(H175:H176)</f>
        <v>165361.44409199999</v>
      </c>
      <c r="H138" s="151"/>
      <c r="T138"/>
    </row>
    <row r="139" spans="1:22" s="35" customFormat="1" hidden="1" x14ac:dyDescent="0.25">
      <c r="A139" s="170"/>
      <c r="B139" s="170"/>
      <c r="C139" s="152"/>
      <c r="D139" s="152"/>
      <c r="E139" s="162"/>
      <c r="F139" s="162"/>
      <c r="G139" s="163"/>
      <c r="H139" s="163"/>
      <c r="T139"/>
    </row>
    <row r="140" spans="1:22" s="35" customFormat="1" ht="16.5" hidden="1" thickBot="1" x14ac:dyDescent="0.3">
      <c r="A140" s="159" t="s">
        <v>147</v>
      </c>
      <c r="B140" s="159"/>
      <c r="C140" s="249"/>
      <c r="D140" s="249"/>
      <c r="E140" s="160"/>
      <c r="F140" s="160"/>
      <c r="G140" s="161"/>
      <c r="H140" s="161"/>
      <c r="T140"/>
    </row>
    <row r="141" spans="1:22" s="35" customFormat="1" ht="16.5" thickBot="1" x14ac:dyDescent="0.3">
      <c r="A141" s="231" t="s">
        <v>164</v>
      </c>
      <c r="B141" s="232"/>
      <c r="C141" s="154">
        <f>C133+C138</f>
        <v>103</v>
      </c>
      <c r="D141" s="155"/>
      <c r="E141" s="154">
        <f>E133+E138</f>
        <v>109466.54315999999</v>
      </c>
      <c r="F141" s="155"/>
      <c r="G141" s="154">
        <f>G133+G138</f>
        <v>169812.228924</v>
      </c>
      <c r="H141" s="155"/>
      <c r="T141"/>
    </row>
    <row r="142" spans="1:22" s="34" customFormat="1" x14ac:dyDescent="0.25">
      <c r="A142" s="147" t="s">
        <v>54</v>
      </c>
      <c r="B142" s="147"/>
      <c r="C142" s="147"/>
      <c r="D142" s="147"/>
      <c r="E142" s="147"/>
      <c r="F142" s="147"/>
      <c r="G142" s="147"/>
      <c r="H142" s="147"/>
      <c r="T142" s="35"/>
    </row>
    <row r="143" spans="1:22" x14ac:dyDescent="0.25">
      <c r="A143" s="212" t="s">
        <v>173</v>
      </c>
      <c r="B143" s="212"/>
      <c r="C143" s="212"/>
      <c r="D143" s="212"/>
      <c r="E143" s="212"/>
      <c r="F143" s="212"/>
      <c r="G143" s="212"/>
      <c r="H143" s="212"/>
      <c r="T143" s="35"/>
    </row>
    <row r="144" spans="1:22" ht="47.25" customHeight="1" x14ac:dyDescent="0.25">
      <c r="A144" s="105" t="s">
        <v>394</v>
      </c>
      <c r="B144" s="105" t="s">
        <v>175</v>
      </c>
      <c r="C144" s="105" t="s">
        <v>55</v>
      </c>
      <c r="D144" s="105" t="s">
        <v>231</v>
      </c>
      <c r="E144" s="132" t="s">
        <v>153</v>
      </c>
      <c r="F144" s="105" t="s">
        <v>56</v>
      </c>
      <c r="G144" s="132" t="s">
        <v>57</v>
      </c>
      <c r="H144" s="89" t="s">
        <v>146</v>
      </c>
      <c r="T144" s="35"/>
    </row>
    <row r="145" spans="1:20" s="37" customFormat="1" x14ac:dyDescent="0.25">
      <c r="A145" s="106"/>
      <c r="B145" s="106"/>
      <c r="C145" s="106"/>
      <c r="D145" s="106"/>
      <c r="E145" s="133"/>
      <c r="F145" s="106"/>
      <c r="G145" s="133"/>
      <c r="H145" s="94">
        <v>0.6</v>
      </c>
      <c r="T145" s="35"/>
    </row>
    <row r="146" spans="1:20" s="86" customFormat="1" x14ac:dyDescent="0.25">
      <c r="A146" s="167" t="s">
        <v>380</v>
      </c>
      <c r="B146" s="168"/>
      <c r="C146" s="168"/>
      <c r="D146" s="168"/>
      <c r="E146" s="168"/>
      <c r="F146" s="168"/>
      <c r="G146" s="168"/>
      <c r="H146" s="169"/>
      <c r="J146" s="36"/>
      <c r="T146" s="35"/>
    </row>
    <row r="147" spans="1:20" s="37" customFormat="1" x14ac:dyDescent="0.25">
      <c r="A147" s="167" t="s">
        <v>378</v>
      </c>
      <c r="B147" s="168"/>
      <c r="C147" s="168"/>
      <c r="D147" s="168"/>
      <c r="E147" s="168"/>
      <c r="F147" s="168"/>
      <c r="G147" s="168"/>
      <c r="H147" s="169"/>
      <c r="J147" s="36"/>
      <c r="T147" s="35"/>
    </row>
    <row r="148" spans="1:20" s="37" customFormat="1" ht="15.75" customHeight="1" x14ac:dyDescent="0.25">
      <c r="A148" s="220">
        <v>1</v>
      </c>
      <c r="B148" s="221"/>
      <c r="C148" s="42" t="s">
        <v>379</v>
      </c>
      <c r="D148" s="85">
        <f>(51.76)*10.764</f>
        <v>557.14463999999998</v>
      </c>
      <c r="E148" s="42">
        <v>0</v>
      </c>
      <c r="F148" s="62">
        <f>D148+(IF(E148&lt;201,E148,IF(E148&lt;301,E148/2,E148/3)))</f>
        <v>557.14463999999998</v>
      </c>
      <c r="G148" s="63">
        <v>0</v>
      </c>
      <c r="H148" s="62">
        <f>(F148+(IF(G148&lt;101,G148,IF(G148&lt;201,G148/2,IF(G148&lt;=301,G148/3,G148/4)))))*(($H$145)+1)</f>
        <v>891.43142399999999</v>
      </c>
      <c r="I148" s="36"/>
      <c r="J148" s="87">
        <f>4.65*11.65</f>
        <v>54.172500000000007</v>
      </c>
      <c r="L148" s="250"/>
      <c r="M148" s="250"/>
      <c r="N148" s="36"/>
      <c r="T148" s="35"/>
    </row>
    <row r="149" spans="1:20" s="37" customFormat="1" ht="15.75" customHeight="1" x14ac:dyDescent="0.25">
      <c r="A149" s="220">
        <f>A148+1</f>
        <v>2</v>
      </c>
      <c r="B149" s="221"/>
      <c r="C149" s="85" t="s">
        <v>379</v>
      </c>
      <c r="D149" s="85">
        <f>(53.25)*10.764</f>
        <v>573.18299999999999</v>
      </c>
      <c r="E149" s="42">
        <v>0</v>
      </c>
      <c r="F149" s="62">
        <f t="shared" ref="F149:F151" si="4">D149+(IF(E149&lt;201,E149,IF(E149&lt;301,E149/2,E149/3)))</f>
        <v>573.18299999999999</v>
      </c>
      <c r="G149" s="54">
        <v>0</v>
      </c>
      <c r="H149" s="62">
        <f t="shared" ref="H149:H151" si="5">(F149+(IF(G149&lt;101,G149,IF(G149&lt;201,G149/2,IF(G149&lt;=301,G149/3,G149/4)))))*(($H$145)+1)</f>
        <v>917.09280000000001</v>
      </c>
      <c r="I149" s="36"/>
      <c r="J149" s="37">
        <f>5.5*9+1.2*3.4</f>
        <v>53.58</v>
      </c>
      <c r="L149" s="250"/>
      <c r="M149" s="250"/>
      <c r="N149" s="36"/>
      <c r="T149" s="34"/>
    </row>
    <row r="150" spans="1:20" s="37" customFormat="1" ht="15.75" customHeight="1" x14ac:dyDescent="0.25">
      <c r="A150" s="220">
        <f>A149+1</f>
        <v>3</v>
      </c>
      <c r="B150" s="221"/>
      <c r="C150" s="85" t="s">
        <v>379</v>
      </c>
      <c r="D150" s="85">
        <f>(61.06)*10.764</f>
        <v>657.24983999999995</v>
      </c>
      <c r="E150" s="42">
        <v>0</v>
      </c>
      <c r="F150" s="62">
        <f t="shared" si="4"/>
        <v>657.24983999999995</v>
      </c>
      <c r="G150" s="54">
        <v>0</v>
      </c>
      <c r="H150" s="62">
        <f t="shared" si="5"/>
        <v>1051.5997439999999</v>
      </c>
      <c r="I150" s="36"/>
      <c r="J150" s="87"/>
      <c r="L150" s="250"/>
      <c r="M150" s="250"/>
      <c r="N150" s="36"/>
      <c r="T150" s="21"/>
    </row>
    <row r="151" spans="1:20" s="37" customFormat="1" ht="15.75" customHeight="1" x14ac:dyDescent="0.25">
      <c r="A151" s="220">
        <f>A150+1</f>
        <v>4</v>
      </c>
      <c r="B151" s="221"/>
      <c r="C151" s="85" t="s">
        <v>379</v>
      </c>
      <c r="D151" s="85">
        <f>(51.22)*10.764</f>
        <v>551.33207999999991</v>
      </c>
      <c r="E151" s="42">
        <v>0</v>
      </c>
      <c r="F151" s="62">
        <f t="shared" si="4"/>
        <v>551.33207999999991</v>
      </c>
      <c r="G151" s="54">
        <v>0</v>
      </c>
      <c r="H151" s="62">
        <f t="shared" si="5"/>
        <v>882.13132799999994</v>
      </c>
      <c r="I151" s="36"/>
      <c r="L151" s="250"/>
      <c r="M151" s="250"/>
      <c r="N151" s="36"/>
      <c r="T151" s="21"/>
    </row>
    <row r="152" spans="1:20" s="86" customFormat="1" ht="15.75" customHeight="1" x14ac:dyDescent="0.25">
      <c r="A152" s="220">
        <f>A151+1</f>
        <v>5</v>
      </c>
      <c r="B152" s="221"/>
      <c r="C152" s="85" t="s">
        <v>379</v>
      </c>
      <c r="D152" s="85">
        <f>(41.14)*10.764</f>
        <v>442.83096</v>
      </c>
      <c r="E152" s="85">
        <v>0</v>
      </c>
      <c r="F152" s="85">
        <f t="shared" ref="F152" si="6">D152+(IF(E152&lt;201,E152,IF(E152&lt;301,E152/2,E152/3)))</f>
        <v>442.83096</v>
      </c>
      <c r="G152" s="85">
        <v>0</v>
      </c>
      <c r="H152" s="85">
        <f t="shared" ref="H152" si="7">(F152+(IF(G152&lt;101,G152,IF(G152&lt;201,G152/2,IF(G152&lt;=301,G152/3,G152/4)))))*(($H$145)+1)</f>
        <v>708.52953600000001</v>
      </c>
      <c r="I152" s="36"/>
      <c r="J152" s="86">
        <f>3.65*11.65</f>
        <v>42.522500000000001</v>
      </c>
      <c r="L152" s="250"/>
      <c r="M152" s="250"/>
      <c r="N152" s="36"/>
      <c r="T152" s="21"/>
    </row>
    <row r="153" spans="1:20" s="37" customFormat="1" x14ac:dyDescent="0.25">
      <c r="A153" s="227"/>
      <c r="B153" s="227"/>
      <c r="C153" s="227"/>
      <c r="D153" s="227"/>
      <c r="E153" s="227"/>
      <c r="F153" s="227"/>
      <c r="G153" s="227"/>
      <c r="H153" s="227"/>
      <c r="I153" s="36"/>
      <c r="N153" s="36"/>
    </row>
    <row r="154" spans="1:20" ht="47.25" customHeight="1" x14ac:dyDescent="0.25">
      <c r="A154" s="107" t="s">
        <v>117</v>
      </c>
      <c r="B154" s="107" t="s">
        <v>176</v>
      </c>
      <c r="C154" s="107" t="s">
        <v>55</v>
      </c>
      <c r="D154" s="234" t="s">
        <v>231</v>
      </c>
      <c r="E154" s="107" t="s">
        <v>385</v>
      </c>
      <c r="F154" s="107" t="s">
        <v>56</v>
      </c>
      <c r="G154" s="153" t="s">
        <v>57</v>
      </c>
      <c r="H154" s="99" t="s">
        <v>146</v>
      </c>
      <c r="I154" s="36"/>
      <c r="T154" s="37"/>
    </row>
    <row r="155" spans="1:20" s="37" customFormat="1" x14ac:dyDescent="0.25">
      <c r="A155" s="107"/>
      <c r="B155" s="107"/>
      <c r="C155" s="107"/>
      <c r="D155" s="234"/>
      <c r="E155" s="107"/>
      <c r="F155" s="107"/>
      <c r="G155" s="153"/>
      <c r="H155" s="100">
        <v>0.55000000000000004</v>
      </c>
      <c r="I155" s="96" t="s">
        <v>398</v>
      </c>
      <c r="J155" s="95"/>
    </row>
    <row r="156" spans="1:20" s="86" customFormat="1" x14ac:dyDescent="0.25">
      <c r="A156" s="251" t="s">
        <v>380</v>
      </c>
      <c r="B156" s="251"/>
      <c r="C156" s="251"/>
      <c r="D156" s="251"/>
      <c r="E156" s="251"/>
      <c r="F156" s="251"/>
      <c r="G156" s="251"/>
      <c r="H156" s="251"/>
      <c r="J156" s="36"/>
      <c r="T156" s="35"/>
    </row>
    <row r="157" spans="1:20" s="86" customFormat="1" x14ac:dyDescent="0.25">
      <c r="A157" s="251" t="s">
        <v>381</v>
      </c>
      <c r="B157" s="251"/>
      <c r="C157" s="251"/>
      <c r="D157" s="251"/>
      <c r="E157" s="251"/>
      <c r="F157" s="251"/>
      <c r="G157" s="251"/>
      <c r="H157" s="251"/>
      <c r="I157" s="86">
        <v>2</v>
      </c>
      <c r="J157" s="36"/>
    </row>
    <row r="158" spans="1:20" s="86" customFormat="1" ht="37.5" customHeight="1" x14ac:dyDescent="0.25">
      <c r="A158" s="251" t="s">
        <v>382</v>
      </c>
      <c r="B158" s="251"/>
      <c r="C158" s="251"/>
      <c r="D158" s="251"/>
      <c r="E158" s="251"/>
      <c r="F158" s="251"/>
      <c r="G158" s="251"/>
      <c r="H158" s="251"/>
      <c r="I158" s="86">
        <v>1</v>
      </c>
      <c r="J158" s="36"/>
    </row>
    <row r="159" spans="1:20" s="37" customFormat="1" x14ac:dyDescent="0.25">
      <c r="A159" s="167" t="s">
        <v>387</v>
      </c>
      <c r="B159" s="168"/>
      <c r="C159" s="168"/>
      <c r="D159" s="168"/>
      <c r="E159" s="168"/>
      <c r="F159" s="168"/>
      <c r="G159" s="168"/>
      <c r="H159" s="169"/>
      <c r="I159" s="37">
        <f>3+4+4+4+4</f>
        <v>19</v>
      </c>
      <c r="J159" s="36"/>
      <c r="N159" s="85">
        <v>10.763999999999999</v>
      </c>
    </row>
    <row r="160" spans="1:20" s="37" customFormat="1" ht="15.75" customHeight="1" x14ac:dyDescent="0.25">
      <c r="A160" s="220">
        <v>1</v>
      </c>
      <c r="B160" s="221"/>
      <c r="C160" s="42" t="s">
        <v>383</v>
      </c>
      <c r="D160" s="85">
        <f>(3.05*5.5+2.45*3.05+3.05*3.65+4.45*3.45+1.1*1.5+1.1*1.5+2.45*1.75+2.45*1.75+1.35*2.45+1*3.5)*10.764</f>
        <v>747.18305999999984</v>
      </c>
      <c r="E160" s="85">
        <f>(1.6*3.05+1.05*2.45+1.05*3.05+1*3.45+(1.05*3.3))*10.764</f>
        <v>189.12348</v>
      </c>
      <c r="F160" s="42">
        <f>D160+E160</f>
        <v>936.30653999999981</v>
      </c>
      <c r="G160" s="54">
        <v>0</v>
      </c>
      <c r="H160" s="54">
        <f>F160*(($H$155)+1)+(IF(G160&lt;101,G160,IF(G160&lt;201,G160/2,IF(G160&lt;=301,G160/3,G160/4))))</f>
        <v>1451.2751369999999</v>
      </c>
      <c r="I160" s="36"/>
      <c r="J160" s="37">
        <f>10600*H160</f>
        <v>15383516.452199999</v>
      </c>
      <c r="K160" s="37">
        <f>10000*H160</f>
        <v>14512751.369999999</v>
      </c>
      <c r="L160" s="250"/>
      <c r="M160" s="250"/>
      <c r="N160" s="36"/>
    </row>
    <row r="161" spans="1:20" s="37" customFormat="1" ht="15.75" customHeight="1" x14ac:dyDescent="0.25">
      <c r="A161" s="220">
        <f>A160+1</f>
        <v>2</v>
      </c>
      <c r="B161" s="221"/>
      <c r="C161" s="42" t="s">
        <v>383</v>
      </c>
      <c r="D161" s="85">
        <f>(3.05*5.5+2.45*3.05+3.05*3.65+4.45*3.45+1.1*1.5+1.1*1.5+2.45*1.75+2.45*1.75+1.35*2.45+1*3.5)*10.764</f>
        <v>747.18305999999984</v>
      </c>
      <c r="E161" s="85">
        <f>(1.6*3.05+1.05*2.45+1.05*3.05+1*3.45+(1.05*3.3))*10.764</f>
        <v>189.12348</v>
      </c>
      <c r="F161" s="54">
        <f>D161+E161</f>
        <v>936.30653999999981</v>
      </c>
      <c r="G161" s="54">
        <v>0</v>
      </c>
      <c r="H161" s="54">
        <f>F161*(($H$155)+1)+(IF(G161&lt;101,G161,IF(G161&lt;201,G161/2,IF(G161&lt;=301,G161/3,G161/4))))</f>
        <v>1451.2751369999999</v>
      </c>
      <c r="I161" s="36"/>
      <c r="J161" s="88">
        <f t="shared" ref="J161:J163" si="8">10600*H161</f>
        <v>15383516.452199999</v>
      </c>
      <c r="K161" s="88">
        <f t="shared" ref="K161:K163" si="9">10000*H161</f>
        <v>14512751.369999999</v>
      </c>
      <c r="L161" s="250"/>
      <c r="M161" s="250"/>
      <c r="N161" s="36"/>
    </row>
    <row r="162" spans="1:20" s="37" customFormat="1" ht="15.75" customHeight="1" x14ac:dyDescent="0.25">
      <c r="A162" s="220">
        <f>A161+1</f>
        <v>3</v>
      </c>
      <c r="B162" s="221"/>
      <c r="C162" s="42" t="s">
        <v>384</v>
      </c>
      <c r="D162" s="85">
        <f>(3.35*5.65+2*1.65+2.45*3.45+2.9*3.45+3.65*3.2+3.65*3.35+2.1*1.35+2.45*1.5+2.45*1.35+2.4*1.5+1.35*1.35+1.85*2.6+1.1*5.6)*10.764</f>
        <v>977.39810999999986</v>
      </c>
      <c r="E162" s="85">
        <f>(1.65*2.6+1.65*4.4+1*(3.5+2.6)+(1.5*1.5))*10.764</f>
        <v>214.20359999999997</v>
      </c>
      <c r="F162" s="54">
        <f>D162+E162</f>
        <v>1191.6017099999999</v>
      </c>
      <c r="G162" s="54">
        <v>0</v>
      </c>
      <c r="H162" s="54">
        <f>F162*(($H$155)+1)+(IF(G162&lt;101,G162,IF(G162&lt;201,G162/2,IF(G162&lt;=301,G162/3,G162/4))))</f>
        <v>1846.9826504999999</v>
      </c>
      <c r="I162" s="36"/>
      <c r="J162" s="88">
        <f t="shared" si="8"/>
        <v>19578016.0953</v>
      </c>
      <c r="K162" s="88">
        <f t="shared" si="9"/>
        <v>18469826.504999999</v>
      </c>
      <c r="L162" s="250"/>
      <c r="M162" s="250"/>
      <c r="N162" s="36"/>
    </row>
    <row r="163" spans="1:20" s="37" customFormat="1" ht="15.75" customHeight="1" x14ac:dyDescent="0.25">
      <c r="A163" s="220">
        <f>A162+1</f>
        <v>4</v>
      </c>
      <c r="B163" s="221"/>
      <c r="C163" s="42" t="s">
        <v>384</v>
      </c>
      <c r="D163" s="85">
        <f>(3.35*5.65+2*2+2.45*3.45+2.9*3.45+3.65*3.2+3.65*3.35+2.1*1.35+2.45*1.5+2.45*1.35+2.4*1.5+1.35*1.35+1.85*2.95+1.1*5.6)*10.764</f>
        <v>991.90259999999989</v>
      </c>
      <c r="E163" s="85">
        <f>(1.65*2.6+1.65*4.4+1*(3.5+2.6)+(1.5*1.5))*10.764</f>
        <v>214.20359999999997</v>
      </c>
      <c r="F163" s="54">
        <f>D163+E163</f>
        <v>1206.1061999999999</v>
      </c>
      <c r="G163" s="54">
        <v>0</v>
      </c>
      <c r="H163" s="54">
        <f>F163*(($H$155)+1)+(IF(G163&lt;101,G163,IF(G163&lt;201,G163/2,IF(G163&lt;=301,G163/3,G163/4))))</f>
        <v>1869.46461</v>
      </c>
      <c r="I163" s="36"/>
      <c r="J163" s="88">
        <f t="shared" si="8"/>
        <v>19816324.866</v>
      </c>
      <c r="K163" s="88">
        <f t="shared" si="9"/>
        <v>18694646.100000001</v>
      </c>
      <c r="L163" s="250"/>
      <c r="M163" s="250"/>
      <c r="N163" s="36"/>
      <c r="T163" s="21"/>
    </row>
    <row r="164" spans="1:20" s="86" customFormat="1" x14ac:dyDescent="0.25">
      <c r="A164" s="167" t="s">
        <v>386</v>
      </c>
      <c r="B164" s="168"/>
      <c r="C164" s="168"/>
      <c r="D164" s="168"/>
      <c r="E164" s="168"/>
      <c r="F164" s="168"/>
      <c r="G164" s="168"/>
      <c r="H164" s="169"/>
      <c r="I164" s="86">
        <v>4</v>
      </c>
      <c r="J164" s="36"/>
    </row>
    <row r="165" spans="1:20" s="86" customFormat="1" ht="15.75" customHeight="1" x14ac:dyDescent="0.25">
      <c r="A165" s="220">
        <v>1</v>
      </c>
      <c r="B165" s="221"/>
      <c r="C165" s="85" t="s">
        <v>383</v>
      </c>
      <c r="D165" s="85">
        <f>(3.05*5.5+2.45*3.05+3.05*3.65+4.45*3.45+1.1*1.5+1.1*1.5+2.45*1.75+2.45*1.75+1.35*2.45+1*3.5)*10.764</f>
        <v>747.18305999999984</v>
      </c>
      <c r="E165" s="85">
        <f>(1.6*3.05+1.05*2.45+1.05*3.05+1*3.45+(1.05*3.3))*10.764</f>
        <v>189.12348</v>
      </c>
      <c r="F165" s="85">
        <f>D165+E165</f>
        <v>936.30653999999981</v>
      </c>
      <c r="G165" s="85">
        <v>0</v>
      </c>
      <c r="H165" s="85">
        <f>F165*(($H$155)+1)+(IF(G165&lt;101,G165,IF(G165&lt;201,G165/2,IF(G165&lt;=301,G165/3,G165/4))))</f>
        <v>1451.2751369999999</v>
      </c>
      <c r="I165" s="36"/>
      <c r="L165" s="250"/>
      <c r="M165" s="250"/>
      <c r="N165" s="36"/>
    </row>
    <row r="166" spans="1:20" s="86" customFormat="1" ht="15.75" customHeight="1" x14ac:dyDescent="0.25">
      <c r="A166" s="220">
        <f>A165+1</f>
        <v>2</v>
      </c>
      <c r="B166" s="221"/>
      <c r="C166" s="85" t="s">
        <v>383</v>
      </c>
      <c r="D166" s="85">
        <f>(3.05*5.5+2.45*3.05+3.05*3.65+4.45*3.45+1.1*1.5+1.1*1.5+2.45*1.75+2.45*1.75+1.35*2.45+1*3.5)*10.764</f>
        <v>747.18305999999984</v>
      </c>
      <c r="E166" s="85">
        <f>(1.6*3.05+1.05*2.45+1.05*3.05+1*3.45+(1.05*3.3))*10.764</f>
        <v>189.12348</v>
      </c>
      <c r="F166" s="85">
        <f>D166+E166</f>
        <v>936.30653999999981</v>
      </c>
      <c r="G166" s="85">
        <v>0</v>
      </c>
      <c r="H166" s="85">
        <f>F166*(($H$155)+1)+(IF(G166&lt;101,G166,IF(G166&lt;201,G166/2,IF(G166&lt;=301,G166/3,G166/4))))</f>
        <v>1451.2751369999999</v>
      </c>
      <c r="I166" s="36"/>
      <c r="L166" s="250"/>
      <c r="M166" s="250"/>
      <c r="N166" s="36"/>
    </row>
    <row r="167" spans="1:20" s="86" customFormat="1" ht="15.75" customHeight="1" x14ac:dyDescent="0.25">
      <c r="A167" s="220">
        <f>A166+1</f>
        <v>3</v>
      </c>
      <c r="B167" s="221"/>
      <c r="C167" s="85" t="s">
        <v>384</v>
      </c>
      <c r="D167" s="85">
        <f>(3.35*5.65+2*1.65+2.45*3.45+2.9*3.45+3.65*3.2+3.65*3.35+2.1*1.35+2.45*1.5+2.45*1.35+2.4*1.5+1.35*1.35+1.85*2.6+1.1*5.6)*10.764</f>
        <v>977.39810999999986</v>
      </c>
      <c r="E167" s="85">
        <f>(1.65*2.6+1.65*4.4+1*(3.5+2.6)+(1.5*1.5))*10.764</f>
        <v>214.20359999999997</v>
      </c>
      <c r="F167" s="85">
        <f>D167+E167</f>
        <v>1191.6017099999999</v>
      </c>
      <c r="G167" s="85">
        <v>0</v>
      </c>
      <c r="H167" s="85">
        <f>F167*(($H$155)+1)+(IF(G167&lt;101,G167,IF(G167&lt;201,G167/2,IF(G167&lt;=301,G167/3,G167/4))))</f>
        <v>1846.9826504999999</v>
      </c>
      <c r="I167" s="36"/>
      <c r="L167" s="250"/>
      <c r="M167" s="250"/>
      <c r="N167" s="36"/>
    </row>
    <row r="168" spans="1:20" s="86" customFormat="1" ht="15.75" customHeight="1" x14ac:dyDescent="0.25">
      <c r="A168" s="220">
        <f>A167+1</f>
        <v>4</v>
      </c>
      <c r="B168" s="221"/>
      <c r="C168" s="85" t="s">
        <v>384</v>
      </c>
      <c r="D168" s="85">
        <f>(3.35*5.65+2*2+2.45*3.45+2.9*3.45+3.65*3.2+3.65*3.35+2.1*1.35+2.45*1.5+2.45*1.35+2.4*1.5+1.35*1.35+1.85*2.95+1.1*5.6)*10.764</f>
        <v>991.90259999999989</v>
      </c>
      <c r="E168" s="85">
        <f>(1.65*2.6+1.65*4.4+1*(3.5+2.6)+(1.5*1.5))*10.764</f>
        <v>214.20359999999997</v>
      </c>
      <c r="F168" s="85">
        <f>D168+E168</f>
        <v>1206.1061999999999</v>
      </c>
      <c r="G168" s="85">
        <v>0</v>
      </c>
      <c r="H168" s="85">
        <f>F168*(($H$155)+1)+(IF(G168&lt;101,G168,IF(G168&lt;201,G168/2,IF(G168&lt;=301,G168/3,G168/4))))</f>
        <v>1869.46461</v>
      </c>
      <c r="I168" s="36"/>
      <c r="L168" s="250"/>
      <c r="M168" s="250"/>
      <c r="N168" s="36"/>
      <c r="T168" s="21"/>
    </row>
    <row r="169" spans="1:20" s="37" customFormat="1" x14ac:dyDescent="0.25">
      <c r="A169" s="167" t="s">
        <v>388</v>
      </c>
      <c r="B169" s="168"/>
      <c r="C169" s="168"/>
      <c r="D169" s="168"/>
      <c r="E169" s="168"/>
      <c r="F169" s="168"/>
      <c r="G169" s="168"/>
      <c r="H169" s="169"/>
      <c r="I169" s="36">
        <v>1</v>
      </c>
      <c r="L169" s="250"/>
      <c r="M169" s="250"/>
    </row>
    <row r="170" spans="1:20" s="37" customFormat="1" x14ac:dyDescent="0.25">
      <c r="A170" s="220">
        <v>1</v>
      </c>
      <c r="B170" s="221"/>
      <c r="C170" s="85" t="s">
        <v>383</v>
      </c>
      <c r="D170" s="85">
        <f>(3.05*5.5+2.45*3.05+3.05*3.65+4.45*3.45+1.1*1.5+1.1*1.5+2.45*1.75+2.45*1.75+1.35*2.45+1*3.5)*10.764</f>
        <v>747.18305999999984</v>
      </c>
      <c r="E170" s="85">
        <f>(1.6*3.05+1.05*2.45+1.05*3.05+1*3.45+(1.05*3.3))*10.764</f>
        <v>189.12348</v>
      </c>
      <c r="F170" s="85">
        <f>D170+E170</f>
        <v>936.30653999999981</v>
      </c>
      <c r="G170" s="85">
        <v>0</v>
      </c>
      <c r="H170" s="85">
        <f>F170*(($H$155)+1)+(IF(G170&lt;101,G170,IF(G170&lt;201,G170/2,IF(G170&lt;=301,G170/3,G170/4))))</f>
        <v>1451.2751369999999</v>
      </c>
      <c r="I170" s="36"/>
      <c r="N170" s="36"/>
    </row>
    <row r="171" spans="1:20" s="37" customFormat="1" x14ac:dyDescent="0.25">
      <c r="A171" s="220">
        <f>A170+1</f>
        <v>2</v>
      </c>
      <c r="B171" s="221"/>
      <c r="C171" s="85" t="s">
        <v>383</v>
      </c>
      <c r="D171" s="85">
        <f>(3.05*5.5+2.45*3.05+3.05*3.65+4.45*3.45+1.1*1.5+1.1*1.5+2.45*1.75+2.45*1.75+1.35*2.45+1*3.5)*10.764</f>
        <v>747.18305999999984</v>
      </c>
      <c r="E171" s="85">
        <f>(1.6*3.05+1.05*2.45+1.05*3.05+1*3.45+(1.05*3.3))*10.764</f>
        <v>189.12348</v>
      </c>
      <c r="F171" s="85">
        <f>D171+E171</f>
        <v>936.30653999999981</v>
      </c>
      <c r="G171" s="85">
        <v>0</v>
      </c>
      <c r="H171" s="85">
        <f>F171*(($H$155)+1)+(IF(G171&lt;101,G171,IF(G171&lt;201,G171/2,IF(G171&lt;=301,G171/3,G171/4))))</f>
        <v>1451.2751369999999</v>
      </c>
      <c r="I171" s="36"/>
      <c r="N171" s="36"/>
    </row>
    <row r="172" spans="1:20" s="37" customFormat="1" ht="47.25" x14ac:dyDescent="0.25">
      <c r="A172" s="220">
        <f>A171+1</f>
        <v>3</v>
      </c>
      <c r="B172" s="221"/>
      <c r="C172" s="85" t="s">
        <v>390</v>
      </c>
      <c r="D172" s="85">
        <f>((3.35*5.65+2*1.65+1.85*2.6+2.9*3.45+3.65*3.2+3.65*3.35+2.1*1.35+1.1*2.45+1.35*1.35+2.45*1.5+2.45*1.35+2.4*1.5+2.6*5.1+1.1*5.6+1.1*1.5)+(3.35*5.65+2*1.65+1.85*2.6+2.9*3.45+3.65*3.2+3.65*3.35+2.1*1.35+1.1*2.45+2.45*1.5+2.45*1.35+2.4*1.5+2.6*2+1.1*5.6+1.1*1.5))*10.764</f>
        <v>2045.4560100000001</v>
      </c>
      <c r="E172" s="85">
        <f>(((1.65*(2.6+1.8))+(1*(3.6+2.7))+1.5*1.5)+(1.65*2.6+(1*(3.6+2.7))+1.5*1.5))*10.764</f>
        <v>308.38859999999994</v>
      </c>
      <c r="F172" s="85">
        <f>D172+E172</f>
        <v>2353.8446100000001</v>
      </c>
      <c r="G172" s="85">
        <v>0</v>
      </c>
      <c r="H172" s="85">
        <f>F172*(($H$155)+1)+(IF(G172&lt;101,G172,IF(G172&lt;201,G172/2,IF(G172&lt;=301,G172/3,G172/4))))</f>
        <v>3648.4591455000004</v>
      </c>
      <c r="I172" s="36"/>
      <c r="N172" s="36"/>
    </row>
    <row r="173" spans="1:20" s="37" customFormat="1" ht="47.25" x14ac:dyDescent="0.25">
      <c r="A173" s="220">
        <f>A172+1</f>
        <v>4</v>
      </c>
      <c r="B173" s="221"/>
      <c r="C173" s="85" t="s">
        <v>390</v>
      </c>
      <c r="D173" s="85">
        <f>((3.35*5.65+2*2+1.85*2.95+2.9*3.45+3.65*3.2+3.65*3.35+2.1*1.35+1.1*2.45+1.35*1.35+2.45*1.5+2.45*1.35+2.4*1.5+2.6*5.1+1.1*5.6+1.1*1.5)+(3.35*5.65+2*1.65+1.85*2.6+2.9*3.45+3.65*3.2+3.65*3.35+2.1*1.35+1.1*2.45+2.45*1.5+2.45*1.35+2.4*1.5+2.6*2+1.1*5.6+1.1*1.5))*10.764</f>
        <v>2059.9604999999997</v>
      </c>
      <c r="E173" s="85">
        <f>(((1.65*(2.6+1.8))+(1*(3.6+2.7))+1.5*1.5)+(1.65*2.6+(1*(3.6+2.7))+1.5*1.5))*10.764</f>
        <v>308.38859999999994</v>
      </c>
      <c r="F173" s="85">
        <f>D173+E173</f>
        <v>2368.3490999999995</v>
      </c>
      <c r="G173" s="85">
        <v>0</v>
      </c>
      <c r="H173" s="85">
        <f>F173*(($H$155)+1)+(IF(G173&lt;101,G173,IF(G173&lt;201,G173/2,IF(G173&lt;=301,G173/3,G173/4))))</f>
        <v>3670.9411049999994</v>
      </c>
      <c r="I173" s="36"/>
      <c r="N173" s="36"/>
    </row>
    <row r="174" spans="1:20" s="86" customFormat="1" x14ac:dyDescent="0.25">
      <c r="A174" s="167" t="s">
        <v>389</v>
      </c>
      <c r="B174" s="168"/>
      <c r="C174" s="168"/>
      <c r="D174" s="168"/>
      <c r="E174" s="168"/>
      <c r="F174" s="168"/>
      <c r="G174" s="168"/>
      <c r="H174" s="169"/>
      <c r="I174" s="36">
        <v>1</v>
      </c>
      <c r="L174" s="250"/>
      <c r="M174" s="250"/>
    </row>
    <row r="175" spans="1:20" s="86" customFormat="1" x14ac:dyDescent="0.25">
      <c r="A175" s="220">
        <v>1</v>
      </c>
      <c r="B175" s="221"/>
      <c r="C175" s="85" t="s">
        <v>383</v>
      </c>
      <c r="D175" s="85">
        <f>(3.05*5.5+2.45*3.05+3.05*3.65+4.45*3.45+1.1*1.5+1.1*1.5+2.45*1.75+2.45*1.75+1.35*2.45+1*3.5)*10.764</f>
        <v>747.18305999999984</v>
      </c>
      <c r="E175" s="85">
        <f>(1.6*3.05+1.05*2.45+1.05*3.05+1*3.45+(1.05*3.3))*10.764</f>
        <v>189.12348</v>
      </c>
      <c r="F175" s="85">
        <f>D175+E175</f>
        <v>936.30653999999981</v>
      </c>
      <c r="G175" s="85">
        <v>0</v>
      </c>
      <c r="H175" s="85">
        <f>F175*(($H$155)+1)+(IF(G175&lt;101,G175,IF(G175&lt;201,G175/2,IF(G175&lt;=301,G175/3,G175/4))))</f>
        <v>1451.2751369999999</v>
      </c>
      <c r="I175" s="36"/>
      <c r="N175" s="36"/>
    </row>
    <row r="176" spans="1:20" s="86" customFormat="1" x14ac:dyDescent="0.25">
      <c r="A176" s="220">
        <f>A175+1</f>
        <v>2</v>
      </c>
      <c r="B176" s="221"/>
      <c r="C176" s="85" t="s">
        <v>383</v>
      </c>
      <c r="D176" s="85">
        <f>(3.05*5.5+2.45*3.05+3.05*3.65+4.45*3.45+1.1*1.5+1.1*1.5+2.45*1.75+2.45*1.75+1.35*2.45+1*3.5)*10.764</f>
        <v>747.18305999999984</v>
      </c>
      <c r="E176" s="85">
        <f>(1.6*3.05+1.05*2.45+1.05*3.05+1*3.45+(1.05*3.3))*10.764</f>
        <v>189.12348</v>
      </c>
      <c r="F176" s="85">
        <f>D176+E176</f>
        <v>936.30653999999981</v>
      </c>
      <c r="G176" s="85">
        <v>0</v>
      </c>
      <c r="H176" s="85">
        <f>F176*(($H$155)+1)+(IF(G176&lt;101,G176,IF(G176&lt;201,G176/2,IF(G176&lt;=301,G176/3,G176/4))))</f>
        <v>1451.2751369999999</v>
      </c>
      <c r="I176" s="36"/>
      <c r="N176" s="36"/>
    </row>
    <row r="177" spans="1:20" s="86" customFormat="1" x14ac:dyDescent="0.25">
      <c r="A177" s="220">
        <f>A176+1</f>
        <v>3</v>
      </c>
      <c r="B177" s="221"/>
      <c r="C177" s="220" t="s">
        <v>391</v>
      </c>
      <c r="D177" s="252"/>
      <c r="E177" s="252"/>
      <c r="F177" s="252"/>
      <c r="G177" s="252"/>
      <c r="H177" s="221"/>
      <c r="I177" s="36"/>
      <c r="N177" s="36"/>
    </row>
    <row r="178" spans="1:20" s="86" customFormat="1" ht="15.75" customHeight="1" x14ac:dyDescent="0.25">
      <c r="A178" s="220">
        <f>A177+1</f>
        <v>4</v>
      </c>
      <c r="B178" s="221"/>
      <c r="C178" s="220" t="s">
        <v>391</v>
      </c>
      <c r="D178" s="252"/>
      <c r="E178" s="252"/>
      <c r="F178" s="252"/>
      <c r="G178" s="252"/>
      <c r="H178" s="221"/>
      <c r="I178" s="36"/>
      <c r="N178" s="36"/>
    </row>
    <row r="179" spans="1:20" s="35" customFormat="1" x14ac:dyDescent="0.25">
      <c r="A179" s="245" t="s">
        <v>65</v>
      </c>
      <c r="B179" s="245"/>
      <c r="C179" s="245"/>
      <c r="D179" s="245"/>
      <c r="E179" s="245"/>
      <c r="F179" s="245"/>
      <c r="G179" s="245"/>
      <c r="H179" s="245"/>
      <c r="T179" s="37"/>
    </row>
    <row r="180" spans="1:20" s="35" customFormat="1" x14ac:dyDescent="0.25">
      <c r="A180" s="44" t="s">
        <v>150</v>
      </c>
      <c r="B180" s="108" t="s">
        <v>403</v>
      </c>
      <c r="C180" s="109"/>
      <c r="D180" s="109"/>
      <c r="E180" s="109"/>
      <c r="F180" s="109"/>
      <c r="G180" s="109"/>
      <c r="H180" s="110"/>
      <c r="T180" s="37"/>
    </row>
    <row r="181" spans="1:20" s="35" customFormat="1" x14ac:dyDescent="0.25">
      <c r="A181" s="44" t="s">
        <v>150</v>
      </c>
      <c r="B181" s="108" t="str">
        <f>(IF(H154="Saleable area Loading :","We have considered Saleable area of Flats as per our Calculation.","We considered Saleable area of Flat as per Builder area Sheet."))</f>
        <v>We have considered Saleable area of Flats as per our Calculation.</v>
      </c>
      <c r="C181" s="109"/>
      <c r="D181" s="109"/>
      <c r="E181" s="109"/>
      <c r="F181" s="109"/>
      <c r="G181" s="109"/>
      <c r="H181" s="110"/>
      <c r="T181" s="37"/>
    </row>
    <row r="182" spans="1:20" s="35" customFormat="1" x14ac:dyDescent="0.25">
      <c r="A182" s="44" t="s">
        <v>150</v>
      </c>
      <c r="B182" s="108" t="str">
        <f>(IF(H144="Saleable area Loading :","We have considered Saleable area of Commercial as per our Calculation.","We considered Saleable area of Commercial as per Builder area Sheet."))</f>
        <v>We have considered Saleable area of Commercial as per our Calculation.</v>
      </c>
      <c r="C182" s="109"/>
      <c r="D182" s="109"/>
      <c r="E182" s="109"/>
      <c r="F182" s="109"/>
      <c r="G182" s="109"/>
      <c r="H182" s="110"/>
      <c r="T182" s="37"/>
    </row>
    <row r="183" spans="1:20" s="35" customFormat="1" x14ac:dyDescent="0.25">
      <c r="A183" s="44" t="s">
        <v>150</v>
      </c>
      <c r="B183" s="217" t="s">
        <v>120</v>
      </c>
      <c r="C183" s="218"/>
      <c r="D183" s="218"/>
      <c r="E183" s="218"/>
      <c r="F183" s="218"/>
      <c r="G183" s="218"/>
      <c r="H183" s="219"/>
      <c r="T183" s="37"/>
    </row>
    <row r="184" spans="1:20" s="35" customFormat="1" x14ac:dyDescent="0.25">
      <c r="A184" s="44" t="s">
        <v>150</v>
      </c>
      <c r="B184" s="217" t="s">
        <v>393</v>
      </c>
      <c r="C184" s="218"/>
      <c r="D184" s="218"/>
      <c r="E184" s="218"/>
      <c r="F184" s="218"/>
      <c r="G184" s="218"/>
      <c r="H184" s="219"/>
      <c r="T184" s="37"/>
    </row>
    <row r="185" spans="1:20" s="35" customFormat="1" x14ac:dyDescent="0.25">
      <c r="A185" s="44" t="s">
        <v>150</v>
      </c>
      <c r="B185" s="217" t="s">
        <v>149</v>
      </c>
      <c r="C185" s="218"/>
      <c r="D185" s="218"/>
      <c r="E185" s="218"/>
      <c r="F185" s="218"/>
      <c r="G185" s="218"/>
      <c r="H185" s="219"/>
    </row>
    <row r="186" spans="1:20" s="35" customFormat="1" x14ac:dyDescent="0.25">
      <c r="A186" s="44" t="s">
        <v>150</v>
      </c>
      <c r="B186" s="217" t="s">
        <v>121</v>
      </c>
      <c r="C186" s="218"/>
      <c r="D186" s="218"/>
      <c r="E186" s="218"/>
      <c r="F186" s="218"/>
      <c r="G186" s="218"/>
      <c r="H186" s="219"/>
    </row>
    <row r="187" spans="1:20" s="35" customFormat="1" ht="34.5" customHeight="1" x14ac:dyDescent="0.25">
      <c r="A187" s="44" t="s">
        <v>150</v>
      </c>
      <c r="B187" s="217" t="s">
        <v>151</v>
      </c>
      <c r="C187" s="218"/>
      <c r="D187" s="218"/>
      <c r="E187" s="218"/>
      <c r="F187" s="218"/>
      <c r="G187" s="218"/>
      <c r="H187" s="219"/>
    </row>
    <row r="188" spans="1:20" s="35" customFormat="1" x14ac:dyDescent="0.25">
      <c r="A188" s="44" t="s">
        <v>150</v>
      </c>
      <c r="B188" s="217" t="s">
        <v>122</v>
      </c>
      <c r="C188" s="218"/>
      <c r="D188" s="218"/>
      <c r="E188" s="218"/>
      <c r="F188" s="218"/>
      <c r="G188" s="218"/>
      <c r="H188" s="219"/>
    </row>
    <row r="189" spans="1:20" s="35" customFormat="1" ht="32.25" hidden="1" customHeight="1" x14ac:dyDescent="0.25">
      <c r="A189" s="51" t="s">
        <v>150</v>
      </c>
      <c r="B189" s="228" t="s">
        <v>177</v>
      </c>
      <c r="C189" s="229"/>
      <c r="D189" s="229"/>
      <c r="E189" s="229"/>
      <c r="F189" s="229"/>
      <c r="G189" s="229"/>
      <c r="H189" s="230"/>
    </row>
    <row r="190" spans="1:20" s="35" customFormat="1" hidden="1" x14ac:dyDescent="0.25">
      <c r="A190" s="55" t="s">
        <v>150</v>
      </c>
      <c r="B190" s="228" t="s">
        <v>232</v>
      </c>
      <c r="C190" s="229"/>
      <c r="D190" s="229"/>
      <c r="E190" s="229"/>
      <c r="F190" s="229"/>
      <c r="G190" s="229"/>
      <c r="H190" s="230"/>
    </row>
    <row r="191" spans="1:20" x14ac:dyDescent="0.25">
      <c r="A191" s="210" t="s">
        <v>58</v>
      </c>
      <c r="B191" s="210"/>
      <c r="C191" s="210"/>
      <c r="D191" s="210"/>
      <c r="E191" s="210"/>
      <c r="F191" s="210"/>
      <c r="G191" s="210"/>
      <c r="H191" s="210"/>
      <c r="T191" s="35"/>
    </row>
    <row r="192" spans="1:20" x14ac:dyDescent="0.25">
      <c r="A192" s="101" t="s">
        <v>59</v>
      </c>
      <c r="B192" s="101"/>
      <c r="C192" s="101"/>
      <c r="D192" s="101"/>
      <c r="E192" s="101"/>
      <c r="F192" s="101"/>
      <c r="G192" s="101"/>
      <c r="H192" s="101"/>
      <c r="T192" s="35"/>
    </row>
    <row r="193" spans="1:20" ht="15.75" customHeight="1" x14ac:dyDescent="0.25">
      <c r="A193" s="233" t="s">
        <v>60</v>
      </c>
      <c r="B193" s="233"/>
      <c r="C193" s="233"/>
      <c r="D193" s="233"/>
      <c r="E193" s="233"/>
      <c r="F193" s="233"/>
      <c r="G193" s="233"/>
      <c r="H193" s="233"/>
      <c r="T193" s="35"/>
    </row>
    <row r="194" spans="1:20" x14ac:dyDescent="0.25">
      <c r="A194" s="101" t="s">
        <v>61</v>
      </c>
      <c r="B194" s="101"/>
      <c r="C194" s="101"/>
      <c r="D194" s="101"/>
      <c r="E194" s="101"/>
      <c r="F194" s="101"/>
      <c r="G194" s="101"/>
      <c r="H194" s="101"/>
      <c r="T194" s="35"/>
    </row>
    <row r="195" spans="1:20" x14ac:dyDescent="0.25">
      <c r="A195" s="101" t="s">
        <v>62</v>
      </c>
      <c r="B195" s="101"/>
      <c r="C195" s="101"/>
      <c r="D195" s="101"/>
      <c r="E195" s="101"/>
      <c r="F195" s="101"/>
      <c r="G195" s="101"/>
      <c r="H195" s="101"/>
      <c r="T195" s="35"/>
    </row>
    <row r="196" spans="1:20" x14ac:dyDescent="0.25">
      <c r="A196" s="101" t="s">
        <v>123</v>
      </c>
      <c r="B196" s="101"/>
      <c r="C196" s="101"/>
      <c r="D196" s="101"/>
      <c r="E196" s="101"/>
      <c r="F196" s="101"/>
      <c r="G196" s="101"/>
      <c r="H196" s="101"/>
      <c r="T196" s="35"/>
    </row>
    <row r="197" spans="1:20" ht="33.950000000000003" customHeight="1" x14ac:dyDescent="0.25">
      <c r="A197" s="211" t="s">
        <v>124</v>
      </c>
      <c r="B197" s="211"/>
      <c r="C197" s="211"/>
      <c r="D197" s="211"/>
      <c r="E197" s="211"/>
      <c r="F197" s="211"/>
      <c r="G197" s="211"/>
      <c r="H197" s="211"/>
    </row>
    <row r="198" spans="1:20" x14ac:dyDescent="0.25">
      <c r="A198" s="226" t="s">
        <v>74</v>
      </c>
      <c r="B198" s="226"/>
      <c r="C198" s="226" t="s">
        <v>405</v>
      </c>
      <c r="D198" s="226"/>
      <c r="E198" s="226" t="s">
        <v>104</v>
      </c>
      <c r="F198" s="226"/>
      <c r="G198" s="226" t="s">
        <v>404</v>
      </c>
      <c r="H198" s="226"/>
    </row>
    <row r="199" spans="1:20" x14ac:dyDescent="0.25">
      <c r="A199" s="225" t="s">
        <v>76</v>
      </c>
      <c r="B199" s="225"/>
      <c r="C199" s="225"/>
      <c r="D199" s="225"/>
      <c r="E199" s="225"/>
      <c r="F199" s="225"/>
      <c r="G199" s="225"/>
      <c r="H199" s="225"/>
    </row>
    <row r="200" spans="1:20" x14ac:dyDescent="0.25">
      <c r="A200" s="225"/>
      <c r="B200" s="225"/>
      <c r="C200" s="225"/>
      <c r="D200" s="225"/>
      <c r="E200" s="225"/>
      <c r="F200" s="225"/>
      <c r="G200" s="225"/>
      <c r="H200" s="225"/>
    </row>
    <row r="201" spans="1:20" x14ac:dyDescent="0.25">
      <c r="A201" s="225"/>
      <c r="B201" s="225"/>
      <c r="C201" s="225"/>
      <c r="D201" s="225"/>
      <c r="E201" s="225"/>
      <c r="F201" s="225"/>
      <c r="G201" s="225"/>
      <c r="H201" s="225"/>
    </row>
    <row r="202" spans="1:20" x14ac:dyDescent="0.25">
      <c r="A202" s="225"/>
      <c r="B202" s="225"/>
      <c r="C202" s="225"/>
      <c r="D202" s="225"/>
      <c r="E202" s="225"/>
      <c r="F202" s="225"/>
      <c r="G202" s="225"/>
      <c r="H202" s="225"/>
    </row>
    <row r="203" spans="1:20" x14ac:dyDescent="0.25">
      <c r="A203" s="38" t="s">
        <v>63</v>
      </c>
      <c r="B203" s="39"/>
      <c r="C203" s="39"/>
      <c r="D203" s="38" t="str">
        <f>E9</f>
        <v>Salasar Kasturi Solitaire</v>
      </c>
      <c r="F203" s="39"/>
      <c r="G203" s="39"/>
      <c r="H203" s="39"/>
    </row>
    <row r="204" spans="1:20" x14ac:dyDescent="0.25">
      <c r="A204" s="39"/>
      <c r="B204" s="39"/>
      <c r="C204" s="39"/>
      <c r="D204" s="39"/>
      <c r="E204" s="39"/>
      <c r="F204" s="39"/>
      <c r="G204" s="39"/>
      <c r="H204" s="39"/>
    </row>
    <row r="205" spans="1:20" x14ac:dyDescent="0.25">
      <c r="A205" s="39"/>
      <c r="B205" s="39"/>
      <c r="C205" s="39"/>
      <c r="D205" s="39"/>
      <c r="E205" s="39"/>
      <c r="F205" s="39"/>
      <c r="G205" s="39"/>
      <c r="H205" s="39"/>
    </row>
    <row r="206" spans="1:20" ht="15" customHeight="1" x14ac:dyDescent="0.25"/>
    <row r="246" spans="1:1" x14ac:dyDescent="0.25">
      <c r="A246" s="41" t="s">
        <v>161</v>
      </c>
    </row>
    <row r="289" spans="1:1" x14ac:dyDescent="0.25">
      <c r="A289" s="41" t="s">
        <v>64</v>
      </c>
    </row>
  </sheetData>
  <mergeCells count="367">
    <mergeCell ref="I11:L11"/>
    <mergeCell ref="L167:M167"/>
    <mergeCell ref="A168:B168"/>
    <mergeCell ref="L168:M168"/>
    <mergeCell ref="A174:H174"/>
    <mergeCell ref="L174:M174"/>
    <mergeCell ref="A175:B175"/>
    <mergeCell ref="A176:B176"/>
    <mergeCell ref="A177:B177"/>
    <mergeCell ref="A178:B178"/>
    <mergeCell ref="C177:H177"/>
    <mergeCell ref="C178:H178"/>
    <mergeCell ref="A167:B167"/>
    <mergeCell ref="L169:M169"/>
    <mergeCell ref="L152:M152"/>
    <mergeCell ref="A146:H146"/>
    <mergeCell ref="A156:H156"/>
    <mergeCell ref="A157:H157"/>
    <mergeCell ref="A158:H158"/>
    <mergeCell ref="A164:H164"/>
    <mergeCell ref="A165:B165"/>
    <mergeCell ref="L165:M165"/>
    <mergeCell ref="A166:B166"/>
    <mergeCell ref="L166:M166"/>
    <mergeCell ref="A159:H159"/>
    <mergeCell ref="A152:B152"/>
    <mergeCell ref="L151:M151"/>
    <mergeCell ref="L150:M150"/>
    <mergeCell ref="L149:M149"/>
    <mergeCell ref="L148:M148"/>
    <mergeCell ref="L163:M163"/>
    <mergeCell ref="L160:M160"/>
    <mergeCell ref="L161:M161"/>
    <mergeCell ref="L162:M162"/>
    <mergeCell ref="A148:B148"/>
    <mergeCell ref="E44:H44"/>
    <mergeCell ref="A44:D44"/>
    <mergeCell ref="A85:B85"/>
    <mergeCell ref="A51:B51"/>
    <mergeCell ref="D68:H68"/>
    <mergeCell ref="C53:E53"/>
    <mergeCell ref="A179:H179"/>
    <mergeCell ref="A73:C73"/>
    <mergeCell ref="D74:H74"/>
    <mergeCell ref="A80:B80"/>
    <mergeCell ref="G79:H79"/>
    <mergeCell ref="A88:B88"/>
    <mergeCell ref="A89:B89"/>
    <mergeCell ref="A84:B84"/>
    <mergeCell ref="A81:B81"/>
    <mergeCell ref="A83:B83"/>
    <mergeCell ref="E79:F79"/>
    <mergeCell ref="A86:B86"/>
    <mergeCell ref="F119:H119"/>
    <mergeCell ref="G133:H133"/>
    <mergeCell ref="A103:B103"/>
    <mergeCell ref="F125:H125"/>
    <mergeCell ref="C132:D132"/>
    <mergeCell ref="C140:D140"/>
    <mergeCell ref="I15:P15"/>
    <mergeCell ref="F128:H128"/>
    <mergeCell ref="F126:H126"/>
    <mergeCell ref="A143:H143"/>
    <mergeCell ref="G132:H132"/>
    <mergeCell ref="A127:E127"/>
    <mergeCell ref="A149:B149"/>
    <mergeCell ref="A61:B61"/>
    <mergeCell ref="C61:E61"/>
    <mergeCell ref="D63:H63"/>
    <mergeCell ref="F127:H127"/>
    <mergeCell ref="E132:F132"/>
    <mergeCell ref="A132:B132"/>
    <mergeCell ref="A134:B134"/>
    <mergeCell ref="C137:D137"/>
    <mergeCell ref="D73:H73"/>
    <mergeCell ref="D64:H64"/>
    <mergeCell ref="G61:H61"/>
    <mergeCell ref="A55:B56"/>
    <mergeCell ref="C55:E55"/>
    <mergeCell ref="G55:H55"/>
    <mergeCell ref="A57:B58"/>
    <mergeCell ref="C57:E57"/>
    <mergeCell ref="A100:B100"/>
    <mergeCell ref="B189:H189"/>
    <mergeCell ref="A141:B141"/>
    <mergeCell ref="C141:D141"/>
    <mergeCell ref="E141:F141"/>
    <mergeCell ref="B188:H188"/>
    <mergeCell ref="B186:H186"/>
    <mergeCell ref="A196:H196"/>
    <mergeCell ref="A193:H193"/>
    <mergeCell ref="A170:B170"/>
    <mergeCell ref="D154:D155"/>
    <mergeCell ref="E154:E155"/>
    <mergeCell ref="B184:H184"/>
    <mergeCell ref="B180:H180"/>
    <mergeCell ref="B181:H181"/>
    <mergeCell ref="B183:H183"/>
    <mergeCell ref="A171:B171"/>
    <mergeCell ref="A172:B172"/>
    <mergeCell ref="A161:B161"/>
    <mergeCell ref="A162:B162"/>
    <mergeCell ref="A163:B163"/>
    <mergeCell ref="B190:H190"/>
    <mergeCell ref="B187:H187"/>
    <mergeCell ref="A154:A155"/>
    <mergeCell ref="F154:F155"/>
    <mergeCell ref="A199:H202"/>
    <mergeCell ref="A198:B198"/>
    <mergeCell ref="E198:F198"/>
    <mergeCell ref="C198:D198"/>
    <mergeCell ref="G198:H198"/>
    <mergeCell ref="A131:H131"/>
    <mergeCell ref="A129:E129"/>
    <mergeCell ref="F129:H129"/>
    <mergeCell ref="A130:E130"/>
    <mergeCell ref="F130:H130"/>
    <mergeCell ref="A169:H169"/>
    <mergeCell ref="A138:B138"/>
    <mergeCell ref="A133:B133"/>
    <mergeCell ref="A194:H194"/>
    <mergeCell ref="A136:H136"/>
    <mergeCell ref="A197:H197"/>
    <mergeCell ref="A195:H195"/>
    <mergeCell ref="A192:H192"/>
    <mergeCell ref="A160:B160"/>
    <mergeCell ref="A151:B151"/>
    <mergeCell ref="A150:B150"/>
    <mergeCell ref="A153:H153"/>
    <mergeCell ref="E137:F137"/>
    <mergeCell ref="A191:H191"/>
    <mergeCell ref="G137:H137"/>
    <mergeCell ref="B185:H185"/>
    <mergeCell ref="A173:B17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8:B78"/>
    <mergeCell ref="A76:B76"/>
    <mergeCell ref="C76:H76"/>
    <mergeCell ref="A71:C71"/>
    <mergeCell ref="D71:H71"/>
    <mergeCell ref="C78:H78"/>
    <mergeCell ref="A72:C72"/>
    <mergeCell ref="D72:H72"/>
    <mergeCell ref="A75:C75"/>
    <mergeCell ref="D75:H75"/>
    <mergeCell ref="A74:C74"/>
    <mergeCell ref="D70:H70"/>
    <mergeCell ref="A45:D45"/>
    <mergeCell ref="E45:H45"/>
    <mergeCell ref="E46:H46"/>
    <mergeCell ref="E47:H47"/>
    <mergeCell ref="E48:H48"/>
    <mergeCell ref="C58:H58"/>
    <mergeCell ref="C60:H60"/>
    <mergeCell ref="A49:H49"/>
    <mergeCell ref="D65:H65"/>
    <mergeCell ref="A65:C65"/>
    <mergeCell ref="A46:D46"/>
    <mergeCell ref="A50:B50"/>
    <mergeCell ref="C50:H50"/>
    <mergeCell ref="A66:C68"/>
    <mergeCell ref="D66:H66"/>
    <mergeCell ref="D67:H67"/>
    <mergeCell ref="G53:H53"/>
    <mergeCell ref="A62:H62"/>
    <mergeCell ref="A63:C63"/>
    <mergeCell ref="A64:C64"/>
    <mergeCell ref="C54:H54"/>
    <mergeCell ref="A38:H38"/>
    <mergeCell ref="A37:B37"/>
    <mergeCell ref="C37:E37"/>
    <mergeCell ref="A42:D42"/>
    <mergeCell ref="E42:H42"/>
    <mergeCell ref="A41:H41"/>
    <mergeCell ref="A69:C69"/>
    <mergeCell ref="A70:C70"/>
    <mergeCell ref="D69:H69"/>
    <mergeCell ref="F37:H37"/>
    <mergeCell ref="C52:E52"/>
    <mergeCell ref="C51:E51"/>
    <mergeCell ref="G51:H51"/>
    <mergeCell ref="A52:B52"/>
    <mergeCell ref="G57:H57"/>
    <mergeCell ref="A59:B60"/>
    <mergeCell ref="C59:E59"/>
    <mergeCell ref="G59:H59"/>
    <mergeCell ref="G52:H52"/>
    <mergeCell ref="A53:B54"/>
    <mergeCell ref="A39:B39"/>
    <mergeCell ref="C39:H39"/>
    <mergeCell ref="A47:D47"/>
    <mergeCell ref="A48:D48"/>
    <mergeCell ref="A87:B87"/>
    <mergeCell ref="C138:D138"/>
    <mergeCell ref="E138:F138"/>
    <mergeCell ref="G138:H138"/>
    <mergeCell ref="A119:E119"/>
    <mergeCell ref="A90:B90"/>
    <mergeCell ref="C90:H90"/>
    <mergeCell ref="A147:H147"/>
    <mergeCell ref="E144:E145"/>
    <mergeCell ref="A94:B94"/>
    <mergeCell ref="C92:H92"/>
    <mergeCell ref="A95:B95"/>
    <mergeCell ref="A96:B96"/>
    <mergeCell ref="G94:H103"/>
    <mergeCell ref="A97:B97"/>
    <mergeCell ref="F120:H120"/>
    <mergeCell ref="A120:E120"/>
    <mergeCell ref="D144:D145"/>
    <mergeCell ref="A122:E122"/>
    <mergeCell ref="A99:B99"/>
    <mergeCell ref="A139:B139"/>
    <mergeCell ref="C139:D139"/>
    <mergeCell ref="E139:F139"/>
    <mergeCell ref="G139:H139"/>
    <mergeCell ref="A40:B40"/>
    <mergeCell ref="C40:H40"/>
    <mergeCell ref="F144:F145"/>
    <mergeCell ref="C133:D133"/>
    <mergeCell ref="E133:F133"/>
    <mergeCell ref="B144:B145"/>
    <mergeCell ref="A144:A145"/>
    <mergeCell ref="C154:C155"/>
    <mergeCell ref="G154:G155"/>
    <mergeCell ref="G141:H141"/>
    <mergeCell ref="C56:H56"/>
    <mergeCell ref="A79:B79"/>
    <mergeCell ref="A123:E123"/>
    <mergeCell ref="A140:B140"/>
    <mergeCell ref="E140:F140"/>
    <mergeCell ref="A128:E128"/>
    <mergeCell ref="G140:H140"/>
    <mergeCell ref="C134:D134"/>
    <mergeCell ref="E134:F134"/>
    <mergeCell ref="G134:H134"/>
    <mergeCell ref="A135:B135"/>
    <mergeCell ref="C135:D135"/>
    <mergeCell ref="E135:F135"/>
    <mergeCell ref="G135:H135"/>
    <mergeCell ref="G144:G145"/>
    <mergeCell ref="A82:B82"/>
    <mergeCell ref="E80:F89"/>
    <mergeCell ref="G80:H89"/>
    <mergeCell ref="A101:B101"/>
    <mergeCell ref="A102:B102"/>
    <mergeCell ref="A121:E121"/>
    <mergeCell ref="A118:E118"/>
    <mergeCell ref="F122:H122"/>
    <mergeCell ref="G93:H93"/>
    <mergeCell ref="F118:H118"/>
    <mergeCell ref="F121:H121"/>
    <mergeCell ref="A137:B137"/>
    <mergeCell ref="A98:B98"/>
    <mergeCell ref="F123:H123"/>
    <mergeCell ref="A124:E124"/>
    <mergeCell ref="F124:H124"/>
    <mergeCell ref="A126:E126"/>
    <mergeCell ref="A125:E125"/>
    <mergeCell ref="A142:H142"/>
    <mergeCell ref="A113:B113"/>
    <mergeCell ref="A114:B114"/>
    <mergeCell ref="A115:B115"/>
    <mergeCell ref="A116:B116"/>
    <mergeCell ref="A43:D43"/>
    <mergeCell ref="E43:H43"/>
    <mergeCell ref="A117:B117"/>
    <mergeCell ref="C144:C145"/>
    <mergeCell ref="B154:B155"/>
    <mergeCell ref="B182:H182"/>
    <mergeCell ref="A93:B93"/>
    <mergeCell ref="E93:F93"/>
    <mergeCell ref="E94:F103"/>
    <mergeCell ref="A104:B104"/>
    <mergeCell ref="C104:H104"/>
    <mergeCell ref="A106:B106"/>
    <mergeCell ref="C106:H106"/>
    <mergeCell ref="A107:B107"/>
    <mergeCell ref="E107:F107"/>
    <mergeCell ref="G107:H107"/>
    <mergeCell ref="A108:B108"/>
    <mergeCell ref="E108:F117"/>
    <mergeCell ref="G108:H117"/>
    <mergeCell ref="A109:B109"/>
    <mergeCell ref="A110:B110"/>
    <mergeCell ref="A111:B111"/>
    <mergeCell ref="A112:B112"/>
    <mergeCell ref="A92:B92"/>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4:E145" xr:uid="{00000000-0002-0000-0000-000003000000}">
      <formula1>"Attached Loft area,Attached Otla area,Attached Mezzanine area"</formula1>
    </dataValidation>
    <dataValidation type="list" allowBlank="1" showInputMessage="1" showErrorMessage="1" sqref="G198:H198" xr:uid="{00000000-0002-0000-0000-000004000000}">
      <formula1>"Kunal Kadam,Pranita Mhatre,Shruti Fule,Pooja Kawale,Gaurav Panchal,Shruti Tathare, Hitakshi Mhatre, Sachin Sawant"</formula1>
    </dataValidation>
    <dataValidation type="list" allowBlank="1" showInputMessage="1" showErrorMessage="1" sqref="F118:H118" xr:uid="{00000000-0002-0000-0000-000005000000}">
      <formula1>"On Saleable Area,On Builtup Area,On Carpet Area,On Plot Area"</formula1>
    </dataValidation>
    <dataValidation type="list" allowBlank="1" showInputMessage="1" showErrorMessage="1" sqref="F129:H129" xr:uid="{00000000-0002-0000-0000-000006000000}">
      <formula1>OFFSET($S$118,1,MATCH($G20,$S$118:$W$118,0)-1,15,1)</formula1>
    </dataValidation>
    <dataValidation type="list" allowBlank="1" showInputMessage="1" showErrorMessage="1" sqref="B144:B145" xr:uid="{00000000-0002-0000-0000-000007000000}">
      <formula1>"Shop No. (Sale Plan),Sale / Rehab,Sale / Mhada"</formula1>
    </dataValidation>
    <dataValidation type="list" allowBlank="1" showInputMessage="1" showErrorMessage="1" sqref="B154:B155"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4:E155" xr:uid="{00000000-0002-0000-0000-00000B000000}">
      <formula1>"Fungible area,Balcony Area + Service Slab,Chajja Area,Cornice Area,AP Area,WS Area"</formula1>
    </dataValidation>
    <dataValidation type="list" allowBlank="1" showInputMessage="1" showErrorMessage="1" sqref="H145 H15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OFFSET($S$50,1,MATCH($G20,$S$50:$W$50,0)-1,15,1)</formula1>
    </dataValidation>
    <dataValidation type="list" allowBlank="1" showInputMessage="1" showErrorMessage="1" sqref="H144 H154" xr:uid="{00000000-0002-0000-0000-00000F000000}">
      <formula1>"Saleable area Loading :,Builder Saleable Area"</formula1>
    </dataValidation>
    <dataValidation type="list" allowBlank="1" showInputMessage="1" showErrorMessage="1" sqref="D144:D145 D154:D155"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5" max="16383" man="1"/>
    <brk id="190" max="16383" man="1"/>
    <brk id="202" max="16383" man="1"/>
    <brk id="245" max="16383" man="1"/>
    <brk id="28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H19" sqref="H19"/>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3" t="s">
        <v>105</v>
      </c>
      <c r="C3" s="253"/>
      <c r="D3" s="253"/>
      <c r="E3" s="253"/>
      <c r="F3" s="253"/>
      <c r="G3" s="253"/>
      <c r="H3" s="253"/>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97" t="s">
        <v>383</v>
      </c>
      <c r="E5" s="5">
        <v>792</v>
      </c>
      <c r="F5" s="7">
        <f>E5*1.6</f>
        <v>1267.2</v>
      </c>
      <c r="G5" s="7">
        <f>H5/F5</f>
        <v>10653.40909090909</v>
      </c>
      <c r="H5" s="8">
        <v>13500000</v>
      </c>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178</v>
      </c>
      <c r="E4" s="53" t="s">
        <v>188</v>
      </c>
      <c r="F4" s="53" t="s">
        <v>171</v>
      </c>
      <c r="G4" s="53" t="s">
        <v>193</v>
      </c>
      <c r="H4" s="53" t="s">
        <v>211</v>
      </c>
      <c r="J4" t="s">
        <v>193</v>
      </c>
      <c r="K4" t="s">
        <v>209</v>
      </c>
    </row>
    <row r="5" spans="2:11" x14ac:dyDescent="0.25">
      <c r="B5" s="52"/>
      <c r="C5" s="52"/>
      <c r="D5" s="53" t="s">
        <v>179</v>
      </c>
      <c r="E5" s="53" t="s">
        <v>186</v>
      </c>
      <c r="F5" s="53" t="s">
        <v>208</v>
      </c>
      <c r="G5" s="53" t="s">
        <v>194</v>
      </c>
      <c r="H5" s="53" t="s">
        <v>212</v>
      </c>
    </row>
    <row r="6" spans="2:11" x14ac:dyDescent="0.25">
      <c r="B6" s="52"/>
      <c r="C6" s="52"/>
      <c r="D6" s="53" t="s">
        <v>180</v>
      </c>
      <c r="E6" s="53" t="s">
        <v>187</v>
      </c>
      <c r="F6" s="53" t="s">
        <v>209</v>
      </c>
      <c r="G6" s="53" t="s">
        <v>195</v>
      </c>
      <c r="H6" s="53" t="s">
        <v>225</v>
      </c>
    </row>
    <row r="7" spans="2:11" x14ac:dyDescent="0.25">
      <c r="B7" s="52"/>
      <c r="C7" s="52"/>
      <c r="D7" s="53" t="s">
        <v>181</v>
      </c>
      <c r="E7" s="53" t="s">
        <v>189</v>
      </c>
      <c r="F7" s="53" t="s">
        <v>210</v>
      </c>
      <c r="G7" s="53" t="s">
        <v>196</v>
      </c>
      <c r="H7" s="53" t="s">
        <v>213</v>
      </c>
    </row>
    <row r="8" spans="2:11" x14ac:dyDescent="0.25">
      <c r="B8" s="52"/>
      <c r="C8" s="52"/>
      <c r="D8" s="53" t="s">
        <v>182</v>
      </c>
      <c r="E8" s="53" t="s">
        <v>190</v>
      </c>
      <c r="F8" s="53"/>
      <c r="G8" s="53" t="s">
        <v>197</v>
      </c>
      <c r="H8" s="53" t="s">
        <v>214</v>
      </c>
    </row>
    <row r="9" spans="2:11" x14ac:dyDescent="0.25">
      <c r="B9" s="52"/>
      <c r="C9" s="52"/>
      <c r="D9" s="53" t="s">
        <v>183</v>
      </c>
      <c r="E9" s="53" t="s">
        <v>188</v>
      </c>
      <c r="F9" s="53"/>
      <c r="G9" s="53" t="s">
        <v>198</v>
      </c>
      <c r="H9" s="53" t="s">
        <v>215</v>
      </c>
    </row>
    <row r="10" spans="2:11" x14ac:dyDescent="0.25">
      <c r="B10" s="52"/>
      <c r="C10" s="52"/>
      <c r="D10" s="53" t="s">
        <v>184</v>
      </c>
      <c r="E10" s="53" t="s">
        <v>191</v>
      </c>
      <c r="F10" s="53"/>
      <c r="G10" s="53" t="s">
        <v>199</v>
      </c>
      <c r="H10" s="53" t="s">
        <v>216</v>
      </c>
    </row>
    <row r="11" spans="2:11" x14ac:dyDescent="0.25">
      <c r="B11" s="52"/>
      <c r="C11" s="52"/>
      <c r="D11" s="53" t="s">
        <v>185</v>
      </c>
      <c r="E11" s="53" t="s">
        <v>192</v>
      </c>
      <c r="F11" s="53"/>
      <c r="G11" s="53" t="s">
        <v>200</v>
      </c>
      <c r="H11" s="53" t="s">
        <v>217</v>
      </c>
    </row>
    <row r="12" spans="2:11" x14ac:dyDescent="0.25">
      <c r="B12" s="52"/>
      <c r="C12" s="52"/>
      <c r="D12" s="53"/>
      <c r="E12" s="53"/>
      <c r="F12" s="53"/>
      <c r="G12" s="53" t="s">
        <v>201</v>
      </c>
      <c r="H12" s="53" t="s">
        <v>218</v>
      </c>
    </row>
    <row r="13" spans="2:11" x14ac:dyDescent="0.25">
      <c r="B13" s="52"/>
      <c r="C13" s="52"/>
      <c r="D13" s="53"/>
      <c r="E13" s="53"/>
      <c r="F13" s="53"/>
      <c r="G13" s="53" t="s">
        <v>202</v>
      </c>
      <c r="H13" s="53" t="s">
        <v>219</v>
      </c>
    </row>
    <row r="14" spans="2:11" x14ac:dyDescent="0.25">
      <c r="B14" s="52"/>
      <c r="C14" s="52"/>
      <c r="D14" s="53"/>
      <c r="E14" s="53"/>
      <c r="F14" s="53"/>
      <c r="G14" s="53" t="s">
        <v>203</v>
      </c>
      <c r="H14" s="53" t="s">
        <v>220</v>
      </c>
    </row>
    <row r="15" spans="2:11" x14ac:dyDescent="0.25">
      <c r="B15" s="52"/>
      <c r="C15" s="52"/>
      <c r="D15" s="53"/>
      <c r="E15" s="53"/>
      <c r="F15" s="53"/>
      <c r="G15" s="53" t="s">
        <v>204</v>
      </c>
      <c r="H15" s="53" t="s">
        <v>221</v>
      </c>
    </row>
    <row r="16" spans="2:11" x14ac:dyDescent="0.25">
      <c r="B16" s="52"/>
      <c r="C16" s="52"/>
      <c r="D16" s="53"/>
      <c r="E16" s="53"/>
      <c r="F16" s="53"/>
      <c r="G16" s="53" t="s">
        <v>205</v>
      </c>
      <c r="H16" s="53" t="s">
        <v>222</v>
      </c>
    </row>
    <row r="17" spans="2:8" x14ac:dyDescent="0.25">
      <c r="B17" s="52"/>
      <c r="C17" s="52"/>
      <c r="D17" s="53"/>
      <c r="E17" s="53"/>
      <c r="F17" s="53"/>
      <c r="G17" s="53" t="s">
        <v>206</v>
      </c>
      <c r="H17" s="53" t="s">
        <v>223</v>
      </c>
    </row>
    <row r="18" spans="2:8" x14ac:dyDescent="0.25">
      <c r="B18" s="52"/>
      <c r="C18" s="52"/>
      <c r="D18" s="53"/>
      <c r="E18" s="53"/>
      <c r="F18" s="53"/>
      <c r="G18" s="53" t="s">
        <v>207</v>
      </c>
      <c r="H18" s="53"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6" t="s">
        <v>236</v>
      </c>
      <c r="D34" s="53" t="s">
        <v>234</v>
      </c>
      <c r="E34" s="53" t="s">
        <v>239</v>
      </c>
      <c r="F34" s="53" t="s">
        <v>237</v>
      </c>
      <c r="G34" s="53" t="s">
        <v>238</v>
      </c>
      <c r="H34" s="53" t="s">
        <v>240</v>
      </c>
      <c r="J34" t="s">
        <v>193</v>
      </c>
      <c r="K34" t="s">
        <v>209</v>
      </c>
    </row>
    <row r="35" spans="3:11" x14ac:dyDescent="0.25">
      <c r="C35" s="52" t="s">
        <v>235</v>
      </c>
      <c r="D35" s="53" t="s">
        <v>169</v>
      </c>
      <c r="E35" s="53" t="s">
        <v>244</v>
      </c>
      <c r="F35" s="53" t="s">
        <v>246</v>
      </c>
      <c r="G35" s="53" t="s">
        <v>248</v>
      </c>
      <c r="H35" s="53"/>
    </row>
    <row r="36" spans="3:11" x14ac:dyDescent="0.25">
      <c r="C36" s="52"/>
      <c r="D36" s="53" t="s">
        <v>241</v>
      </c>
      <c r="E36" s="53" t="s">
        <v>245</v>
      </c>
      <c r="F36" s="53" t="s">
        <v>247</v>
      </c>
      <c r="G36" s="53" t="s">
        <v>249</v>
      </c>
      <c r="H36" s="53"/>
    </row>
    <row r="37" spans="3:11" x14ac:dyDescent="0.25">
      <c r="C37" s="52"/>
      <c r="D37" s="53" t="s">
        <v>242</v>
      </c>
      <c r="E37" s="53"/>
      <c r="F37" s="53"/>
      <c r="G37" s="53" t="s">
        <v>250</v>
      </c>
      <c r="H37" s="53"/>
    </row>
    <row r="38" spans="3:11" x14ac:dyDescent="0.25">
      <c r="C38" s="52"/>
      <c r="D38" s="53" t="s">
        <v>243</v>
      </c>
      <c r="E38" s="53"/>
      <c r="F38" s="53"/>
      <c r="G38" s="53" t="s">
        <v>250</v>
      </c>
      <c r="H38" s="53"/>
    </row>
    <row r="39" spans="3:11" x14ac:dyDescent="0.25">
      <c r="C39" s="52"/>
      <c r="D39" s="53"/>
      <c r="E39" s="53"/>
      <c r="F39" s="53"/>
      <c r="G39" s="53" t="s">
        <v>251</v>
      </c>
      <c r="H39" s="53"/>
    </row>
    <row r="40" spans="3:11" x14ac:dyDescent="0.25">
      <c r="C40" s="52"/>
      <c r="D40" s="53"/>
      <c r="E40" s="53"/>
      <c r="F40" s="53"/>
      <c r="G40" s="53" t="s">
        <v>252</v>
      </c>
      <c r="H40" s="53"/>
    </row>
    <row r="41" spans="3:11" x14ac:dyDescent="0.25">
      <c r="C41" s="52"/>
      <c r="D41" s="53"/>
      <c r="E41" s="53"/>
      <c r="F41" s="53"/>
      <c r="G41" s="53"/>
      <c r="H41" s="53"/>
    </row>
    <row r="43" spans="3:11" x14ac:dyDescent="0.25">
      <c r="C43" t="s">
        <v>253</v>
      </c>
    </row>
    <row r="44" spans="3:11" x14ac:dyDescent="0.25">
      <c r="C44" t="s">
        <v>171</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7">
        <v>1</v>
      </c>
      <c r="C2" s="60" t="s">
        <v>284</v>
      </c>
    </row>
    <row r="3" spans="2:3" x14ac:dyDescent="0.25">
      <c r="B3" s="57">
        <v>2</v>
      </c>
      <c r="C3" s="58" t="s">
        <v>285</v>
      </c>
    </row>
    <row r="4" spans="2:3" x14ac:dyDescent="0.25">
      <c r="B4" s="57">
        <v>3</v>
      </c>
      <c r="C4" s="59" t="s">
        <v>286</v>
      </c>
    </row>
    <row r="5" spans="2:3" x14ac:dyDescent="0.25">
      <c r="B5" s="57">
        <v>4</v>
      </c>
      <c r="C5" s="58" t="s">
        <v>287</v>
      </c>
    </row>
    <row r="6" spans="2:3" x14ac:dyDescent="0.25">
      <c r="B6" s="57">
        <v>5</v>
      </c>
      <c r="C6" s="59" t="s">
        <v>288</v>
      </c>
    </row>
    <row r="7" spans="2:3" ht="30" x14ac:dyDescent="0.25">
      <c r="B7" s="57">
        <v>6</v>
      </c>
      <c r="C7" s="58" t="s">
        <v>289</v>
      </c>
    </row>
    <row r="8" spans="2:3" ht="75" x14ac:dyDescent="0.25">
      <c r="B8" s="57">
        <v>7</v>
      </c>
      <c r="C8" s="58" t="s">
        <v>290</v>
      </c>
    </row>
    <row r="9" spans="2:3" x14ac:dyDescent="0.25">
      <c r="B9" s="57">
        <v>8</v>
      </c>
      <c r="C9" s="59" t="s">
        <v>291</v>
      </c>
    </row>
    <row r="10" spans="2:3" x14ac:dyDescent="0.25">
      <c r="B10" s="57">
        <v>9</v>
      </c>
      <c r="C10" s="59" t="s">
        <v>292</v>
      </c>
    </row>
    <row r="11" spans="2:3" x14ac:dyDescent="0.25">
      <c r="B11" s="57">
        <v>10</v>
      </c>
      <c r="C11" s="59" t="s">
        <v>293</v>
      </c>
    </row>
    <row r="12" spans="2:3" x14ac:dyDescent="0.25">
      <c r="B12" s="57">
        <v>11</v>
      </c>
      <c r="C12" s="59" t="s">
        <v>294</v>
      </c>
    </row>
    <row r="13" spans="2:3" x14ac:dyDescent="0.25">
      <c r="B13" s="57">
        <v>12</v>
      </c>
      <c r="C13" s="59" t="s">
        <v>295</v>
      </c>
    </row>
    <row r="14" spans="2:3" x14ac:dyDescent="0.25">
      <c r="B14" s="57">
        <v>13</v>
      </c>
      <c r="C14" s="59" t="s">
        <v>296</v>
      </c>
    </row>
    <row r="15" spans="2:3" x14ac:dyDescent="0.25">
      <c r="B15" s="57">
        <v>14</v>
      </c>
      <c r="C15" s="59" t="s">
        <v>286</v>
      </c>
    </row>
    <row r="16" spans="2:3" x14ac:dyDescent="0.25">
      <c r="B16" s="57">
        <v>15</v>
      </c>
      <c r="C16" s="59" t="s">
        <v>299</v>
      </c>
    </row>
    <row r="17" spans="2:3" x14ac:dyDescent="0.25">
      <c r="B17" s="83">
        <v>16</v>
      </c>
      <c r="C17" s="66" t="s">
        <v>300</v>
      </c>
    </row>
    <row r="18" spans="2:3" x14ac:dyDescent="0.25">
      <c r="B18" s="65">
        <v>17</v>
      </c>
      <c r="C18" s="66" t="s">
        <v>301</v>
      </c>
    </row>
    <row r="19" spans="2:3" x14ac:dyDescent="0.25">
      <c r="B19" s="64">
        <v>18</v>
      </c>
      <c r="C19" s="57" t="s">
        <v>302</v>
      </c>
    </row>
    <row r="20" spans="2:3" x14ac:dyDescent="0.25">
      <c r="B20" s="65">
        <v>19</v>
      </c>
      <c r="C20" s="57" t="s">
        <v>338</v>
      </c>
    </row>
    <row r="21" spans="2:3" x14ac:dyDescent="0.25">
      <c r="B21" s="67">
        <v>20</v>
      </c>
      <c r="C21" s="57" t="s">
        <v>303</v>
      </c>
    </row>
    <row r="22" spans="2:3" x14ac:dyDescent="0.25">
      <c r="B22" s="65">
        <v>21</v>
      </c>
      <c r="C22" s="57" t="s">
        <v>302</v>
      </c>
    </row>
    <row r="23" spans="2:3" s="75" customFormat="1" ht="29.25" customHeight="1" x14ac:dyDescent="0.25">
      <c r="B23" s="74">
        <v>22</v>
      </c>
      <c r="C23" s="60" t="s">
        <v>330</v>
      </c>
    </row>
    <row r="24" spans="2:3" s="75" customFormat="1" ht="30.75" customHeight="1" x14ac:dyDescent="0.25">
      <c r="B24" s="76">
        <v>23</v>
      </c>
      <c r="C24" s="60" t="s">
        <v>331</v>
      </c>
    </row>
    <row r="25" spans="2:3" x14ac:dyDescent="0.25">
      <c r="B25" s="67">
        <v>24</v>
      </c>
      <c r="C25" s="57" t="s">
        <v>334</v>
      </c>
    </row>
    <row r="26" spans="2:3" x14ac:dyDescent="0.25">
      <c r="B26" s="65">
        <v>25</v>
      </c>
      <c r="C26" s="57" t="s">
        <v>332</v>
      </c>
    </row>
    <row r="27" spans="2:3" x14ac:dyDescent="0.25">
      <c r="B27" s="76">
        <v>26</v>
      </c>
      <c r="C27" s="67" t="s">
        <v>333</v>
      </c>
    </row>
    <row r="28" spans="2:3" x14ac:dyDescent="0.25">
      <c r="B28" s="77">
        <v>27</v>
      </c>
      <c r="C28" s="57" t="s">
        <v>335</v>
      </c>
    </row>
    <row r="29" spans="2:3" ht="60" x14ac:dyDescent="0.25">
      <c r="B29" s="82">
        <v>28</v>
      </c>
      <c r="C29" s="58" t="s">
        <v>336</v>
      </c>
    </row>
    <row r="30" spans="2:3" x14ac:dyDescent="0.25">
      <c r="B30" s="76">
        <v>29</v>
      </c>
      <c r="C30" s="57" t="s">
        <v>337</v>
      </c>
    </row>
    <row r="31" spans="2:3" ht="30" x14ac:dyDescent="0.25">
      <c r="B31" s="84">
        <v>30</v>
      </c>
      <c r="C31" s="58" t="s">
        <v>339</v>
      </c>
    </row>
    <row r="32" spans="2:3" x14ac:dyDescent="0.25">
      <c r="B32" s="76">
        <v>31</v>
      </c>
      <c r="C32" s="57" t="s">
        <v>340</v>
      </c>
    </row>
    <row r="33" spans="2:3" x14ac:dyDescent="0.25">
      <c r="B33" s="76">
        <v>32</v>
      </c>
      <c r="C33" s="57" t="s">
        <v>341</v>
      </c>
    </row>
    <row r="34" spans="2:3" ht="36.75" customHeight="1" x14ac:dyDescent="0.25">
      <c r="B34" s="84">
        <v>33</v>
      </c>
      <c r="C34" s="66" t="s">
        <v>342</v>
      </c>
    </row>
    <row r="35" spans="2:3" x14ac:dyDescent="0.25">
      <c r="B35" s="76">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8" t="s">
        <v>304</v>
      </c>
      <c r="C2" s="254"/>
      <c r="D2" s="254"/>
    </row>
    <row r="3" spans="1:12" x14ac:dyDescent="0.25">
      <c r="D3" s="69"/>
      <c r="E3" s="69"/>
      <c r="F3" s="69"/>
      <c r="G3" s="69"/>
      <c r="H3" s="69"/>
      <c r="I3" s="69"/>
    </row>
    <row r="4" spans="1:12" x14ac:dyDescent="0.25">
      <c r="A4" s="68" t="s">
        <v>66</v>
      </c>
      <c r="B4" s="70" t="s">
        <v>305</v>
      </c>
      <c r="C4" s="255" t="s">
        <v>306</v>
      </c>
      <c r="D4" s="255"/>
      <c r="E4" s="255"/>
      <c r="F4" s="70"/>
      <c r="G4" s="256" t="s">
        <v>307</v>
      </c>
      <c r="H4" s="256"/>
      <c r="I4" s="256"/>
      <c r="J4" s="257" t="s">
        <v>308</v>
      </c>
      <c r="K4" s="257"/>
      <c r="L4" s="257"/>
    </row>
    <row r="5" spans="1:12" x14ac:dyDescent="0.25">
      <c r="A5" s="68"/>
      <c r="B5" s="70"/>
      <c r="C5" s="70" t="s">
        <v>309</v>
      </c>
      <c r="D5" s="70" t="s">
        <v>310</v>
      </c>
      <c r="E5" s="70" t="s">
        <v>311</v>
      </c>
      <c r="F5" s="70"/>
      <c r="G5" s="70" t="s">
        <v>309</v>
      </c>
      <c r="H5" s="70" t="s">
        <v>310</v>
      </c>
      <c r="I5" s="70" t="s">
        <v>311</v>
      </c>
      <c r="J5" s="70" t="s">
        <v>309</v>
      </c>
      <c r="K5" s="70" t="s">
        <v>310</v>
      </c>
      <c r="L5" s="70" t="s">
        <v>311</v>
      </c>
    </row>
    <row r="6" spans="1:12" x14ac:dyDescent="0.25">
      <c r="B6" s="53" t="s">
        <v>312</v>
      </c>
      <c r="C6" s="53"/>
      <c r="D6" s="53"/>
      <c r="E6" s="53">
        <f>C6*D6</f>
        <v>0</v>
      </c>
      <c r="F6" s="53" t="s">
        <v>329</v>
      </c>
      <c r="G6" s="53"/>
      <c r="H6" s="53"/>
      <c r="I6" s="53">
        <f>G6*H6</f>
        <v>0</v>
      </c>
      <c r="J6" s="53"/>
      <c r="K6" s="53"/>
      <c r="L6" s="53">
        <f>J6*K6</f>
        <v>0</v>
      </c>
    </row>
    <row r="7" spans="1:12" x14ac:dyDescent="0.25">
      <c r="B7" s="53"/>
      <c r="C7" s="53"/>
      <c r="D7" s="53"/>
      <c r="E7" s="53">
        <f t="shared" ref="E7:E41" si="0">C7*D7</f>
        <v>0</v>
      </c>
      <c r="F7" s="53" t="s">
        <v>329</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313</v>
      </c>
      <c r="G9" s="53"/>
      <c r="H9" s="53"/>
      <c r="I9" s="53">
        <f t="shared" si="1"/>
        <v>0</v>
      </c>
      <c r="J9" s="53"/>
      <c r="K9" s="53"/>
      <c r="L9" s="53">
        <f t="shared" si="2"/>
        <v>0</v>
      </c>
    </row>
    <row r="10" spans="1:12" x14ac:dyDescent="0.25">
      <c r="B10" s="53" t="s">
        <v>314</v>
      </c>
      <c r="C10" s="53"/>
      <c r="D10" s="53"/>
      <c r="E10" s="53">
        <f t="shared" si="0"/>
        <v>0</v>
      </c>
      <c r="F10" s="53" t="s">
        <v>313</v>
      </c>
      <c r="G10" s="53"/>
      <c r="H10" s="53"/>
      <c r="I10" s="53">
        <f t="shared" si="1"/>
        <v>0</v>
      </c>
      <c r="J10" s="53"/>
      <c r="K10" s="53"/>
      <c r="L10" s="53">
        <f t="shared" si="2"/>
        <v>0</v>
      </c>
    </row>
    <row r="11" spans="1:12" x14ac:dyDescent="0.25">
      <c r="B11" s="53"/>
      <c r="C11" s="53"/>
      <c r="D11" s="53"/>
      <c r="E11" s="53">
        <f t="shared" si="0"/>
        <v>0</v>
      </c>
      <c r="F11" s="53" t="s">
        <v>315</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316</v>
      </c>
      <c r="C14" s="53"/>
      <c r="D14" s="53"/>
      <c r="E14" s="53">
        <f t="shared" si="0"/>
        <v>0</v>
      </c>
      <c r="F14" s="53" t="s">
        <v>313</v>
      </c>
      <c r="G14" s="53"/>
      <c r="H14" s="53"/>
      <c r="I14" s="53">
        <f t="shared" si="1"/>
        <v>0</v>
      </c>
      <c r="J14" s="53"/>
      <c r="K14" s="53"/>
      <c r="L14" s="53">
        <f t="shared" si="2"/>
        <v>0</v>
      </c>
    </row>
    <row r="15" spans="1:12" x14ac:dyDescent="0.25">
      <c r="B15" s="53"/>
      <c r="C15" s="53"/>
      <c r="D15" s="53"/>
      <c r="E15" s="53">
        <f t="shared" si="0"/>
        <v>0</v>
      </c>
      <c r="F15" s="53" t="s">
        <v>315</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317</v>
      </c>
      <c r="C18" s="53"/>
      <c r="D18" s="53"/>
      <c r="E18" s="53">
        <f t="shared" si="0"/>
        <v>0</v>
      </c>
      <c r="F18" s="53" t="s">
        <v>313</v>
      </c>
      <c r="G18" s="53"/>
      <c r="H18" s="53"/>
      <c r="I18" s="53">
        <f t="shared" si="1"/>
        <v>0</v>
      </c>
      <c r="J18" s="53"/>
      <c r="K18" s="53"/>
      <c r="L18" s="53">
        <f t="shared" si="2"/>
        <v>0</v>
      </c>
    </row>
    <row r="19" spans="2:12" x14ac:dyDescent="0.25">
      <c r="B19" s="53"/>
      <c r="C19" s="53"/>
      <c r="D19" s="53"/>
      <c r="E19" s="53">
        <f t="shared" si="0"/>
        <v>0</v>
      </c>
      <c r="F19" s="53" t="s">
        <v>315</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318</v>
      </c>
      <c r="C21" s="53"/>
      <c r="D21" s="53"/>
      <c r="E21" s="53">
        <f t="shared" si="0"/>
        <v>0</v>
      </c>
      <c r="F21" s="53" t="s">
        <v>313</v>
      </c>
      <c r="G21" s="53"/>
      <c r="H21" s="53"/>
      <c r="I21" s="53">
        <f t="shared" si="1"/>
        <v>0</v>
      </c>
      <c r="J21" s="53"/>
      <c r="K21" s="53"/>
      <c r="L21" s="53">
        <f t="shared" si="2"/>
        <v>0</v>
      </c>
    </row>
    <row r="22" spans="2:12" x14ac:dyDescent="0.25">
      <c r="B22" s="53"/>
      <c r="C22" s="53"/>
      <c r="D22" s="53"/>
      <c r="E22" s="53">
        <f t="shared" si="0"/>
        <v>0</v>
      </c>
      <c r="F22" s="53" t="s">
        <v>315</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319</v>
      </c>
      <c r="C24" s="53"/>
      <c r="D24" s="53"/>
      <c r="E24" s="53">
        <f t="shared" si="0"/>
        <v>0</v>
      </c>
      <c r="F24" s="53" t="s">
        <v>320</v>
      </c>
      <c r="G24" s="53"/>
      <c r="H24" s="53"/>
      <c r="I24" s="53">
        <f t="shared" si="1"/>
        <v>0</v>
      </c>
      <c r="J24" s="53"/>
      <c r="K24" s="53"/>
      <c r="L24" s="53">
        <f t="shared" si="2"/>
        <v>0</v>
      </c>
    </row>
    <row r="25" spans="2:12" x14ac:dyDescent="0.25">
      <c r="B25" s="53"/>
      <c r="C25" s="53"/>
      <c r="D25" s="53"/>
      <c r="E25" s="53">
        <f t="shared" ref="E25:E27" si="3">C25*D25</f>
        <v>0</v>
      </c>
      <c r="F25" s="53" t="s">
        <v>320</v>
      </c>
      <c r="G25" s="53"/>
      <c r="H25" s="53"/>
      <c r="I25" s="53">
        <f t="shared" ref="I25:I27" si="4">G25*H25</f>
        <v>0</v>
      </c>
      <c r="J25" s="53"/>
      <c r="K25" s="53"/>
      <c r="L25" s="53">
        <f t="shared" ref="L25:L27" si="5">J25*K25</f>
        <v>0</v>
      </c>
    </row>
    <row r="26" spans="2:12" x14ac:dyDescent="0.25">
      <c r="B26" s="53"/>
      <c r="C26" s="53"/>
      <c r="D26" s="53"/>
      <c r="E26" s="53">
        <f t="shared" si="3"/>
        <v>0</v>
      </c>
      <c r="F26" s="53" t="s">
        <v>320</v>
      </c>
      <c r="G26" s="53"/>
      <c r="H26" s="53"/>
      <c r="I26" s="53">
        <f t="shared" si="4"/>
        <v>0</v>
      </c>
      <c r="J26" s="53"/>
      <c r="K26" s="53"/>
      <c r="L26" s="53">
        <f t="shared" si="5"/>
        <v>0</v>
      </c>
    </row>
    <row r="27" spans="2:12" x14ac:dyDescent="0.25">
      <c r="B27" s="53"/>
      <c r="C27" s="53"/>
      <c r="D27" s="53"/>
      <c r="E27" s="53">
        <f t="shared" si="3"/>
        <v>0</v>
      </c>
      <c r="F27" s="53" t="s">
        <v>320</v>
      </c>
      <c r="G27" s="53"/>
      <c r="H27" s="53"/>
      <c r="I27" s="53">
        <f t="shared" si="4"/>
        <v>0</v>
      </c>
      <c r="J27" s="53"/>
      <c r="K27" s="53"/>
      <c r="L27" s="53">
        <f t="shared" si="5"/>
        <v>0</v>
      </c>
    </row>
    <row r="28" spans="2:12" x14ac:dyDescent="0.25">
      <c r="B28" s="53" t="s">
        <v>321</v>
      </c>
      <c r="C28" s="53"/>
      <c r="D28" s="53"/>
      <c r="E28" s="53">
        <f t="shared" si="0"/>
        <v>0</v>
      </c>
      <c r="F28" s="53" t="s">
        <v>320</v>
      </c>
      <c r="G28" s="53"/>
      <c r="H28" s="53"/>
      <c r="I28" s="53">
        <f t="shared" si="1"/>
        <v>0</v>
      </c>
      <c r="J28" s="53"/>
      <c r="K28" s="53"/>
      <c r="L28" s="53">
        <f t="shared" si="2"/>
        <v>0</v>
      </c>
    </row>
    <row r="29" spans="2:12" x14ac:dyDescent="0.25">
      <c r="B29" s="53" t="s">
        <v>322</v>
      </c>
      <c r="C29" s="53"/>
      <c r="D29" s="53"/>
      <c r="E29" s="53">
        <f t="shared" si="0"/>
        <v>0</v>
      </c>
      <c r="F29" s="53" t="s">
        <v>320</v>
      </c>
      <c r="G29" s="53"/>
      <c r="H29" s="53"/>
      <c r="I29" s="53">
        <f t="shared" si="1"/>
        <v>0</v>
      </c>
      <c r="J29" s="53"/>
      <c r="K29" s="53"/>
      <c r="L29" s="53">
        <f t="shared" si="2"/>
        <v>0</v>
      </c>
    </row>
    <row r="30" spans="2:12" x14ac:dyDescent="0.25">
      <c r="B30" s="53" t="s">
        <v>326</v>
      </c>
      <c r="C30" s="53"/>
      <c r="D30" s="53"/>
      <c r="E30" s="53">
        <f t="shared" si="0"/>
        <v>0</v>
      </c>
      <c r="F30" s="53"/>
      <c r="G30" s="53"/>
      <c r="H30" s="53"/>
      <c r="I30" s="53">
        <f t="shared" si="1"/>
        <v>0</v>
      </c>
      <c r="J30" s="53"/>
      <c r="K30" s="53"/>
      <c r="L30" s="53">
        <f t="shared" si="2"/>
        <v>0</v>
      </c>
    </row>
    <row r="31" spans="2:12" x14ac:dyDescent="0.25">
      <c r="B31" s="53"/>
      <c r="C31" s="53"/>
      <c r="D31" s="53"/>
      <c r="E31" s="53">
        <f t="shared" ref="E31:E32" si="6">C31*D31</f>
        <v>0</v>
      </c>
      <c r="F31" s="53"/>
      <c r="G31" s="53"/>
      <c r="H31" s="53"/>
      <c r="I31" s="53">
        <f t="shared" ref="I31:I32" si="7">G31*H31</f>
        <v>0</v>
      </c>
      <c r="J31" s="53"/>
      <c r="K31" s="53"/>
      <c r="L31" s="53">
        <f t="shared" ref="L31:L32" si="8">J31*K31</f>
        <v>0</v>
      </c>
    </row>
    <row r="32" spans="2:12" x14ac:dyDescent="0.25">
      <c r="B32" s="53"/>
      <c r="C32" s="53"/>
      <c r="D32" s="53"/>
      <c r="E32" s="53">
        <f t="shared" si="6"/>
        <v>0</v>
      </c>
      <c r="F32" s="53"/>
      <c r="G32" s="53"/>
      <c r="H32" s="53"/>
      <c r="I32" s="53">
        <f t="shared" si="7"/>
        <v>0</v>
      </c>
      <c r="J32" s="53"/>
      <c r="K32" s="53"/>
      <c r="L32" s="53">
        <f t="shared" si="8"/>
        <v>0</v>
      </c>
    </row>
    <row r="33" spans="2:12" x14ac:dyDescent="0.25">
      <c r="B33" s="53" t="s">
        <v>323</v>
      </c>
      <c r="C33" s="53"/>
      <c r="D33" s="53"/>
      <c r="E33" s="53">
        <f t="shared" si="0"/>
        <v>0</v>
      </c>
      <c r="F33" s="53"/>
      <c r="G33" s="53"/>
      <c r="H33" s="53"/>
      <c r="I33" s="53">
        <f t="shared" si="1"/>
        <v>0</v>
      </c>
      <c r="J33" s="53"/>
      <c r="K33" s="53"/>
      <c r="L33" s="53">
        <f t="shared" si="2"/>
        <v>0</v>
      </c>
    </row>
    <row r="34" spans="2:12" x14ac:dyDescent="0.25">
      <c r="B34" s="53" t="s">
        <v>327</v>
      </c>
      <c r="C34" s="53"/>
      <c r="D34" s="53"/>
      <c r="E34" s="53">
        <f t="shared" si="0"/>
        <v>0</v>
      </c>
      <c r="F34" s="53"/>
      <c r="G34" s="53"/>
      <c r="H34" s="53"/>
      <c r="I34" s="53">
        <f t="shared" si="1"/>
        <v>0</v>
      </c>
      <c r="J34" s="53"/>
      <c r="K34" s="53"/>
      <c r="L34" s="53">
        <f t="shared" si="2"/>
        <v>0</v>
      </c>
    </row>
    <row r="35" spans="2:12" x14ac:dyDescent="0.25">
      <c r="B35" s="53" t="s">
        <v>324</v>
      </c>
      <c r="C35" s="53"/>
      <c r="D35" s="53"/>
      <c r="E35" s="53">
        <f t="shared" si="0"/>
        <v>0</v>
      </c>
      <c r="F35" s="53"/>
      <c r="G35" s="53"/>
      <c r="H35" s="53"/>
      <c r="I35" s="53">
        <f t="shared" si="1"/>
        <v>0</v>
      </c>
      <c r="J35" s="53"/>
      <c r="K35" s="53"/>
      <c r="L35" s="53">
        <f t="shared" si="2"/>
        <v>0</v>
      </c>
    </row>
    <row r="36" spans="2:12" x14ac:dyDescent="0.25">
      <c r="B36" s="53" t="s">
        <v>325</v>
      </c>
      <c r="C36" s="53"/>
      <c r="D36" s="53"/>
      <c r="E36" s="53">
        <f t="shared" si="0"/>
        <v>0</v>
      </c>
      <c r="F36" s="53"/>
      <c r="G36" s="53"/>
      <c r="H36" s="53"/>
      <c r="I36" s="53">
        <f>G36*H36</f>
        <v>0</v>
      </c>
      <c r="J36" s="53"/>
      <c r="K36" s="53"/>
      <c r="L36" s="53">
        <f>J36*K36</f>
        <v>0</v>
      </c>
    </row>
    <row r="37" spans="2:12" x14ac:dyDescent="0.25">
      <c r="B37" s="53"/>
      <c r="C37" s="53"/>
      <c r="D37" s="53"/>
      <c r="E37" s="53">
        <f t="shared" ref="E37:E38" si="9">C37*D37</f>
        <v>0</v>
      </c>
      <c r="F37" s="53"/>
      <c r="G37" s="53"/>
      <c r="H37" s="53"/>
      <c r="I37" s="53">
        <f t="shared" ref="I37:I38" si="10">G37*H37</f>
        <v>0</v>
      </c>
      <c r="J37" s="53"/>
      <c r="K37" s="53"/>
      <c r="L37" s="53">
        <f t="shared" ref="L37:L38" si="11">J37*K37</f>
        <v>0</v>
      </c>
    </row>
    <row r="38" spans="2:12" x14ac:dyDescent="0.25">
      <c r="B38" s="53" t="s">
        <v>328</v>
      </c>
      <c r="C38" s="53"/>
      <c r="D38" s="53"/>
      <c r="E38" s="53">
        <f t="shared" si="9"/>
        <v>0</v>
      </c>
      <c r="F38" s="53"/>
      <c r="G38" s="53"/>
      <c r="H38" s="53"/>
      <c r="I38" s="53">
        <f t="shared" si="10"/>
        <v>0</v>
      </c>
      <c r="J38" s="53"/>
      <c r="K38" s="53"/>
      <c r="L38" s="53">
        <f t="shared" si="11"/>
        <v>0</v>
      </c>
    </row>
    <row r="39" spans="2:12" x14ac:dyDescent="0.25">
      <c r="B39" s="53"/>
      <c r="C39" s="53"/>
      <c r="D39" s="53"/>
      <c r="E39" s="53">
        <f t="shared" si="0"/>
        <v>0</v>
      </c>
      <c r="F39" s="53"/>
      <c r="G39" s="53"/>
      <c r="H39" s="53"/>
      <c r="I39" s="53">
        <f>G39*H39</f>
        <v>0</v>
      </c>
      <c r="J39" s="53"/>
      <c r="K39" s="53"/>
      <c r="L39" s="53">
        <f>J39*K39</f>
        <v>0</v>
      </c>
    </row>
    <row r="40" spans="2:12" x14ac:dyDescent="0.25">
      <c r="B40" s="53"/>
      <c r="C40" s="53"/>
      <c r="D40" s="53"/>
      <c r="E40" s="53">
        <f t="shared" si="0"/>
        <v>0</v>
      </c>
      <c r="F40" s="53"/>
      <c r="G40" s="53"/>
      <c r="H40" s="53"/>
      <c r="I40" s="53">
        <f>G40*H40</f>
        <v>0</v>
      </c>
      <c r="J40" s="53"/>
      <c r="K40" s="53"/>
      <c r="L40" s="53">
        <f>J40*K40</f>
        <v>0</v>
      </c>
    </row>
    <row r="41" spans="2:12" x14ac:dyDescent="0.25">
      <c r="B41" s="53"/>
      <c r="C41" s="53"/>
      <c r="D41" s="53"/>
      <c r="E41" s="53">
        <f t="shared" si="0"/>
        <v>0</v>
      </c>
      <c r="F41" s="53"/>
      <c r="G41" s="53"/>
      <c r="H41" s="53"/>
      <c r="I41" s="53">
        <f>G41*H41</f>
        <v>0</v>
      </c>
      <c r="J41" s="53"/>
      <c r="K41" s="53"/>
      <c r="L41" s="53">
        <f>J41*K41</f>
        <v>0</v>
      </c>
    </row>
    <row r="42" spans="2:12" x14ac:dyDescent="0.25">
      <c r="B42" s="53" t="s">
        <v>147</v>
      </c>
      <c r="C42" s="53"/>
      <c r="D42" s="53">
        <f>E42*10.764</f>
        <v>0</v>
      </c>
      <c r="E42" s="73">
        <f>SUM(E6:E41)</f>
        <v>0</v>
      </c>
      <c r="F42" s="53"/>
      <c r="G42" s="53"/>
      <c r="H42" s="53">
        <f>I42*10.764</f>
        <v>0</v>
      </c>
      <c r="I42" s="72">
        <f>SUM(I6:I41)</f>
        <v>0</v>
      </c>
      <c r="J42" s="53"/>
      <c r="K42" s="53">
        <f>L42*10.764</f>
        <v>0</v>
      </c>
      <c r="L42" s="71">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2025-07-16T06:48:27Z</cp:lastPrinted>
  <dcterms:created xsi:type="dcterms:W3CDTF">2019-07-16T09:29:46Z</dcterms:created>
  <dcterms:modified xsi:type="dcterms:W3CDTF">2025-07-16T06:48:39Z</dcterms:modified>
</cp:coreProperties>
</file>